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11"/>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'iww'!$B$1:$AG$47</definedName>
    <definedName name="_xlnm.Print_Area" localSheetId="3">'perf_land _tkm'!$B$1:$G$1</definedName>
    <definedName name="_xlnm.Print_Area" localSheetId="2">'perf_mode_tkm'!$B$1:$J$64</definedName>
    <definedName name="_xlnm.Print_Area" localSheetId="10">'pipeline'!$B$1:$AG$49</definedName>
    <definedName name="_xlnm.Print_Area" localSheetId="8">'rail_tkm'!$B$1:$AF$45</definedName>
    <definedName name="_xlnm.Print_Area" localSheetId="5">'road_by_int'!$B$1:$Z$51</definedName>
    <definedName name="_xlnm.Print_Area" localSheetId="4">'road_by_nat'!$B$1:$Z$48</definedName>
    <definedName name="_xlnm.Print_Area" localSheetId="6">'road_by_tot'!$B$1:$Z$53</definedName>
    <definedName name="_xlnm.Print_Area" localSheetId="7">'road_ter'!$B$1:$P$50</definedName>
    <definedName name="_xlnm.Print_Area" localSheetId="0">'T2.2'!$B$1:$E$27</definedName>
    <definedName name="_xlnm.Print_Area" localSheetId="11">'usa_goods'!$B$1:$G$84</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<sst xmlns="http://schemas.openxmlformats.org/spreadsheetml/2006/main" count="1833" uniqueCount="160">
  <si>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</si>
  <si>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</si>
  <si>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</si>
  <si>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</si>
  <si>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</si>
  <si>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</si>
  <si>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</si>
  <si>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</si>
  <si>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</si>
  <si>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</si>
  <si>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</si>
  <si>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</si>
  <si>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</si>
  <si>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</si>
  <si>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</si>
  <si>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</si>
  <si>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</si>
  <si>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</si>
  <si>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</si>
  <si>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</si>
  <si>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</si>
  <si>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</si>
  <si>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</si>
  <si>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</si>
  <si>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</si>
  <si>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</si>
  <si>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</si>
  <si>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</si>
  <si>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</si>
  <si>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</si>
  <si>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</si>
  <si>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</si>
  <si>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</si>
  <si>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</si>
  <si>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</si>
  <si>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</si>
  <si>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</si>
  <si>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</si>
  <si>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</si>
  <si>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</si>
  <si>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</si>
  <si>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</si>
  <si>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</si>
  <si>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</si>
  <si>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</si>
  <si>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</si>
  <si>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</si>
  <si>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</si>
  <si>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</si>
  <si>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</si>
  <si>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</si>
  <si>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</si>
  <si>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</si>
  <si>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</si>
  <si>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</si>
  <si>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</si>
  <si>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</si>
  <si>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</si>
  <si>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</si>
  <si>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</si>
  <si>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</si>
  <si>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</si>
  <si>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</si>
  <si>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</si>
  <si>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</si>
  <si>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</si>
  <si>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</si>
  <si>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</si>
  <si>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</si>
  <si>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</si>
  <si>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</si>
  <si>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</si>
  <si>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</si>
  <si>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</si>
  <si>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</si>
  <si>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</si>
  <si>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</si>
  <si>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</si>
  <si>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</si>
  <si>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</si>
  <si>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</si>
  <si>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</si>
  <si>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</si>
  <si>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</si>
  <si>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</si>
  <si>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</si>
  <si>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</si>
  <si>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</si>
  <si>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</si>
  <si>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</si>
  <si>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</si>
  <si>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</si>
  <si>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</si>
  <si>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</si>
  <si>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</si>
  <si>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</si>
  <si>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</si>
  <si>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</si>
  <si>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</si>
  <si>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</si>
  <si>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</si>
  <si>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</si>
  <si>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</si>
  <si>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</si>
  <si>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</si>
  <si>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</si>
  <si>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</si>
  <si>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</si>
  <si>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</si>
  <si>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</si>
  <si>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</si>
  <si>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</si>
  <si>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</si>
  <si>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</si>
  <si>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2000 - 2010</t>
  </si>
  <si>
    <t>EU-28 Performance by Mode</t>
  </si>
  <si>
    <t>billion tonne-kilometres</t>
  </si>
  <si>
    <t>Road : National and International Haulage (*)</t>
  </si>
  <si>
    <t>EU-28</t>
  </si>
  <si>
    <t>EU-15</t>
  </si>
  <si>
    <t>EU-13</t>
  </si>
  <si>
    <t>AL</t>
  </si>
  <si>
    <r>
      <t>IS</t>
    </r>
    <r>
      <rPr>
        <b/>
        <vertAlign val="subscript"/>
        <sz val="8"/>
        <rFont val="Arial"/>
        <family val="2"/>
      </rPr>
      <t>(1)</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</si>
  <si>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</si>
  <si>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</si>
  <si>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</si>
  <si>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</si>
  <si>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</si>
  <si>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</si>
  <si>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</si>
  <si>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</si>
  <si>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</si>
  <si>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</si>
  <si>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</si>
  <si>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</si>
  <si>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</si>
  <si>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</si>
  <si>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</si>
  <si>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</si>
  <si>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</si>
  <si>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</si>
  <si>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</si>
  <si>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r>
      <rPr>
        <vertAlign val="superscript"/>
        <sz val="8"/>
        <rFont val="Arial"/>
        <family val="2"/>
      </rPr>
      <t>(1)</t>
    </r>
    <r>
      <rPr>
        <sz val="8"/>
        <rFont val="Arial"/>
        <family val="2"/>
      </rPr>
      <t xml:space="preserve"> The time series for maritime transport performance has been revised, for the period from 2005 to 2014,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</si>
  <si>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</si>
  <si>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</si>
  <si>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</si>
  <si>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</si>
  <si>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</si>
  <si>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</si>
  <si>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</si>
  <si>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t>change 14/15</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</si>
  <si>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</si>
  <si>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</si>
  <si>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t>2011-2014</t>
  </si>
  <si>
    <t>1995 -2015</t>
  </si>
  <si>
    <t>2000 -2015</t>
  </si>
  <si>
    <t>2014-2015</t>
  </si>
  <si>
    <r>
      <t>Road:</t>
    </r>
    <r>
      <rPr>
        <sz val="8"/>
        <rFont val="Arial"/>
        <family val="2"/>
      </rPr>
      <t xml:space="preserve"> national and international haulage by vehicles registered in the EU-28 until 2004, from 2005 onwards the activity performed by European drivers within the EU territory.</t>
    </r>
  </si>
  <si>
    <t xml:space="preserve">Oil Pipelines </t>
  </si>
  <si>
    <t>Oil Pipelines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</si>
</sst>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s>
  <fonts count="8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u val="single"/>
      <sz val="10"/>
      <color indexed="12"/>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0" fontId="45"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46"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47" fillId="0" borderId="3">
      <alignment horizontal="right" vertical="center"/>
      <protection/>
    </xf>
    <xf numFmtId="49" fontId="48" fillId="0" borderId="3">
      <alignment horizontal="left" vertical="center"/>
      <protection/>
    </xf>
    <xf numFmtId="169" fontId="28" fillId="0" borderId="3" applyNumberFormat="0" applyFill="0">
      <alignment horizontal="right"/>
      <protection/>
    </xf>
    <xf numFmtId="0" fontId="68" fillId="0" borderId="0" applyNumberFormat="0" applyFill="0" applyBorder="0" applyAlignment="0" applyProtection="0"/>
    <xf numFmtId="0" fontId="69" fillId="29"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27" fillId="0" borderId="3">
      <alignment horizontal="left"/>
      <protection/>
    </xf>
    <xf numFmtId="0" fontId="49" fillId="0" borderId="7">
      <alignment horizontal="right" vertical="center"/>
      <protection/>
    </xf>
    <xf numFmtId="0" fontId="50"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3" fillId="0" borderId="0" applyNumberFormat="0" applyFill="0" applyBorder="0" applyAlignment="0" applyProtection="0"/>
    <xf numFmtId="0" fontId="74" fillId="31" borderId="1" applyNumberFormat="0" applyAlignment="0" applyProtection="0"/>
    <xf numFmtId="0" fontId="75" fillId="0" borderId="9" applyNumberFormat="0" applyFill="0" applyAlignment="0" applyProtection="0"/>
    <xf numFmtId="0" fontId="76"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3" fillId="0" borderId="0">
      <alignment/>
      <protection/>
    </xf>
    <xf numFmtId="0" fontId="0"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77" fillId="27" borderId="11" applyNumberFormat="0" applyAlignment="0" applyProtection="0"/>
    <xf numFmtId="9" fontId="0" fillId="0" borderId="0" applyFont="0" applyFill="0" applyBorder="0" applyAlignment="0" applyProtection="0"/>
    <xf numFmtId="3" fontId="47" fillId="0" borderId="0">
      <alignment horizontal="left" vertical="center"/>
      <protection/>
    </xf>
    <xf numFmtId="0" fontId="45" fillId="0" borderId="0">
      <alignment horizontal="left" vertical="center"/>
      <protection/>
    </xf>
    <xf numFmtId="0" fontId="51" fillId="0" borderId="0">
      <alignment horizontal="right"/>
      <protection/>
    </xf>
    <xf numFmtId="49" fontId="51" fillId="0" borderId="0">
      <alignment horizontal="center"/>
      <protection/>
    </xf>
    <xf numFmtId="0" fontId="48" fillId="0" borderId="0">
      <alignment horizontal="right"/>
      <protection/>
    </xf>
    <xf numFmtId="0" fontId="51" fillId="0" borderId="0">
      <alignment horizontal="left"/>
      <protection/>
    </xf>
    <xf numFmtId="0" fontId="3" fillId="0" borderId="0">
      <alignment/>
      <protection/>
    </xf>
    <xf numFmtId="49" fontId="47" fillId="0" borderId="0">
      <alignment horizontal="left" vertical="center"/>
      <protection/>
    </xf>
    <xf numFmtId="49" fontId="48" fillId="0" borderId="3">
      <alignment horizontal="left"/>
      <protection/>
    </xf>
    <xf numFmtId="169" fontId="47" fillId="0" borderId="0" applyNumberFormat="0">
      <alignment horizontal="right"/>
      <protection/>
    </xf>
    <xf numFmtId="0" fontId="49" fillId="34" borderId="0">
      <alignment horizontal="centerContinuous" vertical="center" wrapText="1"/>
      <protection/>
    </xf>
    <xf numFmtId="0" fontId="49" fillId="0" borderId="12">
      <alignment horizontal="left" vertical="center"/>
      <protection/>
    </xf>
    <xf numFmtId="0" fontId="26" fillId="0" borderId="0">
      <alignment horizontal="left" vertical="top"/>
      <protection/>
    </xf>
    <xf numFmtId="0" fontId="78" fillId="0" borderId="0" applyNumberFormat="0" applyFill="0" applyBorder="0" applyAlignment="0" applyProtection="0"/>
    <xf numFmtId="0" fontId="27" fillId="0" borderId="0">
      <alignment horizontal="left"/>
      <protection/>
    </xf>
    <xf numFmtId="0" fontId="46" fillId="0" borderId="0">
      <alignment horizontal="left"/>
      <protection/>
    </xf>
    <xf numFmtId="0" fontId="28" fillId="0" borderId="0">
      <alignment horizontal="left"/>
      <protection/>
    </xf>
    <xf numFmtId="0" fontId="26" fillId="0" borderId="0">
      <alignment horizontal="left" vertical="top"/>
      <protection/>
    </xf>
    <xf numFmtId="0" fontId="46" fillId="0" borderId="0">
      <alignment horizontal="left"/>
      <protection/>
    </xf>
    <xf numFmtId="0" fontId="28" fillId="0" borderId="0">
      <alignment horizontal="left"/>
      <protection/>
    </xf>
    <xf numFmtId="0" fontId="17" fillId="35" borderId="0" applyNumberFormat="0" applyBorder="0">
      <alignment/>
      <protection locked="0"/>
    </xf>
    <xf numFmtId="0" fontId="79" fillId="0" borderId="13" applyNumberFormat="0" applyFill="0" applyAlignment="0" applyProtection="0"/>
    <xf numFmtId="0" fontId="18" fillId="36" borderId="0" applyNumberFormat="0" applyBorder="0">
      <alignment/>
      <protection locked="0"/>
    </xf>
    <xf numFmtId="0" fontId="80" fillId="0" borderId="0" applyNumberFormat="0" applyFill="0" applyBorder="0" applyAlignment="0" applyProtection="0"/>
    <xf numFmtId="49" fontId="47" fillId="0" borderId="3">
      <alignment horizontal="left"/>
      <protection/>
    </xf>
    <xf numFmtId="0" fontId="49" fillId="0" borderId="7">
      <alignment horizontal="left"/>
      <protection/>
    </xf>
    <xf numFmtId="0" fontId="27" fillId="0" borderId="0">
      <alignment horizontal="left" vertical="center"/>
      <protection/>
    </xf>
    <xf numFmtId="49" fontId="51" fillId="0" borderId="3">
      <alignment horizontal="left"/>
      <protection/>
    </xf>
  </cellStyleXfs>
  <cellXfs count="539">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164" fontId="16" fillId="37" borderId="23" xfId="0" applyNumberFormat="1" applyFont="1" applyFill="1" applyBorder="1" applyAlignment="1">
      <alignment horizontal="right" vertical="center"/>
    </xf>
    <xf numFmtId="164" fontId="16" fillId="37" borderId="0" xfId="0" applyNumberFormat="1" applyFont="1" applyFill="1" applyBorder="1" applyAlignment="1">
      <alignment horizontal="right" vertical="center"/>
    </xf>
    <xf numFmtId="0" fontId="4" fillId="37" borderId="16" xfId="0" applyFont="1" applyFill="1" applyBorder="1" applyAlignment="1">
      <alignment horizontal="center" vertical="center"/>
    </xf>
    <xf numFmtId="164" fontId="16" fillId="37" borderId="8" xfId="0" applyNumberFormat="1" applyFont="1" applyFill="1" applyBorder="1" applyAlignment="1">
      <alignment horizontal="right"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64" fontId="16" fillId="37" borderId="22" xfId="0" applyNumberFormat="1" applyFont="1" applyFill="1" applyBorder="1" applyAlignment="1">
      <alignment horizontal="righ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4"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19" fillId="0" borderId="14"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8" xfId="0" applyNumberFormat="1" applyFont="1" applyFill="1" applyBorder="1" applyAlignment="1">
      <alignment horizontal="right" vertical="center"/>
    </xf>
    <xf numFmtId="168" fontId="19" fillId="0" borderId="16"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168"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164" fontId="16" fillId="37" borderId="15" xfId="0" applyNumberFormat="1" applyFont="1" applyFill="1" applyBorder="1" applyAlignment="1">
      <alignment horizontal="right" vertical="center"/>
    </xf>
    <xf numFmtId="164" fontId="16" fillId="37" borderId="16"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164" fontId="16" fillId="37" borderId="20" xfId="0" applyNumberFormat="1" applyFont="1" applyFill="1" applyBorder="1" applyAlignment="1">
      <alignment horizontal="right" vertical="center"/>
    </xf>
    <xf numFmtId="0" fontId="3" fillId="0" borderId="0" xfId="0" applyFont="1" applyAlignment="1">
      <alignment/>
    </xf>
    <xf numFmtId="0" fontId="4" fillId="0" borderId="0" xfId="0" applyFont="1" applyAlignment="1">
      <alignment horizontal="left" vertical="top"/>
    </xf>
    <xf numFmtId="164" fontId="4" fillId="37" borderId="14" xfId="0" applyNumberFormat="1" applyFont="1" applyFill="1" applyBorder="1" applyAlignment="1">
      <alignment horizontal="right" vertical="center"/>
    </xf>
    <xf numFmtId="164" fontId="4" fillId="37" borderId="21"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0" xfId="0" applyNumberFormat="1" applyFont="1" applyFill="1" applyBorder="1" applyAlignment="1">
      <alignment horizontal="right" vertical="center"/>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8" xfId="0" applyNumberFormat="1" applyFont="1" applyFill="1" applyBorder="1" applyAlignment="1">
      <alignment horizontal="center"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0" borderId="21" xfId="0" applyNumberFormat="1" applyFont="1" applyBorder="1" applyAlignment="1">
      <alignment horizontal="right"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0" fillId="0" borderId="0" xfId="0" applyNumberFormat="1" applyFont="1" applyFill="1" applyBorder="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37" borderId="14"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5">
      <alignment/>
      <protection/>
    </xf>
    <xf numFmtId="0" fontId="0" fillId="0" borderId="0" xfId="95" applyNumberFormat="1" applyFont="1" applyFill="1" applyBorder="1" applyAlignment="1">
      <alignment/>
      <protection/>
    </xf>
    <xf numFmtId="164" fontId="4" fillId="37" borderId="14" xfId="0" applyNumberFormat="1" applyFont="1" applyFill="1" applyBorder="1" applyAlignment="1">
      <alignment horizontal="center" vertical="center"/>
    </xf>
    <xf numFmtId="164" fontId="4" fillId="37" borderId="15" xfId="0" applyNumberFormat="1" applyFont="1" applyFill="1" applyBorder="1" applyAlignment="1">
      <alignment horizontal="center" vertical="center"/>
    </xf>
    <xf numFmtId="164" fontId="4" fillId="37" borderId="16"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37" borderId="15" xfId="0" applyNumberFormat="1" applyFont="1" applyFill="1" applyBorder="1" applyAlignment="1">
      <alignment horizontal="center" vertical="center"/>
    </xf>
    <xf numFmtId="164" fontId="15" fillId="37" borderId="15" xfId="0" applyNumberFormat="1" applyFont="1" applyFill="1" applyBorder="1" applyAlignment="1">
      <alignment horizontal="center" vertical="center"/>
    </xf>
    <xf numFmtId="164" fontId="3" fillId="37" borderId="16" xfId="0" applyNumberFormat="1" applyFont="1" applyFill="1" applyBorder="1" applyAlignment="1">
      <alignment horizontal="center" vertical="center"/>
    </xf>
    <xf numFmtId="164" fontId="3" fillId="0" borderId="16" xfId="0" applyNumberFormat="1" applyFont="1" applyFill="1" applyBorder="1" applyAlignment="1">
      <alignment horizontal="center" vertical="center"/>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0" borderId="15" xfId="0" applyNumberFormat="1" applyFont="1" applyBorder="1" applyAlignment="1">
      <alignment horizontal="center" vertical="center"/>
    </xf>
    <xf numFmtId="164" fontId="3" fillId="42" borderId="0" xfId="0" applyNumberFormat="1" applyFont="1" applyFill="1" applyBorder="1" applyAlignment="1">
      <alignment horizontal="right" vertical="center"/>
    </xf>
    <xf numFmtId="164"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3" fillId="43" borderId="14" xfId="0" applyNumberFormat="1" applyFont="1" applyFill="1" applyBorder="1" applyAlignment="1">
      <alignment horizontal="right" vertical="center"/>
    </xf>
    <xf numFmtId="164" fontId="15" fillId="43" borderId="14" xfId="0" applyNumberFormat="1" applyFont="1" applyFill="1" applyBorder="1" applyAlignment="1">
      <alignment horizontal="right"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center" vertical="center"/>
    </xf>
    <xf numFmtId="164" fontId="3" fillId="43" borderId="14" xfId="0" applyNumberFormat="1" applyFont="1" applyFill="1" applyBorder="1" applyAlignment="1">
      <alignment horizontal="center" vertical="center"/>
    </xf>
    <xf numFmtId="170" fontId="0" fillId="0" borderId="0" xfId="0" applyNumberFormat="1" applyAlignment="1">
      <alignment/>
    </xf>
    <xf numFmtId="170" fontId="3" fillId="0" borderId="0" xfId="0" applyNumberFormat="1" applyFont="1" applyFill="1" applyBorder="1" applyAlignment="1">
      <alignment horizontal="right" vertical="center"/>
    </xf>
    <xf numFmtId="171" fontId="16" fillId="37" borderId="20" xfId="0" applyNumberFormat="1" applyFont="1" applyFill="1" applyBorder="1" applyAlignment="1">
      <alignment horizontal="right" vertical="center"/>
    </xf>
    <xf numFmtId="171" fontId="16" fillId="37" borderId="21" xfId="0" applyNumberFormat="1" applyFont="1" applyFill="1" applyBorder="1" applyAlignment="1">
      <alignment horizontal="right" vertical="center"/>
    </xf>
    <xf numFmtId="171" fontId="16" fillId="37" borderId="18" xfId="0" applyNumberFormat="1" applyFont="1" applyFill="1" applyBorder="1" applyAlignment="1">
      <alignment horizontal="right" vertical="center"/>
    </xf>
    <xf numFmtId="171" fontId="16" fillId="37" borderId="23" xfId="0" applyNumberFormat="1" applyFont="1" applyFill="1" applyBorder="1" applyAlignment="1">
      <alignment horizontal="right" vertical="center"/>
    </xf>
    <xf numFmtId="171" fontId="16"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17" xfId="0" applyNumberFormat="1" applyFont="1" applyFill="1" applyBorder="1" applyAlignment="1">
      <alignment horizontal="right" vertical="center"/>
    </xf>
    <xf numFmtId="171" fontId="16" fillId="37" borderId="22"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71" fontId="16" fillId="37" borderId="19"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3" borderId="15" xfId="0" applyNumberFormat="1" applyFont="1" applyFill="1" applyBorder="1" applyAlignment="1">
      <alignment horizontal="right"/>
    </xf>
    <xf numFmtId="164" fontId="3" fillId="0" borderId="15" xfId="0" applyNumberFormat="1" applyFont="1" applyBorder="1" applyAlignment="1">
      <alignment horizontal="right"/>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4" fontId="3" fillId="0" borderId="0" xfId="0" applyNumberFormat="1" applyFont="1" applyAlignment="1">
      <alignment/>
    </xf>
    <xf numFmtId="164" fontId="15" fillId="0" borderId="15" xfId="0" applyNumberFormat="1" applyFont="1" applyBorder="1" applyAlignment="1">
      <alignment horizontal="right" vertical="center"/>
    </xf>
    <xf numFmtId="164" fontId="3" fillId="43" borderId="14" xfId="0" applyNumberFormat="1" applyFont="1" applyFill="1" applyBorder="1" applyAlignment="1">
      <alignment horizontal="right"/>
    </xf>
    <xf numFmtId="164" fontId="3" fillId="43" borderId="14" xfId="0" applyNumberFormat="1" applyFont="1" applyFill="1" applyBorder="1" applyAlignment="1">
      <alignment horizontal="right" vertical="center"/>
    </xf>
    <xf numFmtId="164" fontId="3" fillId="43" borderId="16" xfId="0" applyNumberFormat="1" applyFont="1" applyFill="1" applyBorder="1" applyAlignment="1">
      <alignment horizontal="right"/>
    </xf>
    <xf numFmtId="164" fontId="15" fillId="42" borderId="15"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8"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164" fontId="3" fillId="43" borderId="16" xfId="0" applyNumberFormat="1" applyFont="1" applyFill="1" applyBorder="1" applyAlignment="1">
      <alignment horizontal="right" vertical="center"/>
    </xf>
    <xf numFmtId="164" fontId="3" fillId="43" borderId="16"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16" fillId="0" borderId="15"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4" fillId="0" borderId="25"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4" fillId="0" borderId="15"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4" fontId="16" fillId="37" borderId="17" xfId="0" applyNumberFormat="1" applyFont="1" applyFill="1" applyBorder="1" applyAlignment="1">
      <alignment horizontal="right" vertical="center"/>
    </xf>
    <xf numFmtId="164" fontId="4" fillId="37" borderId="17" xfId="0" applyNumberFormat="1" applyFont="1" applyFill="1" applyBorder="1" applyAlignment="1">
      <alignment horizontal="right" vertical="center"/>
    </xf>
    <xf numFmtId="164" fontId="16" fillId="37" borderId="19"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64" fontId="3" fillId="0" borderId="39" xfId="0" applyNumberFormat="1" applyFont="1" applyFill="1" applyBorder="1" applyAlignment="1">
      <alignment horizontal="center" vertical="center"/>
    </xf>
    <xf numFmtId="171" fontId="3" fillId="0" borderId="40" xfId="0" applyNumberFormat="1" applyFont="1" applyFill="1" applyBorder="1" applyAlignment="1">
      <alignment horizontal="center"/>
    </xf>
    <xf numFmtId="0" fontId="0" fillId="0" borderId="0" xfId="0" applyAlignment="1">
      <alignment/>
    </xf>
    <xf numFmtId="171" fontId="3" fillId="0" borderId="8" xfId="0" applyNumberFormat="1" applyFont="1" applyFill="1" applyBorder="1" applyAlignment="1">
      <alignment horizontal="center" vertical="center"/>
    </xf>
    <xf numFmtId="171" fontId="3" fillId="0" borderId="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1"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17"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164" fontId="15" fillId="0" borderId="15" xfId="0" applyNumberFormat="1" applyFont="1" applyFill="1" applyBorder="1" applyAlignment="1">
      <alignment horizontal="center" vertical="center"/>
    </xf>
    <xf numFmtId="171" fontId="4" fillId="37" borderId="21" xfId="0" applyNumberFormat="1" applyFont="1" applyFill="1" applyBorder="1" applyAlignment="1">
      <alignment horizontal="right" vertical="center"/>
    </xf>
    <xf numFmtId="171" fontId="4" fillId="37" borderId="8" xfId="0" applyNumberFormat="1" applyFont="1" applyFill="1" applyBorder="1" applyAlignment="1">
      <alignment horizontal="right"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6" fillId="37" borderId="21" xfId="0" applyNumberFormat="1" applyFont="1" applyFill="1" applyBorder="1" applyAlignment="1">
      <alignment horizontal="right"/>
    </xf>
    <xf numFmtId="164" fontId="16" fillId="37" borderId="0" xfId="0" applyNumberFormat="1" applyFont="1" applyFill="1" applyBorder="1" applyAlignment="1">
      <alignment horizontal="right"/>
    </xf>
    <xf numFmtId="164" fontId="16" fillId="37" borderId="8" xfId="0" applyNumberFormat="1" applyFont="1" applyFill="1" applyBorder="1" applyAlignment="1">
      <alignment horizontal="right"/>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0" borderId="21"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37" borderId="0" xfId="0" applyNumberFormat="1" applyFont="1" applyFill="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1" xfId="0" applyNumberFormat="1" applyFont="1" applyFill="1" applyBorder="1" applyAlignment="1">
      <alignment horizontal="center"/>
    </xf>
    <xf numFmtId="171" fontId="15" fillId="0" borderId="22" xfId="0" applyNumberFormat="1" applyFont="1" applyFill="1" applyBorder="1" applyAlignment="1">
      <alignment horizontal="center"/>
    </xf>
    <xf numFmtId="171" fontId="15" fillId="0" borderId="19"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15" fillId="0" borderId="22" xfId="0" applyNumberFormat="1" applyFont="1" applyFill="1" applyBorder="1" applyAlignment="1">
      <alignment horizontal="center" vertical="center"/>
    </xf>
    <xf numFmtId="171" fontId="16" fillId="0" borderId="16" xfId="0" applyNumberFormat="1" applyFont="1" applyFill="1" applyBorder="1" applyAlignment="1">
      <alignment horizontal="center"/>
    </xf>
    <xf numFmtId="164" fontId="15" fillId="0" borderId="39" xfId="0" applyNumberFormat="1" applyFont="1" applyFill="1" applyBorder="1" applyAlignment="1">
      <alignment horizontal="center" vertical="center"/>
    </xf>
    <xf numFmtId="164" fontId="16" fillId="0" borderId="27" xfId="0" applyNumberFormat="1" applyFont="1" applyFill="1" applyBorder="1" applyAlignment="1">
      <alignment horizontal="center" vertical="center"/>
    </xf>
    <xf numFmtId="171" fontId="4" fillId="0" borderId="44" xfId="0" applyNumberFormat="1" applyFont="1" applyFill="1" applyBorder="1" applyAlignment="1">
      <alignment horizont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19" xfId="0" applyNumberFormat="1" applyFont="1" applyFill="1" applyBorder="1" applyAlignment="1">
      <alignment horizontal="right"/>
    </xf>
    <xf numFmtId="164" fontId="3" fillId="0" borderId="18" xfId="0" applyNumberFormat="1" applyFont="1" applyBorder="1" applyAlignment="1">
      <alignment horizontal="right" vertical="center"/>
    </xf>
    <xf numFmtId="164" fontId="15" fillId="0" borderId="0" xfId="0" applyNumberFormat="1" applyFont="1" applyBorder="1" applyAlignment="1">
      <alignment horizontal="center" vertical="center"/>
    </xf>
    <xf numFmtId="164" fontId="15" fillId="43" borderId="8" xfId="0" applyNumberFormat="1" applyFont="1" applyFill="1" applyBorder="1" applyAlignment="1">
      <alignment horizontal="center" vertical="center"/>
    </xf>
    <xf numFmtId="0" fontId="52" fillId="0" borderId="0" xfId="96" applyFont="1" applyFill="1" applyAlignment="1">
      <alignment wrapText="1"/>
      <protection/>
    </xf>
    <xf numFmtId="167" fontId="3" fillId="0" borderId="41"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4" fontId="15" fillId="0" borderId="22" xfId="0" applyNumberFormat="1" applyFont="1" applyFill="1" applyBorder="1" applyAlignment="1">
      <alignment horizontal="right" vertical="center"/>
    </xf>
    <xf numFmtId="164" fontId="15" fillId="0" borderId="41" xfId="0" applyNumberFormat="1" applyFont="1" applyFill="1" applyBorder="1" applyAlignment="1">
      <alignment horizontal="right" vertical="center"/>
    </xf>
    <xf numFmtId="0" fontId="0" fillId="0" borderId="0" xfId="0" applyFont="1" applyAlignment="1">
      <alignment horizontal="lef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3" fillId="0" borderId="0" xfId="0" applyFont="1" applyFill="1" applyBorder="1" applyAlignment="1" quotePrefix="1">
      <alignment vertical="top" wrapText="1"/>
    </xf>
    <xf numFmtId="0" fontId="3" fillId="0" borderId="0" xfId="0" applyFont="1" applyFill="1" applyBorder="1" applyAlignment="1" quotePrefix="1">
      <alignment vertical="top" wrapText="1"/>
    </xf>
    <xf numFmtId="0" fontId="4" fillId="0" borderId="0" xfId="0" applyFont="1" applyFill="1" applyBorder="1" applyAlignment="1" quotePrefix="1">
      <alignment wrapText="1"/>
    </xf>
    <xf numFmtId="0" fontId="4" fillId="0" borderId="0" xfId="0" applyFont="1" applyFill="1" applyBorder="1" applyAlignment="1" quotePrefix="1">
      <alignmen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3" fillId="0" borderId="8" xfId="0" applyFont="1" applyBorder="1" applyAlignment="1">
      <alignment horizontal="right" vertical="center"/>
    </xf>
    <xf numFmtId="0" fontId="3" fillId="0" borderId="8" xfId="0" applyFont="1" applyBorder="1" applyAlignment="1">
      <alignment horizontal="right" vertical="center"/>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left"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Good" xfId="77"/>
    <cellStyle name="Heading 1" xfId="78"/>
    <cellStyle name="Heading 2" xfId="79"/>
    <cellStyle name="Heading 3" xfId="80"/>
    <cellStyle name="Heading 4" xfId="81"/>
    <cellStyle name="Hed Side" xfId="82"/>
    <cellStyle name="Hed Side bold" xfId="83"/>
    <cellStyle name="Hed Side Indent" xfId="84"/>
    <cellStyle name="Hed Side Regular" xfId="85"/>
    <cellStyle name="Hed Side_1-1A-Regular" xfId="86"/>
    <cellStyle name="Hed Top" xfId="87"/>
    <cellStyle name="Hed Top - SECTION" xfId="88"/>
    <cellStyle name="Hed Top_3-new4" xfId="89"/>
    <cellStyle name="Hyperlink" xfId="90"/>
    <cellStyle name="Input" xfId="91"/>
    <cellStyle name="Linked Cell" xfId="92"/>
    <cellStyle name="Neutral" xfId="93"/>
    <cellStyle name="Normal 12" xfId="94"/>
    <cellStyle name="Normal 2" xfId="95"/>
    <cellStyle name="Normal 3" xfId="96"/>
    <cellStyle name="Normal 9" xfId="97"/>
    <cellStyle name="Note" xfId="98"/>
    <cellStyle name="Note 2" xfId="99"/>
    <cellStyle name="Note 3" xfId="100"/>
    <cellStyle name="Note 4" xfId="101"/>
    <cellStyle name="Output" xfId="102"/>
    <cellStyle name="Percent" xfId="103"/>
    <cellStyle name="Reference" xfId="104"/>
    <cellStyle name="Row heading" xfId="105"/>
    <cellStyle name="Source Hed" xfId="106"/>
    <cellStyle name="Source Letter" xfId="107"/>
    <cellStyle name="Source Superscript" xfId="108"/>
    <cellStyle name="Source Text" xfId="109"/>
    <cellStyle name="Standard_E00seit45" xfId="110"/>
    <cellStyle name="State" xfId="111"/>
    <cellStyle name="Superscript" xfId="112"/>
    <cellStyle name="Table Data" xfId="113"/>
    <cellStyle name="Table Head Top" xfId="114"/>
    <cellStyle name="Table Hed Side" xfId="115"/>
    <cellStyle name="Table Title" xfId="116"/>
    <cellStyle name="Title" xfId="117"/>
    <cellStyle name="Title Text" xfId="118"/>
    <cellStyle name="Title Text 1" xfId="119"/>
    <cellStyle name="Title Text 2" xfId="120"/>
    <cellStyle name="Title-1" xfId="121"/>
    <cellStyle name="Title-2" xfId="122"/>
    <cellStyle name="Title-3" xfId="123"/>
    <cellStyle name="Titre ligne" xfId="124"/>
    <cellStyle name="Total" xfId="125"/>
    <cellStyle name="Total intermediaire" xfId="126"/>
    <cellStyle name="Warning Text" xfId="127"/>
    <cellStyle name="Wrap" xfId="128"/>
    <cellStyle name="Wrap Bold" xfId="129"/>
    <cellStyle name="Wrap Title" xfId="130"/>
    <cellStyle name="Wrap_NTS99-~11"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1995 - 2015</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freight_graph!$C$37:$W$37</c:f>
              <c:numCache/>
            </c:numRef>
          </c:cat>
          <c:val>
            <c:numRef>
              <c:f>freight_graph!$C$38:$W$38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freight_graph!$C$37:$W$37</c:f>
              <c:numCache/>
            </c:numRef>
          </c:cat>
          <c:val>
            <c:numRef>
              <c:f>freight_graph!$C$39:$W$39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freight_graph!$C$37:$W$37</c:f>
              <c:numCache/>
            </c:numRef>
          </c:cat>
          <c:val>
            <c:numRef>
              <c:f>freight_graph!$C$40:$W$40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freight_graph!$C$37:$W$37</c:f>
              <c:numCache/>
            </c:numRef>
          </c:cat>
          <c:val>
            <c:numRef>
              <c:f>freight_graph!$C$41:$W$41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freight_graph!$C$37:$W$37</c:f>
              <c:numCache/>
            </c:numRef>
          </c:cat>
          <c:val>
            <c:numRef>
              <c:f>freight_graph!$C$42:$W$42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freight_graph!$C$37:$W$37</c:f>
              <c:numCache/>
            </c:numRef>
          </c:cat>
          <c:val>
            <c:numRef>
              <c:f>freight_graph!$C$43:$W$43</c:f>
              <c:numCache/>
            </c:numRef>
          </c:val>
          <c:smooth val="0"/>
        </c:ser>
        <c:marker val="1"/>
        <c:axId val="13464314"/>
        <c:axId val="54069963"/>
      </c:lineChart>
      <c:catAx>
        <c:axId val="134643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069963"/>
        <c:crosses val="autoZero"/>
        <c:auto val="1"/>
        <c:lblOffset val="100"/>
        <c:tickLblSkip val="1"/>
        <c:noMultiLvlLbl val="0"/>
      </c:catAx>
      <c:valAx>
        <c:axId val="54069963"/>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464314"/>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pageSetUpPr fitToPage="1"/>
  </sheetPr>
  <dimension ref="B1:E71"/>
  <sheetViews>
    <sheetView zoomScalePageLayoutView="0" workbookViewId="0" topLeftCell="A1">
      <selection activeCell="D28" sqref="D28"/>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78" t="s">
        <v>57</v>
      </c>
      <c r="C1" s="478"/>
      <c r="D1" s="478"/>
      <c r="E1" s="478"/>
    </row>
    <row r="2" spans="2:5" ht="19.5" customHeight="1">
      <c r="B2" s="479" t="s">
        <v>58</v>
      </c>
      <c r="C2" s="479"/>
      <c r="D2" s="479"/>
      <c r="E2" s="479"/>
    </row>
    <row r="3" spans="2:5" ht="19.5" customHeight="1">
      <c r="B3" s="480" t="s">
        <v>101</v>
      </c>
      <c r="C3" s="480"/>
      <c r="D3" s="480"/>
      <c r="E3" s="480"/>
    </row>
    <row r="4" spans="2:5" ht="19.5" customHeight="1">
      <c r="B4" s="481" t="s">
        <v>59</v>
      </c>
      <c r="C4" s="481"/>
      <c r="D4" s="481"/>
      <c r="E4" s="481"/>
    </row>
    <row r="5" spans="2:5" ht="19.5" customHeight="1">
      <c r="B5" s="56"/>
      <c r="C5" s="56"/>
      <c r="D5" s="56"/>
      <c r="E5" s="56"/>
    </row>
    <row r="6" ht="19.5" customHeight="1"/>
    <row r="7" spans="2:5" ht="19.5" customHeight="1">
      <c r="B7" s="478" t="s">
        <v>100</v>
      </c>
      <c r="C7" s="478"/>
      <c r="D7" s="478"/>
      <c r="E7" s="478"/>
    </row>
    <row r="8" spans="2:5" ht="19.5" customHeight="1">
      <c r="B8" s="477">
        <v>2017</v>
      </c>
      <c r="C8" s="477"/>
      <c r="D8" s="477"/>
      <c r="E8" s="477"/>
    </row>
    <row r="9" spans="2:5" ht="19.5" customHeight="1">
      <c r="B9" s="57"/>
      <c r="C9" s="57"/>
      <c r="D9" s="57"/>
      <c r="E9" s="57"/>
    </row>
    <row r="10" spans="2:5" ht="19.5" customHeight="1">
      <c r="B10" s="475" t="s">
        <v>102</v>
      </c>
      <c r="C10" s="475"/>
      <c r="D10" s="475"/>
      <c r="E10" s="475"/>
    </row>
    <row r="11" spans="2:5" ht="19.5" customHeight="1">
      <c r="B11" s="7"/>
      <c r="E11" s="7"/>
    </row>
    <row r="12" spans="2:5" ht="19.5" customHeight="1">
      <c r="B12" s="476" t="s">
        <v>103</v>
      </c>
      <c r="C12" s="476"/>
      <c r="D12" s="476"/>
      <c r="E12" s="476"/>
    </row>
    <row r="13" spans="2:5" ht="19.5" customHeight="1">
      <c r="B13" s="476" t="s">
        <v>60</v>
      </c>
      <c r="C13" s="476"/>
      <c r="D13" s="476"/>
      <c r="E13" s="476"/>
    </row>
    <row r="14" spans="2:5" ht="19.5" customHeight="1">
      <c r="B14" s="476" t="s">
        <v>61</v>
      </c>
      <c r="C14" s="476"/>
      <c r="D14" s="476"/>
      <c r="E14" s="476"/>
    </row>
    <row r="15" spans="2:5" ht="19.5" customHeight="1">
      <c r="B15" s="7"/>
      <c r="D15"/>
      <c r="E15" s="7"/>
    </row>
    <row r="16" spans="2:5" ht="19.5" customHeight="1">
      <c r="B16" s="7"/>
      <c r="E16" s="7"/>
    </row>
    <row r="17" spans="2:5" ht="15" customHeight="1">
      <c r="B17" s="51" t="s">
        <v>90</v>
      </c>
      <c r="C17" s="52"/>
      <c r="D17" s="53" t="s">
        <v>54</v>
      </c>
      <c r="E17" s="7"/>
    </row>
    <row r="18" spans="2:5" ht="15" customHeight="1">
      <c r="B18" s="51" t="s">
        <v>91</v>
      </c>
      <c r="C18" s="52"/>
      <c r="D18" s="53" t="s">
        <v>55</v>
      </c>
      <c r="E18" s="7"/>
    </row>
    <row r="19" spans="2:5" ht="15" customHeight="1">
      <c r="B19" s="51" t="s">
        <v>92</v>
      </c>
      <c r="C19" s="52"/>
      <c r="D19" s="53" t="s">
        <v>143</v>
      </c>
      <c r="E19" s="7"/>
    </row>
    <row r="20" spans="2:5" ht="15" customHeight="1">
      <c r="B20" s="51" t="s">
        <v>93</v>
      </c>
      <c r="C20" s="52"/>
      <c r="D20" s="53" t="s">
        <v>62</v>
      </c>
      <c r="E20" s="7"/>
    </row>
    <row r="21" spans="2:4" ht="15" customHeight="1">
      <c r="B21" s="51" t="s">
        <v>94</v>
      </c>
      <c r="C21" s="52"/>
      <c r="D21" s="53" t="s">
        <v>63</v>
      </c>
    </row>
    <row r="22" spans="2:4" ht="15" customHeight="1">
      <c r="B22" s="51" t="s">
        <v>95</v>
      </c>
      <c r="C22" s="52"/>
      <c r="D22" s="53" t="s">
        <v>64</v>
      </c>
    </row>
    <row r="23" spans="2:4" s="405" customFormat="1" ht="15" customHeight="1">
      <c r="B23" s="417" t="s">
        <v>129</v>
      </c>
      <c r="C23" s="52"/>
      <c r="D23" s="418" t="s">
        <v>146</v>
      </c>
    </row>
    <row r="24" spans="2:4" ht="15" customHeight="1">
      <c r="B24" s="51" t="s">
        <v>96</v>
      </c>
      <c r="C24" s="54"/>
      <c r="D24" s="55" t="s">
        <v>56</v>
      </c>
    </row>
    <row r="25" spans="2:5" ht="15" customHeight="1">
      <c r="B25" s="51" t="s">
        <v>97</v>
      </c>
      <c r="C25" s="54"/>
      <c r="D25" s="55" t="s">
        <v>39</v>
      </c>
      <c r="E25" s="7"/>
    </row>
    <row r="26" spans="2:5" ht="15" customHeight="1">
      <c r="B26" s="51" t="s">
        <v>98</v>
      </c>
      <c r="C26" s="54"/>
      <c r="D26" s="474" t="s">
        <v>159</v>
      </c>
      <c r="E26" s="7"/>
    </row>
    <row r="27" spans="2:5" ht="15" customHeight="1">
      <c r="B27" s="51" t="s">
        <v>99</v>
      </c>
      <c r="D27" s="53" t="s">
        <v>77</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45">
    <pageSetUpPr fitToPage="1"/>
  </sheetPr>
  <dimension ref="A1:AG51"/>
  <sheetViews>
    <sheetView zoomScalePageLayoutView="0" workbookViewId="0" topLeftCell="A13">
      <selection activeCell="AK32" sqref="A32:AK32"/>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0" width="7.421875" style="3" customWidth="1"/>
    <col min="31" max="31" width="6.28125" style="3" customWidth="1"/>
    <col min="32" max="32" width="4.7109375" style="3" customWidth="1"/>
    <col min="33" max="33" width="3.00390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97</v>
      </c>
    </row>
    <row r="2" spans="1:32" s="48" customFormat="1" ht="30" customHeight="1">
      <c r="A2" s="82"/>
      <c r="B2" s="512" t="s">
        <v>39</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3" ht="12" customHeight="1">
      <c r="B3" s="4"/>
      <c r="C3" s="4"/>
      <c r="E3" s="28"/>
      <c r="F3" s="28"/>
      <c r="G3" s="28"/>
      <c r="H3" s="28"/>
      <c r="I3" s="28"/>
      <c r="J3" s="30"/>
      <c r="K3" s="30"/>
      <c r="L3" s="30"/>
      <c r="M3" s="30"/>
      <c r="N3" s="30"/>
      <c r="O3" s="30"/>
      <c r="R3" s="45"/>
      <c r="T3" s="164"/>
      <c r="U3" s="164"/>
      <c r="W3" s="518" t="s">
        <v>111</v>
      </c>
      <c r="X3" s="519"/>
      <c r="Y3" s="21"/>
      <c r="Z3" s="21"/>
      <c r="AA3" s="21"/>
      <c r="AB3" s="21"/>
      <c r="AC3" s="21"/>
      <c r="AD3" s="21"/>
      <c r="AE3" s="6"/>
      <c r="AF3" s="46"/>
      <c r="AG3" s="46"/>
    </row>
    <row r="4" spans="2:33"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row>
    <row r="5" spans="2:33"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row>
    <row r="6" spans="2:33" ht="12.75" customHeight="1">
      <c r="B6" s="90" t="s">
        <v>118</v>
      </c>
      <c r="C6" s="166">
        <f>SUM(C9:C36)+2.43</f>
        <v>112.776</v>
      </c>
      <c r="D6" s="166">
        <f>SUM(D9:D36)+3.59</f>
        <v>119.771</v>
      </c>
      <c r="E6" s="264">
        <f>SUM(E9:E36)+4.42</f>
        <v>118.83522714499999</v>
      </c>
      <c r="F6" s="264">
        <f>SUM(F9:F36)+3.89</f>
        <v>116.70840167300001</v>
      </c>
      <c r="G6" s="264">
        <f>SUM(G9:G36)+2.98</f>
        <v>115.05673840299998</v>
      </c>
      <c r="H6" s="264">
        <f aca="true" t="shared" si="0" ref="H6:AA6">SUM(H9:H36)</f>
        <v>109.08724280999999</v>
      </c>
      <c r="I6" s="264">
        <f t="shared" si="0"/>
        <v>118.78323084900002</v>
      </c>
      <c r="J6" s="264">
        <f t="shared" si="0"/>
        <v>122.118208</v>
      </c>
      <c r="K6" s="264">
        <f t="shared" si="0"/>
        <v>119.778492</v>
      </c>
      <c r="L6" s="264">
        <f t="shared" si="0"/>
        <v>127.87012699999998</v>
      </c>
      <c r="M6" s="264">
        <f t="shared" si="0"/>
        <v>131.064354551</v>
      </c>
      <c r="N6" s="264">
        <f t="shared" si="0"/>
        <v>128.778899</v>
      </c>
      <c r="O6" s="264">
        <f t="shared" si="0"/>
        <v>133.9248856</v>
      </c>
      <c r="P6" s="264">
        <f t="shared" si="0"/>
        <v>132.6062436</v>
      </c>
      <c r="Q6" s="264">
        <f t="shared" si="0"/>
        <v>132.594023</v>
      </c>
      <c r="R6" s="264">
        <f t="shared" si="0"/>
        <v>123.6150852</v>
      </c>
      <c r="S6" s="264">
        <f t="shared" si="0"/>
        <v>136.91315100000006</v>
      </c>
      <c r="T6" s="264">
        <f t="shared" si="0"/>
        <v>138.78097439999996</v>
      </c>
      <c r="U6" s="264">
        <f t="shared" si="0"/>
        <v>138.57696909999999</v>
      </c>
      <c r="V6" s="264">
        <f t="shared" si="0"/>
        <v>145.564</v>
      </c>
      <c r="W6" s="264">
        <f t="shared" si="0"/>
        <v>147.067</v>
      </c>
      <c r="X6" s="264">
        <f t="shared" si="0"/>
        <v>132.73900000000003</v>
      </c>
      <c r="Y6" s="264">
        <f t="shared" si="0"/>
        <v>155.521</v>
      </c>
      <c r="Z6" s="264">
        <f t="shared" si="0"/>
        <v>141.96900000000002</v>
      </c>
      <c r="AA6" s="264">
        <f t="shared" si="0"/>
        <v>149.987</v>
      </c>
      <c r="AB6" s="264">
        <f>SUM(AB9:AB36)</f>
        <v>152.79500000000004</v>
      </c>
      <c r="AC6" s="264">
        <f>SUM(AC9:AC36)</f>
        <v>150.87599999999998</v>
      </c>
      <c r="AD6" s="264">
        <f>SUM(AD9:AD36)</f>
        <v>147.51900000000003</v>
      </c>
      <c r="AE6" s="237">
        <f>AD6/AC6*100-100</f>
        <v>-2.2250059651634047</v>
      </c>
      <c r="AF6" s="90" t="s">
        <v>118</v>
      </c>
      <c r="AG6" s="2"/>
    </row>
    <row r="7" spans="1:32" ht="12.75" customHeight="1">
      <c r="A7" s="15"/>
      <c r="B7" s="91" t="s">
        <v>119</v>
      </c>
      <c r="C7" s="168">
        <f aca="true" t="shared" si="1" ref="C7:AA7">C9+C13+C18+C20+C24+C27+C28+C34+C36</f>
        <v>102.626</v>
      </c>
      <c r="D7" s="168">
        <f t="shared" si="1"/>
        <v>105.891</v>
      </c>
      <c r="E7" s="265">
        <f t="shared" si="1"/>
        <v>106.97722714499997</v>
      </c>
      <c r="F7" s="265">
        <f t="shared" si="1"/>
        <v>107.16240167300002</v>
      </c>
      <c r="G7" s="265">
        <f t="shared" si="1"/>
        <v>106.95373840299997</v>
      </c>
      <c r="H7" s="265">
        <f t="shared" si="1"/>
        <v>104.70724281</v>
      </c>
      <c r="I7" s="265">
        <f t="shared" si="1"/>
        <v>113.25353084899999</v>
      </c>
      <c r="J7" s="265">
        <f t="shared" si="1"/>
        <v>114.596308</v>
      </c>
      <c r="K7" s="265">
        <f t="shared" si="1"/>
        <v>111.37309199999999</v>
      </c>
      <c r="L7" s="265">
        <f t="shared" si="1"/>
        <v>118.92042699999998</v>
      </c>
      <c r="M7" s="265">
        <f t="shared" si="1"/>
        <v>121.944141</v>
      </c>
      <c r="N7" s="265">
        <f t="shared" si="1"/>
        <v>121.99729899999998</v>
      </c>
      <c r="O7" s="265">
        <f t="shared" si="1"/>
        <v>127.380566</v>
      </c>
      <c r="P7" s="265">
        <f t="shared" si="1"/>
        <v>125.94002399999998</v>
      </c>
      <c r="Q7" s="265">
        <f t="shared" si="1"/>
        <v>125.08906300000001</v>
      </c>
      <c r="R7" s="265">
        <f t="shared" si="1"/>
        <v>116.41082</v>
      </c>
      <c r="S7" s="265">
        <f t="shared" si="1"/>
        <v>126.01883</v>
      </c>
      <c r="T7" s="265">
        <f t="shared" si="1"/>
        <v>126.22875</v>
      </c>
      <c r="U7" s="265">
        <f t="shared" si="1"/>
        <v>126.622974</v>
      </c>
      <c r="V7" s="265">
        <f t="shared" si="1"/>
        <v>132.71</v>
      </c>
      <c r="W7" s="265">
        <f t="shared" si="1"/>
        <v>130.98</v>
      </c>
      <c r="X7" s="265">
        <f t="shared" si="1"/>
        <v>111.843</v>
      </c>
      <c r="Y7" s="265">
        <f t="shared" si="1"/>
        <v>130.458</v>
      </c>
      <c r="Z7" s="265">
        <f t="shared" si="1"/>
        <v>122.58100000000003</v>
      </c>
      <c r="AA7" s="265">
        <f t="shared" si="1"/>
        <v>128.208</v>
      </c>
      <c r="AB7" s="265">
        <f>AB9+AB13+AB18+AB20+AB24+AB27+AB28+AB34+AB36</f>
        <v>131.36200000000002</v>
      </c>
      <c r="AC7" s="265">
        <f>AC9+AC13+AC18+AC20+AC24+AC27+AC28+AC34+AC36</f>
        <v>130.473</v>
      </c>
      <c r="AD7" s="265">
        <f>AD9+AD13+AD18+AD20+AD24+AD27+AD28+AD34+AD36</f>
        <v>125.19099999999999</v>
      </c>
      <c r="AE7" s="238">
        <f aca="true" t="shared" si="2" ref="AE7:AE44">AD7/AC7*100-100</f>
        <v>-4.048347167613244</v>
      </c>
      <c r="AF7" s="91" t="s">
        <v>119</v>
      </c>
    </row>
    <row r="8" spans="1:32" ht="12.75" customHeight="1">
      <c r="A8" s="15"/>
      <c r="B8" s="94" t="s">
        <v>120</v>
      </c>
      <c r="C8" s="170">
        <f aca="true" t="shared" si="3" ref="C8:X8">C6-C7</f>
        <v>10.149999999999991</v>
      </c>
      <c r="D8" s="170">
        <f t="shared" si="3"/>
        <v>13.879999999999995</v>
      </c>
      <c r="E8" s="266">
        <f t="shared" si="3"/>
        <v>11.858000000000018</v>
      </c>
      <c r="F8" s="266">
        <f t="shared" si="3"/>
        <v>9.545999999999992</v>
      </c>
      <c r="G8" s="266">
        <f t="shared" si="3"/>
        <v>8.103000000000009</v>
      </c>
      <c r="H8" s="266">
        <f t="shared" si="3"/>
        <v>4.3799999999999955</v>
      </c>
      <c r="I8" s="266">
        <f t="shared" si="3"/>
        <v>5.529700000000034</v>
      </c>
      <c r="J8" s="266">
        <f t="shared" si="3"/>
        <v>7.521900000000002</v>
      </c>
      <c r="K8" s="266">
        <f t="shared" si="3"/>
        <v>8.405400000000014</v>
      </c>
      <c r="L8" s="266">
        <f t="shared" si="3"/>
        <v>8.949700000000007</v>
      </c>
      <c r="M8" s="266">
        <f t="shared" si="3"/>
        <v>9.120213551000006</v>
      </c>
      <c r="N8" s="266">
        <f t="shared" si="3"/>
        <v>6.781600000000012</v>
      </c>
      <c r="O8" s="266">
        <f t="shared" si="3"/>
        <v>6.544319600000009</v>
      </c>
      <c r="P8" s="266">
        <f t="shared" si="3"/>
        <v>6.666219600000019</v>
      </c>
      <c r="Q8" s="266">
        <f t="shared" si="3"/>
        <v>7.504959999999983</v>
      </c>
      <c r="R8" s="266">
        <f t="shared" si="3"/>
        <v>7.204265199999995</v>
      </c>
      <c r="S8" s="266">
        <f t="shared" si="3"/>
        <v>10.894321000000062</v>
      </c>
      <c r="T8" s="266">
        <f t="shared" si="3"/>
        <v>12.552224399999957</v>
      </c>
      <c r="U8" s="266">
        <f t="shared" si="3"/>
        <v>11.953995099999986</v>
      </c>
      <c r="V8" s="266">
        <f t="shared" si="3"/>
        <v>12.853999999999985</v>
      </c>
      <c r="W8" s="266">
        <f t="shared" si="3"/>
        <v>16.087000000000018</v>
      </c>
      <c r="X8" s="266">
        <f t="shared" si="3"/>
        <v>20.89600000000003</v>
      </c>
      <c r="Y8" s="266">
        <f aca="true" t="shared" si="4" ref="Y8:AD8">Y6-Y7</f>
        <v>25.062999999999988</v>
      </c>
      <c r="Z8" s="266">
        <f t="shared" si="4"/>
        <v>19.38799999999999</v>
      </c>
      <c r="AA8" s="266">
        <f t="shared" si="4"/>
        <v>21.778999999999996</v>
      </c>
      <c r="AB8" s="266">
        <f t="shared" si="4"/>
        <v>21.43300000000002</v>
      </c>
      <c r="AC8" s="266">
        <f t="shared" si="4"/>
        <v>20.402999999999963</v>
      </c>
      <c r="AD8" s="266">
        <f t="shared" si="4"/>
        <v>22.328000000000046</v>
      </c>
      <c r="AE8" s="239">
        <f t="shared" si="2"/>
        <v>9.43488702641811</v>
      </c>
      <c r="AF8" s="94" t="s">
        <v>120</v>
      </c>
    </row>
    <row r="9" spans="1:32" ht="12.75" customHeight="1">
      <c r="A9" s="15"/>
      <c r="B9" s="17" t="s">
        <v>23</v>
      </c>
      <c r="C9" s="107">
        <v>6.734</v>
      </c>
      <c r="D9" s="107">
        <v>5.852</v>
      </c>
      <c r="E9" s="213">
        <v>5.388896222</v>
      </c>
      <c r="F9" s="213">
        <v>5.177006499</v>
      </c>
      <c r="G9" s="213">
        <v>5.0178631</v>
      </c>
      <c r="H9" s="213">
        <v>4.931673973</v>
      </c>
      <c r="I9" s="213">
        <v>5.490262438</v>
      </c>
      <c r="J9" s="213">
        <v>5.731</v>
      </c>
      <c r="K9" s="213">
        <v>5.715</v>
      </c>
      <c r="L9" s="213">
        <v>5.829</v>
      </c>
      <c r="M9" s="213">
        <v>6.015</v>
      </c>
      <c r="N9" s="213">
        <v>6.362</v>
      </c>
      <c r="O9" s="213">
        <v>7.215</v>
      </c>
      <c r="P9" s="213">
        <v>7.655</v>
      </c>
      <c r="Q9" s="213">
        <v>8.073</v>
      </c>
      <c r="R9" s="213">
        <v>8.23</v>
      </c>
      <c r="S9" s="213">
        <v>8.392</v>
      </c>
      <c r="T9" s="213">
        <v>8.566</v>
      </c>
      <c r="U9" s="213">
        <v>8.908</v>
      </c>
      <c r="V9" s="213">
        <v>9.006</v>
      </c>
      <c r="W9" s="213">
        <v>8.746</v>
      </c>
      <c r="X9" s="213">
        <v>7.087</v>
      </c>
      <c r="Y9" s="213">
        <v>9.07</v>
      </c>
      <c r="Z9" s="213">
        <v>9.251</v>
      </c>
      <c r="AA9" s="213">
        <v>10.42</v>
      </c>
      <c r="AB9" s="213">
        <v>10.365</v>
      </c>
      <c r="AC9" s="213">
        <v>10.451</v>
      </c>
      <c r="AD9" s="213">
        <v>10.426</v>
      </c>
      <c r="AE9" s="151">
        <f t="shared" si="2"/>
        <v>-0.23921155870252164</v>
      </c>
      <c r="AF9" s="17" t="s">
        <v>23</v>
      </c>
    </row>
    <row r="10" spans="1:32" ht="12.75" customHeight="1">
      <c r="A10" s="15"/>
      <c r="B10" s="91" t="s">
        <v>6</v>
      </c>
      <c r="C10" s="116">
        <v>1.83</v>
      </c>
      <c r="D10" s="116">
        <v>2.61</v>
      </c>
      <c r="E10" s="203">
        <v>1.61</v>
      </c>
      <c r="F10" s="203">
        <v>1.024</v>
      </c>
      <c r="G10" s="203">
        <v>0.837</v>
      </c>
      <c r="H10" s="203">
        <v>0.46</v>
      </c>
      <c r="I10" s="203">
        <v>0.36</v>
      </c>
      <c r="J10" s="203">
        <v>0.526</v>
      </c>
      <c r="K10" s="203">
        <v>0.505</v>
      </c>
      <c r="L10" s="203">
        <v>0.6</v>
      </c>
      <c r="M10" s="203">
        <v>0.563</v>
      </c>
      <c r="N10" s="203">
        <v>0.187</v>
      </c>
      <c r="O10" s="203">
        <v>0.313</v>
      </c>
      <c r="P10" s="203">
        <v>0.418</v>
      </c>
      <c r="Q10" s="203">
        <v>0.561</v>
      </c>
      <c r="R10" s="203">
        <v>0.613</v>
      </c>
      <c r="S10" s="203">
        <v>0.697</v>
      </c>
      <c r="T10" s="203">
        <v>0.757</v>
      </c>
      <c r="U10" s="203">
        <v>0.785</v>
      </c>
      <c r="V10" s="209">
        <v>1.011</v>
      </c>
      <c r="W10" s="209">
        <v>2.89</v>
      </c>
      <c r="X10" s="203">
        <v>5.436</v>
      </c>
      <c r="Y10" s="203">
        <v>6.048</v>
      </c>
      <c r="Z10" s="203">
        <v>4.31</v>
      </c>
      <c r="AA10" s="203">
        <v>5.349</v>
      </c>
      <c r="AB10" s="203">
        <v>5.374</v>
      </c>
      <c r="AC10" s="203">
        <v>5.074</v>
      </c>
      <c r="AD10" s="203">
        <v>5.595</v>
      </c>
      <c r="AE10" s="120">
        <f t="shared" si="2"/>
        <v>10.268033109972393</v>
      </c>
      <c r="AF10" s="91" t="s">
        <v>6</v>
      </c>
    </row>
    <row r="11" spans="1:32" ht="12.75" customHeight="1">
      <c r="A11" s="15"/>
      <c r="B11" s="17" t="s">
        <v>8</v>
      </c>
      <c r="C11" s="106"/>
      <c r="D11" s="106"/>
      <c r="E11" s="59"/>
      <c r="F11" s="59"/>
      <c r="G11" s="59"/>
      <c r="H11" s="189"/>
      <c r="I11" s="59">
        <v>0.2526</v>
      </c>
      <c r="J11" s="59">
        <v>0.2757</v>
      </c>
      <c r="K11" s="59">
        <v>0.2565</v>
      </c>
      <c r="L11" s="59">
        <v>0.0984</v>
      </c>
      <c r="M11" s="59">
        <v>0.100313551</v>
      </c>
      <c r="N11" s="59">
        <v>0.087</v>
      </c>
      <c r="O11" s="59">
        <v>0.089</v>
      </c>
      <c r="P11" s="59">
        <v>0.078</v>
      </c>
      <c r="Q11" s="59">
        <v>0.08</v>
      </c>
      <c r="R11" s="59">
        <v>0.058</v>
      </c>
      <c r="S11" s="59">
        <v>0.048</v>
      </c>
      <c r="T11" s="59">
        <v>0.063</v>
      </c>
      <c r="U11" s="59">
        <v>0.043</v>
      </c>
      <c r="V11" s="59">
        <v>0.036</v>
      </c>
      <c r="W11" s="59">
        <v>0.028</v>
      </c>
      <c r="X11" s="59">
        <v>0.033</v>
      </c>
      <c r="Y11" s="59">
        <v>0.043</v>
      </c>
      <c r="Z11" s="59">
        <v>0.042</v>
      </c>
      <c r="AA11" s="59">
        <v>0.038</v>
      </c>
      <c r="AB11" s="59">
        <v>0.025</v>
      </c>
      <c r="AC11" s="59">
        <v>0.027</v>
      </c>
      <c r="AD11" s="59">
        <v>0.033</v>
      </c>
      <c r="AE11" s="152">
        <f t="shared" si="2"/>
        <v>22.22222222222223</v>
      </c>
      <c r="AF11" s="17" t="s">
        <v>8</v>
      </c>
    </row>
    <row r="12" spans="1:32" ht="12.75" customHeight="1">
      <c r="A12" s="15"/>
      <c r="B12" s="91" t="s">
        <v>19</v>
      </c>
      <c r="C12" s="116" t="s">
        <v>36</v>
      </c>
      <c r="D12" s="116" t="s">
        <v>36</v>
      </c>
      <c r="E12" s="203" t="s">
        <v>36</v>
      </c>
      <c r="F12" s="203" t="s">
        <v>36</v>
      </c>
      <c r="G12" s="203" t="s">
        <v>36</v>
      </c>
      <c r="H12" s="203" t="s">
        <v>36</v>
      </c>
      <c r="I12" s="203" t="s">
        <v>36</v>
      </c>
      <c r="J12" s="203" t="s">
        <v>36</v>
      </c>
      <c r="K12" s="203" t="s">
        <v>36</v>
      </c>
      <c r="L12" s="203" t="s">
        <v>36</v>
      </c>
      <c r="M12" s="203" t="s">
        <v>36</v>
      </c>
      <c r="N12" s="203" t="s">
        <v>36</v>
      </c>
      <c r="O12" s="203" t="s">
        <v>36</v>
      </c>
      <c r="P12" s="203" t="s">
        <v>36</v>
      </c>
      <c r="Q12" s="203" t="s">
        <v>36</v>
      </c>
      <c r="R12" s="203" t="s">
        <v>36</v>
      </c>
      <c r="S12" s="203" t="s">
        <v>36</v>
      </c>
      <c r="T12" s="203" t="s">
        <v>36</v>
      </c>
      <c r="U12" s="203" t="s">
        <v>36</v>
      </c>
      <c r="V12" s="203" t="s">
        <v>36</v>
      </c>
      <c r="W12" s="203" t="s">
        <v>36</v>
      </c>
      <c r="X12" s="203" t="s">
        <v>36</v>
      </c>
      <c r="Y12" s="203" t="s">
        <v>36</v>
      </c>
      <c r="Z12" s="203" t="s">
        <v>36</v>
      </c>
      <c r="AA12" s="208" t="s">
        <v>36</v>
      </c>
      <c r="AB12" s="208" t="s">
        <v>36</v>
      </c>
      <c r="AC12" s="208" t="s">
        <v>36</v>
      </c>
      <c r="AD12" s="208" t="s">
        <v>36</v>
      </c>
      <c r="AE12" s="153" t="s">
        <v>36</v>
      </c>
      <c r="AF12" s="91" t="s">
        <v>19</v>
      </c>
    </row>
    <row r="13" spans="1:32" ht="12.75" customHeight="1">
      <c r="A13" s="15"/>
      <c r="B13" s="17" t="s">
        <v>24</v>
      </c>
      <c r="C13" s="106">
        <v>48.8</v>
      </c>
      <c r="D13" s="106">
        <v>51.4</v>
      </c>
      <c r="E13" s="59">
        <v>54.803</v>
      </c>
      <c r="F13" s="59">
        <v>55.973424605</v>
      </c>
      <c r="G13" s="59">
        <v>57.239443126</v>
      </c>
      <c r="H13" s="59">
        <v>57.559339868</v>
      </c>
      <c r="I13" s="59">
        <v>61.77196685</v>
      </c>
      <c r="J13" s="59">
        <v>63.982</v>
      </c>
      <c r="K13" s="59">
        <v>61.291</v>
      </c>
      <c r="L13" s="59">
        <v>62.153</v>
      </c>
      <c r="M13" s="59">
        <v>64.267</v>
      </c>
      <c r="N13" s="59">
        <v>62.692</v>
      </c>
      <c r="O13" s="59">
        <v>66.465</v>
      </c>
      <c r="P13" s="59">
        <v>64.818</v>
      </c>
      <c r="Q13" s="59">
        <v>64.166</v>
      </c>
      <c r="R13" s="59">
        <v>58.154</v>
      </c>
      <c r="S13" s="59">
        <v>63.667</v>
      </c>
      <c r="T13" s="59">
        <v>64.096</v>
      </c>
      <c r="U13" s="59">
        <v>63.975</v>
      </c>
      <c r="V13" s="59">
        <v>64.711</v>
      </c>
      <c r="W13" s="59">
        <v>64.056</v>
      </c>
      <c r="X13" s="59">
        <v>55.652</v>
      </c>
      <c r="Y13" s="59">
        <v>62.278</v>
      </c>
      <c r="Z13" s="59">
        <v>55.027</v>
      </c>
      <c r="AA13" s="59">
        <v>58.488</v>
      </c>
      <c r="AB13" s="59">
        <v>60.07</v>
      </c>
      <c r="AC13" s="59">
        <v>59.093</v>
      </c>
      <c r="AD13" s="59">
        <v>55.315</v>
      </c>
      <c r="AE13" s="152">
        <f t="shared" si="2"/>
        <v>-6.3933122366439505</v>
      </c>
      <c r="AF13" s="17" t="s">
        <v>24</v>
      </c>
    </row>
    <row r="14" spans="1:32" ht="12.75" customHeight="1">
      <c r="A14" s="15"/>
      <c r="B14" s="91" t="s">
        <v>9</v>
      </c>
      <c r="C14" s="116">
        <v>0.01</v>
      </c>
      <c r="D14" s="116">
        <v>0.01</v>
      </c>
      <c r="E14" s="203">
        <v>0</v>
      </c>
      <c r="F14" s="203">
        <v>0.001</v>
      </c>
      <c r="G14" s="203">
        <v>0.001</v>
      </c>
      <c r="H14" s="203">
        <v>0</v>
      </c>
      <c r="I14" s="203">
        <v>0.001</v>
      </c>
      <c r="J14" s="203">
        <v>0</v>
      </c>
      <c r="K14" s="203">
        <v>0</v>
      </c>
      <c r="L14" s="203">
        <v>0</v>
      </c>
      <c r="M14" s="203">
        <v>0</v>
      </c>
      <c r="N14" s="203">
        <v>0.002</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153" t="s">
        <v>36</v>
      </c>
      <c r="AF14" s="91" t="s">
        <v>9</v>
      </c>
    </row>
    <row r="15" spans="1:32"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151" t="s">
        <v>36</v>
      </c>
      <c r="AF15" s="17" t="s">
        <v>27</v>
      </c>
    </row>
    <row r="16" spans="1:32"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t="s">
        <v>36</v>
      </c>
      <c r="R16" s="203" t="s">
        <v>36</v>
      </c>
      <c r="S16" s="203" t="s">
        <v>36</v>
      </c>
      <c r="T16" s="203" t="s">
        <v>36</v>
      </c>
      <c r="U16" s="203" t="s">
        <v>36</v>
      </c>
      <c r="V16" s="203" t="s">
        <v>36</v>
      </c>
      <c r="W16" s="203" t="s">
        <v>36</v>
      </c>
      <c r="X16" s="203" t="s">
        <v>36</v>
      </c>
      <c r="Y16" s="203" t="s">
        <v>36</v>
      </c>
      <c r="Z16" s="203" t="s">
        <v>36</v>
      </c>
      <c r="AA16" s="208" t="s">
        <v>36</v>
      </c>
      <c r="AB16" s="208" t="s">
        <v>36</v>
      </c>
      <c r="AC16" s="208" t="s">
        <v>36</v>
      </c>
      <c r="AD16" s="208" t="s">
        <v>36</v>
      </c>
      <c r="AE16" s="153" t="s">
        <v>36</v>
      </c>
      <c r="AF16" s="91" t="s">
        <v>20</v>
      </c>
    </row>
    <row r="17" spans="1:32" ht="12.75" customHeight="1">
      <c r="A17" s="15"/>
      <c r="B17" s="17" t="s">
        <v>25</v>
      </c>
      <c r="C17" s="107" t="s">
        <v>36</v>
      </c>
      <c r="D17" s="107" t="s">
        <v>36</v>
      </c>
      <c r="E17" s="213" t="s">
        <v>36</v>
      </c>
      <c r="F17" s="213" t="s">
        <v>36</v>
      </c>
      <c r="G17" s="213" t="s">
        <v>36</v>
      </c>
      <c r="H17" s="213" t="s">
        <v>36</v>
      </c>
      <c r="I17" s="213" t="s">
        <v>36</v>
      </c>
      <c r="J17" s="213" t="s">
        <v>36</v>
      </c>
      <c r="K17" s="213" t="s">
        <v>36</v>
      </c>
      <c r="L17" s="213" t="s">
        <v>36</v>
      </c>
      <c r="M17" s="213" t="s">
        <v>36</v>
      </c>
      <c r="N17" s="213" t="s">
        <v>36</v>
      </c>
      <c r="O17" s="213" t="s">
        <v>36</v>
      </c>
      <c r="P17" s="213" t="s">
        <v>36</v>
      </c>
      <c r="Q17" s="213" t="s">
        <v>36</v>
      </c>
      <c r="R17" s="213" t="s">
        <v>36</v>
      </c>
      <c r="S17" s="213" t="s">
        <v>36</v>
      </c>
      <c r="T17" s="213" t="s">
        <v>36</v>
      </c>
      <c r="U17" s="213" t="s">
        <v>36</v>
      </c>
      <c r="V17" s="213" t="s">
        <v>36</v>
      </c>
      <c r="W17" s="213" t="s">
        <v>36</v>
      </c>
      <c r="X17" s="213" t="s">
        <v>36</v>
      </c>
      <c r="Y17" s="213" t="s">
        <v>36</v>
      </c>
      <c r="Z17" s="213" t="s">
        <v>36</v>
      </c>
      <c r="AA17" s="200" t="s">
        <v>36</v>
      </c>
      <c r="AB17" s="200" t="s">
        <v>36</v>
      </c>
      <c r="AC17" s="200" t="s">
        <v>36</v>
      </c>
      <c r="AD17" s="200" t="s">
        <v>36</v>
      </c>
      <c r="AE17" s="151" t="s">
        <v>36</v>
      </c>
      <c r="AF17" s="17" t="s">
        <v>25</v>
      </c>
    </row>
    <row r="18" spans="1:32" ht="12.75" customHeight="1">
      <c r="A18" s="15"/>
      <c r="B18" s="91" t="s">
        <v>26</v>
      </c>
      <c r="C18" s="116">
        <v>12.229</v>
      </c>
      <c r="D18" s="113">
        <v>10.869</v>
      </c>
      <c r="E18" s="203">
        <v>7.581033087</v>
      </c>
      <c r="F18" s="203">
        <v>8.346546523</v>
      </c>
      <c r="G18" s="203">
        <v>8.631432177</v>
      </c>
      <c r="H18" s="203">
        <v>7.684228969</v>
      </c>
      <c r="I18" s="203">
        <v>7.235301561</v>
      </c>
      <c r="J18" s="203">
        <v>6.63</v>
      </c>
      <c r="K18" s="203">
        <v>6.027</v>
      </c>
      <c r="L18" s="203">
        <v>7.058</v>
      </c>
      <c r="M18" s="203">
        <v>7.936</v>
      </c>
      <c r="N18" s="203">
        <v>8.478</v>
      </c>
      <c r="O18" s="203">
        <v>9.11</v>
      </c>
      <c r="P18" s="203">
        <v>8.294</v>
      </c>
      <c r="Q18" s="203">
        <v>8.269</v>
      </c>
      <c r="R18" s="203">
        <v>8.024</v>
      </c>
      <c r="S18" s="203">
        <v>8.416</v>
      </c>
      <c r="T18" s="203">
        <v>8.905</v>
      </c>
      <c r="U18" s="203">
        <v>9.005</v>
      </c>
      <c r="V18" s="203">
        <v>9.208</v>
      </c>
      <c r="W18" s="203">
        <v>8.91</v>
      </c>
      <c r="X18" s="203">
        <v>8.711</v>
      </c>
      <c r="Y18" s="203">
        <v>9.474</v>
      </c>
      <c r="Z18" s="203">
        <v>9.035</v>
      </c>
      <c r="AA18" s="203">
        <v>8.916</v>
      </c>
      <c r="AB18" s="203">
        <v>9.213</v>
      </c>
      <c r="AC18" s="203">
        <v>8.803</v>
      </c>
      <c r="AD18" s="203">
        <v>8.516</v>
      </c>
      <c r="AE18" s="153">
        <f t="shared" si="2"/>
        <v>-3.2602521867545136</v>
      </c>
      <c r="AF18" s="91" t="s">
        <v>26</v>
      </c>
    </row>
    <row r="19" spans="1:32" ht="12.75" customHeight="1">
      <c r="A19" s="15"/>
      <c r="B19" s="268" t="s">
        <v>37</v>
      </c>
      <c r="C19" s="269">
        <v>0.3</v>
      </c>
      <c r="D19" s="269">
        <v>0.6</v>
      </c>
      <c r="E19" s="270">
        <v>0.5</v>
      </c>
      <c r="F19" s="270" t="s">
        <v>35</v>
      </c>
      <c r="G19" s="270" t="s">
        <v>35</v>
      </c>
      <c r="H19" s="270" t="s">
        <v>35</v>
      </c>
      <c r="I19" s="270" t="s">
        <v>35</v>
      </c>
      <c r="J19" s="270">
        <v>0.033</v>
      </c>
      <c r="K19" s="270">
        <v>0.022</v>
      </c>
      <c r="L19" s="270">
        <v>0.022</v>
      </c>
      <c r="M19" s="270">
        <v>0.053</v>
      </c>
      <c r="N19" s="270">
        <v>0.052</v>
      </c>
      <c r="O19" s="270">
        <v>0.063536</v>
      </c>
      <c r="P19" s="270">
        <v>0.077484</v>
      </c>
      <c r="Q19" s="270">
        <v>0.089745</v>
      </c>
      <c r="R19" s="270">
        <v>0.1001</v>
      </c>
      <c r="S19" s="270">
        <v>0.1787</v>
      </c>
      <c r="T19" s="270">
        <v>0.1186</v>
      </c>
      <c r="U19" s="270">
        <v>0.1164</v>
      </c>
      <c r="V19" s="271">
        <v>0.109</v>
      </c>
      <c r="W19" s="270">
        <v>0.842</v>
      </c>
      <c r="X19" s="270">
        <v>0.727</v>
      </c>
      <c r="Y19" s="270">
        <v>0.94</v>
      </c>
      <c r="Z19" s="270">
        <v>0.692</v>
      </c>
      <c r="AA19" s="270">
        <v>0.772</v>
      </c>
      <c r="AB19" s="270">
        <v>0.771</v>
      </c>
      <c r="AC19" s="270">
        <v>0.716</v>
      </c>
      <c r="AD19" s="270">
        <v>0.879</v>
      </c>
      <c r="AE19" s="336">
        <f t="shared" si="2"/>
        <v>22.76536312849163</v>
      </c>
      <c r="AF19" s="268" t="s">
        <v>37</v>
      </c>
    </row>
    <row r="20" spans="1:32" ht="12.75" customHeight="1">
      <c r="A20" s="15"/>
      <c r="B20" s="91" t="s">
        <v>28</v>
      </c>
      <c r="C20" s="116">
        <v>0.35</v>
      </c>
      <c r="D20" s="116">
        <v>0.203</v>
      </c>
      <c r="E20" s="203">
        <v>0.118</v>
      </c>
      <c r="F20" s="203">
        <v>0.09</v>
      </c>
      <c r="G20" s="203">
        <v>0.07</v>
      </c>
      <c r="H20" s="203">
        <v>0.097</v>
      </c>
      <c r="I20" s="203">
        <v>0.108</v>
      </c>
      <c r="J20" s="203">
        <v>0.135308</v>
      </c>
      <c r="K20" s="203">
        <v>0.125092</v>
      </c>
      <c r="L20" s="203">
        <v>0.201427</v>
      </c>
      <c r="M20" s="203">
        <v>0.126141</v>
      </c>
      <c r="N20" s="203">
        <v>0.177299</v>
      </c>
      <c r="O20" s="203">
        <v>0.169566</v>
      </c>
      <c r="P20" s="203">
        <v>0.161024</v>
      </c>
      <c r="Q20" s="203">
        <v>0.090063</v>
      </c>
      <c r="R20" s="203">
        <v>0.09082</v>
      </c>
      <c r="S20" s="203">
        <v>0.10983</v>
      </c>
      <c r="T20" s="203">
        <v>0.08875</v>
      </c>
      <c r="U20" s="203">
        <v>0.075974</v>
      </c>
      <c r="V20" s="203">
        <v>0.093</v>
      </c>
      <c r="W20" s="203">
        <v>0.064</v>
      </c>
      <c r="X20" s="203">
        <v>0.054</v>
      </c>
      <c r="Y20" s="203">
        <v>0.108</v>
      </c>
      <c r="Z20" s="203">
        <v>0.144</v>
      </c>
      <c r="AA20" s="208">
        <v>0.081</v>
      </c>
      <c r="AB20" s="208">
        <v>0.089</v>
      </c>
      <c r="AC20" s="208">
        <v>0.064</v>
      </c>
      <c r="AD20" s="261">
        <v>0.062</v>
      </c>
      <c r="AE20" s="120">
        <f t="shared" si="2"/>
        <v>-3.125</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0.05</v>
      </c>
      <c r="D22" s="202">
        <v>0.09</v>
      </c>
      <c r="E22" s="202" t="s">
        <v>36</v>
      </c>
      <c r="F22" s="203" t="s">
        <v>36</v>
      </c>
      <c r="G22" s="203" t="s">
        <v>36</v>
      </c>
      <c r="H22" s="203" t="s">
        <v>36</v>
      </c>
      <c r="I22" s="203" t="s">
        <v>36</v>
      </c>
      <c r="J22" s="203" t="s">
        <v>36</v>
      </c>
      <c r="K22" s="203" t="s">
        <v>36</v>
      </c>
      <c r="L22" s="203" t="s">
        <v>36</v>
      </c>
      <c r="M22" s="203" t="s">
        <v>36</v>
      </c>
      <c r="N22" s="203" t="s">
        <v>36</v>
      </c>
      <c r="O22" s="203" t="s">
        <v>36</v>
      </c>
      <c r="P22" s="203" t="s">
        <v>36</v>
      </c>
      <c r="Q22" s="203" t="s">
        <v>36</v>
      </c>
      <c r="R22" s="203" t="s">
        <v>36</v>
      </c>
      <c r="S22" s="203" t="s">
        <v>36</v>
      </c>
      <c r="T22" s="203" t="s">
        <v>36</v>
      </c>
      <c r="U22" s="203" t="s">
        <v>36</v>
      </c>
      <c r="V22" s="203" t="s">
        <v>36</v>
      </c>
      <c r="W22" s="203" t="s">
        <v>36</v>
      </c>
      <c r="X22" s="203" t="s">
        <v>36</v>
      </c>
      <c r="Y22" s="203" t="s">
        <v>36</v>
      </c>
      <c r="Z22" s="203" t="s">
        <v>36</v>
      </c>
      <c r="AA22" s="203" t="s">
        <v>36</v>
      </c>
      <c r="AB22" s="208" t="s">
        <v>36</v>
      </c>
      <c r="AC22" s="208" t="s">
        <v>36</v>
      </c>
      <c r="AD22" s="261" t="s">
        <v>36</v>
      </c>
      <c r="AE22" s="153" t="s">
        <v>36</v>
      </c>
      <c r="AF22" s="91" t="s">
        <v>11</v>
      </c>
    </row>
    <row r="23" spans="1:32" ht="12.75" customHeight="1">
      <c r="A23" s="15"/>
      <c r="B23" s="17" t="s">
        <v>12</v>
      </c>
      <c r="C23" s="144">
        <v>0.12</v>
      </c>
      <c r="D23" s="144">
        <v>0.15</v>
      </c>
      <c r="E23" s="144">
        <v>0.164</v>
      </c>
      <c r="F23" s="59">
        <v>0.141</v>
      </c>
      <c r="G23" s="59">
        <v>0.045</v>
      </c>
      <c r="H23" s="59">
        <v>0.05</v>
      </c>
      <c r="I23" s="59">
        <v>0.03</v>
      </c>
      <c r="J23" s="59">
        <v>0.018</v>
      </c>
      <c r="K23" s="59">
        <v>0.007</v>
      </c>
      <c r="L23" s="59">
        <v>0.009</v>
      </c>
      <c r="M23" s="59">
        <v>0.014</v>
      </c>
      <c r="N23" s="59">
        <v>0.003</v>
      </c>
      <c r="O23" s="59">
        <v>0.0014835999999999998</v>
      </c>
      <c r="P23" s="59">
        <v>0.0005356000000000001</v>
      </c>
      <c r="Q23" s="59">
        <v>0.000515</v>
      </c>
      <c r="R23" s="59">
        <v>0.0006651999999999999</v>
      </c>
      <c r="S23" s="59">
        <v>0.000621</v>
      </c>
      <c r="T23" s="59">
        <v>0.0013244</v>
      </c>
      <c r="U23" s="59">
        <v>0.0017951</v>
      </c>
      <c r="V23" s="59">
        <v>0.01</v>
      </c>
      <c r="W23" s="59">
        <v>0.012</v>
      </c>
      <c r="X23" s="59">
        <v>0.003</v>
      </c>
      <c r="Y23" s="59">
        <v>0.003</v>
      </c>
      <c r="Z23" s="59">
        <v>0.003</v>
      </c>
      <c r="AA23" s="59">
        <v>0.001</v>
      </c>
      <c r="AB23" s="59">
        <v>0</v>
      </c>
      <c r="AC23" s="59">
        <v>0</v>
      </c>
      <c r="AD23" s="215">
        <v>0</v>
      </c>
      <c r="AE23" s="152" t="s">
        <v>36</v>
      </c>
      <c r="AF23" s="17" t="s">
        <v>12</v>
      </c>
    </row>
    <row r="24" spans="1:32" ht="12.75" customHeight="1">
      <c r="A24" s="15"/>
      <c r="B24" s="91" t="s">
        <v>29</v>
      </c>
      <c r="C24" s="202">
        <v>0.302</v>
      </c>
      <c r="D24" s="202">
        <v>0.331</v>
      </c>
      <c r="E24" s="202">
        <v>0.362297836</v>
      </c>
      <c r="F24" s="203">
        <v>0.340424046</v>
      </c>
      <c r="G24" s="203">
        <v>0.338</v>
      </c>
      <c r="H24" s="203">
        <v>0.323</v>
      </c>
      <c r="I24" s="203">
        <v>0.317</v>
      </c>
      <c r="J24" s="203">
        <v>0.338</v>
      </c>
      <c r="K24" s="203">
        <v>0.321</v>
      </c>
      <c r="L24" s="203">
        <v>0.356</v>
      </c>
      <c r="M24" s="203">
        <v>0.369</v>
      </c>
      <c r="N24" s="203">
        <v>0.351</v>
      </c>
      <c r="O24" s="203">
        <v>0.378</v>
      </c>
      <c r="P24" s="203">
        <v>0.371</v>
      </c>
      <c r="Q24" s="203">
        <v>0.37</v>
      </c>
      <c r="R24" s="203">
        <v>0.316</v>
      </c>
      <c r="S24" s="203">
        <v>0.37</v>
      </c>
      <c r="T24" s="203">
        <v>0.342</v>
      </c>
      <c r="U24" s="203">
        <v>0.381</v>
      </c>
      <c r="V24" s="203">
        <v>0.345</v>
      </c>
      <c r="W24" s="203">
        <v>0.367</v>
      </c>
      <c r="X24" s="203">
        <v>0.279</v>
      </c>
      <c r="Y24" s="203">
        <v>0.359</v>
      </c>
      <c r="Z24" s="203">
        <v>0.305</v>
      </c>
      <c r="AA24" s="203">
        <v>0.29</v>
      </c>
      <c r="AB24" s="203">
        <v>0.313</v>
      </c>
      <c r="AC24" s="203">
        <v>0.285</v>
      </c>
      <c r="AD24" s="204">
        <v>0.235</v>
      </c>
      <c r="AE24" s="153">
        <f t="shared" si="2"/>
        <v>-17.54385964912281</v>
      </c>
      <c r="AF24" s="91" t="s">
        <v>29</v>
      </c>
    </row>
    <row r="25" spans="1:32" ht="12.75" customHeight="1">
      <c r="A25" s="15"/>
      <c r="B25" s="17" t="s">
        <v>10</v>
      </c>
      <c r="C25" s="205">
        <v>1.76</v>
      </c>
      <c r="D25" s="205">
        <v>2.15</v>
      </c>
      <c r="E25" s="205">
        <v>2.04</v>
      </c>
      <c r="F25" s="206">
        <v>1.72</v>
      </c>
      <c r="G25" s="206">
        <v>1.6</v>
      </c>
      <c r="H25" s="206">
        <v>1.62</v>
      </c>
      <c r="I25" s="206">
        <v>1.35</v>
      </c>
      <c r="J25" s="206">
        <v>1.211</v>
      </c>
      <c r="K25" s="206">
        <v>1.397</v>
      </c>
      <c r="L25" s="206">
        <v>1.441</v>
      </c>
      <c r="M25" s="206">
        <v>1.56</v>
      </c>
      <c r="N25" s="206">
        <v>0.958</v>
      </c>
      <c r="O25" s="206">
        <v>0.891</v>
      </c>
      <c r="P25" s="206">
        <v>1.087</v>
      </c>
      <c r="Q25" s="206">
        <v>1.407</v>
      </c>
      <c r="R25" s="206">
        <v>1.517</v>
      </c>
      <c r="S25" s="206">
        <v>1.904</v>
      </c>
      <c r="T25" s="206">
        <v>2.11</v>
      </c>
      <c r="U25" s="206">
        <v>1.913</v>
      </c>
      <c r="V25" s="206">
        <v>2.212</v>
      </c>
      <c r="W25" s="206">
        <v>2.25</v>
      </c>
      <c r="X25" s="206">
        <v>1.831</v>
      </c>
      <c r="Y25" s="206">
        <v>2.393</v>
      </c>
      <c r="Z25" s="206">
        <v>1.84</v>
      </c>
      <c r="AA25" s="206">
        <v>1.982</v>
      </c>
      <c r="AB25" s="206">
        <v>1.924</v>
      </c>
      <c r="AC25" s="206">
        <v>1.811</v>
      </c>
      <c r="AD25" s="236">
        <v>1.824</v>
      </c>
      <c r="AE25" s="152">
        <f t="shared" si="2"/>
        <v>0.7178354500276214</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30.618</v>
      </c>
      <c r="D27" s="144">
        <v>33.479</v>
      </c>
      <c r="E27" s="144">
        <v>35.661</v>
      </c>
      <c r="F27" s="59">
        <v>34.755</v>
      </c>
      <c r="G27" s="59">
        <v>33.53</v>
      </c>
      <c r="H27" s="59">
        <v>32.058</v>
      </c>
      <c r="I27" s="59">
        <v>36.011</v>
      </c>
      <c r="J27" s="59">
        <v>35.457</v>
      </c>
      <c r="K27" s="59">
        <v>35.513</v>
      </c>
      <c r="L27" s="59">
        <v>40.986</v>
      </c>
      <c r="M27" s="59">
        <v>40.683</v>
      </c>
      <c r="N27" s="59">
        <v>41.428</v>
      </c>
      <c r="O27" s="59">
        <v>41.271</v>
      </c>
      <c r="P27" s="59">
        <v>41.793</v>
      </c>
      <c r="Q27" s="59">
        <v>40.983</v>
      </c>
      <c r="R27" s="59">
        <v>39.031</v>
      </c>
      <c r="S27" s="59">
        <v>43.049</v>
      </c>
      <c r="T27" s="59">
        <v>42.233</v>
      </c>
      <c r="U27" s="59">
        <v>42.215</v>
      </c>
      <c r="V27" s="59">
        <v>46.486</v>
      </c>
      <c r="W27" s="59">
        <v>46.234</v>
      </c>
      <c r="X27" s="59">
        <v>37.863</v>
      </c>
      <c r="Y27" s="59">
        <v>46.562</v>
      </c>
      <c r="Z27" s="59">
        <v>46.462</v>
      </c>
      <c r="AA27" s="206">
        <v>47.533</v>
      </c>
      <c r="AB27" s="206">
        <v>48.627</v>
      </c>
      <c r="AC27" s="206">
        <v>49.295</v>
      </c>
      <c r="AD27" s="236">
        <v>48.535</v>
      </c>
      <c r="AE27" s="152">
        <f t="shared" si="2"/>
        <v>-1.541738513033792</v>
      </c>
      <c r="AF27" s="17" t="s">
        <v>21</v>
      </c>
    </row>
    <row r="28" spans="1:32" ht="12.75" customHeight="1">
      <c r="A28" s="15"/>
      <c r="B28" s="91" t="s">
        <v>30</v>
      </c>
      <c r="C28" s="202">
        <v>1.293</v>
      </c>
      <c r="D28" s="202">
        <v>1.557</v>
      </c>
      <c r="E28" s="202">
        <v>1.663</v>
      </c>
      <c r="F28" s="203">
        <v>1.48</v>
      </c>
      <c r="G28" s="203">
        <v>1.437</v>
      </c>
      <c r="H28" s="203">
        <v>1.454</v>
      </c>
      <c r="I28" s="203">
        <v>1.82</v>
      </c>
      <c r="J28" s="203">
        <v>2.046</v>
      </c>
      <c r="K28" s="203">
        <v>2.101</v>
      </c>
      <c r="L28" s="203">
        <v>2.087</v>
      </c>
      <c r="M28" s="203">
        <v>2.28</v>
      </c>
      <c r="N28" s="203">
        <v>2.231</v>
      </c>
      <c r="O28" s="211">
        <v>2.444</v>
      </c>
      <c r="P28" s="211">
        <v>2.557</v>
      </c>
      <c r="Q28" s="211">
        <v>2.846</v>
      </c>
      <c r="R28" s="211">
        <v>2.276</v>
      </c>
      <c r="S28" s="203">
        <v>1.747</v>
      </c>
      <c r="T28" s="203">
        <v>1.753</v>
      </c>
      <c r="U28" s="203">
        <v>1.837</v>
      </c>
      <c r="V28" s="203">
        <v>2.597</v>
      </c>
      <c r="W28" s="203">
        <v>2.359</v>
      </c>
      <c r="X28" s="203">
        <v>2.003</v>
      </c>
      <c r="Y28" s="203">
        <v>2.375</v>
      </c>
      <c r="Z28" s="203">
        <v>2.123</v>
      </c>
      <c r="AA28" s="208">
        <v>2.191</v>
      </c>
      <c r="AB28" s="208">
        <v>2.353</v>
      </c>
      <c r="AC28" s="208">
        <v>2.177</v>
      </c>
      <c r="AD28" s="261">
        <v>1.806</v>
      </c>
      <c r="AE28" s="153">
        <f t="shared" si="2"/>
        <v>-17.041800643086816</v>
      </c>
      <c r="AF28" s="91" t="s">
        <v>30</v>
      </c>
    </row>
    <row r="29" spans="1:32" ht="12.75" customHeight="1">
      <c r="A29" s="15"/>
      <c r="B29" s="268" t="s">
        <v>14</v>
      </c>
      <c r="C29" s="269">
        <v>2.3</v>
      </c>
      <c r="D29" s="269">
        <v>2.33</v>
      </c>
      <c r="E29" s="270">
        <v>1.034</v>
      </c>
      <c r="F29" s="270">
        <v>0.74</v>
      </c>
      <c r="G29" s="270">
        <v>0.75</v>
      </c>
      <c r="H29" s="270">
        <v>0.66</v>
      </c>
      <c r="I29" s="270">
        <v>0.79</v>
      </c>
      <c r="J29" s="270">
        <v>0.88</v>
      </c>
      <c r="K29" s="270">
        <v>0.85</v>
      </c>
      <c r="L29" s="270">
        <v>0.93</v>
      </c>
      <c r="M29" s="270">
        <v>1.1</v>
      </c>
      <c r="N29" s="270">
        <v>1.028</v>
      </c>
      <c r="O29" s="270">
        <v>1.173</v>
      </c>
      <c r="P29" s="270">
        <v>1.264</v>
      </c>
      <c r="Q29" s="270">
        <v>1.126</v>
      </c>
      <c r="R29" s="271">
        <v>0.872</v>
      </c>
      <c r="S29" s="270">
        <v>0.37</v>
      </c>
      <c r="T29" s="270">
        <v>0.327</v>
      </c>
      <c r="U29" s="270">
        <v>0.289</v>
      </c>
      <c r="V29" s="270">
        <v>0.277</v>
      </c>
      <c r="W29" s="270">
        <v>0.277</v>
      </c>
      <c r="X29" s="270">
        <v>0.202</v>
      </c>
      <c r="Y29" s="270">
        <v>0.13</v>
      </c>
      <c r="Z29" s="270">
        <v>0.161</v>
      </c>
      <c r="AA29" s="270">
        <v>0.131</v>
      </c>
      <c r="AB29" s="270">
        <v>0.091</v>
      </c>
      <c r="AC29" s="270">
        <v>0.11</v>
      </c>
      <c r="AD29" s="330">
        <v>0.088</v>
      </c>
      <c r="AE29" s="336">
        <f t="shared" si="2"/>
        <v>-20</v>
      </c>
      <c r="AF29" s="268" t="s">
        <v>14</v>
      </c>
    </row>
    <row r="30" spans="1:32" ht="12.75" customHeight="1">
      <c r="A30" s="15"/>
      <c r="B30" s="58" t="s">
        <v>31</v>
      </c>
      <c r="C30" s="210" t="s">
        <v>36</v>
      </c>
      <c r="D30" s="210" t="s">
        <v>36</v>
      </c>
      <c r="E30" s="210" t="s">
        <v>36</v>
      </c>
      <c r="F30" s="211" t="s">
        <v>36</v>
      </c>
      <c r="G30" s="211" t="s">
        <v>36</v>
      </c>
      <c r="H30" s="211" t="s">
        <v>36</v>
      </c>
      <c r="I30" s="211" t="s">
        <v>36</v>
      </c>
      <c r="J30" s="211" t="s">
        <v>36</v>
      </c>
      <c r="K30" s="211" t="s">
        <v>36</v>
      </c>
      <c r="L30" s="211" t="s">
        <v>36</v>
      </c>
      <c r="M30" s="211" t="s">
        <v>36</v>
      </c>
      <c r="N30" s="211" t="s">
        <v>36</v>
      </c>
      <c r="O30" s="211" t="s">
        <v>36</v>
      </c>
      <c r="P30" s="211" t="s">
        <v>36</v>
      </c>
      <c r="Q30" s="211" t="s">
        <v>36</v>
      </c>
      <c r="R30" s="211" t="s">
        <v>36</v>
      </c>
      <c r="S30" s="211" t="s">
        <v>36</v>
      </c>
      <c r="T30" s="211" t="s">
        <v>36</v>
      </c>
      <c r="U30" s="211" t="s">
        <v>36</v>
      </c>
      <c r="V30" s="211" t="s">
        <v>36</v>
      </c>
      <c r="W30" s="211" t="s">
        <v>36</v>
      </c>
      <c r="X30" s="211" t="s">
        <v>36</v>
      </c>
      <c r="Y30" s="211" t="s">
        <v>36</v>
      </c>
      <c r="Z30" s="211" t="s">
        <v>36</v>
      </c>
      <c r="AA30" s="211" t="s">
        <v>36</v>
      </c>
      <c r="AB30" s="211" t="s">
        <v>36</v>
      </c>
      <c r="AC30" s="211" t="s">
        <v>36</v>
      </c>
      <c r="AD30" s="249" t="s">
        <v>36</v>
      </c>
      <c r="AE30" s="244" t="s">
        <v>36</v>
      </c>
      <c r="AF30" s="58" t="s">
        <v>31</v>
      </c>
    </row>
    <row r="31" spans="1:32" ht="12.75" customHeight="1">
      <c r="A31" s="15"/>
      <c r="B31" s="268" t="s">
        <v>15</v>
      </c>
      <c r="C31" s="269">
        <v>1.35</v>
      </c>
      <c r="D31" s="269">
        <v>2.35</v>
      </c>
      <c r="E31" s="270">
        <v>2.09</v>
      </c>
      <c r="F31" s="270">
        <v>2.03</v>
      </c>
      <c r="G31" s="270">
        <v>1.89</v>
      </c>
      <c r="H31" s="270">
        <v>1.59</v>
      </c>
      <c r="I31" s="270">
        <v>1.9</v>
      </c>
      <c r="J31" s="270">
        <v>3.11</v>
      </c>
      <c r="K31" s="270">
        <v>3.77</v>
      </c>
      <c r="L31" s="270">
        <v>4.33</v>
      </c>
      <c r="M31" s="270">
        <v>4.203</v>
      </c>
      <c r="N31" s="270">
        <v>2.802</v>
      </c>
      <c r="O31" s="271">
        <v>2.634</v>
      </c>
      <c r="P31" s="270">
        <v>2.746</v>
      </c>
      <c r="Q31" s="270">
        <v>3.641</v>
      </c>
      <c r="R31" s="271">
        <v>3.521</v>
      </c>
      <c r="S31" s="270">
        <v>6.955</v>
      </c>
      <c r="T31" s="270">
        <v>8.435</v>
      </c>
      <c r="U31" s="270">
        <v>8.157</v>
      </c>
      <c r="V31" s="270">
        <v>8.195</v>
      </c>
      <c r="W31" s="271">
        <v>8.687</v>
      </c>
      <c r="X31" s="270">
        <v>11.765</v>
      </c>
      <c r="Y31" s="270">
        <v>14.317</v>
      </c>
      <c r="Z31" s="270">
        <v>11.409</v>
      </c>
      <c r="AA31" s="270">
        <v>12.52</v>
      </c>
      <c r="AB31" s="270">
        <v>12.242</v>
      </c>
      <c r="AC31" s="270">
        <v>11.76</v>
      </c>
      <c r="AD31" s="330">
        <v>13.168</v>
      </c>
      <c r="AE31" s="337">
        <f t="shared" si="2"/>
        <v>11.97278911564625</v>
      </c>
      <c r="AF31" s="268" t="s">
        <v>15</v>
      </c>
    </row>
    <row r="32" spans="1:32"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44" t="s">
        <v>36</v>
      </c>
      <c r="AF32" s="58" t="s">
        <v>17</v>
      </c>
    </row>
    <row r="33" spans="1:32" ht="12.75" customHeight="1">
      <c r="A33" s="15"/>
      <c r="B33" s="268" t="s">
        <v>16</v>
      </c>
      <c r="C33" s="269"/>
      <c r="D33" s="269"/>
      <c r="E33" s="270"/>
      <c r="F33" s="270"/>
      <c r="G33" s="270"/>
      <c r="H33" s="270"/>
      <c r="I33" s="270">
        <v>0.8461</v>
      </c>
      <c r="J33" s="270">
        <v>1.4682</v>
      </c>
      <c r="K33" s="270">
        <v>1.5979</v>
      </c>
      <c r="L33" s="270">
        <v>1.5193</v>
      </c>
      <c r="M33" s="270">
        <v>1.5269</v>
      </c>
      <c r="N33" s="270">
        <v>1.6626</v>
      </c>
      <c r="O33" s="270">
        <v>1.3793</v>
      </c>
      <c r="P33" s="270">
        <v>0.9952</v>
      </c>
      <c r="Q33" s="270">
        <v>0.5997</v>
      </c>
      <c r="R33" s="270">
        <v>0.5225</v>
      </c>
      <c r="S33" s="270">
        <v>0.741</v>
      </c>
      <c r="T33" s="270">
        <v>0.7403</v>
      </c>
      <c r="U33" s="270">
        <v>0.6488</v>
      </c>
      <c r="V33" s="270">
        <v>1.004</v>
      </c>
      <c r="W33" s="270">
        <v>1.101</v>
      </c>
      <c r="X33" s="270">
        <v>0.899</v>
      </c>
      <c r="Y33" s="270">
        <v>1.189</v>
      </c>
      <c r="Z33" s="270">
        <v>0.931</v>
      </c>
      <c r="AA33" s="270">
        <v>0.986</v>
      </c>
      <c r="AB33" s="270">
        <v>1.006</v>
      </c>
      <c r="AC33" s="270">
        <v>0.905</v>
      </c>
      <c r="AD33" s="330">
        <v>0.741</v>
      </c>
      <c r="AE33" s="336">
        <f t="shared" si="2"/>
        <v>-18.121546961325976</v>
      </c>
      <c r="AF33" s="268" t="s">
        <v>16</v>
      </c>
    </row>
    <row r="34" spans="1:32" ht="12.75" customHeight="1">
      <c r="A34" s="15"/>
      <c r="B34" s="91" t="s">
        <v>32</v>
      </c>
      <c r="C34" s="207">
        <v>2</v>
      </c>
      <c r="D34" s="207">
        <v>1.8</v>
      </c>
      <c r="E34" s="207">
        <v>1.1</v>
      </c>
      <c r="F34" s="208">
        <v>0.8</v>
      </c>
      <c r="G34" s="208">
        <v>0.5</v>
      </c>
      <c r="H34" s="208">
        <v>0.4</v>
      </c>
      <c r="I34" s="272">
        <v>0.3</v>
      </c>
      <c r="J34" s="208">
        <v>0.077</v>
      </c>
      <c r="K34" s="208">
        <v>0.1</v>
      </c>
      <c r="L34" s="208">
        <v>0.1</v>
      </c>
      <c r="M34" s="208">
        <v>0.118</v>
      </c>
      <c r="N34" s="208">
        <v>0.118</v>
      </c>
      <c r="O34" s="208">
        <v>0.118</v>
      </c>
      <c r="P34" s="208">
        <v>0.101</v>
      </c>
      <c r="Q34" s="208">
        <v>0.112</v>
      </c>
      <c r="R34" s="208">
        <v>0.109</v>
      </c>
      <c r="S34" s="208">
        <v>0.118</v>
      </c>
      <c r="T34" s="208">
        <v>0.075</v>
      </c>
      <c r="U34" s="208">
        <v>0.066</v>
      </c>
      <c r="V34" s="208">
        <v>0.102</v>
      </c>
      <c r="W34" s="208">
        <v>0.08</v>
      </c>
      <c r="X34" s="208">
        <v>0.061</v>
      </c>
      <c r="Y34" s="208">
        <v>0.076</v>
      </c>
      <c r="Z34" s="208">
        <v>0.09</v>
      </c>
      <c r="AA34" s="208">
        <v>0.124</v>
      </c>
      <c r="AB34" s="208">
        <v>0.121</v>
      </c>
      <c r="AC34" s="208">
        <v>0.136</v>
      </c>
      <c r="AD34" s="261">
        <v>0.13</v>
      </c>
      <c r="AE34" s="153">
        <f t="shared" si="2"/>
        <v>-4.411764705882362</v>
      </c>
      <c r="AF34" s="91" t="s">
        <v>32</v>
      </c>
    </row>
    <row r="35" spans="1:32"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336" t="s">
        <v>36</v>
      </c>
      <c r="AF35" s="268" t="s">
        <v>33</v>
      </c>
    </row>
    <row r="36" spans="1:32" ht="12.75" customHeight="1">
      <c r="A36" s="15"/>
      <c r="B36" s="276" t="s">
        <v>22</v>
      </c>
      <c r="C36" s="277">
        <v>0.3</v>
      </c>
      <c r="D36" s="277">
        <v>0.4</v>
      </c>
      <c r="E36" s="278">
        <v>0.3</v>
      </c>
      <c r="F36" s="278">
        <v>0.2</v>
      </c>
      <c r="G36" s="278">
        <v>0.19</v>
      </c>
      <c r="H36" s="278">
        <v>0.2</v>
      </c>
      <c r="I36" s="278">
        <v>0.2</v>
      </c>
      <c r="J36" s="278">
        <v>0.2</v>
      </c>
      <c r="K36" s="278">
        <v>0.18</v>
      </c>
      <c r="L36" s="278">
        <v>0.15</v>
      </c>
      <c r="M36" s="278">
        <v>0.15</v>
      </c>
      <c r="N36" s="278">
        <v>0.16</v>
      </c>
      <c r="O36" s="278">
        <v>0.21</v>
      </c>
      <c r="P36" s="278">
        <v>0.19</v>
      </c>
      <c r="Q36" s="278">
        <v>0.18</v>
      </c>
      <c r="R36" s="278">
        <v>0.18</v>
      </c>
      <c r="S36" s="278">
        <v>0.15</v>
      </c>
      <c r="T36" s="278">
        <v>0.17</v>
      </c>
      <c r="U36" s="332">
        <v>0.16</v>
      </c>
      <c r="V36" s="278">
        <v>0.162</v>
      </c>
      <c r="W36" s="278">
        <v>0.164</v>
      </c>
      <c r="X36" s="278">
        <v>0.133</v>
      </c>
      <c r="Y36" s="280">
        <v>0.156</v>
      </c>
      <c r="Z36" s="280">
        <v>0.144</v>
      </c>
      <c r="AA36" s="280">
        <v>0.165</v>
      </c>
      <c r="AB36" s="280">
        <v>0.211</v>
      </c>
      <c r="AC36" s="446">
        <v>0.169</v>
      </c>
      <c r="AD36" s="401">
        <v>0.166</v>
      </c>
      <c r="AE36" s="338">
        <f t="shared" si="2"/>
        <v>-1.7751479289940875</v>
      </c>
      <c r="AF36" s="276" t="s">
        <v>22</v>
      </c>
    </row>
    <row r="37" spans="1:32" ht="12.75" customHeight="1">
      <c r="A37" s="15"/>
      <c r="B37" s="294" t="s">
        <v>121</v>
      </c>
      <c r="C37" s="334" t="s">
        <v>36</v>
      </c>
      <c r="D37" s="334" t="s">
        <v>36</v>
      </c>
      <c r="E37" s="298" t="s">
        <v>36</v>
      </c>
      <c r="F37" s="298" t="s">
        <v>36</v>
      </c>
      <c r="G37" s="298" t="s">
        <v>36</v>
      </c>
      <c r="H37" s="298" t="s">
        <v>36</v>
      </c>
      <c r="I37" s="298" t="s">
        <v>36</v>
      </c>
      <c r="J37" s="298" t="s">
        <v>36</v>
      </c>
      <c r="K37" s="298" t="s">
        <v>36</v>
      </c>
      <c r="L37" s="298" t="s">
        <v>36</v>
      </c>
      <c r="M37" s="298" t="s">
        <v>36</v>
      </c>
      <c r="N37" s="298" t="s">
        <v>36</v>
      </c>
      <c r="O37" s="298" t="s">
        <v>36</v>
      </c>
      <c r="P37" s="298" t="s">
        <v>36</v>
      </c>
      <c r="Q37" s="298" t="s">
        <v>36</v>
      </c>
      <c r="R37" s="298" t="s">
        <v>36</v>
      </c>
      <c r="S37" s="298" t="s">
        <v>36</v>
      </c>
      <c r="T37" s="298" t="s">
        <v>36</v>
      </c>
      <c r="U37" s="298" t="s">
        <v>36</v>
      </c>
      <c r="V37" s="298" t="s">
        <v>36</v>
      </c>
      <c r="W37" s="298" t="s">
        <v>36</v>
      </c>
      <c r="X37" s="298" t="s">
        <v>36</v>
      </c>
      <c r="Y37" s="298" t="s">
        <v>36</v>
      </c>
      <c r="Z37" s="298" t="s">
        <v>36</v>
      </c>
      <c r="AA37" s="298" t="s">
        <v>36</v>
      </c>
      <c r="AB37" s="298" t="s">
        <v>36</v>
      </c>
      <c r="AC37" s="298" t="s">
        <v>36</v>
      </c>
      <c r="AD37" s="298" t="s">
        <v>36</v>
      </c>
      <c r="AE37" s="350" t="s">
        <v>36</v>
      </c>
      <c r="AF37" s="294" t="s">
        <v>121</v>
      </c>
    </row>
    <row r="38" spans="1:32" ht="12.75" customHeight="1">
      <c r="A38" s="15"/>
      <c r="B38" s="17" t="s">
        <v>112</v>
      </c>
      <c r="C38" s="333" t="s">
        <v>36</v>
      </c>
      <c r="D38" s="333" t="s">
        <v>36</v>
      </c>
      <c r="E38" s="206" t="s">
        <v>36</v>
      </c>
      <c r="F38" s="206" t="s">
        <v>36</v>
      </c>
      <c r="G38" s="206" t="s">
        <v>36</v>
      </c>
      <c r="H38" s="206" t="s">
        <v>36</v>
      </c>
      <c r="I38" s="206" t="s">
        <v>36</v>
      </c>
      <c r="J38" s="206" t="s">
        <v>36</v>
      </c>
      <c r="K38" s="59"/>
      <c r="L38" s="59"/>
      <c r="M38" s="59"/>
      <c r="N38" s="59"/>
      <c r="O38" s="206" t="s">
        <v>36</v>
      </c>
      <c r="P38" s="206" t="s">
        <v>36</v>
      </c>
      <c r="Q38" s="206" t="s">
        <v>36</v>
      </c>
      <c r="R38" s="206" t="s">
        <v>36</v>
      </c>
      <c r="S38" s="206" t="s">
        <v>36</v>
      </c>
      <c r="T38" s="206" t="s">
        <v>36</v>
      </c>
      <c r="U38" s="206" t="s">
        <v>36</v>
      </c>
      <c r="V38" s="206" t="s">
        <v>36</v>
      </c>
      <c r="W38" s="206" t="s">
        <v>36</v>
      </c>
      <c r="X38" s="206" t="s">
        <v>36</v>
      </c>
      <c r="Y38" s="206" t="s">
        <v>36</v>
      </c>
      <c r="Z38" s="206" t="s">
        <v>36</v>
      </c>
      <c r="AA38" s="206" t="s">
        <v>36</v>
      </c>
      <c r="AB38" s="206" t="s">
        <v>36</v>
      </c>
      <c r="AC38" s="206" t="s">
        <v>36</v>
      </c>
      <c r="AD38" s="206" t="s">
        <v>36</v>
      </c>
      <c r="AE38" s="151" t="s">
        <v>36</v>
      </c>
      <c r="AF38" s="17" t="s">
        <v>112</v>
      </c>
    </row>
    <row r="39" spans="1:32" ht="12.75" customHeight="1">
      <c r="A39" s="15"/>
      <c r="B39" s="91" t="s">
        <v>3</v>
      </c>
      <c r="C39" s="116" t="s">
        <v>36</v>
      </c>
      <c r="D39" s="116" t="s">
        <v>36</v>
      </c>
      <c r="E39" s="203" t="s">
        <v>36</v>
      </c>
      <c r="F39" s="203" t="s">
        <v>36</v>
      </c>
      <c r="G39" s="203" t="s">
        <v>36</v>
      </c>
      <c r="H39" s="203" t="s">
        <v>36</v>
      </c>
      <c r="I39" s="203" t="s">
        <v>36</v>
      </c>
      <c r="J39" s="203" t="s">
        <v>36</v>
      </c>
      <c r="K39" s="203" t="s">
        <v>36</v>
      </c>
      <c r="L39" s="203" t="s">
        <v>36</v>
      </c>
      <c r="M39" s="203" t="s">
        <v>36</v>
      </c>
      <c r="N39" s="203" t="s">
        <v>36</v>
      </c>
      <c r="O39" s="203" t="s">
        <v>36</v>
      </c>
      <c r="P39" s="203" t="s">
        <v>36</v>
      </c>
      <c r="Q39" s="203" t="s">
        <v>36</v>
      </c>
      <c r="R39" s="203" t="s">
        <v>36</v>
      </c>
      <c r="S39" s="203" t="s">
        <v>36</v>
      </c>
      <c r="T39" s="203" t="s">
        <v>36</v>
      </c>
      <c r="U39" s="203" t="s">
        <v>36</v>
      </c>
      <c r="V39" s="203" t="s">
        <v>36</v>
      </c>
      <c r="W39" s="203" t="s">
        <v>36</v>
      </c>
      <c r="X39" s="203" t="s">
        <v>36</v>
      </c>
      <c r="Y39" s="203" t="s">
        <v>36</v>
      </c>
      <c r="Z39" s="203" t="s">
        <v>36</v>
      </c>
      <c r="AA39" s="208" t="s">
        <v>36</v>
      </c>
      <c r="AB39" s="208" t="s">
        <v>36</v>
      </c>
      <c r="AC39" s="208" t="s">
        <v>36</v>
      </c>
      <c r="AD39" s="208" t="s">
        <v>36</v>
      </c>
      <c r="AE39" s="153" t="s">
        <v>36</v>
      </c>
      <c r="AF39" s="91" t="s">
        <v>3</v>
      </c>
    </row>
    <row r="40" spans="1:32" ht="12.75" customHeight="1">
      <c r="A40" s="15"/>
      <c r="B40" s="17" t="s">
        <v>113</v>
      </c>
      <c r="C40" s="106">
        <v>3.504</v>
      </c>
      <c r="D40" s="106">
        <v>4.22</v>
      </c>
      <c r="E40" s="59">
        <v>3.232</v>
      </c>
      <c r="F40" s="59">
        <v>2.916</v>
      </c>
      <c r="G40" s="59">
        <v>2.57</v>
      </c>
      <c r="H40" s="59">
        <v>0.284</v>
      </c>
      <c r="I40" s="59">
        <v>0.267</v>
      </c>
      <c r="J40" s="59">
        <v>0.336</v>
      </c>
      <c r="K40" s="59">
        <v>1.322</v>
      </c>
      <c r="L40" s="59">
        <v>1.825</v>
      </c>
      <c r="M40" s="59">
        <v>1.594</v>
      </c>
      <c r="N40" s="59">
        <v>0.778</v>
      </c>
      <c r="O40" s="59">
        <v>0.98</v>
      </c>
      <c r="P40" s="59">
        <v>0.983</v>
      </c>
      <c r="Q40" s="59">
        <v>1.082</v>
      </c>
      <c r="R40" s="59">
        <v>0.834</v>
      </c>
      <c r="S40" s="59">
        <v>1.115</v>
      </c>
      <c r="T40" s="59">
        <v>1.622</v>
      </c>
      <c r="U40" s="59">
        <v>1.64</v>
      </c>
      <c r="V40" s="59">
        <v>1.584</v>
      </c>
      <c r="W40" s="59">
        <v>1.369</v>
      </c>
      <c r="X40" s="59">
        <v>1.114</v>
      </c>
      <c r="Y40" s="59">
        <v>0.875</v>
      </c>
      <c r="Z40" s="59">
        <v>0.963</v>
      </c>
      <c r="AA40" s="59">
        <v>0.605</v>
      </c>
      <c r="AB40" s="59">
        <v>0.701</v>
      </c>
      <c r="AC40" s="59">
        <v>0.759</v>
      </c>
      <c r="AD40" s="59">
        <v>0.859</v>
      </c>
      <c r="AE40" s="339">
        <f t="shared" si="2"/>
        <v>13.175230566534907</v>
      </c>
      <c r="AF40" s="17" t="s">
        <v>113</v>
      </c>
    </row>
    <row r="41" spans="1:32" ht="12.75" customHeight="1">
      <c r="A41" s="15"/>
      <c r="B41" s="94" t="s">
        <v>18</v>
      </c>
      <c r="C41" s="117" t="s">
        <v>36</v>
      </c>
      <c r="D41" s="117" t="s">
        <v>36</v>
      </c>
      <c r="E41" s="217" t="s">
        <v>36</v>
      </c>
      <c r="F41" s="217" t="s">
        <v>36</v>
      </c>
      <c r="G41" s="217" t="s">
        <v>36</v>
      </c>
      <c r="H41" s="217" t="s">
        <v>36</v>
      </c>
      <c r="I41" s="217" t="s">
        <v>36</v>
      </c>
      <c r="J41" s="217" t="s">
        <v>36</v>
      </c>
      <c r="K41" s="217" t="s">
        <v>36</v>
      </c>
      <c r="L41" s="217" t="s">
        <v>36</v>
      </c>
      <c r="M41" s="217" t="s">
        <v>36</v>
      </c>
      <c r="N41" s="217" t="s">
        <v>36</v>
      </c>
      <c r="O41" s="217" t="s">
        <v>36</v>
      </c>
      <c r="P41" s="217" t="s">
        <v>36</v>
      </c>
      <c r="Q41" s="217" t="s">
        <v>36</v>
      </c>
      <c r="R41" s="217" t="s">
        <v>36</v>
      </c>
      <c r="S41" s="217" t="s">
        <v>36</v>
      </c>
      <c r="T41" s="217" t="s">
        <v>36</v>
      </c>
      <c r="U41" s="217" t="s">
        <v>36</v>
      </c>
      <c r="V41" s="217" t="s">
        <v>36</v>
      </c>
      <c r="W41" s="217" t="s">
        <v>36</v>
      </c>
      <c r="X41" s="217" t="s">
        <v>36</v>
      </c>
      <c r="Y41" s="217" t="s">
        <v>36</v>
      </c>
      <c r="Z41" s="217" t="s">
        <v>36</v>
      </c>
      <c r="AA41" s="260" t="s">
        <v>36</v>
      </c>
      <c r="AB41" s="260" t="s">
        <v>36</v>
      </c>
      <c r="AC41" s="260" t="s">
        <v>36</v>
      </c>
      <c r="AD41" s="260" t="s">
        <v>36</v>
      </c>
      <c r="AE41" s="154" t="s">
        <v>36</v>
      </c>
      <c r="AF41" s="94" t="s">
        <v>18</v>
      </c>
    </row>
    <row r="42" spans="1:32" ht="12.75" customHeight="1">
      <c r="A42" s="15"/>
      <c r="B42" s="17" t="s">
        <v>4</v>
      </c>
      <c r="C42" s="112" t="s">
        <v>36</v>
      </c>
      <c r="D42" s="112" t="s">
        <v>36</v>
      </c>
      <c r="E42" s="218" t="s">
        <v>36</v>
      </c>
      <c r="F42" s="218" t="s">
        <v>36</v>
      </c>
      <c r="G42" s="218" t="s">
        <v>36</v>
      </c>
      <c r="H42" s="218" t="s">
        <v>36</v>
      </c>
      <c r="I42" s="218" t="s">
        <v>36</v>
      </c>
      <c r="J42" s="218" t="s">
        <v>36</v>
      </c>
      <c r="K42" s="218" t="s">
        <v>36</v>
      </c>
      <c r="L42" s="218" t="s">
        <v>36</v>
      </c>
      <c r="M42" s="218" t="s">
        <v>36</v>
      </c>
      <c r="N42" s="218" t="s">
        <v>36</v>
      </c>
      <c r="O42" s="218" t="s">
        <v>36</v>
      </c>
      <c r="P42" s="218" t="s">
        <v>36</v>
      </c>
      <c r="Q42" s="218" t="s">
        <v>36</v>
      </c>
      <c r="R42" s="218" t="s">
        <v>36</v>
      </c>
      <c r="S42" s="218" t="s">
        <v>36</v>
      </c>
      <c r="T42" s="218" t="s">
        <v>36</v>
      </c>
      <c r="U42" s="218" t="s">
        <v>36</v>
      </c>
      <c r="V42" s="218" t="s">
        <v>36</v>
      </c>
      <c r="W42" s="218" t="s">
        <v>36</v>
      </c>
      <c r="X42" s="218" t="s">
        <v>36</v>
      </c>
      <c r="Y42" s="218" t="s">
        <v>36</v>
      </c>
      <c r="Z42" s="218" t="s">
        <v>36</v>
      </c>
      <c r="AA42" s="267" t="s">
        <v>36</v>
      </c>
      <c r="AB42" s="206" t="s">
        <v>36</v>
      </c>
      <c r="AC42" s="206" t="s">
        <v>36</v>
      </c>
      <c r="AD42" s="206" t="s">
        <v>36</v>
      </c>
      <c r="AE42" s="151" t="s">
        <v>36</v>
      </c>
      <c r="AF42" s="17" t="s">
        <v>4</v>
      </c>
    </row>
    <row r="43" spans="1:32" ht="12.75" customHeight="1">
      <c r="A43" s="15"/>
      <c r="B43" s="91" t="s">
        <v>34</v>
      </c>
      <c r="C43" s="116" t="s">
        <v>36</v>
      </c>
      <c r="D43" s="116" t="s">
        <v>36</v>
      </c>
      <c r="E43" s="203" t="s">
        <v>36</v>
      </c>
      <c r="F43" s="203" t="s">
        <v>36</v>
      </c>
      <c r="G43" s="203" t="s">
        <v>36</v>
      </c>
      <c r="H43" s="203" t="s">
        <v>36</v>
      </c>
      <c r="I43" s="203" t="s">
        <v>36</v>
      </c>
      <c r="J43" s="203" t="s">
        <v>36</v>
      </c>
      <c r="K43" s="203" t="s">
        <v>36</v>
      </c>
      <c r="L43" s="203" t="s">
        <v>36</v>
      </c>
      <c r="M43" s="203" t="s">
        <v>36</v>
      </c>
      <c r="N43" s="203" t="s">
        <v>36</v>
      </c>
      <c r="O43" s="203" t="s">
        <v>36</v>
      </c>
      <c r="P43" s="203" t="s">
        <v>36</v>
      </c>
      <c r="Q43" s="203" t="s">
        <v>36</v>
      </c>
      <c r="R43" s="203" t="s">
        <v>36</v>
      </c>
      <c r="S43" s="203" t="s">
        <v>36</v>
      </c>
      <c r="T43" s="203" t="s">
        <v>36</v>
      </c>
      <c r="U43" s="203" t="s">
        <v>36</v>
      </c>
      <c r="V43" s="203" t="s">
        <v>36</v>
      </c>
      <c r="W43" s="203" t="s">
        <v>36</v>
      </c>
      <c r="X43" s="203" t="s">
        <v>36</v>
      </c>
      <c r="Y43" s="203" t="s">
        <v>36</v>
      </c>
      <c r="Z43" s="203" t="s">
        <v>36</v>
      </c>
      <c r="AA43" s="208" t="s">
        <v>36</v>
      </c>
      <c r="AB43" s="208" t="s">
        <v>36</v>
      </c>
      <c r="AC43" s="208" t="s">
        <v>36</v>
      </c>
      <c r="AD43" s="208" t="s">
        <v>36</v>
      </c>
      <c r="AE43" s="153" t="s">
        <v>36</v>
      </c>
      <c r="AF43" s="91" t="s">
        <v>34</v>
      </c>
    </row>
    <row r="44" spans="1:32" ht="12.75" customHeight="1">
      <c r="A44" s="15"/>
      <c r="B44" s="18" t="s">
        <v>5</v>
      </c>
      <c r="C44" s="108">
        <v>0.139</v>
      </c>
      <c r="D44" s="108">
        <v>0.125</v>
      </c>
      <c r="E44" s="221">
        <v>0.196</v>
      </c>
      <c r="F44" s="60">
        <v>0.19</v>
      </c>
      <c r="G44" s="60">
        <v>0.18</v>
      </c>
      <c r="H44" s="60">
        <v>0.17</v>
      </c>
      <c r="I44" s="222">
        <v>0.16</v>
      </c>
      <c r="J44" s="60">
        <v>0.0472</v>
      </c>
      <c r="K44" s="60">
        <v>0.0436</v>
      </c>
      <c r="L44" s="60">
        <v>0.0487</v>
      </c>
      <c r="M44" s="60">
        <v>0.049</v>
      </c>
      <c r="N44" s="60">
        <v>0.0417</v>
      </c>
      <c r="O44" s="60">
        <v>0.0521</v>
      </c>
      <c r="P44" s="60">
        <v>0.0555</v>
      </c>
      <c r="Q44" s="60">
        <v>0.0521</v>
      </c>
      <c r="R44" s="60">
        <v>0.0444</v>
      </c>
      <c r="S44" s="60">
        <v>0.0451</v>
      </c>
      <c r="T44" s="60">
        <v>0.0466</v>
      </c>
      <c r="U44" s="60">
        <v>0.042</v>
      </c>
      <c r="V44" s="60">
        <v>0.0453</v>
      </c>
      <c r="W44" s="60">
        <v>0.04265</v>
      </c>
      <c r="X44" s="60">
        <v>0.041</v>
      </c>
      <c r="Y44" s="60">
        <v>0.04009</v>
      </c>
      <c r="Z44" s="60">
        <v>0.0364</v>
      </c>
      <c r="AA44" s="335">
        <v>0.049</v>
      </c>
      <c r="AB44" s="206">
        <v>0.048</v>
      </c>
      <c r="AC44" s="206">
        <v>0.042</v>
      </c>
      <c r="AD44" s="206">
        <v>0.044</v>
      </c>
      <c r="AE44" s="339">
        <f t="shared" si="2"/>
        <v>4.761904761904745</v>
      </c>
      <c r="AF44" s="18" t="s">
        <v>5</v>
      </c>
    </row>
    <row r="45" spans="2:32" ht="27.75" customHeight="1">
      <c r="B45" s="516" t="s">
        <v>124</v>
      </c>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row>
    <row r="46" spans="2:19" ht="12.75" customHeight="1">
      <c r="B46" s="515" t="s">
        <v>2</v>
      </c>
      <c r="C46" s="515"/>
      <c r="D46" s="515"/>
      <c r="E46" s="515"/>
      <c r="F46" s="515"/>
      <c r="G46" s="515"/>
      <c r="H46" s="515"/>
      <c r="I46" s="515"/>
      <c r="J46" s="515"/>
      <c r="K46" s="515"/>
      <c r="L46" s="515"/>
      <c r="M46" s="515"/>
      <c r="N46" s="515"/>
      <c r="O46" s="515"/>
      <c r="P46" s="515"/>
      <c r="Q46" s="515"/>
      <c r="R46" s="515"/>
      <c r="S46" s="515"/>
    </row>
    <row r="47" spans="1:32" s="48" customFormat="1" ht="12.75" customHeight="1">
      <c r="A47" s="82"/>
      <c r="B47" s="172" t="s">
        <v>76</v>
      </c>
      <c r="C47" s="174"/>
      <c r="D47" s="174"/>
      <c r="E47" s="174"/>
      <c r="F47" s="174"/>
      <c r="G47" s="174"/>
      <c r="H47" s="174"/>
      <c r="I47" s="174"/>
      <c r="J47" s="174"/>
      <c r="K47" s="174"/>
      <c r="L47" s="174"/>
      <c r="M47" s="174"/>
      <c r="N47" s="174"/>
      <c r="O47" s="174"/>
      <c r="P47" s="174"/>
      <c r="Q47" s="174"/>
      <c r="R47" s="174"/>
      <c r="S47" s="174"/>
      <c r="T47" s="173"/>
      <c r="U47" s="173"/>
      <c r="V47" s="173"/>
      <c r="W47" s="173"/>
      <c r="X47" s="173"/>
      <c r="Y47" s="173"/>
      <c r="Z47" s="173"/>
      <c r="AA47" s="173"/>
      <c r="AB47" s="173"/>
      <c r="AC47" s="173"/>
      <c r="AD47" s="173"/>
      <c r="AE47" s="173"/>
      <c r="AF47" s="173"/>
    </row>
    <row r="48" spans="2:16" ht="12.75">
      <c r="B48" s="48" t="s">
        <v>123</v>
      </c>
      <c r="C48"/>
      <c r="D48"/>
      <c r="E48"/>
      <c r="F48"/>
      <c r="G48"/>
      <c r="H48"/>
      <c r="I48"/>
      <c r="J48"/>
      <c r="K48"/>
      <c r="L48"/>
      <c r="M48"/>
      <c r="N48"/>
      <c r="O48"/>
      <c r="P48"/>
    </row>
    <row r="49" spans="2:15" ht="12.75">
      <c r="B49" s="11" t="s">
        <v>109</v>
      </c>
      <c r="C49"/>
      <c r="D49"/>
      <c r="E49"/>
      <c r="F49"/>
      <c r="G49"/>
      <c r="H49"/>
      <c r="I49"/>
      <c r="J49"/>
      <c r="K49"/>
      <c r="L49"/>
      <c r="M49"/>
      <c r="N49" s="182">
        <v>2000</v>
      </c>
      <c r="O49"/>
    </row>
    <row r="50" ht="12.75">
      <c r="B50" s="11" t="s">
        <v>110</v>
      </c>
    </row>
    <row r="51" ht="12.75">
      <c r="B51" s="11" t="s">
        <v>104</v>
      </c>
    </row>
  </sheetData>
  <sheetProtection/>
  <mergeCells count="4">
    <mergeCell ref="B2:AF2"/>
    <mergeCell ref="B46:S46"/>
    <mergeCell ref="B45:AF45"/>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46">
    <pageSetUpPr fitToPage="1"/>
  </sheetPr>
  <dimension ref="A1:AL53"/>
  <sheetViews>
    <sheetView zoomScalePageLayoutView="0" workbookViewId="0" topLeftCell="A13">
      <selection activeCell="AJ30" sqref="A29:AJ30"/>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0" width="7.28125" style="3" customWidth="1"/>
    <col min="31" max="31" width="6.28125" style="3" customWidth="1"/>
    <col min="32" max="32" width="5.140625" style="3" customWidth="1"/>
    <col min="33" max="33" width="2.8515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98</v>
      </c>
    </row>
    <row r="2" spans="1:34" s="48" customFormat="1" ht="30" customHeight="1">
      <c r="A2" s="50"/>
      <c r="B2" s="520" t="s">
        <v>158</v>
      </c>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84"/>
      <c r="AH2" s="405"/>
    </row>
    <row r="3" spans="2:34" ht="12.75">
      <c r="B3" s="4"/>
      <c r="C3" s="4"/>
      <c r="E3" s="28"/>
      <c r="F3" s="28"/>
      <c r="G3" s="28"/>
      <c r="H3" s="28"/>
      <c r="I3" s="28"/>
      <c r="J3" s="30"/>
      <c r="K3" s="30"/>
      <c r="L3" s="30"/>
      <c r="M3" s="30"/>
      <c r="N3" s="30"/>
      <c r="O3" s="30"/>
      <c r="R3" s="1"/>
      <c r="W3" s="518" t="s">
        <v>111</v>
      </c>
      <c r="X3" s="519"/>
      <c r="Y3" s="21"/>
      <c r="Z3" s="21"/>
      <c r="AA3" s="21"/>
      <c r="AB3" s="21"/>
      <c r="AC3" s="21"/>
      <c r="AD3" s="21"/>
      <c r="AE3" s="6"/>
      <c r="AF3" s="46"/>
      <c r="AG3" s="46"/>
      <c r="AH3" s="405"/>
    </row>
    <row r="4" spans="2:34"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c r="AH4" s="405"/>
    </row>
    <row r="5" spans="2:34"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c r="AH5" s="405"/>
    </row>
    <row r="6" spans="2:34" ht="12.75" customHeight="1">
      <c r="B6" s="90" t="s">
        <v>118</v>
      </c>
      <c r="C6" s="166"/>
      <c r="D6" s="166"/>
      <c r="E6" s="264"/>
      <c r="F6" s="264"/>
      <c r="G6" s="264"/>
      <c r="H6" s="264"/>
      <c r="I6" s="264">
        <f aca="true" t="shared" si="0" ref="I6:AB6">SUM(I9:I36)</f>
        <v>115.475</v>
      </c>
      <c r="J6" s="264">
        <f t="shared" si="0"/>
        <v>114.91029999999998</v>
      </c>
      <c r="K6" s="264">
        <f t="shared" si="0"/>
        <v>119.3301</v>
      </c>
      <c r="L6" s="264">
        <f t="shared" si="0"/>
        <v>118.90400000000001</v>
      </c>
      <c r="M6" s="264">
        <f t="shared" si="0"/>
        <v>126.33999999999999</v>
      </c>
      <c r="N6" s="264">
        <f t="shared" si="0"/>
        <v>124.85099999999998</v>
      </c>
      <c r="O6" s="264">
        <f t="shared" si="0"/>
        <v>127.10669999999999</v>
      </c>
      <c r="P6" s="264">
        <f t="shared" si="0"/>
        <v>133.9373</v>
      </c>
      <c r="Q6" s="264">
        <f t="shared" si="0"/>
        <v>129.7316</v>
      </c>
      <c r="R6" s="264">
        <f t="shared" si="0"/>
        <v>131.6878</v>
      </c>
      <c r="S6" s="264">
        <f t="shared" si="0"/>
        <v>133.2593606</v>
      </c>
      <c r="T6" s="264">
        <f t="shared" si="0"/>
        <v>137.58850379999998</v>
      </c>
      <c r="U6" s="264">
        <f t="shared" si="0"/>
        <v>136.56624979999998</v>
      </c>
      <c r="V6" s="264">
        <f t="shared" si="0"/>
        <v>128.45148842182226</v>
      </c>
      <c r="W6" s="264">
        <f t="shared" si="0"/>
        <v>124.94496585313127</v>
      </c>
      <c r="X6" s="146">
        <f t="shared" si="0"/>
        <v>121.81921473696151</v>
      </c>
      <c r="Y6" s="146">
        <f t="shared" si="0"/>
        <v>121.13344560300447</v>
      </c>
      <c r="Z6" s="146">
        <f t="shared" si="0"/>
        <v>118.37031897026802</v>
      </c>
      <c r="AA6" s="146">
        <f t="shared" si="0"/>
        <v>114.89650906969668</v>
      </c>
      <c r="AB6" s="146">
        <f t="shared" si="0"/>
        <v>112.21704097523953</v>
      </c>
      <c r="AC6" s="146">
        <f>SUM(AC9:AC36)</f>
        <v>111.33271480506806</v>
      </c>
      <c r="AD6" s="146">
        <f>SUM(AD9:AD36)</f>
        <v>115.19060588333474</v>
      </c>
      <c r="AE6" s="148">
        <f>AD6/AC6*100-100</f>
        <v>3.4651908785494356</v>
      </c>
      <c r="AF6" s="90" t="s">
        <v>118</v>
      </c>
      <c r="AG6" s="2"/>
      <c r="AH6" s="405"/>
    </row>
    <row r="7" spans="1:34" ht="12.75" customHeight="1">
      <c r="A7" s="15"/>
      <c r="B7" s="91" t="s">
        <v>119</v>
      </c>
      <c r="C7" s="168">
        <f aca="true" t="shared" si="1" ref="C7:N7">C9+C12+C13+C17+C18+C20+C27+C28+C36</f>
        <v>63.736999999999995</v>
      </c>
      <c r="D7" s="168">
        <f t="shared" si="1"/>
        <v>84.95700000000001</v>
      </c>
      <c r="E7" s="265">
        <f t="shared" si="1"/>
        <v>71.707</v>
      </c>
      <c r="F7" s="265">
        <f t="shared" si="1"/>
        <v>78.92600000000002</v>
      </c>
      <c r="G7" s="265">
        <f t="shared" si="1"/>
        <v>80.743</v>
      </c>
      <c r="H7" s="265">
        <f t="shared" si="1"/>
        <v>82.193</v>
      </c>
      <c r="I7" s="265">
        <f t="shared" si="1"/>
        <v>83.134</v>
      </c>
      <c r="J7" s="265">
        <f t="shared" si="1"/>
        <v>80.192</v>
      </c>
      <c r="K7" s="265">
        <f t="shared" si="1"/>
        <v>82.18900000000001</v>
      </c>
      <c r="L7" s="265">
        <f t="shared" si="1"/>
        <v>82.215</v>
      </c>
      <c r="M7" s="265">
        <f t="shared" si="1"/>
        <v>85.291</v>
      </c>
      <c r="N7" s="265">
        <f t="shared" si="1"/>
        <v>84.852</v>
      </c>
      <c r="O7" s="265">
        <f>O9+O12+O13+O17+O18+O20+O27+O28+O30+O36</f>
        <v>86.155</v>
      </c>
      <c r="P7" s="265">
        <f>P9+P12+P13+P17+P18+P20+P27+P28+P30+P36</f>
        <v>88.553</v>
      </c>
      <c r="Q7" s="265">
        <f aca="true" t="shared" si="2" ref="Q7:AB7">Q9+Q12+Q13+Q16+Q17+Q18+Q20+Q27+Q28+Q30+Q36</f>
        <v>86.70100000000001</v>
      </c>
      <c r="R7" s="265">
        <f t="shared" si="2"/>
        <v>87.139</v>
      </c>
      <c r="S7" s="265">
        <f t="shared" si="2"/>
        <v>87.57896059999999</v>
      </c>
      <c r="T7" s="265">
        <f t="shared" si="2"/>
        <v>90.1025038</v>
      </c>
      <c r="U7" s="265">
        <f t="shared" si="2"/>
        <v>90.10954980000001</v>
      </c>
      <c r="V7" s="93">
        <f t="shared" si="2"/>
        <v>87.15488842182226</v>
      </c>
      <c r="W7" s="93">
        <f t="shared" si="2"/>
        <v>87.03616585313128</v>
      </c>
      <c r="X7" s="93">
        <f t="shared" si="2"/>
        <v>83.28701473696152</v>
      </c>
      <c r="Y7" s="93">
        <f t="shared" si="2"/>
        <v>80.8951456030045</v>
      </c>
      <c r="Z7" s="93">
        <f t="shared" si="2"/>
        <v>79.48141897026802</v>
      </c>
      <c r="AA7" s="93">
        <f t="shared" si="2"/>
        <v>78.23669906969667</v>
      </c>
      <c r="AB7" s="93">
        <f t="shared" si="2"/>
        <v>77.14458097523953</v>
      </c>
      <c r="AC7" s="93">
        <f>AC9+AC12+AC13+AC16+AC17+AC18+AC20+AC27+AC28+AC30+AC36</f>
        <v>75.83321480506808</v>
      </c>
      <c r="AD7" s="93">
        <f>AD9+AD12+AD13+AD16+AD17+AD18+AD20+AD27+AD28+AD30+AD36</f>
        <v>78.34772588333475</v>
      </c>
      <c r="AE7" s="149">
        <f aca="true" t="shared" si="3" ref="AE7:AE43">AD7/AC7*100-100</f>
        <v>3.3158439672250637</v>
      </c>
      <c r="AF7" s="91" t="s">
        <v>119</v>
      </c>
      <c r="AH7" s="405"/>
    </row>
    <row r="8" spans="1:38" ht="12.75" customHeight="1">
      <c r="A8" s="15"/>
      <c r="B8" s="94" t="s">
        <v>120</v>
      </c>
      <c r="C8" s="170"/>
      <c r="D8" s="170"/>
      <c r="E8" s="266"/>
      <c r="F8" s="266"/>
      <c r="G8" s="266"/>
      <c r="H8" s="266"/>
      <c r="I8" s="266">
        <f aca="true" t="shared" si="4" ref="I8:N8">I6-I7</f>
        <v>32.340999999999994</v>
      </c>
      <c r="J8" s="266">
        <f t="shared" si="4"/>
        <v>34.718299999999985</v>
      </c>
      <c r="K8" s="266">
        <f t="shared" si="4"/>
        <v>37.141099999999994</v>
      </c>
      <c r="L8" s="266">
        <f t="shared" si="4"/>
        <v>36.68900000000001</v>
      </c>
      <c r="M8" s="266">
        <f t="shared" si="4"/>
        <v>41.04899999999999</v>
      </c>
      <c r="N8" s="266">
        <f t="shared" si="4"/>
        <v>39.99899999999998</v>
      </c>
      <c r="O8" s="266">
        <f>O6-O7</f>
        <v>40.95169999999999</v>
      </c>
      <c r="P8" s="266">
        <f aca="true" t="shared" si="5" ref="P8:X8">P6-P7</f>
        <v>45.384299999999996</v>
      </c>
      <c r="Q8" s="266">
        <f t="shared" si="5"/>
        <v>43.03059999999998</v>
      </c>
      <c r="R8" s="266">
        <f t="shared" si="5"/>
        <v>44.548800000000014</v>
      </c>
      <c r="S8" s="266">
        <f t="shared" si="5"/>
        <v>45.68040000000002</v>
      </c>
      <c r="T8" s="266">
        <f t="shared" si="5"/>
        <v>47.48599999999999</v>
      </c>
      <c r="U8" s="266">
        <f t="shared" si="5"/>
        <v>46.45669999999997</v>
      </c>
      <c r="V8" s="266">
        <f t="shared" si="5"/>
        <v>41.2966</v>
      </c>
      <c r="W8" s="266">
        <f t="shared" si="5"/>
        <v>37.908799999999985</v>
      </c>
      <c r="X8" s="95">
        <f t="shared" si="5"/>
        <v>38.53219999999999</v>
      </c>
      <c r="Y8" s="95">
        <f>Y6-Y7</f>
        <v>40.23829999999998</v>
      </c>
      <c r="Z8" s="95">
        <f>Z6-Z7</f>
        <v>38.88889999999999</v>
      </c>
      <c r="AA8" s="95">
        <f>AA6-AA7</f>
        <v>36.65981000000001</v>
      </c>
      <c r="AB8" s="95">
        <f>AB6-AB7</f>
        <v>35.07245999999999</v>
      </c>
      <c r="AC8" s="95">
        <f>AC6-AC7</f>
        <v>35.49949999999998</v>
      </c>
      <c r="AD8" s="95">
        <f>AD6-AD7</f>
        <v>36.842879999999994</v>
      </c>
      <c r="AE8" s="150">
        <f t="shared" si="3"/>
        <v>3.784222312990366</v>
      </c>
      <c r="AF8" s="94" t="s">
        <v>120</v>
      </c>
      <c r="AH8" s="405"/>
      <c r="AI8"/>
      <c r="AJ8"/>
      <c r="AK8"/>
      <c r="AL8"/>
    </row>
    <row r="9" spans="1:38" ht="12.75" customHeight="1">
      <c r="A9" s="15"/>
      <c r="B9" s="17" t="s">
        <v>23</v>
      </c>
      <c r="C9" s="107">
        <v>0.27</v>
      </c>
      <c r="D9" s="107">
        <v>1.802</v>
      </c>
      <c r="E9" s="213">
        <v>1.024</v>
      </c>
      <c r="F9" s="213">
        <v>1.13</v>
      </c>
      <c r="G9" s="213">
        <v>1.168</v>
      </c>
      <c r="H9" s="213">
        <v>1.263</v>
      </c>
      <c r="I9" s="213">
        <v>1.37</v>
      </c>
      <c r="J9" s="213">
        <v>1.37</v>
      </c>
      <c r="K9" s="213">
        <v>1.45</v>
      </c>
      <c r="L9" s="213">
        <v>1.526</v>
      </c>
      <c r="M9" s="213">
        <v>1.57</v>
      </c>
      <c r="N9" s="213">
        <v>1.577</v>
      </c>
      <c r="O9" s="213">
        <v>1.624</v>
      </c>
      <c r="P9" s="213">
        <v>1.544</v>
      </c>
      <c r="Q9" s="213">
        <v>1.511</v>
      </c>
      <c r="R9" s="213">
        <v>1.518</v>
      </c>
      <c r="S9" s="213">
        <v>1.533</v>
      </c>
      <c r="T9" s="213">
        <v>1.517</v>
      </c>
      <c r="U9" s="213">
        <v>1.572</v>
      </c>
      <c r="V9" s="220">
        <v>1.4693124218222637</v>
      </c>
      <c r="W9" s="220">
        <v>1.460448453131281</v>
      </c>
      <c r="X9" s="220">
        <v>1.525011332225989</v>
      </c>
      <c r="Y9" s="220">
        <v>1.5165343017285184</v>
      </c>
      <c r="Z9" s="220">
        <v>1.396535770097158</v>
      </c>
      <c r="AA9" s="220">
        <v>1.631505498342776</v>
      </c>
      <c r="AB9" s="220">
        <v>1.6930081637049001</v>
      </c>
      <c r="AC9" s="220">
        <f>AVERAGE(Z9:AB9)</f>
        <v>1.5736831440482781</v>
      </c>
      <c r="AD9" s="220">
        <f>AVERAGE(AA9:AC9)</f>
        <v>1.6327322686986514</v>
      </c>
      <c r="AE9" s="349">
        <f t="shared" si="3"/>
        <v>3.7522880558070995</v>
      </c>
      <c r="AF9" s="17" t="s">
        <v>23</v>
      </c>
      <c r="AH9" s="405"/>
      <c r="AI9"/>
      <c r="AJ9"/>
      <c r="AK9"/>
      <c r="AL9"/>
    </row>
    <row r="10" spans="1:38" ht="12.75" customHeight="1">
      <c r="A10" s="15"/>
      <c r="B10" s="91" t="s">
        <v>6</v>
      </c>
      <c r="C10" s="116">
        <v>0</v>
      </c>
      <c r="D10" s="116">
        <v>0.75</v>
      </c>
      <c r="E10" s="203">
        <v>0.64</v>
      </c>
      <c r="F10" s="203">
        <v>0.454</v>
      </c>
      <c r="G10" s="203">
        <v>0.259</v>
      </c>
      <c r="H10" s="203">
        <v>0.3</v>
      </c>
      <c r="I10" s="203">
        <v>0.36</v>
      </c>
      <c r="J10" s="203">
        <v>0.41</v>
      </c>
      <c r="K10" s="203">
        <v>0.36</v>
      </c>
      <c r="L10" s="203">
        <v>0.26</v>
      </c>
      <c r="M10" s="203">
        <v>0.244</v>
      </c>
      <c r="N10" s="203">
        <v>0.33</v>
      </c>
      <c r="O10" s="203">
        <v>0.379</v>
      </c>
      <c r="P10" s="203">
        <v>0.339</v>
      </c>
      <c r="Q10" s="203">
        <v>0.286</v>
      </c>
      <c r="R10" s="203">
        <v>0.282</v>
      </c>
      <c r="S10" s="203">
        <v>0.274</v>
      </c>
      <c r="T10" s="203">
        <v>0.352</v>
      </c>
      <c r="U10" s="203">
        <v>0.3566</v>
      </c>
      <c r="V10" s="203">
        <v>0.4196</v>
      </c>
      <c r="W10" s="203">
        <v>0.4198</v>
      </c>
      <c r="X10" s="203">
        <v>0.4365</v>
      </c>
      <c r="Y10" s="203">
        <v>0.4145</v>
      </c>
      <c r="Z10" s="203">
        <v>0.4808</v>
      </c>
      <c r="AA10" s="203">
        <v>0.5729</v>
      </c>
      <c r="AB10" s="203">
        <v>0.633</v>
      </c>
      <c r="AC10" s="203">
        <v>0.583</v>
      </c>
      <c r="AD10" s="203">
        <v>0.661</v>
      </c>
      <c r="AE10" s="120">
        <f t="shared" si="3"/>
        <v>13.379073756432263</v>
      </c>
      <c r="AF10" s="91" t="s">
        <v>6</v>
      </c>
      <c r="AH10" s="405"/>
      <c r="AI10"/>
      <c r="AJ10"/>
      <c r="AK10"/>
      <c r="AL10"/>
    </row>
    <row r="11" spans="1:38" ht="12.75" customHeight="1">
      <c r="A11" s="15"/>
      <c r="B11" s="17" t="s">
        <v>8</v>
      </c>
      <c r="C11" s="106"/>
      <c r="D11" s="106"/>
      <c r="E11" s="59"/>
      <c r="F11" s="59"/>
      <c r="G11" s="59"/>
      <c r="H11" s="189">
        <v>1.98</v>
      </c>
      <c r="I11" s="59">
        <v>2.18</v>
      </c>
      <c r="J11" s="59">
        <v>2.276</v>
      </c>
      <c r="K11" s="59">
        <v>2.27</v>
      </c>
      <c r="L11" s="59">
        <v>2.11</v>
      </c>
      <c r="M11" s="59">
        <v>2.078</v>
      </c>
      <c r="N11" s="59">
        <v>1.795</v>
      </c>
      <c r="O11" s="59">
        <v>1.612</v>
      </c>
      <c r="P11" s="59">
        <v>1.661</v>
      </c>
      <c r="Q11" s="59">
        <v>1.717</v>
      </c>
      <c r="R11" s="59">
        <v>1.82</v>
      </c>
      <c r="S11" s="59">
        <v>1.902</v>
      </c>
      <c r="T11" s="59">
        <v>2.259</v>
      </c>
      <c r="U11" s="59">
        <v>2.291</v>
      </c>
      <c r="V11" s="59">
        <v>2.079</v>
      </c>
      <c r="W11" s="59">
        <v>2.315</v>
      </c>
      <c r="X11" s="59">
        <v>2.156</v>
      </c>
      <c r="Y11" s="59">
        <v>2.191</v>
      </c>
      <c r="Z11" s="59">
        <v>1.9537</v>
      </c>
      <c r="AA11" s="59">
        <v>1.907</v>
      </c>
      <c r="AB11" s="59">
        <v>1.933</v>
      </c>
      <c r="AC11" s="59">
        <v>2.063</v>
      </c>
      <c r="AD11" s="59">
        <v>2.023</v>
      </c>
      <c r="AE11" s="152">
        <f t="shared" si="3"/>
        <v>-1.9389238972370322</v>
      </c>
      <c r="AF11" s="17" t="s">
        <v>8</v>
      </c>
      <c r="AH11" s="405"/>
      <c r="AI11"/>
      <c r="AJ11"/>
      <c r="AK11"/>
      <c r="AL11"/>
    </row>
    <row r="12" spans="1:38" ht="12.75" customHeight="1">
      <c r="A12" s="15"/>
      <c r="B12" s="91" t="s">
        <v>19</v>
      </c>
      <c r="C12" s="116"/>
      <c r="D12" s="116"/>
      <c r="E12" s="203">
        <v>2.016</v>
      </c>
      <c r="F12" s="203">
        <v>2.361</v>
      </c>
      <c r="G12" s="203">
        <v>2.624</v>
      </c>
      <c r="H12" s="203">
        <v>2.797</v>
      </c>
      <c r="I12" s="203">
        <v>3.087</v>
      </c>
      <c r="J12" s="203">
        <v>3.109</v>
      </c>
      <c r="K12" s="203">
        <v>3.461</v>
      </c>
      <c r="L12" s="203">
        <v>3.823</v>
      </c>
      <c r="M12" s="203">
        <v>3.921</v>
      </c>
      <c r="N12" s="203">
        <v>4.271</v>
      </c>
      <c r="O12" s="203">
        <v>4.69</v>
      </c>
      <c r="P12" s="203">
        <v>4.695</v>
      </c>
      <c r="Q12" s="203">
        <v>5.103</v>
      </c>
      <c r="R12" s="203">
        <v>5.154</v>
      </c>
      <c r="S12" s="203">
        <v>5.254</v>
      </c>
      <c r="T12" s="203">
        <v>5.125</v>
      </c>
      <c r="U12" s="203">
        <v>4.872</v>
      </c>
      <c r="V12" s="203">
        <v>4.627</v>
      </c>
      <c r="W12" s="203">
        <v>4.209</v>
      </c>
      <c r="X12" s="203">
        <v>3.895</v>
      </c>
      <c r="Y12" s="203">
        <v>3.547</v>
      </c>
      <c r="Z12" s="203">
        <v>3.265</v>
      </c>
      <c r="AA12" s="208">
        <v>3.078</v>
      </c>
      <c r="AB12" s="208">
        <v>2.739</v>
      </c>
      <c r="AC12" s="208">
        <v>2.409</v>
      </c>
      <c r="AD12" s="208">
        <v>2.65</v>
      </c>
      <c r="AE12" s="153">
        <f t="shared" si="3"/>
        <v>10.004151100041511</v>
      </c>
      <c r="AF12" s="91" t="s">
        <v>19</v>
      </c>
      <c r="AH12" s="405"/>
      <c r="AI12"/>
      <c r="AJ12"/>
      <c r="AK12"/>
      <c r="AL12"/>
    </row>
    <row r="13" spans="1:38" ht="12.75" customHeight="1">
      <c r="A13" s="15"/>
      <c r="B13" s="17" t="s">
        <v>24</v>
      </c>
      <c r="C13" s="106">
        <v>16.9</v>
      </c>
      <c r="D13" s="106">
        <v>14.3</v>
      </c>
      <c r="E13" s="59">
        <v>13.3</v>
      </c>
      <c r="F13" s="283">
        <v>15.7</v>
      </c>
      <c r="G13" s="59">
        <v>15.7</v>
      </c>
      <c r="H13" s="59">
        <v>16.1</v>
      </c>
      <c r="I13" s="201">
        <v>16.8</v>
      </c>
      <c r="J13" s="59">
        <v>14.757</v>
      </c>
      <c r="K13" s="59">
        <v>14.5</v>
      </c>
      <c r="L13" s="59">
        <v>13.151</v>
      </c>
      <c r="M13" s="59">
        <v>14.849</v>
      </c>
      <c r="N13" s="59">
        <v>14.966</v>
      </c>
      <c r="O13" s="59">
        <v>15.033</v>
      </c>
      <c r="P13" s="59">
        <v>15.761</v>
      </c>
      <c r="Q13" s="59">
        <v>15.205</v>
      </c>
      <c r="R13" s="59">
        <v>15.407</v>
      </c>
      <c r="S13" s="59">
        <v>16.236</v>
      </c>
      <c r="T13" s="59">
        <v>16.741</v>
      </c>
      <c r="U13" s="59">
        <v>15.844</v>
      </c>
      <c r="V13" s="59">
        <v>15.824</v>
      </c>
      <c r="W13" s="59">
        <v>15.67</v>
      </c>
      <c r="X13" s="59">
        <v>15.95</v>
      </c>
      <c r="Y13" s="59">
        <v>16.259</v>
      </c>
      <c r="Z13" s="59">
        <v>15.623</v>
      </c>
      <c r="AA13" s="59">
        <v>16.207</v>
      </c>
      <c r="AB13" s="59">
        <v>18.18</v>
      </c>
      <c r="AC13" s="59">
        <v>17.541</v>
      </c>
      <c r="AD13" s="59">
        <v>17.713</v>
      </c>
      <c r="AE13" s="152">
        <f t="shared" si="3"/>
        <v>0.9805598312524921</v>
      </c>
      <c r="AF13" s="17" t="s">
        <v>24</v>
      </c>
      <c r="AH13" s="405"/>
      <c r="AI13"/>
      <c r="AJ13"/>
      <c r="AK13"/>
      <c r="AL13"/>
    </row>
    <row r="14" spans="1:38" ht="12.75" customHeight="1">
      <c r="A14" s="15"/>
      <c r="B14" s="91" t="s">
        <v>9</v>
      </c>
      <c r="C14" s="116" t="s">
        <v>36</v>
      </c>
      <c r="D14" s="116" t="s">
        <v>36</v>
      </c>
      <c r="E14" s="203" t="s">
        <v>36</v>
      </c>
      <c r="F14" s="203" t="s">
        <v>36</v>
      </c>
      <c r="G14" s="203" t="s">
        <v>36</v>
      </c>
      <c r="H14" s="203" t="s">
        <v>36</v>
      </c>
      <c r="I14" s="203" t="s">
        <v>36</v>
      </c>
      <c r="J14" s="203" t="s">
        <v>36</v>
      </c>
      <c r="K14" s="203" t="s">
        <v>36</v>
      </c>
      <c r="L14" s="203" t="s">
        <v>36</v>
      </c>
      <c r="M14" s="203" t="s">
        <v>36</v>
      </c>
      <c r="N14" s="203" t="s">
        <v>36</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256" t="s">
        <v>36</v>
      </c>
      <c r="AF14" s="91" t="s">
        <v>9</v>
      </c>
      <c r="AH14" s="405"/>
      <c r="AI14"/>
      <c r="AJ14"/>
      <c r="AK14"/>
      <c r="AL14"/>
    </row>
    <row r="15" spans="1:38"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273" t="s">
        <v>36</v>
      </c>
      <c r="AF15" s="17" t="s">
        <v>27</v>
      </c>
      <c r="AH15" s="405"/>
      <c r="AI15"/>
      <c r="AJ15"/>
      <c r="AK15"/>
      <c r="AL15"/>
    </row>
    <row r="16" spans="1:38"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v>0.02</v>
      </c>
      <c r="R16" s="203">
        <v>0.06</v>
      </c>
      <c r="S16" s="282">
        <v>0.197</v>
      </c>
      <c r="T16" s="203">
        <v>0.229</v>
      </c>
      <c r="U16" s="203">
        <v>0.253</v>
      </c>
      <c r="V16" s="203">
        <v>0.254</v>
      </c>
      <c r="W16" s="208">
        <v>0.254</v>
      </c>
      <c r="X16" s="211">
        <v>0.18513600473552563</v>
      </c>
      <c r="Y16" s="211">
        <v>0.1889609012759675</v>
      </c>
      <c r="Z16" s="211">
        <v>0.24139480017087667</v>
      </c>
      <c r="AA16" s="211">
        <v>0.2116849713538852</v>
      </c>
      <c r="AB16" s="211">
        <v>0.1880871216478612</v>
      </c>
      <c r="AC16" s="211">
        <f>AVERAGE(Z16:AB16)</f>
        <v>0.2137222977242077</v>
      </c>
      <c r="AD16" s="211">
        <f>AVERAGE(AA16:AC16)</f>
        <v>0.2044981302419847</v>
      </c>
      <c r="AE16" s="153">
        <f t="shared" si="3"/>
        <v>-4.315959345583153</v>
      </c>
      <c r="AF16" s="91" t="s">
        <v>20</v>
      </c>
      <c r="AH16" s="405"/>
      <c r="AI16"/>
      <c r="AJ16"/>
      <c r="AK16"/>
      <c r="AL16"/>
    </row>
    <row r="17" spans="1:38" ht="12.75" customHeight="1">
      <c r="A17" s="15"/>
      <c r="B17" s="17" t="s">
        <v>25</v>
      </c>
      <c r="C17" s="107">
        <v>1.023</v>
      </c>
      <c r="D17" s="107">
        <v>3.005</v>
      </c>
      <c r="E17" s="213">
        <v>4.215</v>
      </c>
      <c r="F17" s="213">
        <v>4.78</v>
      </c>
      <c r="G17" s="213">
        <v>5.266</v>
      </c>
      <c r="H17" s="213">
        <v>5.409</v>
      </c>
      <c r="I17" s="213">
        <v>5.479</v>
      </c>
      <c r="J17" s="213">
        <v>5.887</v>
      </c>
      <c r="K17" s="213">
        <v>6.113</v>
      </c>
      <c r="L17" s="213">
        <v>6.534</v>
      </c>
      <c r="M17" s="213">
        <v>6.872</v>
      </c>
      <c r="N17" s="213">
        <v>7.031</v>
      </c>
      <c r="O17" s="213">
        <v>7.466</v>
      </c>
      <c r="P17" s="213">
        <v>7.763</v>
      </c>
      <c r="Q17" s="213">
        <v>7.803</v>
      </c>
      <c r="R17" s="213">
        <v>7.319</v>
      </c>
      <c r="S17" s="213">
        <v>8.279</v>
      </c>
      <c r="T17" s="213">
        <v>9.228</v>
      </c>
      <c r="U17" s="213">
        <v>9.224</v>
      </c>
      <c r="V17" s="213">
        <v>8.936</v>
      </c>
      <c r="W17" s="213">
        <v>9.141</v>
      </c>
      <c r="X17" s="213">
        <v>8.23</v>
      </c>
      <c r="Y17" s="213">
        <v>8.182</v>
      </c>
      <c r="Z17" s="213">
        <v>8.601</v>
      </c>
      <c r="AA17" s="200">
        <v>8.9</v>
      </c>
      <c r="AB17" s="200">
        <v>8.691</v>
      </c>
      <c r="AC17" s="200">
        <v>8.967</v>
      </c>
      <c r="AD17" s="200">
        <v>10.115</v>
      </c>
      <c r="AE17" s="151">
        <f t="shared" si="3"/>
        <v>12.802498048399684</v>
      </c>
      <c r="AF17" s="17" t="s">
        <v>25</v>
      </c>
      <c r="AH17" s="405"/>
      <c r="AI17"/>
      <c r="AJ17"/>
      <c r="AK17"/>
      <c r="AL17"/>
    </row>
    <row r="18" spans="1:38" ht="12.75" customHeight="1">
      <c r="A18" s="15"/>
      <c r="B18" s="91" t="s">
        <v>26</v>
      </c>
      <c r="C18" s="116">
        <v>28.184</v>
      </c>
      <c r="D18" s="116">
        <v>34.674</v>
      </c>
      <c r="E18" s="203">
        <v>19.609</v>
      </c>
      <c r="F18" s="203">
        <v>22.501</v>
      </c>
      <c r="G18" s="203">
        <v>23.381</v>
      </c>
      <c r="H18" s="203">
        <v>23.312</v>
      </c>
      <c r="I18" s="203">
        <v>22.187</v>
      </c>
      <c r="J18" s="203">
        <v>22.275</v>
      </c>
      <c r="K18" s="203">
        <v>21.909</v>
      </c>
      <c r="L18" s="203">
        <v>22.089</v>
      </c>
      <c r="M18" s="203">
        <v>21.582</v>
      </c>
      <c r="N18" s="203">
        <v>21.322</v>
      </c>
      <c r="O18" s="203">
        <v>21.669</v>
      </c>
      <c r="P18" s="203">
        <v>22.14</v>
      </c>
      <c r="Q18" s="203">
        <v>20.954</v>
      </c>
      <c r="R18" s="203">
        <v>22.147</v>
      </c>
      <c r="S18" s="203">
        <v>20.559</v>
      </c>
      <c r="T18" s="203">
        <v>20.856</v>
      </c>
      <c r="U18" s="203">
        <v>22.2</v>
      </c>
      <c r="V18" s="203">
        <v>21.141</v>
      </c>
      <c r="W18" s="203">
        <v>20.918</v>
      </c>
      <c r="X18" s="203">
        <v>19.481</v>
      </c>
      <c r="Y18" s="203">
        <v>17.607</v>
      </c>
      <c r="Z18" s="203">
        <v>17.207</v>
      </c>
      <c r="AA18" s="203">
        <v>15.151</v>
      </c>
      <c r="AB18" s="203">
        <v>11.521</v>
      </c>
      <c r="AC18" s="203">
        <v>11.115</v>
      </c>
      <c r="AD18" s="203">
        <v>11.5</v>
      </c>
      <c r="AE18" s="153">
        <f t="shared" si="3"/>
        <v>3.4637876743139913</v>
      </c>
      <c r="AF18" s="91" t="s">
        <v>26</v>
      </c>
      <c r="AH18" s="405"/>
      <c r="AI18"/>
      <c r="AJ18"/>
      <c r="AK18"/>
      <c r="AL18"/>
    </row>
    <row r="19" spans="1:38" ht="12.75" customHeight="1">
      <c r="A19" s="15"/>
      <c r="B19" s="268" t="s">
        <v>37</v>
      </c>
      <c r="C19" s="269" t="s">
        <v>35</v>
      </c>
      <c r="D19" s="269" t="s">
        <v>35</v>
      </c>
      <c r="E19" s="270">
        <v>3.6</v>
      </c>
      <c r="F19" s="270" t="s">
        <v>35</v>
      </c>
      <c r="G19" s="270"/>
      <c r="H19" s="270"/>
      <c r="I19" s="270"/>
      <c r="J19" s="270" t="s">
        <v>35</v>
      </c>
      <c r="K19" s="270"/>
      <c r="L19" s="270">
        <v>0.725</v>
      </c>
      <c r="M19" s="270">
        <v>0.951</v>
      </c>
      <c r="N19" s="270">
        <v>0.623</v>
      </c>
      <c r="O19" s="270">
        <v>0.428</v>
      </c>
      <c r="P19" s="270">
        <v>0.897</v>
      </c>
      <c r="Q19" s="270">
        <v>1.286</v>
      </c>
      <c r="R19" s="270">
        <v>1.335</v>
      </c>
      <c r="S19" s="270">
        <v>1.515</v>
      </c>
      <c r="T19" s="270">
        <v>1.507</v>
      </c>
      <c r="U19" s="270">
        <v>1.255</v>
      </c>
      <c r="V19" s="270">
        <v>1.406</v>
      </c>
      <c r="W19" s="270">
        <v>1.308</v>
      </c>
      <c r="X19" s="270">
        <v>1.445</v>
      </c>
      <c r="Y19" s="270">
        <v>1.3</v>
      </c>
      <c r="Z19" s="270">
        <v>1.028</v>
      </c>
      <c r="AA19" s="270">
        <v>0.838</v>
      </c>
      <c r="AB19" s="270">
        <v>1.127</v>
      </c>
      <c r="AC19" s="270">
        <v>1.114</v>
      </c>
      <c r="AD19" s="270">
        <v>1.395</v>
      </c>
      <c r="AE19" s="336">
        <f t="shared" si="3"/>
        <v>25.224416517055644</v>
      </c>
      <c r="AF19" s="268" t="s">
        <v>37</v>
      </c>
      <c r="AH19" s="405"/>
      <c r="AI19"/>
      <c r="AJ19"/>
      <c r="AK19"/>
      <c r="AL19"/>
    </row>
    <row r="20" spans="1:38" ht="12.75" customHeight="1">
      <c r="A20" s="15"/>
      <c r="B20" s="91" t="s">
        <v>28</v>
      </c>
      <c r="C20" s="116">
        <v>7</v>
      </c>
      <c r="D20" s="116">
        <v>9</v>
      </c>
      <c r="E20" s="203">
        <v>9.2</v>
      </c>
      <c r="F20" s="203">
        <v>9.3</v>
      </c>
      <c r="G20" s="203">
        <v>9.4</v>
      </c>
      <c r="H20" s="203">
        <v>9.5</v>
      </c>
      <c r="I20" s="203">
        <v>9.6</v>
      </c>
      <c r="J20" s="203">
        <v>9.65</v>
      </c>
      <c r="K20" s="203">
        <v>10.1</v>
      </c>
      <c r="L20" s="203">
        <v>9.797</v>
      </c>
      <c r="M20" s="203">
        <v>10.624</v>
      </c>
      <c r="N20" s="203">
        <v>10.409</v>
      </c>
      <c r="O20" s="203">
        <v>10.317</v>
      </c>
      <c r="P20" s="203">
        <v>10.69</v>
      </c>
      <c r="Q20" s="203">
        <v>10.692</v>
      </c>
      <c r="R20" s="203">
        <v>10.656</v>
      </c>
      <c r="S20" s="203">
        <v>10.699</v>
      </c>
      <c r="T20" s="203">
        <v>11.423</v>
      </c>
      <c r="U20" s="203">
        <v>11.447</v>
      </c>
      <c r="V20" s="203">
        <v>11.388</v>
      </c>
      <c r="W20" s="203">
        <v>11.266</v>
      </c>
      <c r="X20" s="203">
        <v>10.497</v>
      </c>
      <c r="Y20" s="203">
        <v>10.4</v>
      </c>
      <c r="Z20" s="203">
        <v>9.954</v>
      </c>
      <c r="AA20" s="208">
        <v>10.066</v>
      </c>
      <c r="AB20" s="208">
        <v>10.024</v>
      </c>
      <c r="AC20" s="208">
        <v>9.555</v>
      </c>
      <c r="AD20" s="208">
        <v>9.667</v>
      </c>
      <c r="AE20" s="120">
        <f t="shared" si="3"/>
        <v>1.172161172161168</v>
      </c>
      <c r="AF20" s="91" t="s">
        <v>28</v>
      </c>
      <c r="AH20" s="405"/>
      <c r="AI20"/>
      <c r="AJ20"/>
      <c r="AK20"/>
      <c r="AL20"/>
    </row>
    <row r="21" spans="1:38"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255" t="s">
        <v>36</v>
      </c>
      <c r="AF21" s="17" t="s">
        <v>7</v>
      </c>
      <c r="AH21" s="405"/>
      <c r="AI21"/>
      <c r="AJ21"/>
      <c r="AK21"/>
      <c r="AL21"/>
    </row>
    <row r="22" spans="1:38" ht="12.75" customHeight="1">
      <c r="A22" s="15"/>
      <c r="B22" s="91" t="s">
        <v>11</v>
      </c>
      <c r="C22" s="202" t="s">
        <v>0</v>
      </c>
      <c r="D22" s="202" t="s">
        <v>0</v>
      </c>
      <c r="E22" s="202" t="s">
        <v>0</v>
      </c>
      <c r="F22" s="203" t="s">
        <v>0</v>
      </c>
      <c r="G22" s="203" t="s">
        <v>0</v>
      </c>
      <c r="H22" s="203" t="s">
        <v>1</v>
      </c>
      <c r="I22" s="203">
        <v>4.6</v>
      </c>
      <c r="J22" s="203">
        <v>5.316</v>
      </c>
      <c r="K22" s="203">
        <v>6.06</v>
      </c>
      <c r="L22" s="203">
        <v>6.362</v>
      </c>
      <c r="M22" s="203">
        <v>6.569</v>
      </c>
      <c r="N22" s="203">
        <v>6.055</v>
      </c>
      <c r="O22" s="203">
        <v>6.467</v>
      </c>
      <c r="P22" s="203">
        <v>7.524</v>
      </c>
      <c r="Q22" s="203">
        <v>5.071</v>
      </c>
      <c r="R22" s="203">
        <v>3.15</v>
      </c>
      <c r="S22" s="203">
        <v>3.252</v>
      </c>
      <c r="T22" s="203">
        <v>3.381</v>
      </c>
      <c r="U22" s="203">
        <v>3.628</v>
      </c>
      <c r="V22" s="203">
        <v>2.711</v>
      </c>
      <c r="W22" s="203">
        <v>2.097</v>
      </c>
      <c r="X22" s="203">
        <v>1.573</v>
      </c>
      <c r="Y22" s="203">
        <v>2.35</v>
      </c>
      <c r="Z22" s="203">
        <v>2.416</v>
      </c>
      <c r="AA22" s="203">
        <v>2.631</v>
      </c>
      <c r="AB22" s="203">
        <v>2.279</v>
      </c>
      <c r="AC22" s="203">
        <v>2.376</v>
      </c>
      <c r="AD22" s="204">
        <v>1.965</v>
      </c>
      <c r="AE22" s="153">
        <f t="shared" si="3"/>
        <v>-17.297979797979792</v>
      </c>
      <c r="AF22" s="91" t="s">
        <v>11</v>
      </c>
      <c r="AH22" s="405"/>
      <c r="AI22"/>
      <c r="AJ22"/>
      <c r="AK22"/>
      <c r="AL22"/>
    </row>
    <row r="23" spans="1:38" ht="12.75" customHeight="1">
      <c r="A23" s="15"/>
      <c r="B23" s="17" t="s">
        <v>12</v>
      </c>
      <c r="C23" s="144" t="s">
        <v>0</v>
      </c>
      <c r="D23" s="144" t="s">
        <v>0</v>
      </c>
      <c r="E23" s="144" t="s">
        <v>0</v>
      </c>
      <c r="F23" s="59" t="s">
        <v>0</v>
      </c>
      <c r="G23" s="59" t="s">
        <v>0</v>
      </c>
      <c r="H23" s="59">
        <v>2</v>
      </c>
      <c r="I23" s="59">
        <v>1.9</v>
      </c>
      <c r="J23" s="59">
        <v>2.006</v>
      </c>
      <c r="K23" s="59">
        <v>2.308</v>
      </c>
      <c r="L23" s="59">
        <v>2.656</v>
      </c>
      <c r="M23" s="59">
        <v>2.964</v>
      </c>
      <c r="N23" s="59">
        <v>2.627</v>
      </c>
      <c r="O23" s="59">
        <v>3.4566999999999997</v>
      </c>
      <c r="P23" s="59">
        <v>4.7796</v>
      </c>
      <c r="Q23" s="59">
        <v>4.8916</v>
      </c>
      <c r="R23" s="59">
        <v>5.0848</v>
      </c>
      <c r="S23" s="59">
        <v>4.2874</v>
      </c>
      <c r="T23" s="59">
        <v>4.406</v>
      </c>
      <c r="U23" s="59">
        <v>2.67</v>
      </c>
      <c r="V23" s="59">
        <v>1.032</v>
      </c>
      <c r="W23" s="59">
        <v>0.527</v>
      </c>
      <c r="X23" s="59">
        <v>0.4103</v>
      </c>
      <c r="Y23" s="59">
        <v>0.5786</v>
      </c>
      <c r="Z23" s="59">
        <v>0.5913999999999999</v>
      </c>
      <c r="AA23" s="206">
        <v>0.6322</v>
      </c>
      <c r="AB23" s="206">
        <v>0.563</v>
      </c>
      <c r="AC23" s="206">
        <v>0.567</v>
      </c>
      <c r="AD23" s="236">
        <v>0.496</v>
      </c>
      <c r="AE23" s="152">
        <f t="shared" si="3"/>
        <v>-12.522045855379176</v>
      </c>
      <c r="AF23" s="17" t="s">
        <v>12</v>
      </c>
      <c r="AH23" s="405"/>
      <c r="AI23"/>
      <c r="AJ23"/>
      <c r="AK23"/>
      <c r="AL23"/>
    </row>
    <row r="24" spans="1:38" ht="12.75" customHeight="1">
      <c r="A24" s="15"/>
      <c r="B24" s="91" t="s">
        <v>29</v>
      </c>
      <c r="C24" s="202" t="s">
        <v>36</v>
      </c>
      <c r="D24" s="202" t="s">
        <v>36</v>
      </c>
      <c r="E24" s="202" t="s">
        <v>36</v>
      </c>
      <c r="F24" s="203" t="s">
        <v>36</v>
      </c>
      <c r="G24" s="203" t="s">
        <v>36</v>
      </c>
      <c r="H24" s="203" t="s">
        <v>36</v>
      </c>
      <c r="I24" s="203" t="s">
        <v>36</v>
      </c>
      <c r="J24" s="203" t="s">
        <v>36</v>
      </c>
      <c r="K24" s="203" t="s">
        <v>36</v>
      </c>
      <c r="L24" s="203" t="s">
        <v>36</v>
      </c>
      <c r="M24" s="203" t="s">
        <v>36</v>
      </c>
      <c r="N24" s="203" t="s">
        <v>36</v>
      </c>
      <c r="O24" s="203" t="s">
        <v>36</v>
      </c>
      <c r="P24" s="203" t="s">
        <v>36</v>
      </c>
      <c r="Q24" s="203" t="s">
        <v>36</v>
      </c>
      <c r="R24" s="203" t="s">
        <v>36</v>
      </c>
      <c r="S24" s="203" t="s">
        <v>36</v>
      </c>
      <c r="T24" s="203" t="s">
        <v>36</v>
      </c>
      <c r="U24" s="203" t="s">
        <v>36</v>
      </c>
      <c r="V24" s="203" t="s">
        <v>36</v>
      </c>
      <c r="W24" s="203" t="s">
        <v>36</v>
      </c>
      <c r="X24" s="203" t="s">
        <v>36</v>
      </c>
      <c r="Y24" s="203" t="s">
        <v>36</v>
      </c>
      <c r="Z24" s="203" t="s">
        <v>36</v>
      </c>
      <c r="AA24" s="203" t="s">
        <v>36</v>
      </c>
      <c r="AB24" s="208" t="s">
        <v>36</v>
      </c>
      <c r="AC24" s="208" t="s">
        <v>36</v>
      </c>
      <c r="AD24" s="261" t="s">
        <v>36</v>
      </c>
      <c r="AE24" s="256" t="s">
        <v>36</v>
      </c>
      <c r="AF24" s="91" t="s">
        <v>29</v>
      </c>
      <c r="AH24" s="405"/>
      <c r="AI24"/>
      <c r="AJ24"/>
      <c r="AK24"/>
      <c r="AL24"/>
    </row>
    <row r="25" spans="1:38" ht="12.75" customHeight="1">
      <c r="A25" s="15"/>
      <c r="B25" s="17" t="s">
        <v>10</v>
      </c>
      <c r="C25" s="205" t="s">
        <v>35</v>
      </c>
      <c r="D25" s="205" t="s">
        <v>35</v>
      </c>
      <c r="E25" s="205">
        <v>5.287</v>
      </c>
      <c r="F25" s="206" t="s">
        <v>35</v>
      </c>
      <c r="G25" s="206" t="s">
        <v>35</v>
      </c>
      <c r="H25" s="206" t="s">
        <v>35</v>
      </c>
      <c r="I25" s="206" t="s">
        <v>35</v>
      </c>
      <c r="J25" s="206">
        <v>2.1813</v>
      </c>
      <c r="K25" s="206">
        <v>2.3511</v>
      </c>
      <c r="L25" s="206">
        <v>1.81</v>
      </c>
      <c r="M25" s="206">
        <v>1.937</v>
      </c>
      <c r="N25" s="206">
        <v>2.316</v>
      </c>
      <c r="O25" s="206">
        <v>2.263</v>
      </c>
      <c r="P25" s="206">
        <v>2.521</v>
      </c>
      <c r="Q25" s="206">
        <v>2.445</v>
      </c>
      <c r="R25" s="206">
        <v>2.416</v>
      </c>
      <c r="S25" s="206">
        <v>2.546</v>
      </c>
      <c r="T25" s="206">
        <v>2.683</v>
      </c>
      <c r="U25" s="206">
        <v>3.041</v>
      </c>
      <c r="V25" s="206">
        <v>2.987</v>
      </c>
      <c r="W25" s="206">
        <v>2.9747</v>
      </c>
      <c r="X25" s="206">
        <v>3.0104</v>
      </c>
      <c r="Y25" s="206">
        <v>3.2137</v>
      </c>
      <c r="Z25" s="206">
        <v>3.119</v>
      </c>
      <c r="AA25" s="206">
        <v>2.75971</v>
      </c>
      <c r="AB25" s="206">
        <v>2.70246</v>
      </c>
      <c r="AC25" s="206">
        <v>2.797</v>
      </c>
      <c r="AD25" s="236">
        <v>2.46488</v>
      </c>
      <c r="AE25" s="152">
        <f t="shared" si="3"/>
        <v>-11.874150875938511</v>
      </c>
      <c r="AF25" s="17" t="s">
        <v>10</v>
      </c>
      <c r="AH25" s="405"/>
      <c r="AI25"/>
      <c r="AJ25"/>
      <c r="AK25"/>
      <c r="AL25"/>
    </row>
    <row r="26" spans="1:38"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57" t="s">
        <v>36</v>
      </c>
      <c r="AF26" s="58" t="s">
        <v>13</v>
      </c>
      <c r="AH26" s="405"/>
      <c r="AI26"/>
      <c r="AJ26"/>
      <c r="AK26"/>
      <c r="AL26"/>
    </row>
    <row r="27" spans="1:38" ht="12.75" customHeight="1">
      <c r="A27" s="15"/>
      <c r="B27" s="17" t="s">
        <v>21</v>
      </c>
      <c r="C27" s="144">
        <v>4.075</v>
      </c>
      <c r="D27" s="144">
        <v>5.044</v>
      </c>
      <c r="E27" s="144">
        <v>4.873</v>
      </c>
      <c r="F27" s="59">
        <v>5.43</v>
      </c>
      <c r="G27" s="59">
        <v>5.503</v>
      </c>
      <c r="H27" s="59">
        <v>5.491</v>
      </c>
      <c r="I27" s="59">
        <v>5.621</v>
      </c>
      <c r="J27" s="59">
        <v>5.278</v>
      </c>
      <c r="K27" s="59">
        <v>5.96</v>
      </c>
      <c r="L27" s="59">
        <v>6.04</v>
      </c>
      <c r="M27" s="59">
        <v>6.043</v>
      </c>
      <c r="N27" s="59">
        <v>6.008</v>
      </c>
      <c r="O27" s="59">
        <v>5.869</v>
      </c>
      <c r="P27" s="59">
        <v>5.827</v>
      </c>
      <c r="Q27" s="59">
        <v>6.017</v>
      </c>
      <c r="R27" s="59">
        <v>6.131</v>
      </c>
      <c r="S27" s="59">
        <v>6.09</v>
      </c>
      <c r="T27" s="59">
        <v>5.939</v>
      </c>
      <c r="U27" s="59">
        <v>5.828</v>
      </c>
      <c r="V27" s="59">
        <v>5.583</v>
      </c>
      <c r="W27" s="59">
        <v>5.967</v>
      </c>
      <c r="X27" s="59">
        <v>5.622</v>
      </c>
      <c r="Y27" s="59">
        <v>5.647</v>
      </c>
      <c r="Z27" s="59">
        <v>5.502</v>
      </c>
      <c r="AA27" s="206">
        <v>5.572</v>
      </c>
      <c r="AB27" s="206">
        <v>5.405</v>
      </c>
      <c r="AC27" s="206">
        <v>5.837</v>
      </c>
      <c r="AD27" s="236">
        <v>6.044</v>
      </c>
      <c r="AE27" s="152">
        <f t="shared" si="3"/>
        <v>3.546342299126266</v>
      </c>
      <c r="AF27" s="17" t="s">
        <v>21</v>
      </c>
      <c r="AH27" s="405"/>
      <c r="AI27"/>
      <c r="AJ27"/>
      <c r="AK27"/>
      <c r="AL27"/>
    </row>
    <row r="28" spans="1:38" ht="12.75" customHeight="1">
      <c r="A28" s="15"/>
      <c r="B28" s="91" t="s">
        <v>30</v>
      </c>
      <c r="C28" s="202">
        <v>3.62</v>
      </c>
      <c r="D28" s="202">
        <v>7.054</v>
      </c>
      <c r="E28" s="202">
        <v>6.37</v>
      </c>
      <c r="F28" s="203">
        <v>6.654</v>
      </c>
      <c r="G28" s="203">
        <v>6.701</v>
      </c>
      <c r="H28" s="203">
        <v>6.721</v>
      </c>
      <c r="I28" s="203">
        <v>6.99</v>
      </c>
      <c r="J28" s="203">
        <v>6.766</v>
      </c>
      <c r="K28" s="203">
        <v>7.073</v>
      </c>
      <c r="L28" s="203">
        <v>8.02</v>
      </c>
      <c r="M28" s="203">
        <v>8.164</v>
      </c>
      <c r="N28" s="203">
        <v>7.631</v>
      </c>
      <c r="O28" s="211">
        <v>7.563</v>
      </c>
      <c r="P28" s="211">
        <v>8.071</v>
      </c>
      <c r="Q28" s="211">
        <v>7.961</v>
      </c>
      <c r="R28" s="211">
        <v>7.763</v>
      </c>
      <c r="S28" s="203">
        <v>7.571</v>
      </c>
      <c r="T28" s="203">
        <v>7.78</v>
      </c>
      <c r="U28" s="203">
        <v>7.639</v>
      </c>
      <c r="V28" s="203">
        <v>7.226</v>
      </c>
      <c r="W28" s="203">
        <v>7.521</v>
      </c>
      <c r="X28" s="203">
        <v>7.304</v>
      </c>
      <c r="Y28" s="203">
        <v>7</v>
      </c>
      <c r="Z28" s="203">
        <v>7.228</v>
      </c>
      <c r="AA28" s="208">
        <v>7.146</v>
      </c>
      <c r="AB28" s="208">
        <v>8.392</v>
      </c>
      <c r="AC28" s="208">
        <v>8.259</v>
      </c>
      <c r="AD28" s="261">
        <v>8.475</v>
      </c>
      <c r="AE28" s="153">
        <f t="shared" si="3"/>
        <v>2.615328732292042</v>
      </c>
      <c r="AF28" s="91" t="s">
        <v>30</v>
      </c>
      <c r="AH28" s="405"/>
      <c r="AI28"/>
      <c r="AJ28"/>
      <c r="AK28"/>
      <c r="AL28"/>
    </row>
    <row r="29" spans="1:38" ht="12.75" customHeight="1">
      <c r="A29" s="15"/>
      <c r="B29" s="268" t="s">
        <v>14</v>
      </c>
      <c r="C29" s="269">
        <v>6.98</v>
      </c>
      <c r="D29" s="269">
        <v>17.12</v>
      </c>
      <c r="E29" s="270">
        <v>13.887</v>
      </c>
      <c r="F29" s="270">
        <v>10.39</v>
      </c>
      <c r="G29" s="270">
        <v>11.93</v>
      </c>
      <c r="H29" s="270">
        <v>12.2</v>
      </c>
      <c r="I29" s="270">
        <v>14.3</v>
      </c>
      <c r="J29" s="270">
        <v>13.493</v>
      </c>
      <c r="K29" s="270">
        <v>15.33</v>
      </c>
      <c r="L29" s="270">
        <v>14.97</v>
      </c>
      <c r="M29" s="270">
        <v>18.448</v>
      </c>
      <c r="N29" s="270">
        <v>19.417</v>
      </c>
      <c r="O29" s="270">
        <v>20.354</v>
      </c>
      <c r="P29" s="270">
        <v>21.0927</v>
      </c>
      <c r="Q29" s="270">
        <v>20.854</v>
      </c>
      <c r="R29" s="270">
        <v>23.871</v>
      </c>
      <c r="S29" s="270">
        <v>24.806</v>
      </c>
      <c r="T29" s="270">
        <v>25.388</v>
      </c>
      <c r="U29" s="270">
        <v>25.588099999999997</v>
      </c>
      <c r="V29" s="270">
        <v>23.513</v>
      </c>
      <c r="W29" s="270">
        <v>21.2473</v>
      </c>
      <c r="X29" s="270">
        <v>22.908</v>
      </c>
      <c r="Y29" s="270">
        <v>24.157</v>
      </c>
      <c r="Z29" s="270">
        <v>23.461</v>
      </c>
      <c r="AA29" s="270">
        <v>22.325</v>
      </c>
      <c r="AB29" s="270">
        <v>20.112</v>
      </c>
      <c r="AC29" s="270">
        <v>20.543</v>
      </c>
      <c r="AD29" s="330">
        <v>21.843</v>
      </c>
      <c r="AE29" s="336">
        <f t="shared" si="3"/>
        <v>6.3281896509760145</v>
      </c>
      <c r="AF29" s="268" t="s">
        <v>14</v>
      </c>
      <c r="AH29" s="405"/>
      <c r="AI29"/>
      <c r="AJ29"/>
      <c r="AK29"/>
      <c r="AL29"/>
    </row>
    <row r="30" spans="1:38" ht="12.75" customHeight="1">
      <c r="A30" s="15"/>
      <c r="B30" s="58" t="s">
        <v>31</v>
      </c>
      <c r="C30" s="210" t="s">
        <v>36</v>
      </c>
      <c r="D30" s="210" t="s">
        <v>36</v>
      </c>
      <c r="E30" s="210"/>
      <c r="F30" s="211" t="s">
        <v>36</v>
      </c>
      <c r="G30" s="211" t="s">
        <v>36</v>
      </c>
      <c r="H30" s="211" t="s">
        <v>36</v>
      </c>
      <c r="I30" s="211" t="s">
        <v>36</v>
      </c>
      <c r="J30" s="211" t="s">
        <v>36</v>
      </c>
      <c r="K30" s="211" t="s">
        <v>36</v>
      </c>
      <c r="L30" s="211" t="s">
        <v>36</v>
      </c>
      <c r="M30" s="211" t="s">
        <v>36</v>
      </c>
      <c r="N30" s="211" t="s">
        <v>36</v>
      </c>
      <c r="O30" s="211">
        <v>0.5</v>
      </c>
      <c r="P30" s="211">
        <v>0.5</v>
      </c>
      <c r="Q30" s="211">
        <v>0.5</v>
      </c>
      <c r="R30" s="211">
        <v>0.5</v>
      </c>
      <c r="S30" s="211">
        <v>0.5039606</v>
      </c>
      <c r="T30" s="211">
        <v>0.48450380000000004</v>
      </c>
      <c r="U30" s="211">
        <v>0.4535498</v>
      </c>
      <c r="V30" s="211">
        <v>0.477576</v>
      </c>
      <c r="W30" s="211">
        <v>0.44971740000000004</v>
      </c>
      <c r="X30" s="211">
        <v>0.41286740000000005</v>
      </c>
      <c r="Y30" s="211">
        <v>0.3826504</v>
      </c>
      <c r="Z30" s="211">
        <v>0.36348840000000004</v>
      </c>
      <c r="AA30" s="211">
        <v>0.3595086</v>
      </c>
      <c r="AB30" s="211">
        <v>0.350075</v>
      </c>
      <c r="AC30" s="211">
        <f>2.517*0.1474</f>
        <v>0.3710058</v>
      </c>
      <c r="AD30" s="249">
        <f>2.651*0.1474</f>
        <v>0.3907574</v>
      </c>
      <c r="AE30" s="244">
        <f t="shared" si="3"/>
        <v>5.323798172427502</v>
      </c>
      <c r="AF30" s="58" t="s">
        <v>31</v>
      </c>
      <c r="AH30" s="405"/>
      <c r="AI30"/>
      <c r="AJ30"/>
      <c r="AK30"/>
      <c r="AL30"/>
    </row>
    <row r="31" spans="1:38" ht="12.75" customHeight="1">
      <c r="A31" s="15"/>
      <c r="B31" s="268" t="s">
        <v>15</v>
      </c>
      <c r="C31" s="269">
        <v>1.84</v>
      </c>
      <c r="D31" s="269">
        <v>5.19</v>
      </c>
      <c r="E31" s="270">
        <v>5.062</v>
      </c>
      <c r="F31" s="270">
        <v>3.18</v>
      </c>
      <c r="G31" s="270">
        <v>2.558</v>
      </c>
      <c r="H31" s="270">
        <v>2.471</v>
      </c>
      <c r="I31" s="270">
        <v>2.801</v>
      </c>
      <c r="J31" s="270">
        <v>2.936</v>
      </c>
      <c r="K31" s="270">
        <v>2.662</v>
      </c>
      <c r="L31" s="270">
        <v>2.296</v>
      </c>
      <c r="M31" s="270">
        <v>2.258</v>
      </c>
      <c r="N31" s="270">
        <v>1.636</v>
      </c>
      <c r="O31" s="270">
        <v>1.392</v>
      </c>
      <c r="P31" s="270">
        <v>1.77</v>
      </c>
      <c r="Q31" s="270">
        <v>1.78</v>
      </c>
      <c r="R31" s="270">
        <v>1.59</v>
      </c>
      <c r="S31" s="270">
        <v>1.898</v>
      </c>
      <c r="T31" s="270">
        <v>2.21</v>
      </c>
      <c r="U31" s="270">
        <v>2.027</v>
      </c>
      <c r="V31" s="270">
        <v>1.849</v>
      </c>
      <c r="W31" s="270">
        <v>1.72</v>
      </c>
      <c r="X31" s="270">
        <v>1.243</v>
      </c>
      <c r="Y31" s="270">
        <v>0.996</v>
      </c>
      <c r="Z31" s="274">
        <v>0.879</v>
      </c>
      <c r="AA31" s="274">
        <v>0.785</v>
      </c>
      <c r="AB31" s="274">
        <v>0.829</v>
      </c>
      <c r="AC31" s="274">
        <v>0.984</v>
      </c>
      <c r="AD31" s="331">
        <v>1.029</v>
      </c>
      <c r="AE31" s="337">
        <f t="shared" si="3"/>
        <v>4.573170731707307</v>
      </c>
      <c r="AF31" s="268" t="s">
        <v>15</v>
      </c>
      <c r="AH31" s="405"/>
      <c r="AI31"/>
      <c r="AJ31"/>
      <c r="AK31"/>
      <c r="AL31"/>
    </row>
    <row r="32" spans="1:38"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57" t="s">
        <v>36</v>
      </c>
      <c r="AF32" s="58" t="s">
        <v>17</v>
      </c>
      <c r="AH32" s="405"/>
      <c r="AI32"/>
      <c r="AJ32"/>
      <c r="AK32"/>
      <c r="AL32"/>
    </row>
    <row r="33" spans="1:38" ht="12.75" customHeight="1">
      <c r="A33" s="15"/>
      <c r="B33" s="268" t="s">
        <v>16</v>
      </c>
      <c r="C33" s="269"/>
      <c r="D33" s="269"/>
      <c r="E33" s="270"/>
      <c r="F33" s="270"/>
      <c r="G33" s="270"/>
      <c r="H33" s="270">
        <v>5.4</v>
      </c>
      <c r="I33" s="270">
        <v>6.2</v>
      </c>
      <c r="J33" s="284">
        <v>6.1</v>
      </c>
      <c r="K33" s="284">
        <v>5.8</v>
      </c>
      <c r="L33" s="284">
        <v>5.5</v>
      </c>
      <c r="M33" s="284">
        <v>5.6</v>
      </c>
      <c r="N33" s="284">
        <v>5.2</v>
      </c>
      <c r="O33" s="284">
        <v>4.6</v>
      </c>
      <c r="P33" s="284">
        <v>4.8</v>
      </c>
      <c r="Q33" s="284">
        <v>4.7</v>
      </c>
      <c r="R33" s="284">
        <v>5</v>
      </c>
      <c r="S33" s="284">
        <v>5.2</v>
      </c>
      <c r="T33" s="284">
        <v>5.3</v>
      </c>
      <c r="U33" s="284">
        <v>5.6</v>
      </c>
      <c r="V33" s="284">
        <v>5.3</v>
      </c>
      <c r="W33" s="284">
        <v>5.3</v>
      </c>
      <c r="X33" s="284">
        <v>5.35</v>
      </c>
      <c r="Y33" s="284">
        <v>5.0375</v>
      </c>
      <c r="Z33" s="284">
        <v>4.96</v>
      </c>
      <c r="AA33" s="284">
        <v>4.209</v>
      </c>
      <c r="AB33" s="284">
        <f>4.894</f>
        <v>4.894</v>
      </c>
      <c r="AC33" s="284">
        <v>4.4725</v>
      </c>
      <c r="AD33" s="340">
        <f>9.932*0.5</f>
        <v>4.966</v>
      </c>
      <c r="AE33" s="353">
        <f t="shared" si="3"/>
        <v>11.034097261039676</v>
      </c>
      <c r="AF33" s="268" t="s">
        <v>16</v>
      </c>
      <c r="AH33" s="405"/>
      <c r="AI33"/>
      <c r="AJ33"/>
      <c r="AK33"/>
      <c r="AL33"/>
    </row>
    <row r="34" spans="1:38" ht="12.75" customHeight="1">
      <c r="A34" s="15"/>
      <c r="B34" s="91" t="s">
        <v>32</v>
      </c>
      <c r="C34" s="207" t="s">
        <v>36</v>
      </c>
      <c r="D34" s="207" t="s">
        <v>36</v>
      </c>
      <c r="E34" s="207" t="s">
        <v>36</v>
      </c>
      <c r="F34" s="208" t="s">
        <v>36</v>
      </c>
      <c r="G34" s="208" t="s">
        <v>36</v>
      </c>
      <c r="H34" s="208" t="s">
        <v>36</v>
      </c>
      <c r="I34" s="208" t="s">
        <v>36</v>
      </c>
      <c r="J34" s="208" t="s">
        <v>36</v>
      </c>
      <c r="K34" s="208" t="s">
        <v>36</v>
      </c>
      <c r="L34" s="208" t="s">
        <v>36</v>
      </c>
      <c r="M34" s="208" t="s">
        <v>36</v>
      </c>
      <c r="N34" s="208" t="s">
        <v>36</v>
      </c>
      <c r="O34" s="208" t="s">
        <v>36</v>
      </c>
      <c r="P34" s="208" t="s">
        <v>36</v>
      </c>
      <c r="Q34" s="208" t="s">
        <v>36</v>
      </c>
      <c r="R34" s="208" t="s">
        <v>36</v>
      </c>
      <c r="S34" s="208" t="s">
        <v>36</v>
      </c>
      <c r="T34" s="208" t="s">
        <v>36</v>
      </c>
      <c r="U34" s="208" t="s">
        <v>36</v>
      </c>
      <c r="V34" s="208" t="s">
        <v>36</v>
      </c>
      <c r="W34" s="208" t="s">
        <v>36</v>
      </c>
      <c r="X34" s="208" t="s">
        <v>36</v>
      </c>
      <c r="Y34" s="208" t="s">
        <v>36</v>
      </c>
      <c r="Z34" s="208" t="s">
        <v>36</v>
      </c>
      <c r="AA34" s="208" t="s">
        <v>36</v>
      </c>
      <c r="AB34" s="208" t="s">
        <v>36</v>
      </c>
      <c r="AC34" s="208" t="s">
        <v>36</v>
      </c>
      <c r="AD34" s="261" t="s">
        <v>36</v>
      </c>
      <c r="AE34" s="256" t="s">
        <v>36</v>
      </c>
      <c r="AF34" s="91" t="s">
        <v>32</v>
      </c>
      <c r="AH34" s="405"/>
      <c r="AI34"/>
      <c r="AJ34"/>
      <c r="AK34"/>
      <c r="AL34"/>
    </row>
    <row r="35" spans="1:38"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275" t="s">
        <v>36</v>
      </c>
      <c r="AF35" s="268" t="s">
        <v>33</v>
      </c>
      <c r="AH35" s="405"/>
      <c r="AI35"/>
      <c r="AJ35"/>
      <c r="AK35"/>
      <c r="AL35"/>
    </row>
    <row r="36" spans="1:38" ht="12.75" customHeight="1">
      <c r="A36" s="15"/>
      <c r="B36" s="276" t="s">
        <v>22</v>
      </c>
      <c r="C36" s="277">
        <v>2.665</v>
      </c>
      <c r="D36" s="277">
        <v>10.078</v>
      </c>
      <c r="E36" s="278">
        <v>11.1</v>
      </c>
      <c r="F36" s="278">
        <v>11.07</v>
      </c>
      <c r="G36" s="278">
        <v>11</v>
      </c>
      <c r="H36" s="278">
        <v>11.6</v>
      </c>
      <c r="I36" s="278">
        <v>12</v>
      </c>
      <c r="J36" s="278">
        <v>11.1</v>
      </c>
      <c r="K36" s="278">
        <v>11.623</v>
      </c>
      <c r="L36" s="278">
        <v>11.235</v>
      </c>
      <c r="M36" s="278">
        <v>11.666</v>
      </c>
      <c r="N36" s="278">
        <v>11.637</v>
      </c>
      <c r="O36" s="278">
        <v>11.424</v>
      </c>
      <c r="P36" s="278">
        <v>11.562</v>
      </c>
      <c r="Q36" s="278">
        <v>10.935</v>
      </c>
      <c r="R36" s="278">
        <v>10.484</v>
      </c>
      <c r="S36" s="278">
        <v>10.657</v>
      </c>
      <c r="T36" s="278">
        <v>10.78</v>
      </c>
      <c r="U36" s="278">
        <v>10.777</v>
      </c>
      <c r="V36" s="278">
        <v>10.229</v>
      </c>
      <c r="W36" s="278">
        <v>10.18</v>
      </c>
      <c r="X36" s="278">
        <v>10.185</v>
      </c>
      <c r="Y36" s="280">
        <v>10.165</v>
      </c>
      <c r="Z36" s="280">
        <v>10.1</v>
      </c>
      <c r="AA36" s="280">
        <v>9.914</v>
      </c>
      <c r="AB36" s="296">
        <v>9.961410689886756</v>
      </c>
      <c r="AC36" s="296">
        <f>AVERAGE(Z36:AB36)</f>
        <v>9.991803563295585</v>
      </c>
      <c r="AD36" s="347">
        <f>AVERAGE(AA36:AC36)</f>
        <v>9.955738084394113</v>
      </c>
      <c r="AE36" s="338">
        <f t="shared" si="3"/>
        <v>-0.36095063992208054</v>
      </c>
      <c r="AF36" s="276" t="s">
        <v>22</v>
      </c>
      <c r="AH36" s="405"/>
      <c r="AI36"/>
      <c r="AJ36"/>
      <c r="AK36"/>
      <c r="AL36"/>
    </row>
    <row r="37" spans="1:38" ht="12.75" customHeight="1">
      <c r="A37" s="15"/>
      <c r="B37" s="16" t="s">
        <v>121</v>
      </c>
      <c r="C37" s="112" t="s">
        <v>36</v>
      </c>
      <c r="D37" s="112" t="s">
        <v>36</v>
      </c>
      <c r="E37" s="218" t="s">
        <v>36</v>
      </c>
      <c r="F37" s="218" t="s">
        <v>36</v>
      </c>
      <c r="G37" s="218" t="s">
        <v>36</v>
      </c>
      <c r="H37" s="218" t="s">
        <v>36</v>
      </c>
      <c r="I37" s="218" t="s">
        <v>36</v>
      </c>
      <c r="J37" s="218" t="s">
        <v>36</v>
      </c>
      <c r="K37" s="218" t="s">
        <v>36</v>
      </c>
      <c r="L37" s="218" t="s">
        <v>36</v>
      </c>
      <c r="M37" s="218" t="s">
        <v>36</v>
      </c>
      <c r="N37" s="218" t="s">
        <v>36</v>
      </c>
      <c r="O37" s="218" t="s">
        <v>36</v>
      </c>
      <c r="P37" s="218" t="s">
        <v>36</v>
      </c>
      <c r="Q37" s="218" t="s">
        <v>36</v>
      </c>
      <c r="R37" s="218" t="s">
        <v>36</v>
      </c>
      <c r="S37" s="218" t="s">
        <v>36</v>
      </c>
      <c r="T37" s="218" t="s">
        <v>36</v>
      </c>
      <c r="U37" s="218" t="s">
        <v>36</v>
      </c>
      <c r="V37" s="218" t="s">
        <v>36</v>
      </c>
      <c r="W37" s="218" t="s">
        <v>36</v>
      </c>
      <c r="X37" s="218" t="s">
        <v>36</v>
      </c>
      <c r="Y37" s="267" t="s">
        <v>36</v>
      </c>
      <c r="Z37" s="267" t="s">
        <v>36</v>
      </c>
      <c r="AA37" s="267" t="s">
        <v>36</v>
      </c>
      <c r="AB37" s="267" t="s">
        <v>36</v>
      </c>
      <c r="AC37" s="267" t="s">
        <v>36</v>
      </c>
      <c r="AD37" s="341" t="s">
        <v>36</v>
      </c>
      <c r="AE37" s="343" t="s">
        <v>36</v>
      </c>
      <c r="AF37" s="16" t="s">
        <v>121</v>
      </c>
      <c r="AH37" s="405"/>
      <c r="AI37"/>
      <c r="AJ37"/>
      <c r="AK37"/>
      <c r="AL37"/>
    </row>
    <row r="38" spans="1:38" ht="12.75" customHeight="1">
      <c r="A38" s="15"/>
      <c r="B38" s="276" t="s">
        <v>112</v>
      </c>
      <c r="C38" s="344" t="s">
        <v>36</v>
      </c>
      <c r="D38" s="344" t="s">
        <v>36</v>
      </c>
      <c r="E38" s="280" t="s">
        <v>36</v>
      </c>
      <c r="F38" s="280" t="s">
        <v>36</v>
      </c>
      <c r="G38" s="280" t="s">
        <v>36</v>
      </c>
      <c r="H38" s="280" t="s">
        <v>36</v>
      </c>
      <c r="I38" s="280" t="s">
        <v>36</v>
      </c>
      <c r="J38" s="280" t="s">
        <v>36</v>
      </c>
      <c r="K38" s="278" t="s">
        <v>36</v>
      </c>
      <c r="L38" s="278" t="s">
        <v>36</v>
      </c>
      <c r="M38" s="278" t="s">
        <v>36</v>
      </c>
      <c r="N38" s="278" t="s">
        <v>36</v>
      </c>
      <c r="O38" s="280" t="s">
        <v>36</v>
      </c>
      <c r="P38" s="280" t="s">
        <v>36</v>
      </c>
      <c r="Q38" s="280" t="s">
        <v>36</v>
      </c>
      <c r="R38" s="280" t="s">
        <v>36</v>
      </c>
      <c r="S38" s="280" t="s">
        <v>36</v>
      </c>
      <c r="T38" s="280" t="s">
        <v>36</v>
      </c>
      <c r="U38" s="280" t="s">
        <v>36</v>
      </c>
      <c r="V38" s="280" t="s">
        <v>36</v>
      </c>
      <c r="W38" s="280" t="s">
        <v>36</v>
      </c>
      <c r="X38" s="280" t="s">
        <v>36</v>
      </c>
      <c r="Y38" s="280" t="s">
        <v>36</v>
      </c>
      <c r="Z38" s="280" t="s">
        <v>36</v>
      </c>
      <c r="AA38" s="280" t="s">
        <v>36</v>
      </c>
      <c r="AB38" s="280" t="s">
        <v>36</v>
      </c>
      <c r="AC38" s="280" t="s">
        <v>36</v>
      </c>
      <c r="AD38" s="325" t="s">
        <v>36</v>
      </c>
      <c r="AE38" s="306" t="s">
        <v>36</v>
      </c>
      <c r="AF38" s="276" t="s">
        <v>112</v>
      </c>
      <c r="AH38" s="405"/>
      <c r="AI38"/>
      <c r="AJ38"/>
      <c r="AK38"/>
      <c r="AL38"/>
    </row>
    <row r="39" spans="1:38" ht="12.75" customHeight="1">
      <c r="A39" s="15"/>
      <c r="B39" s="17" t="s">
        <v>3</v>
      </c>
      <c r="C39" s="106" t="s">
        <v>36</v>
      </c>
      <c r="D39" s="106" t="s">
        <v>36</v>
      </c>
      <c r="E39" s="59" t="s">
        <v>36</v>
      </c>
      <c r="F39" s="59" t="s">
        <v>36</v>
      </c>
      <c r="G39" s="59" t="s">
        <v>36</v>
      </c>
      <c r="H39" s="59" t="s">
        <v>36</v>
      </c>
      <c r="I39" s="59" t="s">
        <v>36</v>
      </c>
      <c r="J39" s="59" t="s">
        <v>36</v>
      </c>
      <c r="K39" s="59" t="s">
        <v>36</v>
      </c>
      <c r="L39" s="59" t="s">
        <v>36</v>
      </c>
      <c r="M39" s="59" t="s">
        <v>36</v>
      </c>
      <c r="N39" s="59" t="s">
        <v>36</v>
      </c>
      <c r="O39" s="59" t="s">
        <v>36</v>
      </c>
      <c r="P39" s="59" t="s">
        <v>36</v>
      </c>
      <c r="Q39" s="59">
        <v>0.04</v>
      </c>
      <c r="R39" s="59">
        <v>0.121</v>
      </c>
      <c r="S39" s="59">
        <v>0.12</v>
      </c>
      <c r="T39" s="59">
        <v>0.149</v>
      </c>
      <c r="U39" s="59">
        <v>0.17</v>
      </c>
      <c r="V39" s="59">
        <v>0.164</v>
      </c>
      <c r="W39" s="59">
        <v>0.164</v>
      </c>
      <c r="X39" s="59">
        <v>0.144</v>
      </c>
      <c r="Y39" s="59">
        <v>0.123</v>
      </c>
      <c r="Z39" s="59">
        <v>0.098</v>
      </c>
      <c r="AA39" s="206">
        <v>0.037</v>
      </c>
      <c r="AB39" s="189" t="s">
        <v>36</v>
      </c>
      <c r="AC39" s="189" t="s">
        <v>36</v>
      </c>
      <c r="AD39" s="129" t="s">
        <v>36</v>
      </c>
      <c r="AE39" s="255" t="s">
        <v>36</v>
      </c>
      <c r="AF39" s="17" t="s">
        <v>3</v>
      </c>
      <c r="AH39"/>
      <c r="AI39"/>
      <c r="AJ39"/>
      <c r="AK39"/>
      <c r="AL39"/>
    </row>
    <row r="40" spans="1:38" ht="12.75" customHeight="1">
      <c r="A40" s="15"/>
      <c r="B40" s="276" t="s">
        <v>113</v>
      </c>
      <c r="C40" s="277" t="s">
        <v>36</v>
      </c>
      <c r="D40" s="277" t="s">
        <v>36</v>
      </c>
      <c r="E40" s="278" t="s">
        <v>36</v>
      </c>
      <c r="F40" s="278" t="s">
        <v>36</v>
      </c>
      <c r="G40" s="278" t="s">
        <v>36</v>
      </c>
      <c r="H40" s="278" t="s">
        <v>36</v>
      </c>
      <c r="I40" s="278" t="s">
        <v>36</v>
      </c>
      <c r="J40" s="278" t="s">
        <v>36</v>
      </c>
      <c r="K40" s="278" t="s">
        <v>36</v>
      </c>
      <c r="L40" s="278" t="s">
        <v>36</v>
      </c>
      <c r="M40" s="278" t="s">
        <v>36</v>
      </c>
      <c r="N40" s="278" t="s">
        <v>36</v>
      </c>
      <c r="O40" s="278" t="s">
        <v>36</v>
      </c>
      <c r="P40" s="278" t="s">
        <v>36</v>
      </c>
      <c r="Q40" s="278" t="s">
        <v>36</v>
      </c>
      <c r="R40" s="278" t="s">
        <v>36</v>
      </c>
      <c r="S40" s="278" t="s">
        <v>36</v>
      </c>
      <c r="T40" s="278" t="s">
        <v>36</v>
      </c>
      <c r="U40" s="278">
        <v>0.47</v>
      </c>
      <c r="V40" s="278">
        <v>0.452</v>
      </c>
      <c r="W40" s="278">
        <v>0.462</v>
      </c>
      <c r="X40" s="278">
        <v>0.402</v>
      </c>
      <c r="Y40" s="278">
        <v>0.381</v>
      </c>
      <c r="Z40" s="278">
        <v>0.311</v>
      </c>
      <c r="AA40" s="278">
        <v>0.295</v>
      </c>
      <c r="AB40" s="280">
        <v>0.381</v>
      </c>
      <c r="AC40" s="280">
        <v>0.355</v>
      </c>
      <c r="AD40" s="325">
        <v>0.405</v>
      </c>
      <c r="AE40" s="338">
        <f t="shared" si="3"/>
        <v>14.08450704225352</v>
      </c>
      <c r="AF40" s="276" t="s">
        <v>113</v>
      </c>
      <c r="AH40"/>
      <c r="AI40"/>
      <c r="AJ40"/>
      <c r="AK40"/>
      <c r="AL40"/>
    </row>
    <row r="41" spans="1:38" ht="12.75" customHeight="1">
      <c r="A41" s="15"/>
      <c r="B41" s="18" t="s">
        <v>18</v>
      </c>
      <c r="C41" s="108">
        <v>1.3</v>
      </c>
      <c r="D41" s="108">
        <v>13.8</v>
      </c>
      <c r="E41" s="60" t="s">
        <v>35</v>
      </c>
      <c r="F41" s="60" t="s">
        <v>0</v>
      </c>
      <c r="G41" s="60">
        <v>3.1</v>
      </c>
      <c r="H41" s="60">
        <v>3.1</v>
      </c>
      <c r="I41" s="60">
        <v>3.1</v>
      </c>
      <c r="J41" s="60">
        <v>3.2</v>
      </c>
      <c r="K41" s="60">
        <v>4</v>
      </c>
      <c r="L41" s="60">
        <v>21</v>
      </c>
      <c r="M41" s="60">
        <v>39.7</v>
      </c>
      <c r="N41" s="60">
        <v>43.478</v>
      </c>
      <c r="O41" s="60">
        <v>53.134</v>
      </c>
      <c r="P41" s="60">
        <v>43.518</v>
      </c>
      <c r="Q41" s="60">
        <v>47.691</v>
      </c>
      <c r="R41" s="60">
        <v>18.127734</v>
      </c>
      <c r="S41" s="60">
        <v>11.927373</v>
      </c>
      <c r="T41" s="60">
        <v>5.735652</v>
      </c>
      <c r="U41" s="60">
        <v>5.84076</v>
      </c>
      <c r="V41" s="60">
        <v>12.893485</v>
      </c>
      <c r="W41" s="60">
        <v>36.397749</v>
      </c>
      <c r="X41" s="60">
        <v>45.111153</v>
      </c>
      <c r="Y41" s="60">
        <v>39.636438</v>
      </c>
      <c r="Z41" s="60">
        <v>44.69</v>
      </c>
      <c r="AA41" s="335">
        <f>37268707/1000000</f>
        <v>37.268707</v>
      </c>
      <c r="AB41" s="335">
        <v>26.714</v>
      </c>
      <c r="AC41" s="335">
        <v>15.331</v>
      </c>
      <c r="AD41" s="447">
        <v>52.514452</v>
      </c>
      <c r="AE41" s="329">
        <f t="shared" si="3"/>
        <v>242.5376818211467</v>
      </c>
      <c r="AF41" s="18" t="s">
        <v>18</v>
      </c>
      <c r="AH41"/>
      <c r="AI41"/>
      <c r="AJ41"/>
      <c r="AK41"/>
      <c r="AL41"/>
    </row>
    <row r="42" spans="1:38" ht="12.75" customHeight="1">
      <c r="A42" s="15"/>
      <c r="B42" s="276" t="s">
        <v>4</v>
      </c>
      <c r="C42" s="342" t="s">
        <v>36</v>
      </c>
      <c r="D42" s="342" t="s">
        <v>36</v>
      </c>
      <c r="E42" s="297" t="s">
        <v>36</v>
      </c>
      <c r="F42" s="297" t="s">
        <v>36</v>
      </c>
      <c r="G42" s="297" t="s">
        <v>36</v>
      </c>
      <c r="H42" s="297" t="s">
        <v>36</v>
      </c>
      <c r="I42" s="297" t="s">
        <v>36</v>
      </c>
      <c r="J42" s="297" t="s">
        <v>36</v>
      </c>
      <c r="K42" s="297" t="s">
        <v>36</v>
      </c>
      <c r="L42" s="297" t="s">
        <v>36</v>
      </c>
      <c r="M42" s="297" t="s">
        <v>36</v>
      </c>
      <c r="N42" s="297" t="s">
        <v>36</v>
      </c>
      <c r="O42" s="297" t="s">
        <v>36</v>
      </c>
      <c r="P42" s="297" t="s">
        <v>36</v>
      </c>
      <c r="Q42" s="297" t="s">
        <v>36</v>
      </c>
      <c r="R42" s="297" t="s">
        <v>36</v>
      </c>
      <c r="S42" s="297" t="s">
        <v>36</v>
      </c>
      <c r="T42" s="297" t="s">
        <v>36</v>
      </c>
      <c r="U42" s="297" t="s">
        <v>36</v>
      </c>
      <c r="V42" s="297" t="s">
        <v>36</v>
      </c>
      <c r="W42" s="297" t="s">
        <v>36</v>
      </c>
      <c r="X42" s="297" t="s">
        <v>36</v>
      </c>
      <c r="Y42" s="297" t="s">
        <v>36</v>
      </c>
      <c r="Z42" s="297" t="s">
        <v>36</v>
      </c>
      <c r="AA42" s="298" t="s">
        <v>36</v>
      </c>
      <c r="AB42" s="280" t="s">
        <v>36</v>
      </c>
      <c r="AC42" s="280" t="s">
        <v>36</v>
      </c>
      <c r="AD42" s="325" t="s">
        <v>36</v>
      </c>
      <c r="AE42" s="306" t="s">
        <v>36</v>
      </c>
      <c r="AF42" s="276" t="s">
        <v>4</v>
      </c>
      <c r="AH42"/>
      <c r="AI42"/>
      <c r="AJ42"/>
      <c r="AK42"/>
      <c r="AL42"/>
    </row>
    <row r="43" spans="1:38" ht="12.75" customHeight="1">
      <c r="A43" s="15"/>
      <c r="B43" s="17" t="s">
        <v>34</v>
      </c>
      <c r="C43" s="106" t="s">
        <v>36</v>
      </c>
      <c r="D43" s="106" t="s">
        <v>36</v>
      </c>
      <c r="E43" s="59">
        <v>2.055</v>
      </c>
      <c r="F43" s="59">
        <v>2.505</v>
      </c>
      <c r="G43" s="59">
        <v>3.071</v>
      </c>
      <c r="H43" s="59">
        <v>3.39</v>
      </c>
      <c r="I43" s="59">
        <v>4.049</v>
      </c>
      <c r="J43" s="59">
        <v>5.261</v>
      </c>
      <c r="K43" s="59">
        <v>5.126</v>
      </c>
      <c r="L43" s="59">
        <v>4.16</v>
      </c>
      <c r="M43" s="59">
        <v>4.136</v>
      </c>
      <c r="N43" s="59">
        <v>3.981</v>
      </c>
      <c r="O43" s="59">
        <v>3.485</v>
      </c>
      <c r="P43" s="59">
        <v>3.681</v>
      </c>
      <c r="Q43" s="59">
        <v>3.601</v>
      </c>
      <c r="R43" s="59">
        <v>3.494</v>
      </c>
      <c r="S43" s="59">
        <v>4.721</v>
      </c>
      <c r="T43" s="59">
        <v>4.59</v>
      </c>
      <c r="U43" s="59">
        <v>4.529</v>
      </c>
      <c r="V43" s="59">
        <v>4.192</v>
      </c>
      <c r="W43" s="59">
        <v>3.827</v>
      </c>
      <c r="X43" s="59">
        <v>3.854</v>
      </c>
      <c r="Y43" s="59">
        <v>3.465</v>
      </c>
      <c r="Z43" s="59">
        <v>3.372</v>
      </c>
      <c r="AA43" s="206">
        <v>3.115</v>
      </c>
      <c r="AB43" s="206">
        <v>2.724</v>
      </c>
      <c r="AC43" s="206">
        <v>2.845</v>
      </c>
      <c r="AD43" s="236">
        <v>3.377</v>
      </c>
      <c r="AE43" s="152">
        <f t="shared" si="3"/>
        <v>18.699472759226694</v>
      </c>
      <c r="AF43" s="17" t="s">
        <v>34</v>
      </c>
      <c r="AH43"/>
      <c r="AI43"/>
      <c r="AJ43"/>
      <c r="AK43"/>
      <c r="AL43"/>
    </row>
    <row r="44" spans="1:32" ht="12.75" customHeight="1">
      <c r="A44" s="15"/>
      <c r="B44" s="321" t="s">
        <v>5</v>
      </c>
      <c r="C44" s="322">
        <v>1.2</v>
      </c>
      <c r="D44" s="322">
        <v>1.1</v>
      </c>
      <c r="E44" s="345">
        <v>1.2</v>
      </c>
      <c r="F44" s="281">
        <v>1.227</v>
      </c>
      <c r="G44" s="281">
        <v>1.265</v>
      </c>
      <c r="H44" s="281">
        <v>1.221</v>
      </c>
      <c r="I44" s="281">
        <v>1.211</v>
      </c>
      <c r="J44" s="346">
        <v>1.248</v>
      </c>
      <c r="K44" s="281">
        <v>1.202</v>
      </c>
      <c r="L44" s="281">
        <v>0.289</v>
      </c>
      <c r="M44" s="281">
        <v>0.234</v>
      </c>
      <c r="N44" s="281">
        <v>0.233</v>
      </c>
      <c r="O44" s="281">
        <v>0.216</v>
      </c>
      <c r="P44" s="281">
        <v>0.23</v>
      </c>
      <c r="Q44" s="281">
        <v>0.226</v>
      </c>
      <c r="R44" s="281">
        <v>0.222</v>
      </c>
      <c r="S44" s="281">
        <v>0.238</v>
      </c>
      <c r="T44" s="281">
        <v>0.226</v>
      </c>
      <c r="U44" s="281">
        <v>0.256</v>
      </c>
      <c r="V44" s="281">
        <v>0.217</v>
      </c>
      <c r="W44" s="281">
        <v>0.248</v>
      </c>
      <c r="X44" s="281">
        <v>0.233</v>
      </c>
      <c r="Y44" s="281">
        <v>0.218</v>
      </c>
      <c r="Z44" s="281">
        <v>0.203</v>
      </c>
      <c r="AA44" s="281">
        <v>0.183</v>
      </c>
      <c r="AB44" s="281">
        <v>0.228</v>
      </c>
      <c r="AC44" s="281">
        <v>0.237</v>
      </c>
      <c r="AD44" s="401" t="s">
        <v>36</v>
      </c>
      <c r="AE44" s="352" t="s">
        <v>36</v>
      </c>
      <c r="AF44" s="321" t="s">
        <v>5</v>
      </c>
    </row>
    <row r="45" spans="2:19" ht="15" customHeight="1">
      <c r="B45" s="11" t="s">
        <v>81</v>
      </c>
      <c r="C45" s="65"/>
      <c r="D45" s="65"/>
      <c r="E45" s="65"/>
      <c r="F45" s="65"/>
      <c r="G45" s="65"/>
      <c r="H45" s="65"/>
      <c r="I45" s="65"/>
      <c r="J45" s="65"/>
      <c r="K45" s="65"/>
      <c r="L45" s="65"/>
      <c r="M45" s="65"/>
      <c r="N45" s="65"/>
      <c r="O45" s="65"/>
      <c r="P45" s="65"/>
      <c r="Q45" s="65"/>
      <c r="R45" s="65"/>
      <c r="S45" s="65"/>
    </row>
    <row r="46" spans="2:19" ht="12.75" customHeight="1">
      <c r="B46" s="522" t="s">
        <v>2</v>
      </c>
      <c r="C46" s="522"/>
      <c r="D46" s="522"/>
      <c r="E46" s="522"/>
      <c r="F46" s="522"/>
      <c r="G46" s="522"/>
      <c r="H46" s="522"/>
      <c r="I46" s="522"/>
      <c r="J46" s="522"/>
      <c r="K46" s="522"/>
      <c r="L46" s="522"/>
      <c r="M46" s="522"/>
      <c r="N46" s="522"/>
      <c r="O46" s="522"/>
      <c r="P46" s="522"/>
      <c r="Q46" s="522"/>
      <c r="R46" s="522"/>
      <c r="S46" s="522"/>
    </row>
    <row r="47" spans="2:33" ht="15" customHeight="1">
      <c r="B47" s="523" t="s">
        <v>125</v>
      </c>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row>
    <row r="48" spans="2:32" ht="12.75" customHeight="1">
      <c r="B48" s="104" t="s">
        <v>88</v>
      </c>
      <c r="C48" s="48"/>
      <c r="D48" s="48"/>
      <c r="E48" s="48"/>
      <c r="F48" s="48"/>
      <c r="G48" s="48"/>
      <c r="H48" s="48"/>
      <c r="I48" s="48"/>
      <c r="J48" s="48"/>
      <c r="K48" s="48"/>
      <c r="L48" s="48"/>
      <c r="M48" s="48"/>
      <c r="N48" s="48"/>
      <c r="O48" s="48"/>
      <c r="P48" s="48"/>
      <c r="Q48" s="48"/>
      <c r="R48" s="48"/>
      <c r="S48" s="48"/>
      <c r="T48" s="48"/>
      <c r="U48" s="48"/>
      <c r="V48" s="48"/>
      <c r="W48" s="48"/>
      <c r="X48" s="48"/>
      <c r="AA48" s="48"/>
      <c r="AB48" s="48"/>
      <c r="AC48" s="48"/>
      <c r="AD48" s="48"/>
      <c r="AE48" s="48"/>
      <c r="AF48" s="48"/>
    </row>
    <row r="49" spans="2:32" ht="16.5" customHeight="1">
      <c r="B49" s="104" t="s">
        <v>89</v>
      </c>
      <c r="C49" s="48"/>
      <c r="D49" s="48"/>
      <c r="E49" s="48"/>
      <c r="F49" s="48"/>
      <c r="G49" s="48"/>
      <c r="H49" s="48"/>
      <c r="I49" s="48"/>
      <c r="J49" s="48"/>
      <c r="K49" s="48"/>
      <c r="L49" s="48"/>
      <c r="M49" s="48"/>
      <c r="N49" s="48"/>
      <c r="O49" s="48"/>
      <c r="X49" s="48"/>
      <c r="AA49" s="48"/>
      <c r="AB49" s="48"/>
      <c r="AC49" s="48"/>
      <c r="AD49" s="48"/>
      <c r="AE49" s="48"/>
      <c r="AF49" s="48"/>
    </row>
    <row r="52" spans="27:30" ht="11.25">
      <c r="AA52" s="48"/>
      <c r="AB52" s="48"/>
      <c r="AC52" s="48"/>
      <c r="AD52" s="48"/>
    </row>
    <row r="53" spans="27:30" ht="11.25">
      <c r="AA53" s="48"/>
      <c r="AB53" s="48"/>
      <c r="AC53" s="48"/>
      <c r="AD53" s="48"/>
    </row>
  </sheetData>
  <sheetProtection/>
  <mergeCells count="4">
    <mergeCell ref="B2:AF2"/>
    <mergeCell ref="B46:S46"/>
    <mergeCell ref="B47:AG47"/>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89">
    <pageSetUpPr fitToPage="1"/>
  </sheetPr>
  <dimension ref="A1:K86"/>
  <sheetViews>
    <sheetView tabSelected="1" zoomScalePageLayoutView="0" workbookViewId="0" topLeftCell="A1">
      <selection activeCell="L29" sqref="L29"/>
    </sheetView>
  </sheetViews>
  <sheetFormatPr defaultColWidth="9.140625" defaultRowHeight="12.75"/>
  <cols>
    <col min="1" max="1" width="2.28125" style="0" customWidth="1"/>
    <col min="2" max="2" width="6.140625" style="0" customWidth="1"/>
    <col min="3" max="7" width="8.7109375" style="0" customWidth="1"/>
    <col min="8" max="8" width="1.8515625" style="0" customWidth="1"/>
  </cols>
  <sheetData>
    <row r="1" spans="2:7" ht="14.25" customHeight="1">
      <c r="B1" s="67"/>
      <c r="C1" s="31"/>
      <c r="D1" s="31"/>
      <c r="E1" s="31"/>
      <c r="F1" s="31"/>
      <c r="G1" s="20" t="s">
        <v>99</v>
      </c>
    </row>
    <row r="2" spans="1:7" s="82" customFormat="1" ht="30" customHeight="1">
      <c r="A2" s="83"/>
      <c r="B2" s="534" t="s">
        <v>65</v>
      </c>
      <c r="C2" s="534"/>
      <c r="D2" s="534"/>
      <c r="E2" s="534"/>
      <c r="F2" s="534"/>
      <c r="G2" s="534"/>
    </row>
    <row r="3" spans="2:7" ht="15" customHeight="1">
      <c r="B3" s="497" t="s">
        <v>66</v>
      </c>
      <c r="C3" s="497"/>
      <c r="D3" s="497"/>
      <c r="E3" s="497"/>
      <c r="F3" s="497"/>
      <c r="G3" s="497"/>
    </row>
    <row r="4" spans="2:7" ht="12" customHeight="1">
      <c r="B4" s="488" t="s">
        <v>111</v>
      </c>
      <c r="C4" s="488"/>
      <c r="D4" s="488"/>
      <c r="E4" s="488"/>
      <c r="F4" s="488"/>
      <c r="G4" s="488"/>
    </row>
    <row r="5" spans="2:7" ht="12.75">
      <c r="B5" s="35"/>
      <c r="C5" s="68" t="s">
        <v>67</v>
      </c>
      <c r="D5" s="535" t="s">
        <v>44</v>
      </c>
      <c r="E5" s="525" t="s">
        <v>50</v>
      </c>
      <c r="F5" s="527" t="s">
        <v>47</v>
      </c>
      <c r="G5" s="69" t="s">
        <v>46</v>
      </c>
    </row>
    <row r="6" spans="2:7" ht="21.75" customHeight="1">
      <c r="B6" s="35"/>
      <c r="C6" s="70"/>
      <c r="D6" s="536"/>
      <c r="E6" s="526"/>
      <c r="F6" s="528"/>
      <c r="G6" s="71"/>
    </row>
    <row r="7" spans="2:7" ht="12.75" customHeight="1">
      <c r="B7" s="157">
        <v>1990</v>
      </c>
      <c r="C7" s="372">
        <v>2492.717391325194</v>
      </c>
      <c r="D7" s="373">
        <v>1554.0052774039339</v>
      </c>
      <c r="E7" s="373">
        <v>515.8416869560001</v>
      </c>
      <c r="F7" s="374">
        <v>1519.8945302595796</v>
      </c>
      <c r="G7" s="375">
        <f aca="true" t="shared" si="0" ref="G7:G23">SUM(C7:F7)</f>
        <v>6082.458885944708</v>
      </c>
    </row>
    <row r="8" spans="2:7" ht="12.75" customHeight="1" hidden="1">
      <c r="B8" s="155">
        <v>1991</v>
      </c>
      <c r="C8" s="376">
        <v>2548.9834442290417</v>
      </c>
      <c r="D8" s="377">
        <v>1521.1868936356595</v>
      </c>
      <c r="E8" s="377">
        <v>504.125411656</v>
      </c>
      <c r="F8" s="378">
        <v>1505.3226943248876</v>
      </c>
      <c r="G8" s="375">
        <f t="shared" si="0"/>
        <v>6079.618443845588</v>
      </c>
    </row>
    <row r="9" spans="2:7" ht="12.75" customHeight="1" hidden="1">
      <c r="B9" s="155">
        <v>1992</v>
      </c>
      <c r="C9" s="376">
        <v>2614.453880219251</v>
      </c>
      <c r="D9" s="377">
        <v>1603.6032488397896</v>
      </c>
      <c r="E9" s="377">
        <v>515.986224184</v>
      </c>
      <c r="F9" s="378">
        <v>1532.124463990482</v>
      </c>
      <c r="G9" s="375">
        <f t="shared" si="0"/>
        <v>6266.167817233522</v>
      </c>
    </row>
    <row r="10" spans="2:7" ht="12.75" customHeight="1" hidden="1">
      <c r="B10" s="155">
        <v>1993</v>
      </c>
      <c r="C10" s="376">
        <v>2725.3155609483097</v>
      </c>
      <c r="D10" s="377">
        <v>1657.0922835723966</v>
      </c>
      <c r="E10" s="377">
        <v>496.87519070400003</v>
      </c>
      <c r="F10" s="378">
        <v>1542.7931295855244</v>
      </c>
      <c r="G10" s="375">
        <f t="shared" si="0"/>
        <v>6422.07616481023</v>
      </c>
    </row>
    <row r="11" spans="2:7" ht="12.75" customHeight="1" hidden="1">
      <c r="B11" s="155">
        <v>1994</v>
      </c>
      <c r="C11" s="376">
        <v>2901.3579100518955</v>
      </c>
      <c r="D11" s="377">
        <v>1782.7320733424262</v>
      </c>
      <c r="E11" s="377">
        <v>519.7865313</v>
      </c>
      <c r="F11" s="378">
        <v>1538.8899592458747</v>
      </c>
      <c r="G11" s="375">
        <f t="shared" si="0"/>
        <v>6742.766473940197</v>
      </c>
    </row>
    <row r="12" spans="2:7" ht="12.75" customHeight="1">
      <c r="B12" s="158">
        <v>1995</v>
      </c>
      <c r="C12" s="379">
        <v>3036.798702652311</v>
      </c>
      <c r="D12" s="380">
        <v>1922.7970776334619</v>
      </c>
      <c r="E12" s="380">
        <v>534.397931076</v>
      </c>
      <c r="F12" s="381">
        <v>1564.1304607756094</v>
      </c>
      <c r="G12" s="382">
        <f t="shared" si="0"/>
        <v>7058.124172137382</v>
      </c>
    </row>
    <row r="13" spans="2:7" ht="12.75" customHeight="1">
      <c r="B13" s="73">
        <v>1996</v>
      </c>
      <c r="C13" s="376">
        <v>3118.7688475825144</v>
      </c>
      <c r="D13" s="383">
        <v>2010.52014134</v>
      </c>
      <c r="E13" s="383">
        <v>518.474016472</v>
      </c>
      <c r="F13" s="384">
        <v>1611.2287162073821</v>
      </c>
      <c r="G13" s="375">
        <f t="shared" si="0"/>
        <v>7258.991721601897</v>
      </c>
    </row>
    <row r="14" spans="2:7" ht="12.75" customHeight="1">
      <c r="B14" s="73">
        <v>1997</v>
      </c>
      <c r="C14" s="376">
        <v>3261.504966036565</v>
      </c>
      <c r="D14" s="383">
        <v>2030.951296327268</v>
      </c>
      <c r="E14" s="383">
        <v>520.025966708</v>
      </c>
      <c r="F14" s="384">
        <v>1604.2030095960126</v>
      </c>
      <c r="G14" s="375">
        <f t="shared" si="0"/>
        <v>7416.685238667846</v>
      </c>
    </row>
    <row r="15" spans="2:7" ht="12.75" customHeight="1">
      <c r="B15" s="73">
        <v>1998</v>
      </c>
      <c r="C15" s="376">
        <v>3319.3745569602715</v>
      </c>
      <c r="D15" s="383">
        <v>2114.5540410103404</v>
      </c>
      <c r="E15" s="383">
        <v>520.5530166</v>
      </c>
      <c r="F15" s="384">
        <v>1540.4647512589331</v>
      </c>
      <c r="G15" s="375">
        <f t="shared" si="0"/>
        <v>7494.946365829544</v>
      </c>
    </row>
    <row r="16" spans="2:7" ht="12.75" customHeight="1">
      <c r="B16" s="73">
        <v>1999</v>
      </c>
      <c r="C16" s="376">
        <v>3354.0990464646884</v>
      </c>
      <c r="D16" s="383">
        <v>2195.3087894400282</v>
      </c>
      <c r="E16" s="383">
        <v>528.1726104679999</v>
      </c>
      <c r="F16" s="384">
        <v>1476.7264929218534</v>
      </c>
      <c r="G16" s="375">
        <f t="shared" si="0"/>
        <v>7554.30693929457</v>
      </c>
    </row>
    <row r="17" spans="2:7" ht="12.75" customHeight="1">
      <c r="B17" s="73">
        <v>2000</v>
      </c>
      <c r="C17" s="376">
        <v>3396.660380555816</v>
      </c>
      <c r="D17" s="383">
        <v>2257.582425783559</v>
      </c>
      <c r="E17" s="383">
        <v>526.227927764</v>
      </c>
      <c r="F17" s="384">
        <v>1412.988234584774</v>
      </c>
      <c r="G17" s="375">
        <f t="shared" si="0"/>
        <v>7593.458968688148</v>
      </c>
    </row>
    <row r="18" spans="2:7" ht="12.75" customHeight="1">
      <c r="B18" s="73">
        <v>2001</v>
      </c>
      <c r="C18" s="376">
        <v>3448.546072694276</v>
      </c>
      <c r="D18" s="383">
        <v>2334.9796739655867</v>
      </c>
      <c r="E18" s="383">
        <v>504.73421998</v>
      </c>
      <c r="F18" s="384">
        <v>1349.2499762476946</v>
      </c>
      <c r="G18" s="375">
        <f t="shared" si="0"/>
        <v>7637.509942887557</v>
      </c>
    </row>
    <row r="19" spans="2:7" ht="12.75" customHeight="1">
      <c r="B19" s="73">
        <v>2002</v>
      </c>
      <c r="C19" s="376">
        <v>3544.364123742733</v>
      </c>
      <c r="D19" s="383">
        <v>2344.031853135558</v>
      </c>
      <c r="E19" s="383">
        <v>506.702262236</v>
      </c>
      <c r="F19" s="384">
        <v>1285.5117179106153</v>
      </c>
      <c r="G19" s="375">
        <f t="shared" si="0"/>
        <v>7680.609957024907</v>
      </c>
    </row>
    <row r="20" spans="2:7" ht="12.75" customHeight="1">
      <c r="B20" s="73">
        <v>2003</v>
      </c>
      <c r="C20" s="376">
        <v>3618.8904709996455</v>
      </c>
      <c r="D20" s="383">
        <v>2341.158540208</v>
      </c>
      <c r="E20" s="383">
        <v>475.79173505200004</v>
      </c>
      <c r="F20" s="384">
        <v>1278.3071785976238</v>
      </c>
      <c r="G20" s="375">
        <f t="shared" si="0"/>
        <v>7714.14792485727</v>
      </c>
    </row>
    <row r="21" spans="2:11" ht="12.75" customHeight="1">
      <c r="B21" s="73">
        <v>2004</v>
      </c>
      <c r="C21" s="376">
        <v>3543.6004902082673</v>
      </c>
      <c r="D21" s="383">
        <v>2459.187056604</v>
      </c>
      <c r="E21" s="383">
        <v>496.14082478800003</v>
      </c>
      <c r="F21" s="384">
        <v>1271.1026392846322</v>
      </c>
      <c r="G21" s="375">
        <f t="shared" si="0"/>
        <v>7770.0310108849</v>
      </c>
      <c r="K21" s="467"/>
    </row>
    <row r="22" spans="2:7" ht="12.75" customHeight="1">
      <c r="B22" s="73">
        <v>2005</v>
      </c>
      <c r="C22" s="376">
        <v>3581.8174589495325</v>
      </c>
      <c r="D22" s="383">
        <v>2530.611806788</v>
      </c>
      <c r="E22" s="383">
        <v>476.375723852</v>
      </c>
      <c r="F22" s="384">
        <v>1263.898099971641</v>
      </c>
      <c r="G22" s="375">
        <f t="shared" si="0"/>
        <v>7852.703089561173</v>
      </c>
    </row>
    <row r="23" spans="2:7" ht="12.75" customHeight="1">
      <c r="B23" s="73">
        <v>2006</v>
      </c>
      <c r="C23" s="376">
        <v>3512.4160051253334</v>
      </c>
      <c r="D23" s="383">
        <v>2709.564954744</v>
      </c>
      <c r="E23" s="383">
        <v>485.9995672816</v>
      </c>
      <c r="F23" s="384">
        <v>1256.6935606586492</v>
      </c>
      <c r="G23" s="375">
        <f t="shared" si="0"/>
        <v>7964.674087809583</v>
      </c>
    </row>
    <row r="24" spans="2:7" ht="12.75" customHeight="1">
      <c r="B24" s="73">
        <v>2007</v>
      </c>
      <c r="C24" s="376">
        <v>3643.7769872887943</v>
      </c>
      <c r="D24" s="383">
        <v>2656.613230276</v>
      </c>
      <c r="E24" s="383">
        <v>472.3005040083999</v>
      </c>
      <c r="F24" s="384">
        <v>1249.4890213456574</v>
      </c>
      <c r="G24" s="375">
        <f>SUM(C24:F24)</f>
        <v>8022.179742918852</v>
      </c>
    </row>
    <row r="25" spans="2:7" ht="12.75" customHeight="1">
      <c r="B25" s="73">
        <v>2008</v>
      </c>
      <c r="C25" s="385">
        <v>4018.8038839926635</v>
      </c>
      <c r="D25" s="383">
        <v>2525.3675873640004</v>
      </c>
      <c r="E25" s="383">
        <v>454.33686252320007</v>
      </c>
      <c r="F25" s="384">
        <v>1432.703863520592</v>
      </c>
      <c r="G25" s="375">
        <f>SUM(C25:F25)</f>
        <v>8431.212197400455</v>
      </c>
    </row>
    <row r="26" spans="2:7" ht="12.75" customHeight="1">
      <c r="B26" s="73">
        <v>2009</v>
      </c>
      <c r="C26" s="386">
        <v>3576.2139376398177</v>
      </c>
      <c r="D26" s="383">
        <v>2309.811481396</v>
      </c>
      <c r="E26" s="383">
        <v>406.608041888</v>
      </c>
      <c r="F26" s="384">
        <v>1382.9612871541058</v>
      </c>
      <c r="G26" s="387">
        <f>SUM(C26:F26)</f>
        <v>7675.594748077923</v>
      </c>
    </row>
    <row r="27" spans="2:7" ht="12.75" customHeight="1" thickBot="1">
      <c r="B27" s="73">
        <v>2010</v>
      </c>
      <c r="C27" s="385">
        <v>3668.0760074637005</v>
      </c>
      <c r="D27" s="388">
        <v>2491.45</v>
      </c>
      <c r="E27" s="383">
        <v>450.529</v>
      </c>
      <c r="F27" s="389">
        <v>1395.7128591127205</v>
      </c>
      <c r="G27" s="387">
        <f>SUM(C27:F27)</f>
        <v>8005.7678665764215</v>
      </c>
    </row>
    <row r="28" spans="2:7" ht="12.75" customHeight="1" thickBot="1" thickTop="1">
      <c r="B28" s="73">
        <v>2011</v>
      </c>
      <c r="C28" s="388">
        <v>3859.535</v>
      </c>
      <c r="D28" s="388">
        <v>2524.667</v>
      </c>
      <c r="E28" s="408">
        <v>464.667</v>
      </c>
      <c r="F28" s="404">
        <v>1486.251496</v>
      </c>
      <c r="G28" s="458">
        <f>SUM(C28:F28)</f>
        <v>8335.120496</v>
      </c>
    </row>
    <row r="29" spans="2:7" ht="12.75" customHeight="1" thickTop="1">
      <c r="B29" s="73">
        <v>2012</v>
      </c>
      <c r="C29" s="449">
        <v>3657.22986</v>
      </c>
      <c r="D29" s="388">
        <v>2500.3</v>
      </c>
      <c r="E29" s="408">
        <v>461.927</v>
      </c>
      <c r="F29" s="408">
        <v>1366.533792</v>
      </c>
      <c r="G29" s="387">
        <f>SUM(C29:F29)</f>
        <v>7985.990652</v>
      </c>
    </row>
    <row r="30" spans="2:7" s="405" customFormat="1" ht="12.75" customHeight="1">
      <c r="B30" s="73">
        <v>2013</v>
      </c>
      <c r="C30" s="388">
        <f>(2610)*1.459972</f>
        <v>3810.5269200000002</v>
      </c>
      <c r="D30" s="388">
        <v>2541.355</v>
      </c>
      <c r="E30" s="408">
        <v>438.253</v>
      </c>
      <c r="F30" s="408">
        <v>1305.214968</v>
      </c>
      <c r="G30" s="387">
        <f>SUM(C30:F30)</f>
        <v>8095.349888</v>
      </c>
    </row>
    <row r="31" spans="2:7" s="405" customFormat="1" ht="12.75" customHeight="1">
      <c r="B31" s="448">
        <v>2014</v>
      </c>
      <c r="C31" s="450">
        <f>C30</f>
        <v>3810.5269200000002</v>
      </c>
      <c r="D31" s="407">
        <v>2702.743</v>
      </c>
      <c r="E31" s="406">
        <v>482.977</v>
      </c>
      <c r="F31" s="451">
        <f>F30</f>
        <v>1305.214968</v>
      </c>
      <c r="G31" s="455">
        <f>SUM(C31:F31)</f>
        <v>8301.461888</v>
      </c>
    </row>
    <row r="32" spans="2:7" ht="18.75" customHeight="1">
      <c r="B32" s="286" t="s">
        <v>128</v>
      </c>
      <c r="C32" s="74"/>
      <c r="D32" s="74"/>
      <c r="E32" s="74"/>
      <c r="F32" s="74"/>
      <c r="G32" s="74"/>
    </row>
    <row r="33" spans="2:7" ht="44.25" customHeight="1">
      <c r="B33" s="537" t="s">
        <v>152</v>
      </c>
      <c r="C33" s="538"/>
      <c r="D33" s="538"/>
      <c r="E33" s="538"/>
      <c r="F33" s="538"/>
      <c r="G33" s="538"/>
    </row>
    <row r="34" spans="2:7" ht="15" customHeight="1">
      <c r="B34" s="532" t="s">
        <v>68</v>
      </c>
      <c r="C34" s="532"/>
      <c r="D34" s="532"/>
      <c r="E34" s="532"/>
      <c r="F34" s="532"/>
      <c r="G34" s="532"/>
    </row>
    <row r="35" spans="2:7" ht="12" customHeight="1">
      <c r="B35" s="489" t="s">
        <v>69</v>
      </c>
      <c r="C35" s="489"/>
      <c r="D35" s="489"/>
      <c r="E35" s="489"/>
      <c r="F35" s="489"/>
      <c r="G35" s="489"/>
    </row>
    <row r="36" spans="2:7" ht="12.75">
      <c r="B36" s="35"/>
      <c r="C36" s="75" t="s">
        <v>43</v>
      </c>
      <c r="D36" s="69" t="s">
        <v>44</v>
      </c>
      <c r="E36" s="525" t="s">
        <v>50</v>
      </c>
      <c r="F36" s="530" t="s">
        <v>47</v>
      </c>
      <c r="G36" s="75" t="s">
        <v>46</v>
      </c>
    </row>
    <row r="37" spans="2:7" ht="23.25" customHeight="1">
      <c r="B37" s="35"/>
      <c r="C37" s="159"/>
      <c r="D37" s="160" t="s">
        <v>35</v>
      </c>
      <c r="E37" s="529"/>
      <c r="F37" s="531"/>
      <c r="G37" s="115"/>
    </row>
    <row r="38" spans="2:7" ht="12.75" customHeight="1">
      <c r="B38" s="72">
        <v>2001</v>
      </c>
      <c r="C38" s="105">
        <f aca="true" t="shared" si="1" ref="C38:G43">(C18/C17-1)*100</f>
        <v>1.5275501912254574</v>
      </c>
      <c r="D38" s="105">
        <f t="shared" si="1"/>
        <v>3.428324356979573</v>
      </c>
      <c r="E38" s="105">
        <f t="shared" si="1"/>
        <v>-4.084486331869375</v>
      </c>
      <c r="F38" s="105">
        <f t="shared" si="1"/>
        <v>-4.510883868456972</v>
      </c>
      <c r="G38" s="161">
        <f t="shared" si="1"/>
        <v>0.5801173665526349</v>
      </c>
    </row>
    <row r="39" spans="2:7" ht="12.75" customHeight="1">
      <c r="B39" s="73">
        <v>2002</v>
      </c>
      <c r="C39" s="62">
        <f t="shared" si="1"/>
        <v>2.778505753689897</v>
      </c>
      <c r="D39" s="62">
        <f t="shared" si="1"/>
        <v>0.3876770008279129</v>
      </c>
      <c r="E39" s="62">
        <f t="shared" si="1"/>
        <v>0.389916549759195</v>
      </c>
      <c r="F39" s="62">
        <f t="shared" si="1"/>
        <v>-4.723976984186229</v>
      </c>
      <c r="G39" s="77">
        <f t="shared" si="1"/>
        <v>0.5643202360408939</v>
      </c>
    </row>
    <row r="40" spans="2:7" ht="12.75" customHeight="1">
      <c r="B40" s="73">
        <v>2003</v>
      </c>
      <c r="C40" s="62">
        <f t="shared" si="1"/>
        <v>2.1026718659541865</v>
      </c>
      <c r="D40" s="62">
        <f t="shared" si="1"/>
        <v>-0.12257994377142811</v>
      </c>
      <c r="E40" s="62">
        <f t="shared" si="1"/>
        <v>-6.1003333688696255</v>
      </c>
      <c r="F40" s="62">
        <f t="shared" si="1"/>
        <v>-0.560441356746344</v>
      </c>
      <c r="G40" s="77">
        <f t="shared" si="1"/>
        <v>0.43665760948696786</v>
      </c>
    </row>
    <row r="41" spans="2:7" ht="12.75" customHeight="1">
      <c r="B41" s="73">
        <v>2004</v>
      </c>
      <c r="C41" s="62">
        <f t="shared" si="1"/>
        <v>-2.080471387424465</v>
      </c>
      <c r="D41" s="62">
        <f t="shared" si="1"/>
        <v>5.041457653077774</v>
      </c>
      <c r="E41" s="62">
        <f t="shared" si="1"/>
        <v>4.2768901258396275</v>
      </c>
      <c r="F41" s="62">
        <f t="shared" si="1"/>
        <v>-0.5636000042568257</v>
      </c>
      <c r="G41" s="77">
        <f t="shared" si="1"/>
        <v>0.7244233137863265</v>
      </c>
    </row>
    <row r="42" spans="2:7" ht="12.75" customHeight="1">
      <c r="B42" s="73">
        <v>2005</v>
      </c>
      <c r="C42" s="62">
        <f t="shared" si="1"/>
        <v>1.0784784810496273</v>
      </c>
      <c r="D42" s="62">
        <f t="shared" si="1"/>
        <v>2.904404933012028</v>
      </c>
      <c r="E42" s="62">
        <f t="shared" si="1"/>
        <v>-3.9837683070014673</v>
      </c>
      <c r="F42" s="62">
        <f t="shared" si="1"/>
        <v>-0.5667944578453543</v>
      </c>
      <c r="G42" s="77">
        <f t="shared" si="1"/>
        <v>1.0639864700727752</v>
      </c>
    </row>
    <row r="43" spans="2:7" ht="12.75" customHeight="1">
      <c r="B43" s="73">
        <v>2006</v>
      </c>
      <c r="C43" s="62">
        <f t="shared" si="1"/>
        <v>-1.9376044318169416</v>
      </c>
      <c r="D43" s="62">
        <f t="shared" si="1"/>
        <v>7.071536909611487</v>
      </c>
      <c r="E43" s="62">
        <f t="shared" si="1"/>
        <v>2.0202212135792763</v>
      </c>
      <c r="F43" s="62">
        <f t="shared" si="1"/>
        <v>-0.5700253298231428</v>
      </c>
      <c r="G43" s="77">
        <f t="shared" si="1"/>
        <v>1.42589114819911</v>
      </c>
    </row>
    <row r="44" spans="2:7" ht="12.75" customHeight="1">
      <c r="B44" s="73">
        <v>2007</v>
      </c>
      <c r="C44" s="62">
        <f>(C24/C23-1)*100</f>
        <v>3.7399038716307675</v>
      </c>
      <c r="D44" s="62">
        <f>(D24/D23-1)*100</f>
        <v>-1.9542518947659793</v>
      </c>
      <c r="E44" s="62">
        <f>(E24/E23-1)*100</f>
        <v>-2.81873980872549</v>
      </c>
      <c r="F44" s="62">
        <f>(F24/F23-1)*100</f>
        <v>-0.5732932465425944</v>
      </c>
      <c r="G44" s="240">
        <f>(G24/G23-1)*100</f>
        <v>0.7220088917044842</v>
      </c>
    </row>
    <row r="45" spans="2:7" ht="12.75" customHeight="1">
      <c r="B45" s="73">
        <v>2008</v>
      </c>
      <c r="C45" s="62">
        <f>(C25/C24-1)*100</f>
        <v>10.292257128033345</v>
      </c>
      <c r="D45" s="62">
        <f aca="true" t="shared" si="2" ref="D45:G46">(D25/D24-1)*100</f>
        <v>-4.940336870127105</v>
      </c>
      <c r="E45" s="62">
        <f t="shared" si="2"/>
        <v>-3.8034347481620268</v>
      </c>
      <c r="F45" s="62">
        <f t="shared" si="2"/>
        <v>14.663181432168049</v>
      </c>
      <c r="G45" s="240">
        <f t="shared" si="2"/>
        <v>5.098769506413192</v>
      </c>
    </row>
    <row r="46" spans="2:7" ht="12.75" customHeight="1">
      <c r="B46" s="73">
        <v>2009</v>
      </c>
      <c r="C46" s="62">
        <f>(C26/C25-1)*100</f>
        <v>-11.012976973465417</v>
      </c>
      <c r="D46" s="62">
        <f t="shared" si="2"/>
        <v>-8.535632873668087</v>
      </c>
      <c r="E46" s="62">
        <f t="shared" si="2"/>
        <v>-10.50516138402986</v>
      </c>
      <c r="F46" s="62">
        <f t="shared" si="2"/>
        <v>-3.4719370578266906</v>
      </c>
      <c r="G46" s="240">
        <f t="shared" si="2"/>
        <v>-8.962144845026042</v>
      </c>
    </row>
    <row r="47" spans="2:7" ht="12.75" customHeight="1" thickBot="1">
      <c r="B47" s="73">
        <v>2010</v>
      </c>
      <c r="C47" s="361">
        <f>(C27/C26-1)*100</f>
        <v>2.5686961525715812</v>
      </c>
      <c r="D47" s="361">
        <f>(D27/D26-1)*100</f>
        <v>7.86378109499315</v>
      </c>
      <c r="E47" s="361">
        <f>(E27/E26-1)*100</f>
        <v>10.801792780108865</v>
      </c>
      <c r="F47" s="361">
        <f>(F27/F26-1)*100</f>
        <v>0.9220483665782986</v>
      </c>
      <c r="G47" s="240">
        <f>(G27/G26-1)*100</f>
        <v>4.301596545090902</v>
      </c>
    </row>
    <row r="48" spans="2:7" ht="12.75" customHeight="1" thickBot="1" thickTop="1">
      <c r="B48" s="73">
        <v>2011</v>
      </c>
      <c r="C48" s="362">
        <f>(C28/C27-1)*100</f>
        <v>5.219602651273414</v>
      </c>
      <c r="D48" s="361">
        <f>(D28/D27-1)*100</f>
        <v>1.3332396797046009</v>
      </c>
      <c r="E48" s="361">
        <f>(E28/E27-1)*100</f>
        <v>3.1380887800785295</v>
      </c>
      <c r="F48" s="452">
        <f>(F28/F27-1)*100</f>
        <v>6.486909989841072</v>
      </c>
      <c r="G48" s="459">
        <f>(G28/G27-1)*100</f>
        <v>4.113941784380293</v>
      </c>
    </row>
    <row r="49" spans="2:7" ht="12.75" customHeight="1" thickTop="1">
      <c r="B49" s="73">
        <v>2012</v>
      </c>
      <c r="C49" s="409">
        <f>(C29/C28-1)*100</f>
        <v>-5.241697251093713</v>
      </c>
      <c r="D49" s="361">
        <f>(D29/D28-1)*100</f>
        <v>-0.9651569890207212</v>
      </c>
      <c r="E49" s="361">
        <f>(E29/E28-1)*100</f>
        <v>-0.589669591341746</v>
      </c>
      <c r="F49" s="361">
        <f>(F29/F28-1)*100</f>
        <v>-8.055009823182724</v>
      </c>
      <c r="G49" s="240">
        <f>(G29/G28-1)*100</f>
        <v>-4.188659830023401</v>
      </c>
    </row>
    <row r="50" spans="2:7" s="405" customFormat="1" ht="12.75" customHeight="1">
      <c r="B50" s="73">
        <v>2013</v>
      </c>
      <c r="C50" s="362">
        <f>(C30/C29-1)*100</f>
        <v>4.191616766467066</v>
      </c>
      <c r="D50" s="361">
        <f aca="true" t="shared" si="3" ref="D50:G51">(D30/D29-1)*100</f>
        <v>1.6420029596448282</v>
      </c>
      <c r="E50" s="361">
        <f t="shared" si="3"/>
        <v>-5.125052226867021</v>
      </c>
      <c r="F50" s="361">
        <f t="shared" si="3"/>
        <v>-4.487179487179482</v>
      </c>
      <c r="G50" s="240">
        <f t="shared" si="3"/>
        <v>1.3693884799703682</v>
      </c>
    </row>
    <row r="51" spans="2:7" s="405" customFormat="1" ht="12.75" customHeight="1">
      <c r="B51" s="156">
        <v>2014</v>
      </c>
      <c r="C51" s="454">
        <f>(C31/C30-1)*100</f>
        <v>0</v>
      </c>
      <c r="D51" s="360">
        <f t="shared" si="3"/>
        <v>6.350470516712536</v>
      </c>
      <c r="E51" s="360">
        <f t="shared" si="3"/>
        <v>10.205064198077363</v>
      </c>
      <c r="F51" s="453">
        <f t="shared" si="3"/>
        <v>0</v>
      </c>
      <c r="G51" s="241">
        <f t="shared" si="3"/>
        <v>2.546054251534291</v>
      </c>
    </row>
    <row r="52" spans="2:7" ht="19.5" customHeight="1">
      <c r="B52" s="78" t="s">
        <v>71</v>
      </c>
      <c r="C52" s="62">
        <f>100*(POWER((C12/C7),1/5)-1)</f>
        <v>4.027603166337768</v>
      </c>
      <c r="D52" s="62">
        <f>100*(POWER((D12/D7),1/5)-1)</f>
        <v>4.350898489903354</v>
      </c>
      <c r="E52" s="62">
        <f>100*(POWER((E12/E7),1/5)-1)</f>
        <v>0.7093206566239685</v>
      </c>
      <c r="F52" s="62">
        <f>100*(POWER((F12/F7),1/5)-1)</f>
        <v>0.5754314628488855</v>
      </c>
      <c r="G52" s="77">
        <f>100*(POWER((G12/G7),1/5)-1)</f>
        <v>3.0201131408499338</v>
      </c>
    </row>
    <row r="53" spans="2:7" ht="19.5" customHeight="1">
      <c r="B53" s="78" t="s">
        <v>70</v>
      </c>
      <c r="C53" s="62">
        <f>100*(POWER((C17/C12),1/5)-1)</f>
        <v>2.2650474194636727</v>
      </c>
      <c r="D53" s="62">
        <f>100*(POWER((D17/D12),1/5)-1)</f>
        <v>3.2623566909095736</v>
      </c>
      <c r="E53" s="62">
        <f>100*(POWER((E17/E12),1/5)-1)</f>
        <v>-0.30765196046482757</v>
      </c>
      <c r="F53" s="62">
        <f>100*(POWER((F17/F12),1/5)-1)</f>
        <v>-2.0119501705767706</v>
      </c>
      <c r="G53" s="77">
        <f>100*(POWER((G17/G12),1/5)-1)</f>
        <v>1.4728997491606277</v>
      </c>
    </row>
    <row r="54" spans="2:7" ht="19.5" customHeight="1">
      <c r="B54" s="79" t="s">
        <v>114</v>
      </c>
      <c r="C54" s="360">
        <f>100*(POWER((C27/C17),1/10)-1)</f>
        <v>0.7717081165241613</v>
      </c>
      <c r="D54" s="360">
        <f>100*(POWER((D27/D17),1/10)-1)</f>
        <v>0.9905775855256094</v>
      </c>
      <c r="E54" s="360">
        <f>100*(POWER((E27/E17),1/10)-1)</f>
        <v>-1.5411212280335596</v>
      </c>
      <c r="F54" s="360">
        <f>100*(POWER((F27/F17),1/10)-1)</f>
        <v>-0.12293919027238642</v>
      </c>
      <c r="G54" s="241">
        <f>100*(POWER((G27/G17),1/10)-1)</f>
        <v>0.5301508577487013</v>
      </c>
    </row>
    <row r="55" spans="2:7" ht="19.5" customHeight="1">
      <c r="B55" s="191" t="s">
        <v>153</v>
      </c>
      <c r="C55" s="453">
        <f>100*(POWER((C31/C28),1/3)-1)</f>
        <v>-0.42506838639181366</v>
      </c>
      <c r="D55" s="403">
        <f>100*(POWER((D31/D28),1/3)-1)</f>
        <v>2.2979386581089</v>
      </c>
      <c r="E55" s="403">
        <f>100*(POWER((E31/E28),1/3)-1)</f>
        <v>1.2966010253199656</v>
      </c>
      <c r="F55" s="456">
        <f>100*(POWER((F31/F28),1/3)-1)</f>
        <v>-4.237256363977471</v>
      </c>
      <c r="G55" s="457">
        <f>100*(POWER((G31/G28),1/3)-1)</f>
        <v>-0.1347871587115579</v>
      </c>
    </row>
    <row r="56" ht="15" customHeight="1"/>
    <row r="57" spans="2:7" ht="15" customHeight="1">
      <c r="B57" s="532" t="s">
        <v>52</v>
      </c>
      <c r="C57" s="532"/>
      <c r="D57" s="532"/>
      <c r="E57" s="532"/>
      <c r="F57" s="532"/>
      <c r="G57" s="532"/>
    </row>
    <row r="58" spans="2:7" ht="12" customHeight="1">
      <c r="B58" s="533" t="s">
        <v>72</v>
      </c>
      <c r="C58" s="533"/>
      <c r="D58" s="533"/>
      <c r="E58" s="533"/>
      <c r="F58" s="533"/>
      <c r="G58" s="533"/>
    </row>
    <row r="59" spans="2:7" ht="15.75" customHeight="1">
      <c r="B59" s="35"/>
      <c r="C59" s="75" t="s">
        <v>43</v>
      </c>
      <c r="D59" s="80" t="s">
        <v>44</v>
      </c>
      <c r="E59" s="525" t="s">
        <v>50</v>
      </c>
      <c r="F59" s="527" t="s">
        <v>47</v>
      </c>
      <c r="G59" s="34"/>
    </row>
    <row r="60" spans="2:7" ht="18.75" customHeight="1">
      <c r="B60" s="35"/>
      <c r="C60" s="70"/>
      <c r="D60" s="76" t="s">
        <v>35</v>
      </c>
      <c r="E60" s="526"/>
      <c r="F60" s="528"/>
      <c r="G60" s="34"/>
    </row>
    <row r="61" spans="2:7" ht="12.75" customHeight="1">
      <c r="B61" s="162">
        <v>1990</v>
      </c>
      <c r="C61" s="354">
        <f aca="true" t="shared" si="4" ref="C61:F80">100*C7/$G7</f>
        <v>40.98206725384274</v>
      </c>
      <c r="D61" s="359">
        <f t="shared" si="4"/>
        <v>25.54896476151965</v>
      </c>
      <c r="E61" s="359">
        <f t="shared" si="4"/>
        <v>8.480808446531427</v>
      </c>
      <c r="F61" s="358">
        <f t="shared" si="4"/>
        <v>24.98815953810618</v>
      </c>
      <c r="G61" s="34"/>
    </row>
    <row r="62" spans="2:7" ht="12.75" customHeight="1" hidden="1">
      <c r="B62" s="73">
        <v>1991</v>
      </c>
      <c r="C62" s="357">
        <f t="shared" si="4"/>
        <v>41.926700956198715</v>
      </c>
      <c r="D62" s="356">
        <f t="shared" si="4"/>
        <v>25.02109149918052</v>
      </c>
      <c r="E62" s="356">
        <f t="shared" si="4"/>
        <v>8.292056751790522</v>
      </c>
      <c r="F62" s="355">
        <f t="shared" si="4"/>
        <v>24.760150792830252</v>
      </c>
      <c r="G62" s="34"/>
    </row>
    <row r="63" spans="2:7" ht="12.75" customHeight="1" hidden="1">
      <c r="B63" s="73">
        <v>1992</v>
      </c>
      <c r="C63" s="357">
        <f t="shared" si="4"/>
        <v>41.72333005555408</v>
      </c>
      <c r="D63" s="356">
        <f t="shared" si="4"/>
        <v>25.59145071776535</v>
      </c>
      <c r="E63" s="356">
        <f t="shared" si="4"/>
        <v>8.234478220722231</v>
      </c>
      <c r="F63" s="355">
        <f t="shared" si="4"/>
        <v>24.45074100595835</v>
      </c>
      <c r="G63" s="34"/>
    </row>
    <row r="64" spans="2:7" ht="12.75" customHeight="1" hidden="1">
      <c r="B64" s="73">
        <v>1993</v>
      </c>
      <c r="C64" s="357">
        <f t="shared" si="4"/>
        <v>42.436674542754226</v>
      </c>
      <c r="D64" s="356">
        <f t="shared" si="4"/>
        <v>25.80306182994893</v>
      </c>
      <c r="E64" s="356">
        <f t="shared" si="4"/>
        <v>7.736986886369053</v>
      </c>
      <c r="F64" s="355">
        <f t="shared" si="4"/>
        <v>24.023276740927805</v>
      </c>
      <c r="G64" s="34"/>
    </row>
    <row r="65" spans="2:6" ht="12.75" customHeight="1" hidden="1">
      <c r="B65" s="73">
        <v>1994</v>
      </c>
      <c r="C65" s="357">
        <f t="shared" si="4"/>
        <v>43.029191671774754</v>
      </c>
      <c r="D65" s="356">
        <f t="shared" si="4"/>
        <v>26.43917864028695</v>
      </c>
      <c r="E65" s="356">
        <f t="shared" si="4"/>
        <v>7.708802215068528</v>
      </c>
      <c r="F65" s="355">
        <f t="shared" si="4"/>
        <v>22.822827472869758</v>
      </c>
    </row>
    <row r="66" spans="2:7" ht="12.75" customHeight="1">
      <c r="B66" s="73">
        <v>1995</v>
      </c>
      <c r="C66" s="357">
        <f t="shared" si="4"/>
        <v>43.02557773976779</v>
      </c>
      <c r="D66" s="356">
        <f t="shared" si="4"/>
        <v>27.242324316478967</v>
      </c>
      <c r="E66" s="356">
        <f t="shared" si="4"/>
        <v>7.571387496774097</v>
      </c>
      <c r="F66" s="355">
        <f t="shared" si="4"/>
        <v>22.160710446979152</v>
      </c>
      <c r="G66" s="61"/>
    </row>
    <row r="67" spans="2:7" ht="12.75" customHeight="1">
      <c r="B67" s="73">
        <v>1996</v>
      </c>
      <c r="C67" s="357">
        <f t="shared" si="4"/>
        <v>42.964215516342705</v>
      </c>
      <c r="D67" s="356">
        <f t="shared" si="4"/>
        <v>27.696961485118255</v>
      </c>
      <c r="E67" s="356">
        <f t="shared" si="4"/>
        <v>7.142507339264252</v>
      </c>
      <c r="F67" s="355">
        <f t="shared" si="4"/>
        <v>22.196315659274784</v>
      </c>
      <c r="G67" s="61"/>
    </row>
    <row r="68" spans="2:7" ht="12.75" customHeight="1">
      <c r="B68" s="73">
        <v>1997</v>
      </c>
      <c r="C68" s="357">
        <f t="shared" si="4"/>
        <v>43.97523773871767</v>
      </c>
      <c r="D68" s="356">
        <f t="shared" si="4"/>
        <v>27.383544413326877</v>
      </c>
      <c r="E68" s="356">
        <f t="shared" si="4"/>
        <v>7.011568510374117</v>
      </c>
      <c r="F68" s="355">
        <f t="shared" si="4"/>
        <v>21.62964933758134</v>
      </c>
      <c r="G68" s="81"/>
    </row>
    <row r="69" spans="2:7" ht="12.75" customHeight="1">
      <c r="B69" s="73">
        <v>1998</v>
      </c>
      <c r="C69" s="357">
        <f t="shared" si="4"/>
        <v>44.28816958709326</v>
      </c>
      <c r="D69" s="356">
        <f t="shared" si="4"/>
        <v>28.21306434760992</v>
      </c>
      <c r="E69" s="356">
        <f t="shared" si="4"/>
        <v>6.945386813883957</v>
      </c>
      <c r="F69" s="355">
        <f t="shared" si="4"/>
        <v>20.553379251412878</v>
      </c>
      <c r="G69" s="81"/>
    </row>
    <row r="70" spans="2:7" ht="12.75" customHeight="1">
      <c r="B70" s="73">
        <v>1999</v>
      </c>
      <c r="C70" s="357">
        <f t="shared" si="4"/>
        <v>44.39982480746139</v>
      </c>
      <c r="D70" s="356">
        <f t="shared" si="4"/>
        <v>29.06035996526544</v>
      </c>
      <c r="E70" s="356">
        <f t="shared" si="4"/>
        <v>6.991675274943505</v>
      </c>
      <c r="F70" s="355">
        <f t="shared" si="4"/>
        <v>19.548139952329656</v>
      </c>
      <c r="G70" s="81"/>
    </row>
    <row r="71" spans="2:7" ht="12.75" customHeight="1">
      <c r="B71" s="73">
        <v>2000</v>
      </c>
      <c r="C71" s="357">
        <f t="shared" si="4"/>
        <v>44.731398359588766</v>
      </c>
      <c r="D71" s="356">
        <f t="shared" si="4"/>
        <v>29.730619933455447</v>
      </c>
      <c r="E71" s="356">
        <f t="shared" si="4"/>
        <v>6.930016082709032</v>
      </c>
      <c r="F71" s="355">
        <f t="shared" si="4"/>
        <v>18.607965624246773</v>
      </c>
      <c r="G71" s="81"/>
    </row>
    <row r="72" spans="2:7" ht="12.75" customHeight="1">
      <c r="B72" s="73">
        <v>2001</v>
      </c>
      <c r="C72" s="357">
        <f t="shared" si="4"/>
        <v>45.152753953606826</v>
      </c>
      <c r="D72" s="356">
        <f t="shared" si="4"/>
        <v>30.57252548836339</v>
      </c>
      <c r="E72" s="356">
        <f t="shared" si="4"/>
        <v>6.608622754724326</v>
      </c>
      <c r="F72" s="355">
        <f t="shared" si="4"/>
        <v>17.666097803305455</v>
      </c>
      <c r="G72" s="81"/>
    </row>
    <row r="73" spans="2:7" ht="12.75" customHeight="1">
      <c r="B73" s="73">
        <v>2002</v>
      </c>
      <c r="C73" s="357">
        <f t="shared" si="4"/>
        <v>46.14690947170096</v>
      </c>
      <c r="D73" s="356">
        <f t="shared" si="4"/>
        <v>30.518824237281297</v>
      </c>
      <c r="E73" s="356">
        <f t="shared" si="4"/>
        <v>6.59716174979769</v>
      </c>
      <c r="F73" s="355">
        <f t="shared" si="4"/>
        <v>16.737104541220052</v>
      </c>
      <c r="G73" s="81"/>
    </row>
    <row r="74" spans="2:7" ht="12.75" customHeight="1">
      <c r="B74" s="73">
        <v>2003</v>
      </c>
      <c r="C74" s="357">
        <f t="shared" si="4"/>
        <v>46.91238107242549</v>
      </c>
      <c r="D74" s="356">
        <f t="shared" si="4"/>
        <v>30.348893526712054</v>
      </c>
      <c r="E74" s="356">
        <f t="shared" si="4"/>
        <v>6.167780805950818</v>
      </c>
      <c r="F74" s="355">
        <f t="shared" si="4"/>
        <v>16.570944594911634</v>
      </c>
      <c r="G74" s="81"/>
    </row>
    <row r="75" spans="2:7" ht="12.75" customHeight="1">
      <c r="B75" s="73">
        <v>2004</v>
      </c>
      <c r="C75" s="357">
        <f t="shared" si="4"/>
        <v>45.606001896827685</v>
      </c>
      <c r="D75" s="356">
        <f t="shared" si="4"/>
        <v>31.649642751218988</v>
      </c>
      <c r="E75" s="356">
        <f t="shared" si="4"/>
        <v>6.38531331590524</v>
      </c>
      <c r="F75" s="355">
        <f t="shared" si="4"/>
        <v>16.359042036048077</v>
      </c>
      <c r="G75" s="81"/>
    </row>
    <row r="76" spans="2:7" ht="12.75" customHeight="1">
      <c r="B76" s="73">
        <v>2005</v>
      </c>
      <c r="C76" s="357">
        <f t="shared" si="4"/>
        <v>45.61254154268161</v>
      </c>
      <c r="D76" s="356">
        <f t="shared" si="4"/>
        <v>32.22599629612911</v>
      </c>
      <c r="E76" s="356">
        <f t="shared" si="4"/>
        <v>6.066391641436948</v>
      </c>
      <c r="F76" s="355">
        <f t="shared" si="4"/>
        <v>16.09507051975233</v>
      </c>
      <c r="G76" s="81"/>
    </row>
    <row r="77" spans="2:7" ht="12.75" customHeight="1">
      <c r="B77" s="73">
        <v>2006</v>
      </c>
      <c r="C77" s="357">
        <f t="shared" si="4"/>
        <v>44.099933862972485</v>
      </c>
      <c r="D77" s="356">
        <f t="shared" si="4"/>
        <v>34.01978442396222</v>
      </c>
      <c r="E77" s="356">
        <f t="shared" si="4"/>
        <v>6.101939161898059</v>
      </c>
      <c r="F77" s="355">
        <f t="shared" si="4"/>
        <v>15.77834255116722</v>
      </c>
      <c r="G77" s="81"/>
    </row>
    <row r="78" spans="2:7" ht="12.75" customHeight="1">
      <c r="B78" s="73">
        <v>2007</v>
      </c>
      <c r="C78" s="357">
        <f t="shared" si="4"/>
        <v>45.4212832928001</v>
      </c>
      <c r="D78" s="356">
        <f t="shared" si="4"/>
        <v>33.115852740908515</v>
      </c>
      <c r="E78" s="356">
        <f t="shared" si="4"/>
        <v>5.887433579698807</v>
      </c>
      <c r="F78" s="355">
        <f t="shared" si="4"/>
        <v>15.575430386592581</v>
      </c>
      <c r="G78" s="81"/>
    </row>
    <row r="79" spans="2:7" ht="12.75" customHeight="1">
      <c r="B79" s="73">
        <v>2008</v>
      </c>
      <c r="C79" s="357">
        <f t="shared" si="4"/>
        <v>47.6657898045996</v>
      </c>
      <c r="D79" s="356">
        <f t="shared" si="4"/>
        <v>29.952603827746525</v>
      </c>
      <c r="E79" s="356">
        <f t="shared" si="4"/>
        <v>5.388748994637841</v>
      </c>
      <c r="F79" s="355">
        <f t="shared" si="4"/>
        <v>16.992857373016054</v>
      </c>
      <c r="G79" s="81"/>
    </row>
    <row r="80" spans="2:7" ht="12.75" customHeight="1">
      <c r="B80" s="73">
        <v>2009</v>
      </c>
      <c r="C80" s="357">
        <f t="shared" si="4"/>
        <v>46.59201084756789</v>
      </c>
      <c r="D80" s="356">
        <f t="shared" si="4"/>
        <v>30.092931651640537</v>
      </c>
      <c r="E80" s="356">
        <f t="shared" si="4"/>
        <v>5.297414144875488</v>
      </c>
      <c r="F80" s="355">
        <f t="shared" si="4"/>
        <v>18.017643355916082</v>
      </c>
      <c r="G80" s="81"/>
    </row>
    <row r="81" spans="2:7" ht="12.75" customHeight="1" thickBot="1">
      <c r="B81" s="73">
        <v>2010</v>
      </c>
      <c r="C81" s="357">
        <f>100*C27/$G27</f>
        <v>45.81791613990817</v>
      </c>
      <c r="D81" s="356">
        <f>100*D27/$G27</f>
        <v>31.120687503339276</v>
      </c>
      <c r="E81" s="356">
        <f>100*E27/$G27</f>
        <v>5.627555126609782</v>
      </c>
      <c r="F81" s="460">
        <f>100*F27/$G27</f>
        <v>17.433841230142757</v>
      </c>
      <c r="G81" s="81"/>
    </row>
    <row r="82" spans="2:7" ht="12.75" customHeight="1" thickBot="1" thickTop="1">
      <c r="B82" s="73">
        <v>2011</v>
      </c>
      <c r="C82" s="461">
        <f>100*C28/$G28</f>
        <v>46.304489561394824</v>
      </c>
      <c r="D82" s="356">
        <f>100*D28/$G28</f>
        <v>30.289508126626128</v>
      </c>
      <c r="E82" s="356">
        <f>100*E28/$G28</f>
        <v>5.574808429260169</v>
      </c>
      <c r="F82" s="355">
        <f>100*F28/$G28</f>
        <v>17.831193882718885</v>
      </c>
      <c r="G82" s="242"/>
    </row>
    <row r="83" spans="2:7" s="405" customFormat="1" ht="12.75" customHeight="1" thickTop="1">
      <c r="B83" s="73">
        <v>2012</v>
      </c>
      <c r="C83" s="357">
        <f>100*C29/$G29</f>
        <v>45.79556900788618</v>
      </c>
      <c r="D83" s="356">
        <f>100*D29/$G29</f>
        <v>31.30857659310969</v>
      </c>
      <c r="E83" s="356">
        <f>100*E29/$G29</f>
        <v>5.7842166379735955</v>
      </c>
      <c r="F83" s="355">
        <f>100*F29/$G29</f>
        <v>17.111637761030526</v>
      </c>
      <c r="G83" s="242"/>
    </row>
    <row r="84" spans="2:7" ht="12.75" customHeight="1">
      <c r="B84" s="73">
        <v>2013</v>
      </c>
      <c r="C84" s="357">
        <f aca="true" t="shared" si="5" ref="C84:F85">100*C30/$G30</f>
        <v>47.07056486401493</v>
      </c>
      <c r="D84" s="356">
        <f t="shared" si="5"/>
        <v>31.392775298905033</v>
      </c>
      <c r="E84" s="356">
        <f t="shared" si="5"/>
        <v>5.413638768716305</v>
      </c>
      <c r="F84" s="355">
        <f t="shared" si="5"/>
        <v>16.123021068363734</v>
      </c>
      <c r="G84" s="242"/>
    </row>
    <row r="85" spans="2:7" s="405" customFormat="1" ht="12.75" customHeight="1">
      <c r="B85" s="448">
        <v>2014</v>
      </c>
      <c r="C85" s="462">
        <f t="shared" si="5"/>
        <v>45.901878143995646</v>
      </c>
      <c r="D85" s="402">
        <f t="shared" si="5"/>
        <v>32.55743429849256</v>
      </c>
      <c r="E85" s="402">
        <f t="shared" si="5"/>
        <v>5.817975273706394</v>
      </c>
      <c r="F85" s="463">
        <f t="shared" si="5"/>
        <v>15.722712283805404</v>
      </c>
      <c r="G85" s="242"/>
    </row>
    <row r="86" spans="2:7" s="405" customFormat="1" ht="18.75" customHeight="1">
      <c r="B86" s="286"/>
      <c r="C86" s="74"/>
      <c r="D86" s="74"/>
      <c r="E86" s="74"/>
      <c r="F86" s="74"/>
      <c r="G86" s="74"/>
    </row>
  </sheetData>
  <sheetProtection/>
  <mergeCells count="15">
    <mergeCell ref="B34:G34"/>
    <mergeCell ref="B2:G2"/>
    <mergeCell ref="B3:G3"/>
    <mergeCell ref="D5:D6"/>
    <mergeCell ref="E5:E6"/>
    <mergeCell ref="B4:G4"/>
    <mergeCell ref="F5:F6"/>
    <mergeCell ref="B33:G33"/>
    <mergeCell ref="E59:E60"/>
    <mergeCell ref="F59:F60"/>
    <mergeCell ref="B35:G35"/>
    <mergeCell ref="E36:E37"/>
    <mergeCell ref="F36:F37"/>
    <mergeCell ref="B57:G57"/>
    <mergeCell ref="B58:G5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1">
    <pageSetUpPr fitToPage="1"/>
  </sheetPr>
  <dimension ref="B1:W44"/>
  <sheetViews>
    <sheetView zoomScalePageLayoutView="0" workbookViewId="0" topLeftCell="A1">
      <selection activeCell="V27" sqref="V27"/>
    </sheetView>
  </sheetViews>
  <sheetFormatPr defaultColWidth="9.140625" defaultRowHeight="12.75"/>
  <cols>
    <col min="1" max="1" width="0.71875" style="0" customWidth="1"/>
    <col min="2" max="2" width="9.7109375" style="0" customWidth="1"/>
    <col min="3" max="17" width="6.7109375" style="0" customWidth="1"/>
    <col min="23" max="23" width="9.140625" style="405" customWidth="1"/>
  </cols>
  <sheetData>
    <row r="1" spans="2:14" ht="14.25" customHeight="1">
      <c r="B1" s="482"/>
      <c r="C1" s="482"/>
      <c r="F1" s="19"/>
      <c r="N1" s="19" t="s">
        <v>90</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107</v>
      </c>
    </row>
    <row r="34" spans="7:19" ht="12.75">
      <c r="G34" s="1"/>
      <c r="H34" s="1"/>
      <c r="I34" s="1"/>
      <c r="J34" s="1"/>
      <c r="K34" s="1"/>
      <c r="L34" s="1"/>
      <c r="M34" s="1"/>
      <c r="N34" s="1"/>
      <c r="O34" s="1"/>
      <c r="P34" s="1"/>
      <c r="Q34" s="1"/>
      <c r="R34" s="1"/>
      <c r="S34" s="1"/>
    </row>
    <row r="37" spans="3:23" ht="12.75">
      <c r="C37" s="196">
        <v>1995</v>
      </c>
      <c r="D37" s="196">
        <v>1996</v>
      </c>
      <c r="E37" s="196">
        <v>1997</v>
      </c>
      <c r="F37" s="196">
        <v>1998</v>
      </c>
      <c r="G37" s="196">
        <v>1999</v>
      </c>
      <c r="H37" s="196">
        <v>2000</v>
      </c>
      <c r="I37" s="196">
        <v>2001</v>
      </c>
      <c r="J37" s="196">
        <v>2002</v>
      </c>
      <c r="K37" s="196">
        <v>2003</v>
      </c>
      <c r="L37" s="196">
        <v>2004</v>
      </c>
      <c r="M37" s="196">
        <v>2005</v>
      </c>
      <c r="N37" s="196">
        <v>2006</v>
      </c>
      <c r="O37" s="196">
        <v>2007</v>
      </c>
      <c r="P37" s="196">
        <v>2008</v>
      </c>
      <c r="Q37" s="196">
        <v>2009</v>
      </c>
      <c r="R37" s="196">
        <v>2010</v>
      </c>
      <c r="S37" s="196">
        <v>2011</v>
      </c>
      <c r="T37" s="196">
        <v>2012</v>
      </c>
      <c r="U37" s="196">
        <v>2013</v>
      </c>
      <c r="V37" s="196">
        <v>2014</v>
      </c>
      <c r="W37" s="196">
        <v>2015</v>
      </c>
    </row>
    <row r="38" spans="2:23" ht="24.75" customHeight="1">
      <c r="B38" s="99" t="s">
        <v>43</v>
      </c>
      <c r="C38" s="197">
        <v>1288.66</v>
      </c>
      <c r="D38" s="197">
        <v>1302.5789999999997</v>
      </c>
      <c r="E38" s="197">
        <v>1351.678</v>
      </c>
      <c r="F38" s="197">
        <v>1414.2039999999997</v>
      </c>
      <c r="G38" s="197">
        <v>1460.6219999999998</v>
      </c>
      <c r="H38" s="197">
        <v>1509.488</v>
      </c>
      <c r="I38" s="197">
        <v>1552.5170000000003</v>
      </c>
      <c r="J38" s="197">
        <v>1602.835</v>
      </c>
      <c r="K38" s="197">
        <v>1607.683</v>
      </c>
      <c r="L38" s="197">
        <v>1750.92</v>
      </c>
      <c r="M38" s="197">
        <v>1755.4521895434887</v>
      </c>
      <c r="N38" s="197">
        <v>1810.2923511235158</v>
      </c>
      <c r="O38" s="197">
        <v>1875.778641914531</v>
      </c>
      <c r="P38" s="197">
        <v>1844.1198571687864</v>
      </c>
      <c r="Q38" s="197">
        <v>1660.3209960354313</v>
      </c>
      <c r="R38" s="197">
        <v>1709.8018032430837</v>
      </c>
      <c r="S38" s="197">
        <v>1699.185589296451</v>
      </c>
      <c r="T38" s="197">
        <v>1645.0865133098703</v>
      </c>
      <c r="U38" s="197">
        <v>1670.7050358245485</v>
      </c>
      <c r="V38" s="197">
        <v>1676.1680372651085</v>
      </c>
      <c r="W38" s="197">
        <v>1722.32409610796</v>
      </c>
    </row>
    <row r="39" spans="2:23" ht="24.75" customHeight="1">
      <c r="B39" s="100" t="s">
        <v>42</v>
      </c>
      <c r="C39" s="197">
        <v>930.3746004642085</v>
      </c>
      <c r="D39" s="197">
        <v>941.7404332796526</v>
      </c>
      <c r="E39" s="197">
        <v>968.5313249160565</v>
      </c>
      <c r="F39" s="197">
        <v>1000.1932877590793</v>
      </c>
      <c r="G39" s="197">
        <v>1029.4197149987926</v>
      </c>
      <c r="H39" s="197">
        <v>1066.7645942495374</v>
      </c>
      <c r="I39" s="197">
        <v>1083.0014982716002</v>
      </c>
      <c r="J39" s="197">
        <v>1100.0502474947664</v>
      </c>
      <c r="K39" s="197">
        <v>1118.7226871201387</v>
      </c>
      <c r="L39" s="197">
        <v>1158.5031019741932</v>
      </c>
      <c r="M39" s="197">
        <v>1161.6498494435875</v>
      </c>
      <c r="N39" s="197">
        <v>1172.9573291808363</v>
      </c>
      <c r="O39" s="197">
        <v>1148.7190398810367</v>
      </c>
      <c r="P39" s="197">
        <v>1123.3350171468262</v>
      </c>
      <c r="Q39" s="197">
        <v>1010.9840934403662</v>
      </c>
      <c r="R39" s="197">
        <v>1079.6437479767694</v>
      </c>
      <c r="S39" s="197">
        <v>1094.548478078082</v>
      </c>
      <c r="T39" s="197">
        <v>1070.3385856609575</v>
      </c>
      <c r="U39" s="197">
        <v>1082.3171813823121</v>
      </c>
      <c r="V39" s="197">
        <v>1123.1948956707613</v>
      </c>
      <c r="W39" s="197">
        <v>1111.3619583635555</v>
      </c>
    </row>
    <row r="40" spans="2:23" ht="24.75" customHeight="1">
      <c r="B40" s="100" t="s">
        <v>44</v>
      </c>
      <c r="C40" s="197">
        <v>388.11806800000005</v>
      </c>
      <c r="D40" s="197">
        <v>393.8630000000001</v>
      </c>
      <c r="E40" s="197">
        <v>411.2519999999999</v>
      </c>
      <c r="F40" s="197">
        <v>394.337525</v>
      </c>
      <c r="G40" s="197">
        <v>385.31001500293985</v>
      </c>
      <c r="H40" s="197">
        <v>405.4637546422241</v>
      </c>
      <c r="I40" s="197">
        <v>388.048302252257</v>
      </c>
      <c r="J40" s="197">
        <v>385.983192553031</v>
      </c>
      <c r="K40" s="197">
        <v>394.37526875462396</v>
      </c>
      <c r="L40" s="197">
        <v>419.326370260433</v>
      </c>
      <c r="M40" s="197">
        <v>416.0241804501331</v>
      </c>
      <c r="N40" s="197">
        <v>438.164920252945</v>
      </c>
      <c r="O40" s="197">
        <v>452</v>
      </c>
      <c r="P40" s="197">
        <v>442.7629999999999</v>
      </c>
      <c r="Q40" s="197">
        <v>363.541</v>
      </c>
      <c r="R40" s="197">
        <v>393.531</v>
      </c>
      <c r="S40" s="197">
        <v>422.0969999999999</v>
      </c>
      <c r="T40" s="197">
        <v>406.661</v>
      </c>
      <c r="U40" s="197">
        <v>406.7200000000001</v>
      </c>
      <c r="V40" s="197">
        <v>410.82399999999996</v>
      </c>
      <c r="W40" s="197">
        <v>417.5400000000001</v>
      </c>
    </row>
    <row r="41" spans="2:23" ht="24.75" customHeight="1">
      <c r="B41" s="100" t="s">
        <v>49</v>
      </c>
      <c r="C41" s="197">
        <v>122.118208</v>
      </c>
      <c r="D41" s="197">
        <v>119.778492</v>
      </c>
      <c r="E41" s="197">
        <v>127.87012699999998</v>
      </c>
      <c r="F41" s="197">
        <v>131.064354551</v>
      </c>
      <c r="G41" s="197">
        <v>128.778899</v>
      </c>
      <c r="H41" s="197">
        <v>133.9248856</v>
      </c>
      <c r="I41" s="197">
        <v>132.6062436</v>
      </c>
      <c r="J41" s="197">
        <v>132.594023</v>
      </c>
      <c r="K41" s="197">
        <v>123.6150852</v>
      </c>
      <c r="L41" s="197">
        <v>136.91315100000006</v>
      </c>
      <c r="M41" s="197">
        <v>138.78097439999996</v>
      </c>
      <c r="N41" s="197">
        <v>138.57696909999999</v>
      </c>
      <c r="O41" s="197">
        <v>145.564</v>
      </c>
      <c r="P41" s="197">
        <v>147.067</v>
      </c>
      <c r="Q41" s="197">
        <v>132.73900000000003</v>
      </c>
      <c r="R41" s="197">
        <v>155.521</v>
      </c>
      <c r="S41" s="197">
        <v>141.96900000000002</v>
      </c>
      <c r="T41" s="197">
        <v>149.987</v>
      </c>
      <c r="U41" s="197">
        <v>152.79500000000004</v>
      </c>
      <c r="V41" s="197">
        <v>150.87599999999998</v>
      </c>
      <c r="W41" s="197">
        <v>147.51900000000003</v>
      </c>
    </row>
    <row r="42" spans="2:23" ht="24.75" customHeight="1">
      <c r="B42" s="100" t="s">
        <v>73</v>
      </c>
      <c r="C42" s="197">
        <v>114.91029999999998</v>
      </c>
      <c r="D42" s="197">
        <v>119.3301</v>
      </c>
      <c r="E42" s="197">
        <v>118.90400000000001</v>
      </c>
      <c r="F42" s="197">
        <v>126.33999999999999</v>
      </c>
      <c r="G42" s="197">
        <v>124.85099999999998</v>
      </c>
      <c r="H42" s="197">
        <v>127.10669999999999</v>
      </c>
      <c r="I42" s="197">
        <v>133.9373</v>
      </c>
      <c r="J42" s="197">
        <v>129.7316</v>
      </c>
      <c r="K42" s="197">
        <v>131.6878</v>
      </c>
      <c r="L42" s="197">
        <v>133.2593606</v>
      </c>
      <c r="M42" s="197">
        <v>137.58850379999998</v>
      </c>
      <c r="N42" s="197">
        <v>136.56624979999998</v>
      </c>
      <c r="O42" s="197">
        <v>128.45148842182226</v>
      </c>
      <c r="P42" s="197">
        <v>124.94496585313127</v>
      </c>
      <c r="Q42" s="197">
        <v>121.81921473696151</v>
      </c>
      <c r="R42" s="197">
        <v>121.13344560300447</v>
      </c>
      <c r="S42" s="197">
        <v>118.37031897026802</v>
      </c>
      <c r="T42" s="197">
        <v>114.89650906969668</v>
      </c>
      <c r="U42" s="197">
        <v>112.21704097523953</v>
      </c>
      <c r="V42" s="197">
        <v>111.33271480506806</v>
      </c>
      <c r="W42" s="197">
        <v>115.19060588333474</v>
      </c>
    </row>
    <row r="43" spans="2:23" ht="24.75" customHeight="1">
      <c r="B43" s="101" t="s">
        <v>45</v>
      </c>
      <c r="C43" s="197">
        <v>1.7663653688748147</v>
      </c>
      <c r="D43" s="197">
        <v>1.8193563299410593</v>
      </c>
      <c r="E43" s="197">
        <v>1.9253382520735483</v>
      </c>
      <c r="F43" s="197">
        <v>1.9871610399841666</v>
      </c>
      <c r="G43" s="197">
        <v>2.0313201742060367</v>
      </c>
      <c r="H43" s="197">
        <v>2.1637975768716484</v>
      </c>
      <c r="I43" s="197">
        <v>2.1726294037160225</v>
      </c>
      <c r="J43" s="197">
        <v>2.1196384426497774</v>
      </c>
      <c r="K43" s="197">
        <v>2.1373020963385256</v>
      </c>
      <c r="L43" s="197">
        <v>2.2167885379378918</v>
      </c>
      <c r="M43" s="197">
        <v>2.2786113258485106</v>
      </c>
      <c r="N43" s="197">
        <v>2.349265940603503</v>
      </c>
      <c r="O43" s="197">
        <v>2.4287523822028696</v>
      </c>
      <c r="P43" s="197">
        <v>2.38253510735216</v>
      </c>
      <c r="Q43" s="197">
        <v>2.22290461083575</v>
      </c>
      <c r="R43" s="197">
        <v>2.31266707531467</v>
      </c>
      <c r="S43" s="197">
        <v>2.28370751519253</v>
      </c>
      <c r="T43" s="197">
        <v>2.27335405143789</v>
      </c>
      <c r="U43" s="197">
        <v>2.24463315805901</v>
      </c>
      <c r="V43" s="197">
        <v>2.53760283773001</v>
      </c>
      <c r="W43" s="197">
        <v>2.55939315959321</v>
      </c>
    </row>
    <row r="44" spans="2:23" ht="24.75" customHeight="1">
      <c r="B44" s="175" t="s">
        <v>46</v>
      </c>
      <c r="C44" s="198">
        <f aca="true" t="shared" si="0" ref="C44:W44">SUM(C38:C43)</f>
        <v>2845.9475418330835</v>
      </c>
      <c r="D44" s="198">
        <f t="shared" si="0"/>
        <v>2879.110381609594</v>
      </c>
      <c r="E44" s="198">
        <f t="shared" si="0"/>
        <v>2980.1607901681305</v>
      </c>
      <c r="F44" s="198">
        <f t="shared" si="0"/>
        <v>3068.1263283500634</v>
      </c>
      <c r="G44" s="198">
        <f t="shared" si="0"/>
        <v>3131.0129491759385</v>
      </c>
      <c r="H44" s="198">
        <f t="shared" si="0"/>
        <v>3244.9117320686332</v>
      </c>
      <c r="I44" s="198">
        <f t="shared" si="0"/>
        <v>3292.282973527574</v>
      </c>
      <c r="J44" s="198">
        <f t="shared" si="0"/>
        <v>3353.3137014904473</v>
      </c>
      <c r="K44" s="198">
        <f t="shared" si="0"/>
        <v>3378.221143171101</v>
      </c>
      <c r="L44" s="198">
        <f t="shared" si="0"/>
        <v>3601.1387723725647</v>
      </c>
      <c r="M44" s="198">
        <f t="shared" si="0"/>
        <v>3611.774308963058</v>
      </c>
      <c r="N44" s="198">
        <f t="shared" si="0"/>
        <v>3698.907085397901</v>
      </c>
      <c r="O44" s="198">
        <f t="shared" si="0"/>
        <v>3752.9419225995925</v>
      </c>
      <c r="P44" s="198">
        <f t="shared" si="0"/>
        <v>3684.612375276096</v>
      </c>
      <c r="Q44" s="198">
        <f t="shared" si="0"/>
        <v>3291.627208823595</v>
      </c>
      <c r="R44" s="198">
        <f t="shared" si="0"/>
        <v>3461.943663898172</v>
      </c>
      <c r="S44" s="198">
        <f t="shared" si="0"/>
        <v>3478.454093859993</v>
      </c>
      <c r="T44" s="198">
        <f t="shared" si="0"/>
        <v>3389.2429620919625</v>
      </c>
      <c r="U44" s="198">
        <f t="shared" si="0"/>
        <v>3426.9988913401594</v>
      </c>
      <c r="V44" s="198">
        <f t="shared" si="0"/>
        <v>3474.933250578668</v>
      </c>
      <c r="W44" s="198">
        <f t="shared" si="0"/>
        <v>3516.4950535144435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1">
    <pageSetUpPr fitToPage="1"/>
  </sheetPr>
  <dimension ref="A1:K66"/>
  <sheetViews>
    <sheetView zoomScale="110" zoomScaleNormal="110" zoomScalePageLayoutView="0" workbookViewId="0" topLeftCell="A37">
      <selection activeCell="M26" sqref="M26"/>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91</v>
      </c>
    </row>
    <row r="2" spans="1:10" s="82" customFormat="1" ht="30" customHeight="1">
      <c r="A2"/>
      <c r="B2" s="483" t="s">
        <v>115</v>
      </c>
      <c r="C2" s="483"/>
      <c r="D2" s="483"/>
      <c r="E2" s="483"/>
      <c r="F2" s="483"/>
      <c r="G2" s="483"/>
      <c r="H2" s="483"/>
      <c r="I2" s="483"/>
      <c r="J2"/>
    </row>
    <row r="3" spans="2:9" ht="15" customHeight="1">
      <c r="B3" s="480" t="s">
        <v>48</v>
      </c>
      <c r="C3" s="480"/>
      <c r="D3" s="480"/>
      <c r="E3" s="480"/>
      <c r="F3" s="480"/>
      <c r="G3" s="480"/>
      <c r="H3" s="480"/>
      <c r="I3" s="480"/>
    </row>
    <row r="4" spans="2:9" ht="12" customHeight="1">
      <c r="B4" s="488" t="s">
        <v>116</v>
      </c>
      <c r="C4" s="489"/>
      <c r="D4" s="489"/>
      <c r="E4" s="489"/>
      <c r="F4" s="489"/>
      <c r="G4" s="489"/>
      <c r="H4" s="489"/>
      <c r="I4" s="489"/>
    </row>
    <row r="5" spans="1:10" s="25" customFormat="1" ht="12" customHeight="1">
      <c r="A5"/>
      <c r="B5" s="4"/>
      <c r="C5" s="485" t="s">
        <v>43</v>
      </c>
      <c r="D5" s="485" t="s">
        <v>44</v>
      </c>
      <c r="E5" s="485" t="s">
        <v>50</v>
      </c>
      <c r="F5" s="485" t="s">
        <v>82</v>
      </c>
      <c r="G5" s="138"/>
      <c r="H5" s="138"/>
      <c r="I5" s="485" t="s">
        <v>46</v>
      </c>
      <c r="J5"/>
    </row>
    <row r="6" spans="1:10" s="25" customFormat="1" ht="12" customHeight="1">
      <c r="A6"/>
      <c r="B6" s="4"/>
      <c r="C6" s="486"/>
      <c r="D6" s="486"/>
      <c r="E6" s="486"/>
      <c r="F6" s="486"/>
      <c r="G6" s="420" t="s">
        <v>141</v>
      </c>
      <c r="H6" s="140" t="s">
        <v>45</v>
      </c>
      <c r="I6" s="486"/>
      <c r="J6"/>
    </row>
    <row r="7" spans="1:10" s="25" customFormat="1" ht="12" customHeight="1">
      <c r="A7"/>
      <c r="B7" s="32"/>
      <c r="C7" s="487"/>
      <c r="D7" s="487"/>
      <c r="E7" s="487"/>
      <c r="F7" s="487"/>
      <c r="G7" s="139"/>
      <c r="H7" s="139"/>
      <c r="I7" s="487"/>
      <c r="J7"/>
    </row>
    <row r="8" spans="1:11" s="25" customFormat="1" ht="12" customHeight="1">
      <c r="A8"/>
      <c r="B8" s="141">
        <v>1995</v>
      </c>
      <c r="C8" s="122">
        <v>1288.66</v>
      </c>
      <c r="D8" s="123">
        <v>388.11806800000005</v>
      </c>
      <c r="E8" s="470">
        <v>122.118208</v>
      </c>
      <c r="F8" s="124">
        <v>114.91029999999998</v>
      </c>
      <c r="G8" s="124">
        <v>930.3746004642085</v>
      </c>
      <c r="H8" s="367">
        <v>1.7663653688748147</v>
      </c>
      <c r="I8" s="368">
        <f aca="true" t="shared" si="0" ref="I8:I22">SUM(C8:H8)</f>
        <v>2845.9475418330835</v>
      </c>
      <c r="J8"/>
      <c r="K8" s="419"/>
    </row>
    <row r="9" spans="1:11" s="25" customFormat="1" ht="12.75" customHeight="1">
      <c r="A9"/>
      <c r="B9" s="142">
        <v>1996</v>
      </c>
      <c r="C9" s="126">
        <v>1302.5789999999997</v>
      </c>
      <c r="D9" s="127">
        <v>393.8630000000001</v>
      </c>
      <c r="E9" s="371">
        <v>119.778492</v>
      </c>
      <c r="F9" s="128">
        <v>119.3301</v>
      </c>
      <c r="G9" s="128">
        <v>941.7404332796526</v>
      </c>
      <c r="H9" s="369">
        <v>1.8193563299410593</v>
      </c>
      <c r="I9" s="370">
        <f t="shared" si="0"/>
        <v>2879.1103816095933</v>
      </c>
      <c r="J9"/>
      <c r="K9" s="419"/>
    </row>
    <row r="10" spans="1:11" s="25" customFormat="1" ht="12.75" customHeight="1">
      <c r="A10"/>
      <c r="B10" s="142">
        <v>1997</v>
      </c>
      <c r="C10" s="126">
        <v>1351.678</v>
      </c>
      <c r="D10" s="127">
        <v>411.2519999999999</v>
      </c>
      <c r="E10" s="371">
        <v>127.87012699999998</v>
      </c>
      <c r="F10" s="128">
        <v>118.90400000000001</v>
      </c>
      <c r="G10" s="128">
        <v>968.5313249160565</v>
      </c>
      <c r="H10" s="369">
        <v>1.9253382520735483</v>
      </c>
      <c r="I10" s="370">
        <f t="shared" si="0"/>
        <v>2980.16079016813</v>
      </c>
      <c r="J10"/>
      <c r="K10" s="419"/>
    </row>
    <row r="11" spans="1:11" s="26" customFormat="1" ht="12.75" customHeight="1">
      <c r="A11"/>
      <c r="B11" s="142">
        <v>1998</v>
      </c>
      <c r="C11" s="126">
        <v>1414.2039999999997</v>
      </c>
      <c r="D11" s="127">
        <v>394.337525</v>
      </c>
      <c r="E11" s="371">
        <v>131.064354551</v>
      </c>
      <c r="F11" s="128">
        <v>126.33999999999999</v>
      </c>
      <c r="G11" s="128">
        <v>1000.1932877590793</v>
      </c>
      <c r="H11" s="369">
        <v>1.9871610399841666</v>
      </c>
      <c r="I11" s="370">
        <f t="shared" si="0"/>
        <v>3068.126328350063</v>
      </c>
      <c r="J11"/>
      <c r="K11" s="419"/>
    </row>
    <row r="12" spans="1:11" s="26" customFormat="1" ht="12.75" customHeight="1">
      <c r="A12"/>
      <c r="B12" s="142">
        <v>1999</v>
      </c>
      <c r="C12" s="126">
        <v>1460.6219999999998</v>
      </c>
      <c r="D12" s="127">
        <v>385.31001500293985</v>
      </c>
      <c r="E12" s="371">
        <v>128.778899</v>
      </c>
      <c r="F12" s="128">
        <v>124.85099999999998</v>
      </c>
      <c r="G12" s="128">
        <v>1029.4197149987926</v>
      </c>
      <c r="H12" s="369">
        <v>2.0313201742060367</v>
      </c>
      <c r="I12" s="370">
        <f t="shared" si="0"/>
        <v>3131.0129491759385</v>
      </c>
      <c r="J12"/>
      <c r="K12" s="419"/>
    </row>
    <row r="13" spans="1:11" s="26" customFormat="1" ht="12.75" customHeight="1">
      <c r="A13"/>
      <c r="B13" s="142">
        <v>2000</v>
      </c>
      <c r="C13" s="126">
        <v>1509.488</v>
      </c>
      <c r="D13" s="127">
        <v>405.4637546422241</v>
      </c>
      <c r="E13" s="371">
        <v>133.9248856</v>
      </c>
      <c r="F13" s="128">
        <v>127.10669999999999</v>
      </c>
      <c r="G13" s="128">
        <v>1066.7645942495374</v>
      </c>
      <c r="H13" s="369">
        <v>2.1637975768716484</v>
      </c>
      <c r="I13" s="370">
        <f t="shared" si="0"/>
        <v>3244.9117320686332</v>
      </c>
      <c r="J13"/>
      <c r="K13" s="419"/>
    </row>
    <row r="14" spans="1:11" s="26" customFormat="1" ht="12.75" customHeight="1">
      <c r="A14"/>
      <c r="B14" s="142">
        <v>2001</v>
      </c>
      <c r="C14" s="126">
        <v>1552.5170000000003</v>
      </c>
      <c r="D14" s="127">
        <v>388.048302252257</v>
      </c>
      <c r="E14" s="371">
        <v>132.6062436</v>
      </c>
      <c r="F14" s="128">
        <v>133.9373</v>
      </c>
      <c r="G14" s="128">
        <v>1083.0014982716002</v>
      </c>
      <c r="H14" s="369">
        <v>2.1726294037160225</v>
      </c>
      <c r="I14" s="370">
        <f t="shared" si="0"/>
        <v>3292.2829735275736</v>
      </c>
      <c r="J14"/>
      <c r="K14" s="419"/>
    </row>
    <row r="15" spans="1:11" s="26" customFormat="1" ht="12.75" customHeight="1">
      <c r="A15"/>
      <c r="B15" s="142">
        <v>2002</v>
      </c>
      <c r="C15" s="126">
        <v>1602.835</v>
      </c>
      <c r="D15" s="127">
        <v>385.983192553031</v>
      </c>
      <c r="E15" s="371">
        <v>132.594023</v>
      </c>
      <c r="F15" s="128">
        <v>129.7316</v>
      </c>
      <c r="G15" s="128">
        <v>1100.0502474947664</v>
      </c>
      <c r="H15" s="369">
        <v>2.1196384426497774</v>
      </c>
      <c r="I15" s="370">
        <f t="shared" si="0"/>
        <v>3353.3137014904473</v>
      </c>
      <c r="J15"/>
      <c r="K15" s="419"/>
    </row>
    <row r="16" spans="1:11" s="26" customFormat="1" ht="12.75" customHeight="1">
      <c r="A16"/>
      <c r="B16" s="142">
        <v>2003</v>
      </c>
      <c r="C16" s="126">
        <v>1607.683</v>
      </c>
      <c r="D16" s="127">
        <v>394.37526875462396</v>
      </c>
      <c r="E16" s="371">
        <v>123.6150852</v>
      </c>
      <c r="F16" s="128">
        <v>131.6878</v>
      </c>
      <c r="G16" s="128">
        <v>1118.7226871201387</v>
      </c>
      <c r="H16" s="369">
        <v>2.1373020963385256</v>
      </c>
      <c r="I16" s="370">
        <f t="shared" si="0"/>
        <v>3378.221143171101</v>
      </c>
      <c r="J16"/>
      <c r="K16" s="419"/>
    </row>
    <row r="17" spans="1:11" s="26" customFormat="1" ht="12.75" customHeight="1" thickBot="1">
      <c r="A17"/>
      <c r="B17" s="142">
        <v>2004</v>
      </c>
      <c r="C17" s="126">
        <v>1750.92</v>
      </c>
      <c r="D17" s="127">
        <v>419.326370260433</v>
      </c>
      <c r="E17" s="371">
        <v>136.91315100000006</v>
      </c>
      <c r="F17" s="128">
        <v>133.2593606</v>
      </c>
      <c r="G17" s="128">
        <v>1158.5031019741932</v>
      </c>
      <c r="H17" s="369">
        <v>2.2167885379378918</v>
      </c>
      <c r="I17" s="370">
        <f t="shared" si="0"/>
        <v>3601.1387723725647</v>
      </c>
      <c r="J17"/>
      <c r="K17" s="419"/>
    </row>
    <row r="18" spans="1:11" s="26" customFormat="1" ht="12.75" customHeight="1" thickTop="1">
      <c r="A18"/>
      <c r="B18" s="142">
        <v>2005</v>
      </c>
      <c r="C18" s="468">
        <v>1755.4521895434887</v>
      </c>
      <c r="D18" s="127">
        <v>416.0241804501331</v>
      </c>
      <c r="E18" s="371">
        <v>138.78097439999996</v>
      </c>
      <c r="F18" s="128">
        <v>137.58850379999998</v>
      </c>
      <c r="G18" s="371">
        <v>1161.6498494435875</v>
      </c>
      <c r="H18" s="369">
        <v>2.2786113258485106</v>
      </c>
      <c r="I18" s="370">
        <f t="shared" si="0"/>
        <v>3611.774308963058</v>
      </c>
      <c r="J18"/>
      <c r="K18" s="419"/>
    </row>
    <row r="19" spans="1:11" s="26" customFormat="1" ht="12.75" customHeight="1">
      <c r="A19"/>
      <c r="B19" s="142">
        <v>2006</v>
      </c>
      <c r="C19" s="469">
        <v>1810.2923511235158</v>
      </c>
      <c r="D19" s="127">
        <v>438.164920252945</v>
      </c>
      <c r="E19" s="371">
        <v>138.57696909999999</v>
      </c>
      <c r="F19" s="128">
        <v>136.56624979999998</v>
      </c>
      <c r="G19" s="371">
        <v>1172.9573291808363</v>
      </c>
      <c r="H19" s="369">
        <v>2.349265940603503</v>
      </c>
      <c r="I19" s="370">
        <f t="shared" si="0"/>
        <v>3698.9070853979006</v>
      </c>
      <c r="J19"/>
      <c r="K19" s="419"/>
    </row>
    <row r="20" spans="1:11" s="26" customFormat="1" ht="12.75" customHeight="1">
      <c r="A20"/>
      <c r="B20" s="142">
        <v>2007</v>
      </c>
      <c r="C20" s="469">
        <v>1875.778641914531</v>
      </c>
      <c r="D20" s="127">
        <v>452</v>
      </c>
      <c r="E20" s="371">
        <v>145.564</v>
      </c>
      <c r="F20" s="128">
        <v>128.45148842182226</v>
      </c>
      <c r="G20" s="371">
        <v>1148.7190398810367</v>
      </c>
      <c r="H20" s="369">
        <v>2.4287523822028696</v>
      </c>
      <c r="I20" s="370">
        <f t="shared" si="0"/>
        <v>3752.9419225995925</v>
      </c>
      <c r="J20"/>
      <c r="K20" s="419"/>
    </row>
    <row r="21" spans="1:11" s="26" customFormat="1" ht="12.75" customHeight="1">
      <c r="A21"/>
      <c r="B21" s="142">
        <v>2008</v>
      </c>
      <c r="C21" s="469">
        <v>1844.1198571687864</v>
      </c>
      <c r="D21" s="127">
        <v>442.7629999999999</v>
      </c>
      <c r="E21" s="371">
        <v>147.067</v>
      </c>
      <c r="F21" s="128">
        <v>124.94496585313127</v>
      </c>
      <c r="G21" s="371">
        <v>1123.3350171468262</v>
      </c>
      <c r="H21" s="369">
        <v>2.38253510735216</v>
      </c>
      <c r="I21" s="370">
        <f t="shared" si="0"/>
        <v>3684.612375276096</v>
      </c>
      <c r="J21"/>
      <c r="K21" s="419"/>
    </row>
    <row r="22" spans="1:11" s="26" customFormat="1" ht="12.75" customHeight="1">
      <c r="A22"/>
      <c r="B22" s="142">
        <v>2009</v>
      </c>
      <c r="C22" s="469">
        <v>1660.3209960354313</v>
      </c>
      <c r="D22" s="127">
        <v>363.541</v>
      </c>
      <c r="E22" s="371">
        <v>132.73900000000003</v>
      </c>
      <c r="F22" s="128">
        <v>121.81921473696151</v>
      </c>
      <c r="G22" s="371">
        <v>1010.9840934403662</v>
      </c>
      <c r="H22" s="369">
        <v>2.22290461083575</v>
      </c>
      <c r="I22" s="370">
        <f t="shared" si="0"/>
        <v>3291.6272088235946</v>
      </c>
      <c r="J22"/>
      <c r="K22" s="419"/>
    </row>
    <row r="23" spans="1:11" s="26" customFormat="1" ht="12.75" customHeight="1">
      <c r="A23"/>
      <c r="B23" s="142">
        <v>2010</v>
      </c>
      <c r="C23" s="469">
        <v>1709.8018032430837</v>
      </c>
      <c r="D23" s="127">
        <v>393.531</v>
      </c>
      <c r="E23" s="371">
        <v>155.521</v>
      </c>
      <c r="F23" s="128">
        <v>121.13344560300447</v>
      </c>
      <c r="G23" s="371">
        <v>1079.6437479767694</v>
      </c>
      <c r="H23" s="369">
        <v>2.31266707531467</v>
      </c>
      <c r="I23" s="370">
        <f aca="true" t="shared" si="1" ref="I23:I28">SUM(C23:H23)</f>
        <v>3461.9436638981724</v>
      </c>
      <c r="J23"/>
      <c r="K23" s="419"/>
    </row>
    <row r="24" spans="1:11" s="26" customFormat="1" ht="12.75" customHeight="1">
      <c r="A24"/>
      <c r="B24" s="142">
        <v>2011</v>
      </c>
      <c r="C24" s="469">
        <v>1699.185589296451</v>
      </c>
      <c r="D24" s="127">
        <v>422.0969999999999</v>
      </c>
      <c r="E24" s="371">
        <v>141.96900000000002</v>
      </c>
      <c r="F24" s="128">
        <v>118.37031897026802</v>
      </c>
      <c r="G24" s="371">
        <v>1094.548478078082</v>
      </c>
      <c r="H24" s="369">
        <v>2.28370751519253</v>
      </c>
      <c r="I24" s="370">
        <f t="shared" si="1"/>
        <v>3478.4540938599935</v>
      </c>
      <c r="J24"/>
      <c r="K24" s="419"/>
    </row>
    <row r="25" spans="1:11" s="26" customFormat="1" ht="12.75" customHeight="1">
      <c r="A25"/>
      <c r="B25" s="142">
        <v>2012</v>
      </c>
      <c r="C25" s="469">
        <v>1645.0865133098703</v>
      </c>
      <c r="D25" s="128">
        <v>406.661</v>
      </c>
      <c r="E25" s="371">
        <v>149.987</v>
      </c>
      <c r="F25" s="128">
        <v>114.89650906969668</v>
      </c>
      <c r="G25" s="371">
        <v>1070.3385856609575</v>
      </c>
      <c r="H25" s="369">
        <v>2.27335405143789</v>
      </c>
      <c r="I25" s="370">
        <f t="shared" si="1"/>
        <v>3389.242962091962</v>
      </c>
      <c r="J25"/>
      <c r="K25" s="419"/>
    </row>
    <row r="26" spans="1:11" s="26" customFormat="1" ht="12.75" customHeight="1">
      <c r="A26"/>
      <c r="B26" s="142">
        <v>2013</v>
      </c>
      <c r="C26" s="469">
        <v>1670.7050358245485</v>
      </c>
      <c r="D26" s="128">
        <v>406.7200000000001</v>
      </c>
      <c r="E26" s="371">
        <v>152.79500000000004</v>
      </c>
      <c r="F26" s="128">
        <v>112.21704097523953</v>
      </c>
      <c r="G26" s="371">
        <v>1082.3171813823121</v>
      </c>
      <c r="H26" s="369">
        <v>2.24463315805901</v>
      </c>
      <c r="I26" s="370">
        <f t="shared" si="1"/>
        <v>3426.998891340159</v>
      </c>
      <c r="J26"/>
      <c r="K26" s="419"/>
    </row>
    <row r="27" spans="1:11" s="26" customFormat="1" ht="12.75" customHeight="1">
      <c r="A27" s="405"/>
      <c r="B27" s="142">
        <v>2014</v>
      </c>
      <c r="C27" s="469">
        <v>1676.1680372651085</v>
      </c>
      <c r="D27" s="128">
        <v>410.82399999999996</v>
      </c>
      <c r="E27" s="371">
        <v>150.87599999999998</v>
      </c>
      <c r="F27" s="128">
        <v>111.33271480506806</v>
      </c>
      <c r="G27" s="371">
        <v>1123.1948956707613</v>
      </c>
      <c r="H27" s="369">
        <v>2.53760283773001</v>
      </c>
      <c r="I27" s="370">
        <f t="shared" si="1"/>
        <v>3474.9332505786683</v>
      </c>
      <c r="J27" s="405"/>
      <c r="K27" s="419"/>
    </row>
    <row r="28" spans="1:11" s="26" customFormat="1" ht="12.75" customHeight="1">
      <c r="A28" s="405"/>
      <c r="B28" s="142">
        <v>2015</v>
      </c>
      <c r="C28" s="469">
        <v>1722.32409610796</v>
      </c>
      <c r="D28" s="128">
        <v>417.5400000000001</v>
      </c>
      <c r="E28" s="371">
        <v>147.51900000000003</v>
      </c>
      <c r="F28" s="128">
        <v>115.19060588333474</v>
      </c>
      <c r="G28" s="371">
        <v>1111.3619583635555</v>
      </c>
      <c r="H28" s="369">
        <v>2.55939315959321</v>
      </c>
      <c r="I28" s="370">
        <f t="shared" si="1"/>
        <v>3516.4950535144435</v>
      </c>
      <c r="J28" s="405"/>
      <c r="K28" s="419"/>
    </row>
    <row r="29" spans="1:10" s="26" customFormat="1" ht="22.5" customHeight="1">
      <c r="A29"/>
      <c r="B29" s="190" t="s">
        <v>154</v>
      </c>
      <c r="C29" s="136">
        <f>C28/C8-1</f>
        <v>0.3365232847360513</v>
      </c>
      <c r="D29" s="137">
        <f aca="true" t="shared" si="2" ref="D29:I29">D28/D8-1</f>
        <v>0.07580665376289564</v>
      </c>
      <c r="E29" s="137">
        <f t="shared" si="2"/>
        <v>0.2080016765395054</v>
      </c>
      <c r="F29" s="137">
        <f t="shared" si="2"/>
        <v>0.0024393451529998167</v>
      </c>
      <c r="G29" s="137">
        <f t="shared" si="2"/>
        <v>0.19453170562593147</v>
      </c>
      <c r="H29" s="137">
        <f t="shared" si="2"/>
        <v>0.4489602234579353</v>
      </c>
      <c r="I29" s="132">
        <f t="shared" si="2"/>
        <v>0.23561485298828044</v>
      </c>
      <c r="J29"/>
    </row>
    <row r="30" spans="1:10" s="33" customFormat="1" ht="17.25" customHeight="1">
      <c r="A30"/>
      <c r="B30" s="79" t="s">
        <v>51</v>
      </c>
      <c r="C30" s="133">
        <f>(POWER((C28/C8),1/20)-1)</f>
        <v>0.01460927123447453</v>
      </c>
      <c r="D30" s="134">
        <f aca="true" t="shared" si="3" ref="D30:I30">(POWER((D28/D8),1/20)-1)</f>
        <v>0.0036602200938280482</v>
      </c>
      <c r="E30" s="134">
        <f t="shared" si="3"/>
        <v>0.009493151169433167</v>
      </c>
      <c r="F30" s="134">
        <f t="shared" si="3"/>
        <v>0.00012182615921085826</v>
      </c>
      <c r="G30" s="134">
        <f t="shared" si="3"/>
        <v>0.008927324499411471</v>
      </c>
      <c r="H30" s="134">
        <f t="shared" si="3"/>
        <v>0.018715286709291012</v>
      </c>
      <c r="I30" s="135">
        <f t="shared" si="3"/>
        <v>0.010634584604579222</v>
      </c>
      <c r="J30"/>
    </row>
    <row r="31" spans="1:10" s="26" customFormat="1" ht="22.5" customHeight="1">
      <c r="A31"/>
      <c r="B31" s="190" t="s">
        <v>155</v>
      </c>
      <c r="C31" s="136">
        <f>C28/C13-1</f>
        <v>0.14099886591212374</v>
      </c>
      <c r="D31" s="137">
        <f aca="true" t="shared" si="4" ref="D31:I31">D28/D13-1</f>
        <v>0.029783785158384646</v>
      </c>
      <c r="E31" s="137">
        <f t="shared" si="4"/>
        <v>0.10150551437170696</v>
      </c>
      <c r="F31" s="137">
        <f t="shared" si="4"/>
        <v>-0.0937487490168909</v>
      </c>
      <c r="G31" s="137">
        <f t="shared" si="4"/>
        <v>0.04180619075138314</v>
      </c>
      <c r="H31" s="137">
        <f t="shared" si="4"/>
        <v>0.1828246722105591</v>
      </c>
      <c r="I31" s="132">
        <f t="shared" si="4"/>
        <v>0.08369513375720561</v>
      </c>
      <c r="J31"/>
    </row>
    <row r="32" spans="1:10" s="33" customFormat="1" ht="22.5" customHeight="1">
      <c r="A32"/>
      <c r="B32" s="79" t="s">
        <v>51</v>
      </c>
      <c r="C32" s="133">
        <f>(POWER((C28/C13),1/15)-1)</f>
        <v>0.008832382455567167</v>
      </c>
      <c r="D32" s="134">
        <f aca="true" t="shared" si="5" ref="D32:I32">(POWER((D28/D13),1/15)-1)</f>
        <v>0.0019585062318154822</v>
      </c>
      <c r="E32" s="134">
        <f t="shared" si="5"/>
        <v>0.006466007849596833</v>
      </c>
      <c r="F32" s="134">
        <f t="shared" si="5"/>
        <v>-0.006541092798203252</v>
      </c>
      <c r="G32" s="134">
        <f t="shared" si="5"/>
        <v>0.0027341261687563456</v>
      </c>
      <c r="H32" s="134">
        <f t="shared" si="5"/>
        <v>0.011256574971807654</v>
      </c>
      <c r="I32" s="135">
        <f t="shared" si="5"/>
        <v>0.00537282356043578</v>
      </c>
      <c r="J32"/>
    </row>
    <row r="33" spans="1:10" s="33" customFormat="1" ht="22.5" customHeight="1">
      <c r="A33"/>
      <c r="B33" s="191" t="s">
        <v>156</v>
      </c>
      <c r="C33" s="133">
        <f>C28/C27-1</f>
        <v>0.027536653734407945</v>
      </c>
      <c r="D33" s="134">
        <f aca="true" t="shared" si="6" ref="D33:I33">D28/D27-1</f>
        <v>0.016347633049676125</v>
      </c>
      <c r="E33" s="134">
        <f t="shared" si="6"/>
        <v>-0.02225005965163407</v>
      </c>
      <c r="F33" s="134">
        <f t="shared" si="6"/>
        <v>0.0346519087854944</v>
      </c>
      <c r="G33" s="134">
        <f t="shared" si="6"/>
        <v>-0.010535070407473035</v>
      </c>
      <c r="H33" s="134">
        <f t="shared" si="6"/>
        <v>0.00858697095511296</v>
      </c>
      <c r="I33" s="135">
        <f t="shared" si="6"/>
        <v>0.011960460802766137</v>
      </c>
      <c r="J33"/>
    </row>
    <row r="34" spans="1:10" s="33" customFormat="1" ht="22.5" customHeight="1">
      <c r="A34"/>
      <c r="B34" s="178"/>
      <c r="C34" s="131"/>
      <c r="D34" s="131"/>
      <c r="E34" s="131"/>
      <c r="F34" s="131"/>
      <c r="G34" s="131"/>
      <c r="H34" s="131"/>
      <c r="I34" s="177"/>
      <c r="J34"/>
    </row>
    <row r="35" spans="2:9" ht="22.5" customHeight="1">
      <c r="B35" s="490" t="s">
        <v>52</v>
      </c>
      <c r="C35" s="490"/>
      <c r="D35" s="490"/>
      <c r="E35" s="490"/>
      <c r="F35" s="490"/>
      <c r="G35" s="490"/>
      <c r="H35" s="490"/>
      <c r="I35" s="490"/>
    </row>
    <row r="36" spans="2:9" ht="15" customHeight="1">
      <c r="B36" s="484" t="s">
        <v>53</v>
      </c>
      <c r="C36" s="484"/>
      <c r="D36" s="484"/>
      <c r="E36" s="484"/>
      <c r="F36" s="484"/>
      <c r="G36" s="484"/>
      <c r="H36" s="484"/>
      <c r="I36" s="484"/>
    </row>
    <row r="37" spans="2:9" ht="11.25" customHeight="1">
      <c r="B37" s="4"/>
      <c r="C37" s="485" t="s">
        <v>43</v>
      </c>
      <c r="D37" s="485" t="s">
        <v>44</v>
      </c>
      <c r="E37" s="485" t="s">
        <v>50</v>
      </c>
      <c r="F37" s="485" t="s">
        <v>82</v>
      </c>
      <c r="G37" s="494" t="s">
        <v>141</v>
      </c>
      <c r="H37" s="485" t="s">
        <v>45</v>
      </c>
      <c r="I37" s="34"/>
    </row>
    <row r="38" spans="2:9" ht="12.75" customHeight="1">
      <c r="B38" s="4"/>
      <c r="C38" s="486"/>
      <c r="D38" s="486"/>
      <c r="E38" s="486"/>
      <c r="F38" s="486"/>
      <c r="G38" s="486"/>
      <c r="H38" s="486"/>
      <c r="I38" s="34"/>
    </row>
    <row r="39" spans="2:9" ht="15.75" customHeight="1">
      <c r="B39" s="4"/>
      <c r="C39" s="486"/>
      <c r="D39" s="486"/>
      <c r="E39" s="486"/>
      <c r="F39" s="486"/>
      <c r="G39" s="486"/>
      <c r="H39" s="486"/>
      <c r="I39" s="34"/>
    </row>
    <row r="40" spans="2:9" ht="12.75">
      <c r="B40" s="143">
        <v>1995</v>
      </c>
      <c r="C40" s="192">
        <f aca="true" t="shared" si="7" ref="C40:H40">C8/$I8*100</f>
        <v>45.280525415797726</v>
      </c>
      <c r="D40" s="193">
        <f t="shared" si="7"/>
        <v>13.63756929089466</v>
      </c>
      <c r="E40" s="193">
        <f t="shared" si="7"/>
        <v>4.290950771402599</v>
      </c>
      <c r="F40" s="193">
        <f t="shared" si="7"/>
        <v>4.0376815914880115</v>
      </c>
      <c r="G40" s="193">
        <f t="shared" si="7"/>
        <v>32.69120694561191</v>
      </c>
      <c r="H40" s="125">
        <f t="shared" si="7"/>
        <v>0.06206598480508511</v>
      </c>
      <c r="I40" s="34"/>
    </row>
    <row r="41" spans="2:10" ht="12.75" customHeight="1">
      <c r="B41" s="58">
        <v>1996</v>
      </c>
      <c r="C41" s="194">
        <f aca="true" t="shared" si="8" ref="C41:H41">C9/$I9*100</f>
        <v>45.242412667477545</v>
      </c>
      <c r="D41" s="189">
        <f t="shared" si="8"/>
        <v>13.680024305973548</v>
      </c>
      <c r="E41" s="189">
        <f t="shared" si="8"/>
        <v>4.16026050147604</v>
      </c>
      <c r="F41" s="189">
        <f t="shared" si="8"/>
        <v>4.144686524081352</v>
      </c>
      <c r="G41" s="189">
        <f t="shared" si="8"/>
        <v>32.709424386610834</v>
      </c>
      <c r="H41" s="129">
        <f t="shared" si="8"/>
        <v>0.06319161438068696</v>
      </c>
      <c r="I41" s="29"/>
      <c r="J41" s="229"/>
    </row>
    <row r="42" spans="2:10" ht="12.75" customHeight="1">
      <c r="B42" s="58">
        <v>1997</v>
      </c>
      <c r="C42" s="194">
        <f aca="true" t="shared" si="9" ref="C42:H42">C10/$I10*100</f>
        <v>45.3558749064591</v>
      </c>
      <c r="D42" s="189">
        <f t="shared" si="9"/>
        <v>13.799658104246065</v>
      </c>
      <c r="E42" s="189">
        <f t="shared" si="9"/>
        <v>4.290712347530282</v>
      </c>
      <c r="F42" s="189">
        <f t="shared" si="9"/>
        <v>3.9898518359236537</v>
      </c>
      <c r="G42" s="189">
        <f t="shared" si="9"/>
        <v>32.499297625528975</v>
      </c>
      <c r="H42" s="129">
        <f t="shared" si="9"/>
        <v>0.06460518031192966</v>
      </c>
      <c r="I42" s="29"/>
      <c r="J42" s="229"/>
    </row>
    <row r="43" spans="2:10" ht="12.75" customHeight="1">
      <c r="B43" s="58">
        <v>1998</v>
      </c>
      <c r="C43" s="194">
        <f aca="true" t="shared" si="10" ref="C43:H43">C11/$I11*100</f>
        <v>46.09340844060068</v>
      </c>
      <c r="D43" s="189">
        <f t="shared" si="10"/>
        <v>12.852714745030127</v>
      </c>
      <c r="E43" s="189">
        <f t="shared" si="10"/>
        <v>4.27180436932928</v>
      </c>
      <c r="F43" s="189">
        <f t="shared" si="10"/>
        <v>4.117822621337155</v>
      </c>
      <c r="G43" s="189">
        <f t="shared" si="10"/>
        <v>32.599481922145955</v>
      </c>
      <c r="H43" s="129">
        <f t="shared" si="10"/>
        <v>0.06476790155680441</v>
      </c>
      <c r="I43" s="29"/>
      <c r="J43" s="229"/>
    </row>
    <row r="44" spans="2:10" ht="12.75" customHeight="1">
      <c r="B44" s="58">
        <v>1999</v>
      </c>
      <c r="C44" s="194">
        <f aca="true" t="shared" si="11" ref="C44:H44">C12/$I12*100</f>
        <v>46.65014242066376</v>
      </c>
      <c r="D44" s="189">
        <f t="shared" si="11"/>
        <v>12.306241502589469</v>
      </c>
      <c r="E44" s="189">
        <f t="shared" si="11"/>
        <v>4.113010744139328</v>
      </c>
      <c r="F44" s="189">
        <f t="shared" si="11"/>
        <v>3.9875593626292707</v>
      </c>
      <c r="G44" s="189">
        <f t="shared" si="11"/>
        <v>32.878168557869714</v>
      </c>
      <c r="H44" s="129">
        <f t="shared" si="11"/>
        <v>0.06487741210845731</v>
      </c>
      <c r="I44" s="29"/>
      <c r="J44" s="229"/>
    </row>
    <row r="45" spans="2:10" ht="12.75" customHeight="1">
      <c r="B45" s="58">
        <v>2000</v>
      </c>
      <c r="C45" s="194">
        <f aca="true" t="shared" si="12" ref="C45:H45">C13/$I13*100</f>
        <v>46.518615131564786</v>
      </c>
      <c r="D45" s="189">
        <f t="shared" si="12"/>
        <v>12.495370848924162</v>
      </c>
      <c r="E45" s="189">
        <f t="shared" si="12"/>
        <v>4.127227384229118</v>
      </c>
      <c r="F45" s="189">
        <f t="shared" si="12"/>
        <v>3.9171080909177576</v>
      </c>
      <c r="G45" s="189">
        <f t="shared" si="12"/>
        <v>32.87499575741847</v>
      </c>
      <c r="H45" s="129">
        <f t="shared" si="12"/>
        <v>0.06668278694570919</v>
      </c>
      <c r="I45" s="29"/>
      <c r="J45" s="229"/>
    </row>
    <row r="46" spans="2:10" ht="12.75" customHeight="1">
      <c r="B46" s="58">
        <v>2001</v>
      </c>
      <c r="C46" s="194">
        <f aca="true" t="shared" si="13" ref="C46:H46">C14/$I14*100</f>
        <v>47.15624423791643</v>
      </c>
      <c r="D46" s="189">
        <f t="shared" si="13"/>
        <v>11.786602347746431</v>
      </c>
      <c r="E46" s="189">
        <f t="shared" si="13"/>
        <v>4.027789976325052</v>
      </c>
      <c r="F46" s="189">
        <f t="shared" si="13"/>
        <v>4.068219563049605</v>
      </c>
      <c r="G46" s="189">
        <f t="shared" si="13"/>
        <v>32.895152299475626</v>
      </c>
      <c r="H46" s="129">
        <f t="shared" si="13"/>
        <v>0.06599157548684587</v>
      </c>
      <c r="I46" s="81"/>
      <c r="J46" s="229"/>
    </row>
    <row r="47" spans="2:10" ht="12.75" customHeight="1">
      <c r="B47" s="58">
        <v>2002</v>
      </c>
      <c r="C47" s="194">
        <f aca="true" t="shared" si="14" ref="C47:H47">C15/$I15*100</f>
        <v>47.798540270407386</v>
      </c>
      <c r="D47" s="189">
        <f t="shared" si="14"/>
        <v>11.5105005649031</v>
      </c>
      <c r="E47" s="189">
        <f t="shared" si="14"/>
        <v>3.9541192624199137</v>
      </c>
      <c r="F47" s="189">
        <f t="shared" si="14"/>
        <v>3.8687582358411077</v>
      </c>
      <c r="G47" s="189">
        <f t="shared" si="14"/>
        <v>32.804871402452655</v>
      </c>
      <c r="H47" s="129">
        <f t="shared" si="14"/>
        <v>0.0632102639758297</v>
      </c>
      <c r="I47" s="81"/>
      <c r="J47" s="229"/>
    </row>
    <row r="48" spans="2:10" ht="12.75" customHeight="1">
      <c r="B48" s="58">
        <v>2003</v>
      </c>
      <c r="C48" s="194">
        <f aca="true" t="shared" si="15" ref="C48:H48">C16/$I16*100</f>
        <v>47.589631698618895</v>
      </c>
      <c r="D48" s="189">
        <f t="shared" si="15"/>
        <v>11.674051284411416</v>
      </c>
      <c r="E48" s="189">
        <f t="shared" si="15"/>
        <v>3.6591768259423</v>
      </c>
      <c r="F48" s="189">
        <f t="shared" si="15"/>
        <v>3.8981403057700965</v>
      </c>
      <c r="G48" s="189">
        <f t="shared" si="15"/>
        <v>33.115732798652886</v>
      </c>
      <c r="H48" s="129">
        <f t="shared" si="15"/>
        <v>0.06326708660440927</v>
      </c>
      <c r="I48" s="81"/>
      <c r="J48" s="229"/>
    </row>
    <row r="49" spans="2:10" ht="12.75" customHeight="1" thickBot="1">
      <c r="B49" s="58">
        <v>2004</v>
      </c>
      <c r="C49" s="194">
        <f aca="true" t="shared" si="16" ref="C49:H49">C17/$I17*100</f>
        <v>48.62128650616896</v>
      </c>
      <c r="D49" s="189">
        <f t="shared" si="16"/>
        <v>11.64427134764832</v>
      </c>
      <c r="E49" s="189">
        <f t="shared" si="16"/>
        <v>3.801940432020523</v>
      </c>
      <c r="F49" s="189">
        <f t="shared" si="16"/>
        <v>3.700478349302928</v>
      </c>
      <c r="G49" s="189">
        <f t="shared" si="16"/>
        <v>32.17046537784291</v>
      </c>
      <c r="H49" s="129">
        <f t="shared" si="16"/>
        <v>0.06155798701635118</v>
      </c>
      <c r="I49" s="81"/>
      <c r="J49" s="229"/>
    </row>
    <row r="50" spans="2:10" ht="12.75" customHeight="1" thickTop="1">
      <c r="B50" s="58">
        <v>2005</v>
      </c>
      <c r="C50" s="473">
        <f aca="true" t="shared" si="17" ref="C50:H50">C18/$I18*100</f>
        <v>48.60359588878851</v>
      </c>
      <c r="D50" s="189">
        <f t="shared" si="17"/>
        <v>11.518554174819794</v>
      </c>
      <c r="E50" s="189">
        <f t="shared" si="17"/>
        <v>3.842459758783877</v>
      </c>
      <c r="F50" s="189">
        <f t="shared" si="17"/>
        <v>3.809443559597767</v>
      </c>
      <c r="G50" s="189">
        <f t="shared" si="17"/>
        <v>32.16285819855388</v>
      </c>
      <c r="H50" s="129">
        <f t="shared" si="17"/>
        <v>0.063088419456162</v>
      </c>
      <c r="I50" s="81"/>
      <c r="J50" s="229"/>
    </row>
    <row r="51" spans="2:10" ht="12.75" customHeight="1">
      <c r="B51" s="58">
        <v>2006</v>
      </c>
      <c r="C51" s="194">
        <f aca="true" t="shared" si="18" ref="C51:H51">C19/$I19*100</f>
        <v>48.94127668872705</v>
      </c>
      <c r="D51" s="189">
        <f t="shared" si="18"/>
        <v>11.845794180196624</v>
      </c>
      <c r="E51" s="189">
        <f t="shared" si="18"/>
        <v>3.746430118427614</v>
      </c>
      <c r="F51" s="189">
        <f t="shared" si="18"/>
        <v>3.692070296632207</v>
      </c>
      <c r="G51" s="189">
        <f t="shared" si="18"/>
        <v>31.710916281495578</v>
      </c>
      <c r="H51" s="129">
        <f t="shared" si="18"/>
        <v>0.06351243452093328</v>
      </c>
      <c r="I51" s="36"/>
      <c r="J51" s="229"/>
    </row>
    <row r="52" spans="2:10" ht="12.75" customHeight="1">
      <c r="B52" s="58">
        <v>2007</v>
      </c>
      <c r="C52" s="194">
        <f aca="true" t="shared" si="19" ref="C52:H52">C20/$I20*100</f>
        <v>49.98155262192851</v>
      </c>
      <c r="D52" s="189">
        <f t="shared" si="19"/>
        <v>12.043884752868973</v>
      </c>
      <c r="E52" s="189">
        <f t="shared" si="19"/>
        <v>3.8786638056783604</v>
      </c>
      <c r="F52" s="189">
        <f t="shared" si="19"/>
        <v>3.4226878824931646</v>
      </c>
      <c r="G52" s="189">
        <f t="shared" si="19"/>
        <v>30.608494977330757</v>
      </c>
      <c r="H52" s="129">
        <f t="shared" si="19"/>
        <v>0.06471595970023747</v>
      </c>
      <c r="I52" s="36"/>
      <c r="J52" s="229"/>
    </row>
    <row r="53" spans="2:10" ht="12.75" customHeight="1">
      <c r="B53" s="58">
        <v>2008</v>
      </c>
      <c r="C53" s="194">
        <f aca="true" t="shared" si="20" ref="C53:H53">C21/$I21*100</f>
        <v>50.04922280408404</v>
      </c>
      <c r="D53" s="189">
        <f t="shared" si="20"/>
        <v>12.016542173362883</v>
      </c>
      <c r="E53" s="189">
        <f t="shared" si="20"/>
        <v>3.9913832181324085</v>
      </c>
      <c r="F53" s="189">
        <f t="shared" si="20"/>
        <v>3.3909934920567832</v>
      </c>
      <c r="G53" s="189">
        <f t="shared" si="20"/>
        <v>30.487196555177732</v>
      </c>
      <c r="H53" s="129">
        <f t="shared" si="20"/>
        <v>0.06466175718615805</v>
      </c>
      <c r="I53" s="36"/>
      <c r="J53" s="229"/>
    </row>
    <row r="54" spans="2:10" ht="12.75" customHeight="1">
      <c r="B54" s="58">
        <v>2009</v>
      </c>
      <c r="C54" s="194">
        <f aca="true" t="shared" si="21" ref="C54:H54">C22/$I22*100</f>
        <v>50.440736167958065</v>
      </c>
      <c r="D54" s="189">
        <f t="shared" si="21"/>
        <v>11.044415935847338</v>
      </c>
      <c r="E54" s="189">
        <f t="shared" si="21"/>
        <v>4.032625555050022</v>
      </c>
      <c r="F54" s="189">
        <f t="shared" si="21"/>
        <v>3.700881266578753</v>
      </c>
      <c r="G54" s="189">
        <f t="shared" si="21"/>
        <v>30.71380898572913</v>
      </c>
      <c r="H54" s="129">
        <f t="shared" si="21"/>
        <v>0.06753208883670035</v>
      </c>
      <c r="I54" s="36"/>
      <c r="J54" s="229"/>
    </row>
    <row r="55" spans="2:10" ht="12.75" customHeight="1">
      <c r="B55" s="58">
        <v>2010</v>
      </c>
      <c r="C55" s="194">
        <f aca="true" t="shared" si="22" ref="C55:H55">C23/$I23*100</f>
        <v>49.388492975008006</v>
      </c>
      <c r="D55" s="189">
        <f t="shared" si="22"/>
        <v>11.367342689709785</v>
      </c>
      <c r="E55" s="189">
        <f t="shared" si="22"/>
        <v>4.492303026817088</v>
      </c>
      <c r="F55" s="189">
        <f t="shared" si="22"/>
        <v>3.4990010630793273</v>
      </c>
      <c r="G55" s="189">
        <f t="shared" si="22"/>
        <v>31.186057683015072</v>
      </c>
      <c r="H55" s="129">
        <f t="shared" si="22"/>
        <v>0.06680256237071723</v>
      </c>
      <c r="I55" s="36"/>
      <c r="J55" s="229"/>
    </row>
    <row r="56" spans="2:10" ht="12.75" customHeight="1">
      <c r="B56" s="58">
        <v>2011</v>
      </c>
      <c r="C56" s="194">
        <f aca="true" t="shared" si="23" ref="C56:H56">C24/$I24*100</f>
        <v>48.84887204047841</v>
      </c>
      <c r="D56" s="189">
        <f t="shared" si="23"/>
        <v>12.134614648072144</v>
      </c>
      <c r="E56" s="189">
        <f t="shared" si="23"/>
        <v>4.081382021128212</v>
      </c>
      <c r="F56" s="189">
        <f t="shared" si="23"/>
        <v>3.4029576293448813</v>
      </c>
      <c r="G56" s="189">
        <f t="shared" si="23"/>
        <v>31.46652071706591</v>
      </c>
      <c r="H56" s="129">
        <f t="shared" si="23"/>
        <v>0.06565294391044646</v>
      </c>
      <c r="I56" s="36"/>
      <c r="J56" s="229"/>
    </row>
    <row r="57" spans="2:10" ht="12.75" customHeight="1">
      <c r="B57" s="58">
        <v>2012</v>
      </c>
      <c r="C57" s="194">
        <f>C25/$I25*100</f>
        <v>48.538465129524496</v>
      </c>
      <c r="D57" s="189">
        <f>D25/$I25*100</f>
        <v>11.998579167927055</v>
      </c>
      <c r="E57" s="189">
        <f>E25/$I25*100</f>
        <v>4.425383534835834</v>
      </c>
      <c r="F57" s="189">
        <f>F25/$I25*100</f>
        <v>3.390034599312952</v>
      </c>
      <c r="G57" s="189">
        <f>G25/$I25*100</f>
        <v>31.580461997929653</v>
      </c>
      <c r="H57" s="129">
        <f>H25/$I25*100</f>
        <v>0.06707557047001123</v>
      </c>
      <c r="J57" s="229"/>
    </row>
    <row r="58" spans="2:10" ht="14.25" customHeight="1">
      <c r="B58" s="58">
        <v>2013</v>
      </c>
      <c r="C58" s="194">
        <f>C26/$I26*100</f>
        <v>48.751256968490125</v>
      </c>
      <c r="D58" s="189">
        <f>D26/$I26*100</f>
        <v>11.868110054770066</v>
      </c>
      <c r="E58" s="189">
        <f>E26/$I26*100</f>
        <v>4.458565784369081</v>
      </c>
      <c r="F58" s="189">
        <f>F26/$I26*100</f>
        <v>3.274498899279073</v>
      </c>
      <c r="G58" s="189">
        <f>G26/$I26*100</f>
        <v>31.582069784652372</v>
      </c>
      <c r="H58" s="129">
        <f>H26/$I26*100</f>
        <v>0.06549850843929589</v>
      </c>
      <c r="J58" s="229"/>
    </row>
    <row r="59" spans="2:10" s="405" customFormat="1" ht="14.25" customHeight="1">
      <c r="B59" s="58">
        <v>2014</v>
      </c>
      <c r="C59" s="189">
        <f>C27/$I27*100</f>
        <v>48.2359779712598</v>
      </c>
      <c r="D59" s="189">
        <f>D27/$I27*100</f>
        <v>11.822500473400083</v>
      </c>
      <c r="E59" s="189">
        <f>E27/$I27*100</f>
        <v>4.341838795748814</v>
      </c>
      <c r="F59" s="189">
        <f>F27/$I27*100</f>
        <v>3.2038806727158926</v>
      </c>
      <c r="G59" s="189">
        <f>G27/$I27*100</f>
        <v>32.322776142066026</v>
      </c>
      <c r="H59" s="129">
        <f>H27/$I27*100</f>
        <v>0.07302594480936957</v>
      </c>
      <c r="J59" s="229"/>
    </row>
    <row r="60" spans="2:10" s="405" customFormat="1" ht="14.25" customHeight="1">
      <c r="B60" s="471">
        <v>2015</v>
      </c>
      <c r="C60" s="472">
        <f>C28/$I28*100</f>
        <v>48.97843079251998</v>
      </c>
      <c r="D60" s="195">
        <f>D28/$I28*100</f>
        <v>11.873754794072685</v>
      </c>
      <c r="E60" s="195">
        <f>E28/$I28*100</f>
        <v>4.195057799173274</v>
      </c>
      <c r="F60" s="195">
        <f>F28/$I28*100</f>
        <v>3.2757221076768284</v>
      </c>
      <c r="G60" s="195">
        <f>G28/$I28*100</f>
        <v>31.604252002369286</v>
      </c>
      <c r="H60" s="130">
        <f>H28/$I28*100</f>
        <v>0.07278250418795015</v>
      </c>
      <c r="J60" s="229"/>
    </row>
    <row r="61" spans="2:9" ht="15" customHeight="1">
      <c r="B61" s="176" t="s">
        <v>126</v>
      </c>
      <c r="G61" s="36"/>
      <c r="H61" s="36"/>
      <c r="I61" s="36"/>
    </row>
    <row r="62" spans="2:9" ht="12.75" customHeight="1">
      <c r="B62" s="11" t="s">
        <v>83</v>
      </c>
      <c r="C62" s="12"/>
      <c r="D62" s="12"/>
      <c r="E62" s="12"/>
      <c r="F62" s="12"/>
      <c r="G62" s="27"/>
      <c r="H62" s="27"/>
      <c r="I62" s="27"/>
    </row>
    <row r="63" spans="2:10" ht="22.5" customHeight="1">
      <c r="B63" s="492" t="s">
        <v>127</v>
      </c>
      <c r="C63" s="493"/>
      <c r="D63" s="493"/>
      <c r="E63" s="493"/>
      <c r="F63" s="493"/>
      <c r="G63" s="493"/>
      <c r="H63" s="493"/>
      <c r="I63" s="493"/>
      <c r="J63" s="493"/>
    </row>
    <row r="64" spans="2:10" ht="25.5" customHeight="1">
      <c r="B64" s="492" t="s">
        <v>157</v>
      </c>
      <c r="C64" s="493"/>
      <c r="D64" s="493"/>
      <c r="E64" s="493"/>
      <c r="F64" s="493"/>
      <c r="G64" s="493"/>
      <c r="H64" s="493"/>
      <c r="I64" s="493"/>
      <c r="J64" s="493"/>
    </row>
    <row r="65" spans="2:9" ht="95.25" customHeight="1">
      <c r="B65" s="491" t="s">
        <v>142</v>
      </c>
      <c r="C65" s="491"/>
      <c r="D65" s="491"/>
      <c r="E65" s="491"/>
      <c r="F65" s="491"/>
      <c r="G65" s="491"/>
      <c r="H65" s="491"/>
      <c r="I65" s="12"/>
    </row>
    <row r="66" spans="3:9" ht="12.75">
      <c r="C66" s="12"/>
      <c r="D66" s="12"/>
      <c r="E66" s="12"/>
      <c r="F66" s="12"/>
      <c r="G66" s="12"/>
      <c r="H66" s="12"/>
      <c r="I66" s="12"/>
    </row>
  </sheetData>
  <sheetProtection/>
  <mergeCells count="19">
    <mergeCell ref="B65:H65"/>
    <mergeCell ref="B63:J63"/>
    <mergeCell ref="B64:J64"/>
    <mergeCell ref="C37:C39"/>
    <mergeCell ref="H37:H39"/>
    <mergeCell ref="D37:D39"/>
    <mergeCell ref="E37:E39"/>
    <mergeCell ref="F37:F39"/>
    <mergeCell ref="G37:G39"/>
    <mergeCell ref="B2:I2"/>
    <mergeCell ref="B3:I3"/>
    <mergeCell ref="B36:I36"/>
    <mergeCell ref="C5:C7"/>
    <mergeCell ref="D5:D7"/>
    <mergeCell ref="E5:E7"/>
    <mergeCell ref="F5:F7"/>
    <mergeCell ref="B4:I4"/>
    <mergeCell ref="I5:I7"/>
    <mergeCell ref="B35:I3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95">
    <pageSetUpPr fitToPage="1"/>
  </sheetPr>
  <dimension ref="B1:G47"/>
  <sheetViews>
    <sheetView zoomScalePageLayoutView="0" workbookViewId="0" topLeftCell="A1">
      <selection activeCell="J1" sqref="J1:V65536"/>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421"/>
      <c r="C1" s="31"/>
      <c r="D1" s="31"/>
      <c r="E1" s="31"/>
      <c r="F1" s="405"/>
      <c r="G1" s="19" t="s">
        <v>92</v>
      </c>
    </row>
    <row r="2" spans="2:7" ht="12.75">
      <c r="B2" s="496" t="s">
        <v>143</v>
      </c>
      <c r="C2" s="496"/>
      <c r="D2" s="496"/>
      <c r="E2" s="496"/>
      <c r="F2" s="496"/>
      <c r="G2" s="496"/>
    </row>
    <row r="3" spans="2:7" ht="20.25" customHeight="1">
      <c r="B3" s="496"/>
      <c r="C3" s="496"/>
      <c r="D3" s="496"/>
      <c r="E3" s="496"/>
      <c r="F3" s="496"/>
      <c r="G3" s="496"/>
    </row>
    <row r="4" spans="2:7" ht="12.75" customHeight="1">
      <c r="B4" s="497">
        <v>2015</v>
      </c>
      <c r="C4" s="497"/>
      <c r="D4" s="497"/>
      <c r="E4" s="497"/>
      <c r="F4" s="497"/>
      <c r="G4" s="497"/>
    </row>
    <row r="5" spans="2:7" ht="12.75" customHeight="1">
      <c r="B5" s="495" t="s">
        <v>145</v>
      </c>
      <c r="C5" s="495"/>
      <c r="D5" s="495"/>
      <c r="E5" s="495"/>
      <c r="F5" s="495"/>
      <c r="G5" s="495"/>
    </row>
    <row r="6" spans="2:7" ht="33.75">
      <c r="B6" s="61"/>
      <c r="C6" s="422" t="s">
        <v>43</v>
      </c>
      <c r="D6" s="423" t="s">
        <v>44</v>
      </c>
      <c r="E6" s="423" t="s">
        <v>50</v>
      </c>
      <c r="F6" s="424" t="s">
        <v>82</v>
      </c>
      <c r="G6" s="425"/>
    </row>
    <row r="7" spans="2:7" ht="12.75">
      <c r="B7" s="90" t="s">
        <v>118</v>
      </c>
      <c r="C7" s="426">
        <v>71.68662899624961</v>
      </c>
      <c r="D7" s="426">
        <v>17.37886332702035</v>
      </c>
      <c r="E7" s="426">
        <v>6.140040568900502</v>
      </c>
      <c r="F7" s="426">
        <v>4.794467107829527</v>
      </c>
      <c r="G7" s="90" t="s">
        <v>118</v>
      </c>
    </row>
    <row r="8" spans="2:7" ht="12.75">
      <c r="B8" s="91" t="s">
        <v>119</v>
      </c>
      <c r="C8" s="427">
        <v>75.08776739823806</v>
      </c>
      <c r="D8" s="93">
        <v>14.282586364279465</v>
      </c>
      <c r="E8" s="93">
        <v>6.537999274297444</v>
      </c>
      <c r="F8" s="93">
        <v>4.091646963185035</v>
      </c>
      <c r="G8" s="91" t="s">
        <v>119</v>
      </c>
    </row>
    <row r="9" spans="2:7" ht="12.75">
      <c r="B9" s="94" t="s">
        <v>120</v>
      </c>
      <c r="C9" s="428">
        <v>58.33442091195853</v>
      </c>
      <c r="D9" s="95">
        <v>29.534244674907562</v>
      </c>
      <c r="E9" s="95">
        <v>4.5777320664565835</v>
      </c>
      <c r="F9" s="95">
        <v>7.553602346677336</v>
      </c>
      <c r="G9" s="94" t="s">
        <v>120</v>
      </c>
    </row>
    <row r="10" spans="2:7" ht="12.75">
      <c r="B10" s="16" t="s">
        <v>23</v>
      </c>
      <c r="C10" s="436">
        <v>71.15195416991035</v>
      </c>
      <c r="D10" s="435">
        <v>10.859748753178488</v>
      </c>
      <c r="E10" s="436">
        <v>15.552711607230622</v>
      </c>
      <c r="F10" s="436">
        <v>2.435585469680558</v>
      </c>
      <c r="G10" s="16" t="s">
        <v>23</v>
      </c>
    </row>
    <row r="11" spans="2:7" ht="12.75">
      <c r="B11" s="91" t="s">
        <v>6</v>
      </c>
      <c r="C11" s="437">
        <v>52.969148387928385</v>
      </c>
      <c r="D11" s="437">
        <v>17.329154894413623</v>
      </c>
      <c r="E11" s="437">
        <v>26.56345798198472</v>
      </c>
      <c r="F11" s="437">
        <v>3.138238735673262</v>
      </c>
      <c r="G11" s="91" t="s">
        <v>6</v>
      </c>
    </row>
    <row r="12" spans="2:7" ht="12.75">
      <c r="B12" s="17" t="s">
        <v>8</v>
      </c>
      <c r="C12" s="438">
        <v>70.91727123454419</v>
      </c>
      <c r="D12" s="435">
        <v>25.629816001017563</v>
      </c>
      <c r="E12" s="435">
        <v>0.055421265187968</v>
      </c>
      <c r="F12" s="435">
        <v>3.3974914992502803</v>
      </c>
      <c r="G12" s="17" t="s">
        <v>8</v>
      </c>
    </row>
    <row r="13" spans="2:7" ht="12.75">
      <c r="B13" s="91" t="s">
        <v>19</v>
      </c>
      <c r="C13" s="439">
        <v>79.5335913283453</v>
      </c>
      <c r="D13" s="437">
        <v>9.449552490487742</v>
      </c>
      <c r="E13" s="412" t="s">
        <v>36</v>
      </c>
      <c r="F13" s="437">
        <v>11.016856181166967</v>
      </c>
      <c r="G13" s="91" t="s">
        <v>19</v>
      </c>
    </row>
    <row r="14" spans="2:7" ht="12.75">
      <c r="B14" s="17" t="s">
        <v>24</v>
      </c>
      <c r="C14" s="435">
        <v>69.51107542443388</v>
      </c>
      <c r="D14" s="435">
        <v>18.749257888312908</v>
      </c>
      <c r="E14" s="435">
        <v>8.892201111976373</v>
      </c>
      <c r="F14" s="435">
        <v>2.8474655752768236</v>
      </c>
      <c r="G14" s="17" t="s">
        <v>24</v>
      </c>
    </row>
    <row r="15" spans="2:7" ht="12.75">
      <c r="B15" s="91" t="s">
        <v>9</v>
      </c>
      <c r="C15" s="437">
        <v>47.64041891059988</v>
      </c>
      <c r="D15" s="437">
        <v>52.35958108940012</v>
      </c>
      <c r="E15" s="412" t="s">
        <v>36</v>
      </c>
      <c r="F15" s="412" t="s">
        <v>36</v>
      </c>
      <c r="G15" s="91" t="s">
        <v>9</v>
      </c>
    </row>
    <row r="16" spans="2:7" ht="12.75">
      <c r="B16" s="17" t="s">
        <v>27</v>
      </c>
      <c r="C16" s="435">
        <v>98.97065035289224</v>
      </c>
      <c r="D16" s="436">
        <v>1.0293496471077588</v>
      </c>
      <c r="E16" s="465" t="s">
        <v>36</v>
      </c>
      <c r="F16" s="465" t="s">
        <v>36</v>
      </c>
      <c r="G16" s="17" t="s">
        <v>27</v>
      </c>
    </row>
    <row r="17" spans="2:7" ht="12.75">
      <c r="B17" s="91" t="s">
        <v>20</v>
      </c>
      <c r="C17" s="437">
        <v>97.25368088084375</v>
      </c>
      <c r="D17" s="437">
        <v>1.619700801365093</v>
      </c>
      <c r="E17" s="412" t="s">
        <v>36</v>
      </c>
      <c r="F17" s="437">
        <v>1.1266183177911762</v>
      </c>
      <c r="G17" s="91" t="s">
        <v>20</v>
      </c>
    </row>
    <row r="18" spans="2:7" ht="12.75">
      <c r="B18" s="17" t="s">
        <v>25</v>
      </c>
      <c r="C18" s="436">
        <v>89.33479414325085</v>
      </c>
      <c r="D18" s="436">
        <v>5.587612086579812</v>
      </c>
      <c r="E18" s="465" t="s">
        <v>36</v>
      </c>
      <c r="F18" s="436">
        <v>5.077593770169328</v>
      </c>
      <c r="G18" s="17" t="s">
        <v>25</v>
      </c>
    </row>
    <row r="19" spans="2:7" ht="12.75">
      <c r="B19" s="91" t="s">
        <v>26</v>
      </c>
      <c r="C19" s="437">
        <v>82.1954555184368</v>
      </c>
      <c r="D19" s="437">
        <v>11.237584904225374</v>
      </c>
      <c r="E19" s="437">
        <v>2.7939762070647927</v>
      </c>
      <c r="F19" s="437">
        <v>3.7729833702730295</v>
      </c>
      <c r="G19" s="91" t="s">
        <v>26</v>
      </c>
    </row>
    <row r="20" spans="2:7" ht="12.75">
      <c r="B20" s="17" t="s">
        <v>37</v>
      </c>
      <c r="C20" s="435">
        <v>64.83270662542353</v>
      </c>
      <c r="D20" s="435">
        <v>17.228660549590625</v>
      </c>
      <c r="E20" s="435">
        <v>6.9340625563599625</v>
      </c>
      <c r="F20" s="435">
        <v>11.00457026862588</v>
      </c>
      <c r="G20" s="17" t="s">
        <v>37</v>
      </c>
    </row>
    <row r="21" spans="2:7" ht="12.75">
      <c r="B21" s="276" t="s">
        <v>28</v>
      </c>
      <c r="C21" s="434">
        <v>81.44563032965917</v>
      </c>
      <c r="D21" s="434">
        <v>12.637769784311784</v>
      </c>
      <c r="E21" s="434">
        <v>0.03770471712753624</v>
      </c>
      <c r="F21" s="434">
        <v>5.878895168901497</v>
      </c>
      <c r="G21" s="276" t="s">
        <v>28</v>
      </c>
    </row>
    <row r="22" spans="2:7" ht="12.75">
      <c r="B22" s="17" t="s">
        <v>7</v>
      </c>
      <c r="C22" s="435">
        <v>100</v>
      </c>
      <c r="D22" s="429" t="s">
        <v>36</v>
      </c>
      <c r="E22" s="429" t="s">
        <v>36</v>
      </c>
      <c r="F22" s="429" t="s">
        <v>36</v>
      </c>
      <c r="G22" s="17" t="s">
        <v>7</v>
      </c>
    </row>
    <row r="23" spans="2:7" ht="12.75">
      <c r="B23" s="276" t="s">
        <v>11</v>
      </c>
      <c r="C23" s="434">
        <v>18.689245848137215</v>
      </c>
      <c r="D23" s="434">
        <v>73.65536476427185</v>
      </c>
      <c r="E23" s="430" t="s">
        <v>36</v>
      </c>
      <c r="F23" s="434">
        <v>7.655389387590934</v>
      </c>
      <c r="G23" s="276" t="s">
        <v>11</v>
      </c>
    </row>
    <row r="24" spans="2:7" ht="12.75">
      <c r="B24" s="17" t="s">
        <v>12</v>
      </c>
      <c r="C24" s="435">
        <v>33.36740622689342</v>
      </c>
      <c r="D24" s="435">
        <v>64.35831862092788</v>
      </c>
      <c r="E24" s="435">
        <v>0</v>
      </c>
      <c r="F24" s="435">
        <v>2.2742751521786997</v>
      </c>
      <c r="G24" s="17" t="s">
        <v>12</v>
      </c>
    </row>
    <row r="25" spans="2:7" ht="12.75">
      <c r="B25" s="276" t="s">
        <v>29</v>
      </c>
      <c r="C25" s="434">
        <v>85.67262538530926</v>
      </c>
      <c r="D25" s="434">
        <v>6.709879061631188</v>
      </c>
      <c r="E25" s="434">
        <v>7.617495553059561</v>
      </c>
      <c r="F25" s="434" t="s">
        <v>36</v>
      </c>
      <c r="G25" s="276" t="s">
        <v>29</v>
      </c>
    </row>
    <row r="26" spans="2:7" ht="12.75">
      <c r="B26" s="17" t="s">
        <v>10</v>
      </c>
      <c r="C26" s="435">
        <v>60.67431393194324</v>
      </c>
      <c r="D26" s="435">
        <v>27.530136454131256</v>
      </c>
      <c r="E26" s="435">
        <v>5.016480408824716</v>
      </c>
      <c r="F26" s="435">
        <v>6.779069205100803</v>
      </c>
      <c r="G26" s="17" t="s">
        <v>10</v>
      </c>
    </row>
    <row r="27" spans="2:7" ht="12.75">
      <c r="B27" s="276" t="s">
        <v>13</v>
      </c>
      <c r="C27" s="434">
        <v>100</v>
      </c>
      <c r="D27" s="430" t="s">
        <v>36</v>
      </c>
      <c r="E27" s="430" t="s">
        <v>36</v>
      </c>
      <c r="F27" s="430" t="s">
        <v>36</v>
      </c>
      <c r="G27" s="276" t="s">
        <v>13</v>
      </c>
    </row>
    <row r="28" spans="2:7" ht="12.75">
      <c r="B28" s="17" t="s">
        <v>21</v>
      </c>
      <c r="C28" s="435">
        <v>45.740909247712054</v>
      </c>
      <c r="D28" s="435">
        <v>5.8099232539383</v>
      </c>
      <c r="E28" s="435">
        <v>43.08397633764635</v>
      </c>
      <c r="F28" s="435">
        <v>5.365191160703297</v>
      </c>
      <c r="G28" s="17" t="s">
        <v>21</v>
      </c>
    </row>
    <row r="29" spans="2:7" ht="12.75">
      <c r="B29" s="276" t="s">
        <v>30</v>
      </c>
      <c r="C29" s="434">
        <v>57.03341076174955</v>
      </c>
      <c r="D29" s="434">
        <v>28.505610943869563</v>
      </c>
      <c r="E29" s="434">
        <v>2.5402710630922942</v>
      </c>
      <c r="F29" s="434">
        <v>11.92070723128859</v>
      </c>
      <c r="G29" s="276" t="s">
        <v>30</v>
      </c>
    </row>
    <row r="30" spans="2:7" ht="12.75">
      <c r="B30" s="17" t="s">
        <v>14</v>
      </c>
      <c r="C30" s="435">
        <v>67.01554556764148</v>
      </c>
      <c r="D30" s="435">
        <v>23.011447702327718</v>
      </c>
      <c r="E30" s="435">
        <v>0.04001753646631304</v>
      </c>
      <c r="F30" s="435">
        <v>9.932989193564499</v>
      </c>
      <c r="G30" s="17" t="s">
        <v>14</v>
      </c>
    </row>
    <row r="31" spans="2:7" ht="12.75">
      <c r="B31" s="276" t="s">
        <v>31</v>
      </c>
      <c r="C31" s="434">
        <v>84.13051915323886</v>
      </c>
      <c r="D31" s="434">
        <v>13.855318550300197</v>
      </c>
      <c r="E31" s="430" t="s">
        <v>36</v>
      </c>
      <c r="F31" s="434">
        <v>2.014162296460965</v>
      </c>
      <c r="G31" s="276" t="s">
        <v>31</v>
      </c>
    </row>
    <row r="32" spans="2:7" ht="12.75">
      <c r="B32" s="17" t="s">
        <v>15</v>
      </c>
      <c r="C32" s="435">
        <v>37.12751919221982</v>
      </c>
      <c r="D32" s="435">
        <v>30.84518945406453</v>
      </c>
      <c r="E32" s="435">
        <v>29.70595002787404</v>
      </c>
      <c r="F32" s="435">
        <v>2.321341325841615</v>
      </c>
      <c r="G32" s="17" t="s">
        <v>15</v>
      </c>
    </row>
    <row r="33" spans="2:7" ht="12.75">
      <c r="B33" s="276" t="s">
        <v>17</v>
      </c>
      <c r="C33" s="434">
        <v>65.00034042337684</v>
      </c>
      <c r="D33" s="434">
        <v>34.999659576623166</v>
      </c>
      <c r="E33" s="430" t="s">
        <v>36</v>
      </c>
      <c r="F33" s="430" t="s">
        <v>36</v>
      </c>
      <c r="G33" s="276" t="s">
        <v>17</v>
      </c>
    </row>
    <row r="34" spans="2:7" ht="12.75">
      <c r="B34" s="17" t="s">
        <v>16</v>
      </c>
      <c r="C34" s="435">
        <v>49.42535053444893</v>
      </c>
      <c r="D34" s="435">
        <v>30.171035405046332</v>
      </c>
      <c r="E34" s="435">
        <v>2.6492164042113204</v>
      </c>
      <c r="F34" s="435">
        <v>17.75439765629341</v>
      </c>
      <c r="G34" s="17" t="s">
        <v>16</v>
      </c>
    </row>
    <row r="35" spans="2:7" ht="12.75">
      <c r="B35" s="276" t="s">
        <v>32</v>
      </c>
      <c r="C35" s="434">
        <v>72.59563289784047</v>
      </c>
      <c r="D35" s="434">
        <v>26.990018681215037</v>
      </c>
      <c r="E35" s="434">
        <v>0.41434842094449165</v>
      </c>
      <c r="F35" s="434" t="s">
        <v>36</v>
      </c>
      <c r="G35" s="276" t="s">
        <v>32</v>
      </c>
    </row>
    <row r="36" spans="2:7" ht="12.75">
      <c r="B36" s="17" t="s">
        <v>33</v>
      </c>
      <c r="C36" s="435">
        <v>70.58846659072064</v>
      </c>
      <c r="D36" s="435">
        <v>29.411533409279368</v>
      </c>
      <c r="E36" s="429" t="s">
        <v>36</v>
      </c>
      <c r="F36" s="429" t="s">
        <v>36</v>
      </c>
      <c r="G36" s="17" t="s">
        <v>33</v>
      </c>
    </row>
    <row r="37" spans="2:7" ht="12.75">
      <c r="B37" s="276" t="s">
        <v>22</v>
      </c>
      <c r="C37" s="434">
        <v>83.7949215248862</v>
      </c>
      <c r="D37" s="434">
        <v>11.097178070250074</v>
      </c>
      <c r="E37" s="434">
        <v>0.08377133058942758</v>
      </c>
      <c r="F37" s="434">
        <v>5.024129074274299</v>
      </c>
      <c r="G37" s="276" t="s">
        <v>22</v>
      </c>
    </row>
    <row r="38" spans="2:7" ht="12.75">
      <c r="B38" s="16" t="s">
        <v>121</v>
      </c>
      <c r="C38" s="193"/>
      <c r="D38" s="193"/>
      <c r="E38" s="193"/>
      <c r="F38" s="431"/>
      <c r="G38" s="16" t="s">
        <v>121</v>
      </c>
    </row>
    <row r="39" spans="2:7" ht="12.75">
      <c r="B39" s="276" t="s">
        <v>112</v>
      </c>
      <c r="C39" s="296"/>
      <c r="D39" s="296"/>
      <c r="E39" s="296"/>
      <c r="F39" s="430"/>
      <c r="G39" s="276" t="s">
        <v>112</v>
      </c>
    </row>
    <row r="40" spans="2:7" ht="12.75">
      <c r="B40" s="17" t="s">
        <v>3</v>
      </c>
      <c r="C40" s="189"/>
      <c r="D40" s="189"/>
      <c r="E40" s="189"/>
      <c r="F40" s="429"/>
      <c r="G40" s="17" t="s">
        <v>3</v>
      </c>
    </row>
    <row r="41" spans="2:7" ht="12.75">
      <c r="B41" s="276" t="s">
        <v>113</v>
      </c>
      <c r="C41" s="296"/>
      <c r="D41" s="296"/>
      <c r="E41" s="296"/>
      <c r="F41" s="296"/>
      <c r="G41" s="276" t="s">
        <v>113</v>
      </c>
    </row>
    <row r="42" spans="2:7" ht="12.75">
      <c r="B42" s="18" t="s">
        <v>18</v>
      </c>
      <c r="C42" s="195"/>
      <c r="D42" s="195"/>
      <c r="E42" s="195"/>
      <c r="F42" s="195"/>
      <c r="G42" s="18" t="s">
        <v>18</v>
      </c>
    </row>
    <row r="43" spans="2:7" ht="12.75">
      <c r="B43" s="294" t="s">
        <v>4</v>
      </c>
      <c r="C43" s="303"/>
      <c r="D43" s="303"/>
      <c r="E43" s="430"/>
      <c r="F43" s="430"/>
      <c r="G43" s="294" t="s">
        <v>4</v>
      </c>
    </row>
    <row r="44" spans="2:7" ht="12.75">
      <c r="B44" s="17" t="s">
        <v>34</v>
      </c>
      <c r="C44" s="189">
        <v>77.51733693198278</v>
      </c>
      <c r="D44" s="189">
        <v>11.43917896900716</v>
      </c>
      <c r="E44" s="429" t="s">
        <v>36</v>
      </c>
      <c r="F44" s="189">
        <v>11.043484099010056</v>
      </c>
      <c r="G44" s="17" t="s">
        <v>34</v>
      </c>
    </row>
    <row r="45" spans="2:7" ht="12.75">
      <c r="B45" s="321" t="s">
        <v>5</v>
      </c>
      <c r="C45" s="432">
        <v>62.50192383589743</v>
      </c>
      <c r="D45" s="432">
        <v>37.36581842051777</v>
      </c>
      <c r="E45" s="432">
        <v>0.13225774358481068</v>
      </c>
      <c r="F45" s="466" t="s">
        <v>36</v>
      </c>
      <c r="G45" s="321" t="s">
        <v>5</v>
      </c>
    </row>
    <row r="47" ht="12.75">
      <c r="B47" s="433" t="s">
        <v>144</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Sheet74">
    <pageSetUpPr fitToPage="1"/>
  </sheetPr>
  <dimension ref="A1:Z87"/>
  <sheetViews>
    <sheetView zoomScalePageLayoutView="0" workbookViewId="0" topLeftCell="A22">
      <selection activeCell="W52" sqref="D52:W56"/>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6.421875" style="0" customWidth="1"/>
    <col min="25" max="25" width="5.7109375" style="0" customWidth="1"/>
    <col min="26" max="26" width="6.00390625" style="0" customWidth="1"/>
  </cols>
  <sheetData>
    <row r="1" spans="2:24" ht="14.25" customHeight="1">
      <c r="B1" s="37"/>
      <c r="C1" s="38"/>
      <c r="D1" s="38"/>
      <c r="E1" s="38"/>
      <c r="F1" s="38"/>
      <c r="G1" s="38"/>
      <c r="H1" s="38"/>
      <c r="I1" s="38"/>
      <c r="J1" s="38"/>
      <c r="X1" s="39" t="s">
        <v>93</v>
      </c>
    </row>
    <row r="2" spans="2:26" s="82" customFormat="1" ht="33" customHeight="1">
      <c r="B2" s="498" t="s">
        <v>41</v>
      </c>
      <c r="C2" s="498"/>
      <c r="D2" s="498"/>
      <c r="E2" s="498"/>
      <c r="F2" s="498"/>
      <c r="G2" s="498"/>
      <c r="H2" s="498"/>
      <c r="I2" s="498"/>
      <c r="J2" s="498"/>
      <c r="K2" s="498"/>
      <c r="L2" s="498"/>
      <c r="M2" s="498"/>
      <c r="N2" s="498"/>
      <c r="O2" s="498"/>
      <c r="P2" s="498"/>
      <c r="Q2" s="498"/>
      <c r="R2" s="498"/>
      <c r="S2" s="498"/>
      <c r="T2" s="498"/>
      <c r="U2" s="498"/>
      <c r="V2" s="498"/>
      <c r="W2" s="498"/>
      <c r="X2" s="498"/>
      <c r="Y2" s="500" t="s">
        <v>105</v>
      </c>
      <c r="Z2" s="183"/>
    </row>
    <row r="3" spans="2:26" ht="27.7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501"/>
      <c r="Z3" s="184"/>
    </row>
    <row r="4" spans="2:26" ht="10.5" customHeight="1">
      <c r="B4" s="4"/>
      <c r="D4" s="56"/>
      <c r="E4" s="56"/>
      <c r="F4" s="56"/>
      <c r="G4" s="56"/>
      <c r="H4" s="56"/>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64"/>
      <c r="Y5" s="502"/>
      <c r="Z5" s="114" t="s">
        <v>150</v>
      </c>
    </row>
    <row r="6" spans="2:26" ht="9.75" customHeight="1">
      <c r="B6" s="4"/>
      <c r="C6" s="89"/>
      <c r="D6" s="85"/>
      <c r="E6" s="85"/>
      <c r="F6" s="85"/>
      <c r="G6" s="85"/>
      <c r="H6" s="85"/>
      <c r="I6" s="85"/>
      <c r="J6" s="85"/>
      <c r="K6" s="85"/>
      <c r="L6" s="85"/>
      <c r="M6" s="85"/>
      <c r="N6" s="85"/>
      <c r="O6" s="85"/>
      <c r="P6" s="85"/>
      <c r="Q6" s="85"/>
      <c r="R6" s="85"/>
      <c r="S6" s="85"/>
      <c r="T6" s="85"/>
      <c r="U6" s="86"/>
      <c r="V6" s="85"/>
      <c r="W6" s="397"/>
      <c r="X6" s="64"/>
      <c r="Y6" s="185">
        <v>2015</v>
      </c>
      <c r="Z6" s="115" t="s">
        <v>72</v>
      </c>
    </row>
    <row r="7" spans="2:26" ht="12.75" customHeight="1">
      <c r="B7" s="90" t="s">
        <v>118</v>
      </c>
      <c r="C7" s="310"/>
      <c r="D7" s="311"/>
      <c r="E7" s="311"/>
      <c r="F7" s="311"/>
      <c r="G7" s="311"/>
      <c r="H7" s="311">
        <f aca="true" t="shared" si="0" ref="H7:R7">SUM(H10:H37)</f>
        <v>1086.411</v>
      </c>
      <c r="I7" s="311">
        <f t="shared" si="0"/>
        <v>1103.5679999999998</v>
      </c>
      <c r="J7" s="311">
        <f t="shared" si="0"/>
        <v>1129.4900000000002</v>
      </c>
      <c r="K7" s="311">
        <f t="shared" si="0"/>
        <v>1127.4249999999997</v>
      </c>
      <c r="L7" s="311">
        <f t="shared" si="0"/>
        <v>1199.632</v>
      </c>
      <c r="M7" s="311">
        <f t="shared" si="0"/>
        <v>1225.8260000000002</v>
      </c>
      <c r="N7" s="311">
        <f t="shared" si="0"/>
        <v>1251.9659999999997</v>
      </c>
      <c r="O7" s="311">
        <f t="shared" si="0"/>
        <v>1297.772</v>
      </c>
      <c r="P7" s="311">
        <f t="shared" si="0"/>
        <v>1275.782</v>
      </c>
      <c r="Q7" s="311">
        <f t="shared" si="0"/>
        <v>1158.691</v>
      </c>
      <c r="R7" s="311">
        <f t="shared" si="0"/>
        <v>1173.1729999999998</v>
      </c>
      <c r="S7" s="311">
        <f>SUM(S10:S37)</f>
        <v>1170.016</v>
      </c>
      <c r="T7" s="311">
        <f>SUM(T10:T37)</f>
        <v>1118.179</v>
      </c>
      <c r="U7" s="311">
        <f>SUM(U10:U37)</f>
        <v>1114.873</v>
      </c>
      <c r="V7" s="311">
        <f>SUM(V10:V37)</f>
        <v>1113.0590000000002</v>
      </c>
      <c r="W7" s="312">
        <f>SUM(W10:W37)</f>
        <v>1151.188</v>
      </c>
      <c r="X7" s="223" t="s">
        <v>118</v>
      </c>
      <c r="Y7" s="148">
        <f>W7/road_by_tot!W7*100</f>
        <v>65.10658826496939</v>
      </c>
      <c r="Z7" s="148">
        <f>W7/V7*100-100</f>
        <v>3.425604572623726</v>
      </c>
    </row>
    <row r="8" spans="1:26" ht="12.75" customHeight="1">
      <c r="A8" s="15"/>
      <c r="B8" s="91" t="s">
        <v>119</v>
      </c>
      <c r="C8" s="313">
        <f>C10+C13+C14+SUM(C16:C21)+C25+C28+C29+C31+SUM(C35:C37)</f>
        <v>869.9449999999999</v>
      </c>
      <c r="D8" s="314">
        <f>D10+D13+D14+SUM(D16:D21)+D25+D28+D29+D31+SUM(D35:D37)</f>
        <v>873.323</v>
      </c>
      <c r="E8" s="314">
        <f>E10+E13+E14+SUM(E16:E21)+E25+E28+E29+E31+SUM(E35:E37)</f>
        <v>895.5040000000001</v>
      </c>
      <c r="F8" s="314">
        <f>F10+F13+F14+SUM(F16:F21)+F25+F28+F29+F31+SUM(F35:F37)</f>
        <v>924.233</v>
      </c>
      <c r="G8" s="314">
        <f>G10+G13+G14+SUM(G16:G19)+G21+G25+G28+G29+G31+SUM(G35:G37)</f>
        <v>957.325</v>
      </c>
      <c r="H8" s="314">
        <f aca="true" t="shared" si="1" ref="H8:R8">H7-H9</f>
        <v>985.0360000000001</v>
      </c>
      <c r="I8" s="314">
        <f t="shared" si="1"/>
        <v>998.1119999999997</v>
      </c>
      <c r="J8" s="314">
        <f t="shared" si="1"/>
        <v>1020.2340000000003</v>
      </c>
      <c r="K8" s="315">
        <f t="shared" si="1"/>
        <v>1009.3859999999997</v>
      </c>
      <c r="L8" s="315">
        <f t="shared" si="1"/>
        <v>1075.086</v>
      </c>
      <c r="M8" s="315">
        <f t="shared" si="1"/>
        <v>1092.8690000000001</v>
      </c>
      <c r="N8" s="316">
        <f t="shared" si="1"/>
        <v>1114.4629999999997</v>
      </c>
      <c r="O8" s="316">
        <f t="shared" si="1"/>
        <v>1150.816</v>
      </c>
      <c r="P8" s="316">
        <f t="shared" si="1"/>
        <v>1120.9379999999999</v>
      </c>
      <c r="Q8" s="316">
        <f t="shared" si="1"/>
        <v>1006.476</v>
      </c>
      <c r="R8" s="316">
        <f t="shared" si="1"/>
        <v>1027.1079999999997</v>
      </c>
      <c r="S8" s="315">
        <f>S7-S9</f>
        <v>1017.2790000000001</v>
      </c>
      <c r="T8" s="315">
        <f>T7-T9</f>
        <v>967.8230000000001</v>
      </c>
      <c r="U8" s="315">
        <f>U7-U9</f>
        <v>951.725</v>
      </c>
      <c r="V8" s="315">
        <f>V7-V9</f>
        <v>952.1650000000002</v>
      </c>
      <c r="W8" s="317">
        <f>W7-W9</f>
        <v>976.5070000000001</v>
      </c>
      <c r="X8" s="224" t="s">
        <v>119</v>
      </c>
      <c r="Y8" s="238">
        <f>W8/road_by_tot!W8*100</f>
        <v>79.36281019542699</v>
      </c>
      <c r="Z8" s="238">
        <f aca="true" t="shared" si="2" ref="Z8:Z37">W8/V8*100-100</f>
        <v>2.5564896840358386</v>
      </c>
    </row>
    <row r="9" spans="1:26" ht="12.75" customHeight="1">
      <c r="A9" s="15"/>
      <c r="B9" s="94" t="s">
        <v>120</v>
      </c>
      <c r="C9" s="318"/>
      <c r="D9" s="319"/>
      <c r="E9" s="319"/>
      <c r="F9" s="319"/>
      <c r="G9" s="319"/>
      <c r="H9" s="319">
        <f aca="true" t="shared" si="3" ref="H9:R9">H11+H12+H15+H20+H22+H23+H24+H26+H27+H30+H32+H33+H34</f>
        <v>101.375</v>
      </c>
      <c r="I9" s="319">
        <f t="shared" si="3"/>
        <v>105.456</v>
      </c>
      <c r="J9" s="319">
        <f t="shared" si="3"/>
        <v>109.256</v>
      </c>
      <c r="K9" s="319">
        <f t="shared" si="3"/>
        <v>118.039</v>
      </c>
      <c r="L9" s="319">
        <f t="shared" si="3"/>
        <v>124.54599999999999</v>
      </c>
      <c r="M9" s="319">
        <f t="shared" si="3"/>
        <v>132.957</v>
      </c>
      <c r="N9" s="319">
        <f t="shared" si="3"/>
        <v>137.50300000000001</v>
      </c>
      <c r="O9" s="319">
        <f t="shared" si="3"/>
        <v>146.956</v>
      </c>
      <c r="P9" s="319">
        <f t="shared" si="3"/>
        <v>154.844</v>
      </c>
      <c r="Q9" s="319">
        <f t="shared" si="3"/>
        <v>152.215</v>
      </c>
      <c r="R9" s="319">
        <f t="shared" si="3"/>
        <v>146.06500000000003</v>
      </c>
      <c r="S9" s="319">
        <f>S11+S12+S15+S20+S22+S23+S24+S26+S27+S30+S32+S33+S34</f>
        <v>152.737</v>
      </c>
      <c r="T9" s="319">
        <f>T11+T12+T15+T20+T22+T23+T24+T26+T27+T30+T32+T33+T34</f>
        <v>150.356</v>
      </c>
      <c r="U9" s="319">
        <f>U11+U12+U15+U20+U22+U23+U24+U26+U27+U30+U32+U33+U34</f>
        <v>163.148</v>
      </c>
      <c r="V9" s="319">
        <f>V11+V12+V15+V20+V22+V23+V24+V26+V27+V30+V32+V33+V34</f>
        <v>160.894</v>
      </c>
      <c r="W9" s="320">
        <f>W11+W12+W15+W20+W22+W23+W24+W26+W27+W30+W32+W33+W34</f>
        <v>174.681</v>
      </c>
      <c r="X9" s="225" t="s">
        <v>120</v>
      </c>
      <c r="Y9" s="150">
        <f>W9/road_by_tot!W9*100</f>
        <v>32.48519224510671</v>
      </c>
      <c r="Z9" s="150">
        <f t="shared" si="2"/>
        <v>8.568995736323302</v>
      </c>
    </row>
    <row r="10" spans="1:26" ht="12.75" customHeight="1">
      <c r="A10" s="15"/>
      <c r="B10" s="17" t="s">
        <v>23</v>
      </c>
      <c r="C10" s="226">
        <v>18.616</v>
      </c>
      <c r="D10" s="227">
        <v>16.615</v>
      </c>
      <c r="E10" s="227">
        <v>18.426</v>
      </c>
      <c r="F10" s="227">
        <v>16.693</v>
      </c>
      <c r="G10" s="227">
        <v>15.758</v>
      </c>
      <c r="H10" s="227">
        <v>19.754</v>
      </c>
      <c r="I10" s="227">
        <v>20.565</v>
      </c>
      <c r="J10" s="227">
        <v>20.392</v>
      </c>
      <c r="K10" s="227">
        <v>19.584</v>
      </c>
      <c r="L10" s="227">
        <v>19.416</v>
      </c>
      <c r="M10" s="227">
        <v>19.283</v>
      </c>
      <c r="N10" s="227">
        <v>19.615</v>
      </c>
      <c r="O10" s="227">
        <v>19.65</v>
      </c>
      <c r="P10" s="227">
        <v>18.207</v>
      </c>
      <c r="Q10" s="227">
        <v>17.603</v>
      </c>
      <c r="R10" s="213">
        <v>17.755</v>
      </c>
      <c r="S10" s="213">
        <v>17.75</v>
      </c>
      <c r="T10" s="213">
        <v>18.186</v>
      </c>
      <c r="U10" s="213">
        <v>18.98</v>
      </c>
      <c r="V10" s="213">
        <v>19.167</v>
      </c>
      <c r="W10" s="214">
        <v>18.935</v>
      </c>
      <c r="X10" s="228" t="s">
        <v>23</v>
      </c>
      <c r="Y10" s="151">
        <f>W10/road_by_tot!W10*100</f>
        <v>59.677266853666985</v>
      </c>
      <c r="Z10" s="151">
        <f t="shared" si="2"/>
        <v>-1.2104137319351054</v>
      </c>
    </row>
    <row r="11" spans="1:26" ht="12.75" customHeight="1">
      <c r="A11" s="15"/>
      <c r="B11" s="91" t="s">
        <v>6</v>
      </c>
      <c r="C11" s="202"/>
      <c r="D11" s="203"/>
      <c r="E11" s="203"/>
      <c r="F11" s="203"/>
      <c r="G11" s="203"/>
      <c r="H11" s="203">
        <v>3.061</v>
      </c>
      <c r="I11" s="203">
        <v>3.31</v>
      </c>
      <c r="J11" s="203">
        <v>3.931</v>
      </c>
      <c r="K11" s="203">
        <v>4.586</v>
      </c>
      <c r="L11" s="203">
        <v>4.612</v>
      </c>
      <c r="M11" s="203">
        <v>5.045</v>
      </c>
      <c r="N11" s="203">
        <v>5.806</v>
      </c>
      <c r="O11" s="203">
        <v>5.89</v>
      </c>
      <c r="P11" s="203">
        <v>7.122</v>
      </c>
      <c r="Q11" s="203">
        <v>6.306</v>
      </c>
      <c r="R11" s="203">
        <v>6.12</v>
      </c>
      <c r="S11" s="203">
        <v>6.518</v>
      </c>
      <c r="T11" s="203">
        <v>6.286</v>
      </c>
      <c r="U11" s="203">
        <v>7.192</v>
      </c>
      <c r="V11" s="203">
        <v>6.826</v>
      </c>
      <c r="W11" s="204">
        <v>7.172</v>
      </c>
      <c r="X11" s="224" t="s">
        <v>6</v>
      </c>
      <c r="Y11" s="120">
        <f>W11/road_by_tot!W11*100</f>
        <v>22.206396878967087</v>
      </c>
      <c r="Z11" s="120">
        <f t="shared" si="2"/>
        <v>5.068854380310569</v>
      </c>
    </row>
    <row r="12" spans="1:26" ht="12.75" customHeight="1">
      <c r="A12" s="15"/>
      <c r="B12" s="17" t="s">
        <v>8</v>
      </c>
      <c r="C12" s="144" t="s">
        <v>35</v>
      </c>
      <c r="D12" s="59" t="s">
        <v>35</v>
      </c>
      <c r="E12" s="59" t="s">
        <v>35</v>
      </c>
      <c r="F12" s="59" t="s">
        <v>35</v>
      </c>
      <c r="G12" s="59"/>
      <c r="H12" s="59">
        <v>14.214</v>
      </c>
      <c r="I12" s="59">
        <v>15.007</v>
      </c>
      <c r="J12" s="59">
        <v>16.318</v>
      </c>
      <c r="K12" s="59">
        <v>17.362</v>
      </c>
      <c r="L12" s="59">
        <v>16.046</v>
      </c>
      <c r="M12" s="59">
        <v>15.518</v>
      </c>
      <c r="N12" s="59">
        <v>16.082</v>
      </c>
      <c r="O12" s="59">
        <v>15.831</v>
      </c>
      <c r="P12" s="59">
        <v>15.748</v>
      </c>
      <c r="Q12" s="59">
        <v>13.48</v>
      </c>
      <c r="R12" s="59">
        <v>14.762</v>
      </c>
      <c r="S12" s="59">
        <v>14.985</v>
      </c>
      <c r="T12" s="59">
        <v>14.403</v>
      </c>
      <c r="U12" s="59">
        <v>15.392</v>
      </c>
      <c r="V12" s="59">
        <v>16.813</v>
      </c>
      <c r="W12" s="215">
        <v>21.099</v>
      </c>
      <c r="X12" s="228" t="s">
        <v>8</v>
      </c>
      <c r="Y12" s="152">
        <f>W12/road_by_tot!W12*100</f>
        <v>36.88636363636363</v>
      </c>
      <c r="Z12" s="152">
        <f t="shared" si="2"/>
        <v>25.492178671266302</v>
      </c>
    </row>
    <row r="13" spans="1:26" ht="12.75" customHeight="1">
      <c r="A13" s="15"/>
      <c r="B13" s="91" t="s">
        <v>19</v>
      </c>
      <c r="C13" s="202">
        <v>9.327</v>
      </c>
      <c r="D13" s="203">
        <v>9.432</v>
      </c>
      <c r="E13" s="203">
        <v>9.712</v>
      </c>
      <c r="F13" s="203">
        <v>10.108</v>
      </c>
      <c r="G13" s="203">
        <v>10.421</v>
      </c>
      <c r="H13" s="203">
        <v>11</v>
      </c>
      <c r="I13" s="203">
        <v>10.887</v>
      </c>
      <c r="J13" s="203">
        <v>11.057</v>
      </c>
      <c r="K13" s="203">
        <v>11.012</v>
      </c>
      <c r="L13" s="203">
        <v>10.538</v>
      </c>
      <c r="M13" s="203">
        <v>11.058</v>
      </c>
      <c r="N13" s="203">
        <v>11.495</v>
      </c>
      <c r="O13" s="203">
        <v>11.8</v>
      </c>
      <c r="P13" s="203">
        <v>10.718</v>
      </c>
      <c r="Q13" s="203">
        <v>10.002</v>
      </c>
      <c r="R13" s="203">
        <v>10.573</v>
      </c>
      <c r="S13" s="203">
        <v>12.025</v>
      </c>
      <c r="T13" s="203">
        <v>12.292</v>
      </c>
      <c r="U13" s="203">
        <v>12.217</v>
      </c>
      <c r="V13" s="203">
        <v>12.943</v>
      </c>
      <c r="W13" s="204">
        <v>12.532</v>
      </c>
      <c r="X13" s="224" t="s">
        <v>19</v>
      </c>
      <c r="Y13" s="120">
        <f>W13/road_by_tot!W13*100</f>
        <v>80.85161290322581</v>
      </c>
      <c r="Z13" s="120">
        <f t="shared" si="2"/>
        <v>-3.1754616394962483</v>
      </c>
    </row>
    <row r="14" spans="1:26" ht="12.75" customHeight="1">
      <c r="A14" s="15"/>
      <c r="B14" s="17" t="s">
        <v>24</v>
      </c>
      <c r="C14" s="144">
        <v>201.299</v>
      </c>
      <c r="D14" s="59">
        <v>199.195</v>
      </c>
      <c r="E14" s="59">
        <v>203.119</v>
      </c>
      <c r="F14" s="59">
        <v>210.402</v>
      </c>
      <c r="G14" s="59">
        <v>226.887</v>
      </c>
      <c r="H14" s="59">
        <v>226.529</v>
      </c>
      <c r="I14" s="59">
        <v>230.016</v>
      </c>
      <c r="J14" s="59">
        <v>225.474</v>
      </c>
      <c r="K14" s="59">
        <v>227.205</v>
      </c>
      <c r="L14" s="59">
        <v>232.303</v>
      </c>
      <c r="M14" s="59">
        <v>237.617</v>
      </c>
      <c r="N14" s="59">
        <v>251.379</v>
      </c>
      <c r="O14" s="59">
        <v>261.44</v>
      </c>
      <c r="P14" s="59">
        <v>264.545</v>
      </c>
      <c r="Q14" s="59">
        <v>245.568</v>
      </c>
      <c r="R14" s="59">
        <v>252.462</v>
      </c>
      <c r="S14" s="59">
        <v>265.025</v>
      </c>
      <c r="T14" s="59">
        <v>254.499</v>
      </c>
      <c r="U14" s="59">
        <v>256.721</v>
      </c>
      <c r="V14" s="59">
        <v>263.032</v>
      </c>
      <c r="W14" s="215">
        <v>269.65</v>
      </c>
      <c r="X14" s="228" t="s">
        <v>24</v>
      </c>
      <c r="Y14" s="152">
        <f>W14/road_by_tot!W14*100</f>
        <v>85.65320695263264</v>
      </c>
      <c r="Z14" s="152">
        <f t="shared" si="2"/>
        <v>2.516043675294256</v>
      </c>
    </row>
    <row r="15" spans="1:26" ht="12.75" customHeight="1">
      <c r="A15" s="15"/>
      <c r="B15" s="91" t="s">
        <v>9</v>
      </c>
      <c r="C15" s="202">
        <v>0.449</v>
      </c>
      <c r="D15" s="203">
        <v>0.442</v>
      </c>
      <c r="E15" s="203">
        <v>0.51</v>
      </c>
      <c r="F15" s="203">
        <v>0.538</v>
      </c>
      <c r="G15" s="203">
        <v>0.734</v>
      </c>
      <c r="H15" s="203">
        <v>0.715</v>
      </c>
      <c r="I15" s="203">
        <v>0.548</v>
      </c>
      <c r="J15" s="209">
        <v>0.762</v>
      </c>
      <c r="K15" s="203">
        <v>1.568</v>
      </c>
      <c r="L15" s="203">
        <v>1.478</v>
      </c>
      <c r="M15" s="203">
        <v>1.847</v>
      </c>
      <c r="N15" s="203">
        <v>1.979</v>
      </c>
      <c r="O15" s="203">
        <v>1.942</v>
      </c>
      <c r="P15" s="203">
        <v>1.832</v>
      </c>
      <c r="Q15" s="203">
        <v>1.326</v>
      </c>
      <c r="R15" s="203">
        <v>1.388</v>
      </c>
      <c r="S15" s="203">
        <v>1.561</v>
      </c>
      <c r="T15" s="203">
        <v>1.599</v>
      </c>
      <c r="U15" s="203">
        <v>1.593</v>
      </c>
      <c r="V15" s="203">
        <v>1.541</v>
      </c>
      <c r="W15" s="204">
        <v>1.524</v>
      </c>
      <c r="X15" s="224" t="s">
        <v>9</v>
      </c>
      <c r="Y15" s="153">
        <f>W15/road_by_tot!W15*100</f>
        <v>24.333386555963596</v>
      </c>
      <c r="Z15" s="153">
        <f t="shared" si="2"/>
        <v>-1.103179753406863</v>
      </c>
    </row>
    <row r="16" spans="1:26" ht="12.75" customHeight="1">
      <c r="A16" s="15"/>
      <c r="B16" s="17" t="s">
        <v>27</v>
      </c>
      <c r="C16" s="212">
        <v>4.7</v>
      </c>
      <c r="D16" s="213">
        <v>4.7</v>
      </c>
      <c r="E16" s="213">
        <v>4.7</v>
      </c>
      <c r="F16" s="213">
        <v>4.7</v>
      </c>
      <c r="G16" s="213">
        <v>7.737</v>
      </c>
      <c r="H16" s="213">
        <v>8.337</v>
      </c>
      <c r="I16" s="213">
        <v>9.122</v>
      </c>
      <c r="J16" s="213">
        <v>10.731</v>
      </c>
      <c r="K16" s="213">
        <v>11.935</v>
      </c>
      <c r="L16" s="213">
        <v>13.216</v>
      </c>
      <c r="M16" s="213">
        <v>13.983</v>
      </c>
      <c r="N16" s="213">
        <v>13.832</v>
      </c>
      <c r="O16" s="213">
        <v>14.428</v>
      </c>
      <c r="P16" s="213">
        <v>13.265</v>
      </c>
      <c r="Q16" s="213">
        <v>8.469</v>
      </c>
      <c r="R16" s="213">
        <v>8.221</v>
      </c>
      <c r="S16" s="213">
        <v>7.47</v>
      </c>
      <c r="T16" s="213">
        <v>7.419</v>
      </c>
      <c r="U16" s="213">
        <v>7.216</v>
      </c>
      <c r="V16" s="213">
        <v>7.704</v>
      </c>
      <c r="W16" s="214">
        <v>7.76</v>
      </c>
      <c r="X16" s="228" t="s">
        <v>27</v>
      </c>
      <c r="Y16" s="151">
        <f>W16/road_by_tot!W16*100</f>
        <v>78.38383838383838</v>
      </c>
      <c r="Z16" s="151">
        <f t="shared" si="2"/>
        <v>0.7268951194184865</v>
      </c>
    </row>
    <row r="17" spans="1:26" ht="12.75" customHeight="1">
      <c r="A17" s="15"/>
      <c r="B17" s="91" t="s">
        <v>20</v>
      </c>
      <c r="C17" s="210">
        <v>20</v>
      </c>
      <c r="D17" s="211">
        <v>21</v>
      </c>
      <c r="E17" s="211">
        <v>21.5</v>
      </c>
      <c r="F17" s="211">
        <v>22</v>
      </c>
      <c r="G17" s="211">
        <v>22.5</v>
      </c>
      <c r="H17" s="211">
        <v>23</v>
      </c>
      <c r="I17" s="211">
        <v>23.5</v>
      </c>
      <c r="J17" s="211">
        <v>24</v>
      </c>
      <c r="K17" s="290">
        <v>15.276</v>
      </c>
      <c r="L17" s="203">
        <v>31.745</v>
      </c>
      <c r="M17" s="208">
        <v>19.61</v>
      </c>
      <c r="N17" s="203">
        <v>26.137</v>
      </c>
      <c r="O17" s="203">
        <v>21.729</v>
      </c>
      <c r="P17" s="203">
        <v>24.346</v>
      </c>
      <c r="Q17" s="203">
        <v>24.228</v>
      </c>
      <c r="R17" s="203">
        <v>25.256</v>
      </c>
      <c r="S17" s="203">
        <v>16.809</v>
      </c>
      <c r="T17" s="203">
        <v>16.486</v>
      </c>
      <c r="U17" s="203">
        <v>14.554</v>
      </c>
      <c r="V17" s="203">
        <v>15.119</v>
      </c>
      <c r="W17" s="204">
        <v>15.023</v>
      </c>
      <c r="X17" s="224" t="s">
        <v>20</v>
      </c>
      <c r="Y17" s="120">
        <f>W17/road_by_tot!W17*100</f>
        <v>76.01194090265129</v>
      </c>
      <c r="Z17" s="120">
        <f t="shared" si="2"/>
        <v>-0.6349626298035531</v>
      </c>
    </row>
    <row r="18" spans="1:26" ht="12.75" customHeight="1">
      <c r="A18" s="15"/>
      <c r="B18" s="17" t="s">
        <v>25</v>
      </c>
      <c r="C18" s="212">
        <v>78.744</v>
      </c>
      <c r="D18" s="213">
        <v>76.257</v>
      </c>
      <c r="E18" s="213">
        <v>80.634</v>
      </c>
      <c r="F18" s="213">
        <v>91.329</v>
      </c>
      <c r="G18" s="213">
        <v>98.134</v>
      </c>
      <c r="H18" s="213">
        <v>106.936</v>
      </c>
      <c r="I18" s="213">
        <v>114.004</v>
      </c>
      <c r="J18" s="213">
        <v>129.51</v>
      </c>
      <c r="K18" s="213">
        <v>138.413</v>
      </c>
      <c r="L18" s="213">
        <v>155.014</v>
      </c>
      <c r="M18" s="213">
        <v>166.386</v>
      </c>
      <c r="N18" s="213">
        <v>174.588</v>
      </c>
      <c r="O18" s="213">
        <v>190.611</v>
      </c>
      <c r="P18" s="213">
        <v>175.184</v>
      </c>
      <c r="Q18" s="213">
        <v>151.06</v>
      </c>
      <c r="R18" s="213">
        <v>146.194</v>
      </c>
      <c r="S18" s="213">
        <v>142.323</v>
      </c>
      <c r="T18" s="213">
        <v>133.368</v>
      </c>
      <c r="U18" s="213">
        <v>126.997</v>
      </c>
      <c r="V18" s="213">
        <v>128.157</v>
      </c>
      <c r="W18" s="214">
        <v>137.236</v>
      </c>
      <c r="X18" s="228" t="s">
        <v>25</v>
      </c>
      <c r="Y18" s="110">
        <f>W18/road_by_tot!W18*100</f>
        <v>65.54085677444004</v>
      </c>
      <c r="Z18" s="110">
        <f t="shared" si="2"/>
        <v>7.084279438501213</v>
      </c>
    </row>
    <row r="19" spans="1:26" ht="12.75" customHeight="1">
      <c r="A19" s="15"/>
      <c r="B19" s="91" t="s">
        <v>26</v>
      </c>
      <c r="C19" s="202">
        <v>135.3</v>
      </c>
      <c r="D19" s="203">
        <v>136.502</v>
      </c>
      <c r="E19" s="203">
        <v>138.96</v>
      </c>
      <c r="F19" s="203">
        <v>145.459</v>
      </c>
      <c r="G19" s="203">
        <v>159.026</v>
      </c>
      <c r="H19" s="203">
        <v>163.163</v>
      </c>
      <c r="I19" s="203">
        <v>168.572</v>
      </c>
      <c r="J19" s="203">
        <v>169.742</v>
      </c>
      <c r="K19" s="203">
        <v>170.896</v>
      </c>
      <c r="L19" s="203">
        <v>179.183</v>
      </c>
      <c r="M19" s="203">
        <v>177.331</v>
      </c>
      <c r="N19" s="203">
        <v>182.753</v>
      </c>
      <c r="O19" s="203">
        <v>191.388</v>
      </c>
      <c r="P19" s="203">
        <v>181.879</v>
      </c>
      <c r="Q19" s="203">
        <v>156.021</v>
      </c>
      <c r="R19" s="203">
        <v>164.325</v>
      </c>
      <c r="S19" s="203">
        <v>168.242</v>
      </c>
      <c r="T19" s="203">
        <v>156.449</v>
      </c>
      <c r="U19" s="203">
        <v>155.712</v>
      </c>
      <c r="V19" s="203">
        <v>151.112</v>
      </c>
      <c r="W19" s="204">
        <v>141.242</v>
      </c>
      <c r="X19" s="224" t="s">
        <v>26</v>
      </c>
      <c r="Y19" s="153">
        <f>W19/road_by_tot!W19*100</f>
        <v>91.96640187524416</v>
      </c>
      <c r="Z19" s="153">
        <f t="shared" si="2"/>
        <v>-6.531579226004553</v>
      </c>
    </row>
    <row r="20" spans="1:26" ht="12.75" customHeight="1">
      <c r="A20" s="15"/>
      <c r="B20" s="17" t="s">
        <v>37</v>
      </c>
      <c r="C20" s="144" t="s">
        <v>35</v>
      </c>
      <c r="D20" s="59"/>
      <c r="E20" s="59"/>
      <c r="F20" s="189"/>
      <c r="G20" s="59">
        <v>1.606</v>
      </c>
      <c r="H20" s="59">
        <v>1.906</v>
      </c>
      <c r="I20" s="59">
        <v>3.213</v>
      </c>
      <c r="J20" s="59">
        <v>3.663</v>
      </c>
      <c r="K20" s="59">
        <v>4.124</v>
      </c>
      <c r="L20" s="59">
        <v>4.373</v>
      </c>
      <c r="M20" s="59">
        <v>4.387</v>
      </c>
      <c r="N20" s="59">
        <v>5.291</v>
      </c>
      <c r="O20" s="59">
        <v>5.122</v>
      </c>
      <c r="P20" s="59">
        <v>6.445</v>
      </c>
      <c r="Q20" s="59">
        <v>5.125</v>
      </c>
      <c r="R20" s="59">
        <v>4.547</v>
      </c>
      <c r="S20" s="59">
        <v>4.375</v>
      </c>
      <c r="T20" s="59">
        <v>4.145</v>
      </c>
      <c r="U20" s="59">
        <v>4.284</v>
      </c>
      <c r="V20" s="59">
        <v>3.931</v>
      </c>
      <c r="W20" s="215">
        <v>4.055</v>
      </c>
      <c r="X20" s="228" t="s">
        <v>37</v>
      </c>
      <c r="Y20" s="109">
        <f>W20/road_by_tot!W20*100</f>
        <v>38.84471692690871</v>
      </c>
      <c r="Z20" s="109">
        <f t="shared" si="2"/>
        <v>3.1544136352073195</v>
      </c>
    </row>
    <row r="21" spans="1:26" ht="12.75" customHeight="1">
      <c r="A21" s="15"/>
      <c r="B21" s="91" t="s">
        <v>28</v>
      </c>
      <c r="C21" s="210">
        <v>150.301</v>
      </c>
      <c r="D21" s="211">
        <v>151.025</v>
      </c>
      <c r="E21" s="211">
        <v>153.6</v>
      </c>
      <c r="F21" s="211">
        <v>154.151</v>
      </c>
      <c r="G21" s="208">
        <v>151.967</v>
      </c>
      <c r="H21" s="208">
        <v>158.25</v>
      </c>
      <c r="I21" s="208">
        <v>154.749</v>
      </c>
      <c r="J21" s="203">
        <v>160.082</v>
      </c>
      <c r="K21" s="203">
        <v>143.184</v>
      </c>
      <c r="L21" s="203">
        <v>158.172</v>
      </c>
      <c r="M21" s="203">
        <v>171.587</v>
      </c>
      <c r="N21" s="203">
        <v>155.425</v>
      </c>
      <c r="O21" s="203">
        <v>152.406</v>
      </c>
      <c r="P21" s="203">
        <v>151.823</v>
      </c>
      <c r="Q21" s="203">
        <v>145.61</v>
      </c>
      <c r="R21" s="203">
        <v>149.248</v>
      </c>
      <c r="S21" s="203">
        <v>127.681</v>
      </c>
      <c r="T21" s="203">
        <v>111.785</v>
      </c>
      <c r="U21" s="203">
        <v>111.975</v>
      </c>
      <c r="V21" s="203">
        <v>102.351</v>
      </c>
      <c r="W21" s="204">
        <v>104.104</v>
      </c>
      <c r="X21" s="224" t="s">
        <v>28</v>
      </c>
      <c r="Y21" s="153">
        <f>W21/road_by_tot!W21*100</f>
        <v>89.11487758945387</v>
      </c>
      <c r="Z21" s="153">
        <f t="shared" si="2"/>
        <v>1.7127336323045341</v>
      </c>
    </row>
    <row r="22" spans="1:26" ht="12.75" customHeight="1">
      <c r="A22" s="15"/>
      <c r="B22" s="17" t="s">
        <v>7</v>
      </c>
      <c r="C22" s="144"/>
      <c r="D22" s="59"/>
      <c r="E22" s="59"/>
      <c r="F22" s="59"/>
      <c r="G22" s="59"/>
      <c r="H22" s="59">
        <v>1.28</v>
      </c>
      <c r="I22" s="59">
        <v>1.29</v>
      </c>
      <c r="J22" s="59">
        <v>1.286</v>
      </c>
      <c r="K22" s="59">
        <v>1.37</v>
      </c>
      <c r="L22" s="59">
        <v>1.102</v>
      </c>
      <c r="M22" s="59">
        <v>1.374</v>
      </c>
      <c r="N22" s="59">
        <v>1.145</v>
      </c>
      <c r="O22" s="59">
        <v>1.184</v>
      </c>
      <c r="P22" s="59">
        <v>1.296</v>
      </c>
      <c r="Q22" s="59">
        <v>0.944</v>
      </c>
      <c r="R22" s="59">
        <v>1.066</v>
      </c>
      <c r="S22" s="59">
        <v>0.923</v>
      </c>
      <c r="T22" s="59">
        <v>0.88</v>
      </c>
      <c r="U22" s="59">
        <v>0.618</v>
      </c>
      <c r="V22" s="59">
        <v>0.526</v>
      </c>
      <c r="W22" s="215">
        <v>0.548</v>
      </c>
      <c r="X22" s="228" t="s">
        <v>7</v>
      </c>
      <c r="Y22" s="152">
        <f>W22/road_by_tot!W22*100</f>
        <v>97.33570159857906</v>
      </c>
      <c r="Z22" s="152">
        <f t="shared" si="2"/>
        <v>4.182509505703422</v>
      </c>
    </row>
    <row r="23" spans="1:26" ht="12.75" customHeight="1">
      <c r="A23" s="15"/>
      <c r="B23" s="91" t="s">
        <v>11</v>
      </c>
      <c r="C23" s="202" t="s">
        <v>35</v>
      </c>
      <c r="D23" s="203"/>
      <c r="E23" s="203"/>
      <c r="F23" s="203"/>
      <c r="G23" s="203"/>
      <c r="H23" s="203">
        <v>1.484</v>
      </c>
      <c r="I23" s="203">
        <v>1.645</v>
      </c>
      <c r="J23" s="203">
        <v>1.967</v>
      </c>
      <c r="K23" s="203">
        <v>2.365</v>
      </c>
      <c r="L23" s="203">
        <v>2.38</v>
      </c>
      <c r="M23" s="203">
        <v>2.734</v>
      </c>
      <c r="N23" s="203">
        <v>2.718</v>
      </c>
      <c r="O23" s="203">
        <v>3.006</v>
      </c>
      <c r="P23" s="203">
        <v>2.536</v>
      </c>
      <c r="Q23" s="203">
        <v>2.149</v>
      </c>
      <c r="R23" s="203">
        <v>2.561</v>
      </c>
      <c r="S23" s="203">
        <v>2.646</v>
      </c>
      <c r="T23" s="203">
        <v>2.616</v>
      </c>
      <c r="U23" s="203">
        <v>2.803</v>
      </c>
      <c r="V23" s="203">
        <v>2.74</v>
      </c>
      <c r="W23" s="204">
        <v>2.753</v>
      </c>
      <c r="X23" s="224" t="s">
        <v>11</v>
      </c>
      <c r="Y23" s="153">
        <f>W23/road_by_tot!W23*100</f>
        <v>18.74063989108237</v>
      </c>
      <c r="Z23" s="153">
        <f t="shared" si="2"/>
        <v>0.4744525547445164</v>
      </c>
    </row>
    <row r="24" spans="1:26" ht="12.75" customHeight="1">
      <c r="A24" s="15"/>
      <c r="B24" s="17" t="s">
        <v>12</v>
      </c>
      <c r="C24" s="144" t="s">
        <v>35</v>
      </c>
      <c r="D24" s="59"/>
      <c r="E24" s="59"/>
      <c r="F24" s="59"/>
      <c r="G24" s="59"/>
      <c r="H24" s="59">
        <v>1.534</v>
      </c>
      <c r="I24" s="59">
        <v>1.518</v>
      </c>
      <c r="J24" s="59">
        <v>1.518</v>
      </c>
      <c r="K24" s="59">
        <v>1.958</v>
      </c>
      <c r="L24" s="59">
        <v>2.213</v>
      </c>
      <c r="M24" s="59">
        <v>2.137</v>
      </c>
      <c r="N24" s="59">
        <v>2.232</v>
      </c>
      <c r="O24" s="59">
        <v>2.704</v>
      </c>
      <c r="P24" s="59">
        <v>2.56</v>
      </c>
      <c r="Q24" s="59">
        <v>2.633</v>
      </c>
      <c r="R24" s="59">
        <v>2.292</v>
      </c>
      <c r="S24" s="59">
        <v>2.32</v>
      </c>
      <c r="T24" s="59">
        <v>2.438</v>
      </c>
      <c r="U24" s="59">
        <v>2.54</v>
      </c>
      <c r="V24" s="59">
        <v>2.768</v>
      </c>
      <c r="W24" s="215">
        <v>2.913</v>
      </c>
      <c r="X24" s="228" t="s">
        <v>12</v>
      </c>
      <c r="Y24" s="109">
        <f>W24/road_by_tot!W24*100</f>
        <v>10.9986784972626</v>
      </c>
      <c r="Z24" s="109">
        <f t="shared" si="2"/>
        <v>5.238439306358387</v>
      </c>
    </row>
    <row r="25" spans="1:26" ht="12.75" customHeight="1">
      <c r="A25" s="15"/>
      <c r="B25" s="91" t="s">
        <v>29</v>
      </c>
      <c r="C25" s="202">
        <v>0.531</v>
      </c>
      <c r="D25" s="203">
        <v>0.392</v>
      </c>
      <c r="E25" s="203">
        <v>0.394</v>
      </c>
      <c r="F25" s="203">
        <v>0.395</v>
      </c>
      <c r="G25" s="203">
        <v>0.377</v>
      </c>
      <c r="H25" s="203">
        <v>0.415</v>
      </c>
      <c r="I25" s="203">
        <v>0.487</v>
      </c>
      <c r="J25" s="203">
        <v>0.583</v>
      </c>
      <c r="K25" s="203">
        <v>0.565</v>
      </c>
      <c r="L25" s="203">
        <v>0.549</v>
      </c>
      <c r="M25" s="203">
        <v>0.494</v>
      </c>
      <c r="N25" s="203">
        <v>0.544</v>
      </c>
      <c r="O25" s="203">
        <v>0.548</v>
      </c>
      <c r="P25" s="203">
        <v>0.555</v>
      </c>
      <c r="Q25" s="203">
        <v>0.53</v>
      </c>
      <c r="R25" s="203">
        <v>0.574</v>
      </c>
      <c r="S25" s="203">
        <v>0.65</v>
      </c>
      <c r="T25" s="203">
        <v>1.044</v>
      </c>
      <c r="U25" s="203">
        <v>0.777</v>
      </c>
      <c r="V25" s="203">
        <v>1.128</v>
      </c>
      <c r="W25" s="204">
        <v>1.103</v>
      </c>
      <c r="X25" s="224" t="s">
        <v>29</v>
      </c>
      <c r="Y25" s="153">
        <f>W25/road_by_tot!W25*100</f>
        <v>12.463276836158192</v>
      </c>
      <c r="Z25" s="153">
        <f t="shared" si="2"/>
        <v>-2.2163120567375785</v>
      </c>
    </row>
    <row r="26" spans="1:26" ht="12.75" customHeight="1">
      <c r="A26" s="15"/>
      <c r="B26" s="17" t="s">
        <v>10</v>
      </c>
      <c r="C26" s="205" t="s">
        <v>35</v>
      </c>
      <c r="D26" s="206"/>
      <c r="E26" s="206"/>
      <c r="F26" s="206"/>
      <c r="G26" s="206"/>
      <c r="H26" s="206">
        <v>12.145</v>
      </c>
      <c r="I26" s="206">
        <v>11.835</v>
      </c>
      <c r="J26" s="206">
        <v>11.166</v>
      </c>
      <c r="K26" s="206">
        <v>10.67</v>
      </c>
      <c r="L26" s="206">
        <v>10.977</v>
      </c>
      <c r="M26" s="206">
        <v>11.394</v>
      </c>
      <c r="N26" s="206">
        <v>12.425</v>
      </c>
      <c r="O26" s="206">
        <v>13.186</v>
      </c>
      <c r="P26" s="206">
        <v>13.043</v>
      </c>
      <c r="Q26" s="206">
        <v>12.171</v>
      </c>
      <c r="R26" s="206">
        <v>11.329</v>
      </c>
      <c r="S26" s="206">
        <v>10.534</v>
      </c>
      <c r="T26" s="206">
        <v>9.181</v>
      </c>
      <c r="U26" s="206">
        <v>9.246</v>
      </c>
      <c r="V26" s="206">
        <v>9.63</v>
      </c>
      <c r="W26" s="236">
        <v>10.356</v>
      </c>
      <c r="X26" s="228" t="s">
        <v>10</v>
      </c>
      <c r="Y26" s="152">
        <f>W26/road_by_tot!W26*100</f>
        <v>27.00179907699528</v>
      </c>
      <c r="Z26" s="109">
        <f t="shared" si="2"/>
        <v>7.538940809968835</v>
      </c>
    </row>
    <row r="27" spans="1:26" ht="12.75" customHeight="1">
      <c r="A27" s="15"/>
      <c r="B27" s="58" t="s">
        <v>13</v>
      </c>
      <c r="C27" s="210" t="s">
        <v>35</v>
      </c>
      <c r="D27" s="211"/>
      <c r="E27" s="211"/>
      <c r="F27" s="211"/>
      <c r="G27" s="211"/>
      <c r="H27" s="211">
        <v>0.2</v>
      </c>
      <c r="I27" s="211">
        <v>0.2</v>
      </c>
      <c r="J27" s="211">
        <v>0.2</v>
      </c>
      <c r="K27" s="211">
        <v>0.2</v>
      </c>
      <c r="L27" s="211">
        <v>0.2</v>
      </c>
      <c r="M27" s="211">
        <v>0.2</v>
      </c>
      <c r="N27" s="211">
        <v>0.2</v>
      </c>
      <c r="O27" s="211">
        <v>0.2</v>
      </c>
      <c r="P27" s="211">
        <v>0.2</v>
      </c>
      <c r="Q27" s="211">
        <v>0.2</v>
      </c>
      <c r="R27" s="211">
        <v>0.2</v>
      </c>
      <c r="S27" s="211">
        <v>0.2</v>
      </c>
      <c r="T27" s="211">
        <v>0.2</v>
      </c>
      <c r="U27" s="211">
        <v>0.2</v>
      </c>
      <c r="V27" s="211">
        <v>0.2</v>
      </c>
      <c r="W27" s="211">
        <v>0.2</v>
      </c>
      <c r="X27" s="444" t="s">
        <v>13</v>
      </c>
      <c r="Y27" s="244">
        <f>W27/road_by_tot!W27*100</f>
        <v>80</v>
      </c>
      <c r="Z27" s="244">
        <f t="shared" si="2"/>
        <v>0</v>
      </c>
    </row>
    <row r="28" spans="1:26" ht="12.75" customHeight="1">
      <c r="A28" s="15"/>
      <c r="B28" s="17" t="s">
        <v>21</v>
      </c>
      <c r="C28" s="144">
        <v>26.683</v>
      </c>
      <c r="D28" s="59">
        <v>27.303</v>
      </c>
      <c r="E28" s="59">
        <v>27.384</v>
      </c>
      <c r="F28" s="59">
        <v>28.24</v>
      </c>
      <c r="G28" s="59">
        <v>32.682</v>
      </c>
      <c r="H28" s="59">
        <v>31.538</v>
      </c>
      <c r="I28" s="59">
        <v>31</v>
      </c>
      <c r="J28" s="59">
        <v>30.257</v>
      </c>
      <c r="K28" s="59">
        <v>31.785</v>
      </c>
      <c r="L28" s="59">
        <v>33.938</v>
      </c>
      <c r="M28" s="59">
        <v>31.827</v>
      </c>
      <c r="N28" s="59">
        <v>31.009</v>
      </c>
      <c r="O28" s="59">
        <v>30.686</v>
      </c>
      <c r="P28" s="59">
        <v>32.009</v>
      </c>
      <c r="Q28" s="59">
        <v>31.337</v>
      </c>
      <c r="R28" s="59">
        <v>30.064</v>
      </c>
      <c r="S28" s="59">
        <v>30.325</v>
      </c>
      <c r="T28" s="59">
        <v>28.695</v>
      </c>
      <c r="U28" s="59">
        <v>32.299</v>
      </c>
      <c r="V28" s="59">
        <v>32.253</v>
      </c>
      <c r="W28" s="215">
        <v>32.17</v>
      </c>
      <c r="X28" s="228" t="s">
        <v>21</v>
      </c>
      <c r="Y28" s="152">
        <f>W28/road_by_tot!W28*100</f>
        <v>46.69085631349782</v>
      </c>
      <c r="Z28" s="152">
        <f t="shared" si="2"/>
        <v>-0.2573404024431767</v>
      </c>
    </row>
    <row r="29" spans="1:26" ht="12.75" customHeight="1">
      <c r="A29" s="15"/>
      <c r="B29" s="91" t="s">
        <v>30</v>
      </c>
      <c r="C29" s="202">
        <v>11.069</v>
      </c>
      <c r="D29" s="203">
        <v>11.444</v>
      </c>
      <c r="E29" s="203">
        <v>11.559</v>
      </c>
      <c r="F29" s="203">
        <v>11.715</v>
      </c>
      <c r="G29" s="203">
        <v>12.28</v>
      </c>
      <c r="H29" s="208">
        <v>12.389</v>
      </c>
      <c r="I29" s="208">
        <v>12.454</v>
      </c>
      <c r="J29" s="208">
        <v>12.663</v>
      </c>
      <c r="K29" s="208">
        <v>13.036</v>
      </c>
      <c r="L29" s="203">
        <v>12.376</v>
      </c>
      <c r="M29" s="203">
        <v>12.514</v>
      </c>
      <c r="N29" s="203">
        <v>14.437</v>
      </c>
      <c r="O29" s="203">
        <v>14.744</v>
      </c>
      <c r="P29" s="203">
        <v>14.581</v>
      </c>
      <c r="Q29" s="203">
        <v>13.491</v>
      </c>
      <c r="R29" s="203">
        <v>13.914</v>
      </c>
      <c r="S29" s="203">
        <v>14.475</v>
      </c>
      <c r="T29" s="203">
        <v>14.118</v>
      </c>
      <c r="U29" s="203">
        <v>13.853</v>
      </c>
      <c r="V29" s="203">
        <v>13.976</v>
      </c>
      <c r="W29" s="204">
        <v>14.69</v>
      </c>
      <c r="X29" s="224" t="s">
        <v>30</v>
      </c>
      <c r="Y29" s="153">
        <f>W29/road_by_tot!W29*100</f>
        <v>60.1162219675888</v>
      </c>
      <c r="Z29" s="153">
        <f t="shared" si="2"/>
        <v>5.108757870635358</v>
      </c>
    </row>
    <row r="30" spans="1:26" ht="12.75" customHeight="1">
      <c r="A30" s="15"/>
      <c r="B30" s="17" t="s">
        <v>14</v>
      </c>
      <c r="C30" s="194" t="s">
        <v>35</v>
      </c>
      <c r="D30" s="189" t="s">
        <v>35</v>
      </c>
      <c r="E30" s="189" t="s">
        <v>35</v>
      </c>
      <c r="F30" s="189" t="s">
        <v>35</v>
      </c>
      <c r="G30" s="189"/>
      <c r="H30" s="189">
        <v>48</v>
      </c>
      <c r="I30" s="189">
        <v>49</v>
      </c>
      <c r="J30" s="189">
        <v>50.5</v>
      </c>
      <c r="K30" s="189">
        <v>53</v>
      </c>
      <c r="L30" s="59">
        <v>58.825</v>
      </c>
      <c r="M30" s="59">
        <v>60.94</v>
      </c>
      <c r="N30" s="59">
        <v>59.42</v>
      </c>
      <c r="O30" s="59">
        <v>65.769</v>
      </c>
      <c r="P30" s="59">
        <v>71.917</v>
      </c>
      <c r="Q30" s="59">
        <v>79.207</v>
      </c>
      <c r="R30" s="59">
        <v>82.218</v>
      </c>
      <c r="S30" s="59">
        <v>89.734</v>
      </c>
      <c r="T30" s="59">
        <v>89.013</v>
      </c>
      <c r="U30" s="59">
        <v>100.32</v>
      </c>
      <c r="V30" s="59">
        <v>96.627</v>
      </c>
      <c r="W30" s="215">
        <v>104.679</v>
      </c>
      <c r="X30" s="228" t="s">
        <v>14</v>
      </c>
      <c r="Y30" s="109">
        <f>W30/road_by_tot!W30*100</f>
        <v>40.15104732023336</v>
      </c>
      <c r="Z30" s="109">
        <f t="shared" si="2"/>
        <v>8.333074606476458</v>
      </c>
    </row>
    <row r="31" spans="1:26" ht="12.75" customHeight="1">
      <c r="A31" s="15"/>
      <c r="B31" s="91" t="s">
        <v>31</v>
      </c>
      <c r="C31" s="202">
        <v>16.5</v>
      </c>
      <c r="D31" s="203">
        <v>16.79</v>
      </c>
      <c r="E31" s="203">
        <v>17.33</v>
      </c>
      <c r="F31" s="203">
        <v>17.63</v>
      </c>
      <c r="G31" s="282">
        <v>14.309</v>
      </c>
      <c r="H31" s="203">
        <v>14.22</v>
      </c>
      <c r="I31" s="203">
        <v>16.351</v>
      </c>
      <c r="J31" s="203">
        <v>14.916</v>
      </c>
      <c r="K31" s="209">
        <v>14.199</v>
      </c>
      <c r="L31" s="203">
        <v>17.435</v>
      </c>
      <c r="M31" s="203">
        <v>17.445</v>
      </c>
      <c r="N31" s="203">
        <v>17.54</v>
      </c>
      <c r="O31" s="203">
        <v>18.319</v>
      </c>
      <c r="P31" s="203">
        <v>17.114</v>
      </c>
      <c r="Q31" s="203">
        <v>14.424</v>
      </c>
      <c r="R31" s="203">
        <v>12.881</v>
      </c>
      <c r="S31" s="203">
        <v>12.673</v>
      </c>
      <c r="T31" s="203">
        <v>11.18</v>
      </c>
      <c r="U31" s="203">
        <v>9.773</v>
      </c>
      <c r="V31" s="203">
        <v>10.469</v>
      </c>
      <c r="W31" s="204">
        <v>10.791</v>
      </c>
      <c r="X31" s="224" t="s">
        <v>31</v>
      </c>
      <c r="Y31" s="120">
        <f>W31/road_by_tot!W31*100</f>
        <v>33.89665462541228</v>
      </c>
      <c r="Z31" s="120">
        <f t="shared" si="2"/>
        <v>3.075747444837134</v>
      </c>
    </row>
    <row r="32" spans="1:26" ht="12.75" customHeight="1">
      <c r="A32" s="15"/>
      <c r="B32" s="17" t="s">
        <v>15</v>
      </c>
      <c r="C32" s="212" t="s">
        <v>35</v>
      </c>
      <c r="D32" s="213"/>
      <c r="E32" s="213"/>
      <c r="F32" s="213"/>
      <c r="G32" s="213">
        <v>9.727</v>
      </c>
      <c r="H32" s="220">
        <v>9.88</v>
      </c>
      <c r="I32" s="213">
        <v>10.645</v>
      </c>
      <c r="J32" s="213">
        <v>10.98</v>
      </c>
      <c r="K32" s="213">
        <v>13.637</v>
      </c>
      <c r="L32" s="213">
        <v>14.651</v>
      </c>
      <c r="M32" s="213">
        <v>19.399</v>
      </c>
      <c r="N32" s="213">
        <v>22.723</v>
      </c>
      <c r="O32" s="213">
        <v>23.932</v>
      </c>
      <c r="P32" s="213">
        <v>23.19</v>
      </c>
      <c r="Q32" s="213">
        <v>20.879</v>
      </c>
      <c r="R32" s="213">
        <v>12.096</v>
      </c>
      <c r="S32" s="213">
        <v>11.858</v>
      </c>
      <c r="T32" s="213">
        <v>12.673</v>
      </c>
      <c r="U32" s="213">
        <v>12.505</v>
      </c>
      <c r="V32" s="213">
        <v>12.136</v>
      </c>
      <c r="W32" s="214">
        <v>12.068</v>
      </c>
      <c r="X32" s="228" t="s">
        <v>15</v>
      </c>
      <c r="Y32" s="151">
        <f>W32/road_by_tot!W32*100</f>
        <v>30.925351715654863</v>
      </c>
      <c r="Z32" s="151">
        <f t="shared" si="2"/>
        <v>-0.5603164139749452</v>
      </c>
    </row>
    <row r="33" spans="1:26" ht="12.75" customHeight="1">
      <c r="A33" s="15"/>
      <c r="B33" s="91" t="s">
        <v>17</v>
      </c>
      <c r="C33" s="202" t="s">
        <v>35</v>
      </c>
      <c r="D33" s="203" t="s">
        <v>35</v>
      </c>
      <c r="E33" s="203" t="s">
        <v>35</v>
      </c>
      <c r="F33" s="203" t="s">
        <v>35</v>
      </c>
      <c r="G33" s="203"/>
      <c r="H33" s="203">
        <v>1.9</v>
      </c>
      <c r="I33" s="203">
        <v>1.927</v>
      </c>
      <c r="J33" s="203">
        <v>1.945</v>
      </c>
      <c r="K33" s="203">
        <v>1.995</v>
      </c>
      <c r="L33" s="203">
        <v>2.267</v>
      </c>
      <c r="M33" s="203">
        <v>2.361</v>
      </c>
      <c r="N33" s="203">
        <v>2.279</v>
      </c>
      <c r="O33" s="203">
        <v>2.573</v>
      </c>
      <c r="P33" s="203">
        <v>2.636</v>
      </c>
      <c r="Q33" s="203">
        <v>2.276</v>
      </c>
      <c r="R33" s="203">
        <v>2.288</v>
      </c>
      <c r="S33" s="203">
        <v>2.177</v>
      </c>
      <c r="T33" s="203">
        <v>1.849</v>
      </c>
      <c r="U33" s="203">
        <v>1.889</v>
      </c>
      <c r="V33" s="203">
        <v>2.062</v>
      </c>
      <c r="W33" s="204">
        <v>2.069</v>
      </c>
      <c r="X33" s="224" t="s">
        <v>17</v>
      </c>
      <c r="Y33" s="153">
        <f>W33/road_by_tot!W33*100</f>
        <v>11.552850522083869</v>
      </c>
      <c r="Z33" s="153">
        <f t="shared" si="2"/>
        <v>0.33947623666344384</v>
      </c>
    </row>
    <row r="34" spans="1:26" ht="12.75" customHeight="1">
      <c r="A34" s="15"/>
      <c r="B34" s="17" t="s">
        <v>16</v>
      </c>
      <c r="C34" s="212" t="s">
        <v>35</v>
      </c>
      <c r="D34" s="213"/>
      <c r="E34" s="213"/>
      <c r="F34" s="213"/>
      <c r="G34" s="213"/>
      <c r="H34" s="213">
        <v>5.056</v>
      </c>
      <c r="I34" s="213">
        <v>5.318</v>
      </c>
      <c r="J34" s="213">
        <v>5.02</v>
      </c>
      <c r="K34" s="213">
        <v>5.204</v>
      </c>
      <c r="L34" s="213">
        <v>5.422</v>
      </c>
      <c r="M34" s="213">
        <v>5.621</v>
      </c>
      <c r="N34" s="213">
        <v>5.203</v>
      </c>
      <c r="O34" s="213">
        <v>5.617</v>
      </c>
      <c r="P34" s="213">
        <v>6.319</v>
      </c>
      <c r="Q34" s="213">
        <v>5.519</v>
      </c>
      <c r="R34" s="213">
        <v>5.198</v>
      </c>
      <c r="S34" s="213">
        <v>4.906</v>
      </c>
      <c r="T34" s="213">
        <v>5.073</v>
      </c>
      <c r="U34" s="213">
        <v>4.566</v>
      </c>
      <c r="V34" s="213">
        <v>5.094</v>
      </c>
      <c r="W34" s="214">
        <v>5.245</v>
      </c>
      <c r="X34" s="228" t="s">
        <v>16</v>
      </c>
      <c r="Y34" s="151">
        <f>W34/road_by_tot!W34*100</f>
        <v>15.63804412641622</v>
      </c>
      <c r="Z34" s="151">
        <f t="shared" si="2"/>
        <v>2.964271692186898</v>
      </c>
    </row>
    <row r="35" spans="1:26" ht="12.75" customHeight="1">
      <c r="A35" s="15"/>
      <c r="B35" s="91" t="s">
        <v>32</v>
      </c>
      <c r="C35" s="202">
        <v>21.804</v>
      </c>
      <c r="D35" s="203">
        <v>22.185</v>
      </c>
      <c r="E35" s="203">
        <v>23.508</v>
      </c>
      <c r="F35" s="203">
        <v>25.611</v>
      </c>
      <c r="G35" s="203">
        <v>25.806</v>
      </c>
      <c r="H35" s="203">
        <v>27.717</v>
      </c>
      <c r="I35" s="203">
        <v>26.678</v>
      </c>
      <c r="J35" s="203">
        <v>28.071</v>
      </c>
      <c r="K35" s="203">
        <v>26.896</v>
      </c>
      <c r="L35" s="203">
        <v>27.331</v>
      </c>
      <c r="M35" s="203">
        <v>27.815</v>
      </c>
      <c r="N35" s="203">
        <v>25.465</v>
      </c>
      <c r="O35" s="203">
        <v>25.964</v>
      </c>
      <c r="P35" s="203">
        <v>27.615</v>
      </c>
      <c r="Q35" s="203">
        <v>24.394</v>
      </c>
      <c r="R35" s="203">
        <v>25.156</v>
      </c>
      <c r="S35" s="203">
        <v>23.732</v>
      </c>
      <c r="T35" s="203">
        <v>21.928</v>
      </c>
      <c r="U35" s="203">
        <v>20.968</v>
      </c>
      <c r="V35" s="203">
        <v>20.298</v>
      </c>
      <c r="W35" s="204">
        <v>21.434</v>
      </c>
      <c r="X35" s="224" t="s">
        <v>32</v>
      </c>
      <c r="Y35" s="153">
        <f>W35/road_by_tot!W35*100</f>
        <v>87.52858542959817</v>
      </c>
      <c r="Z35" s="153">
        <f t="shared" si="2"/>
        <v>5.596610503497885</v>
      </c>
    </row>
    <row r="36" spans="1:26" ht="12.75" customHeight="1">
      <c r="A36" s="15"/>
      <c r="B36" s="17" t="s">
        <v>33</v>
      </c>
      <c r="C36" s="212">
        <v>28.357</v>
      </c>
      <c r="D36" s="213">
        <v>30.288</v>
      </c>
      <c r="E36" s="213">
        <v>32.176</v>
      </c>
      <c r="F36" s="213">
        <v>30.369</v>
      </c>
      <c r="G36" s="213">
        <v>30.422</v>
      </c>
      <c r="H36" s="213">
        <v>31.451</v>
      </c>
      <c r="I36" s="213">
        <v>29.967</v>
      </c>
      <c r="J36" s="213">
        <v>31.836</v>
      </c>
      <c r="K36" s="213">
        <v>31.467</v>
      </c>
      <c r="L36" s="213">
        <v>32.691</v>
      </c>
      <c r="M36" s="213">
        <v>34.701</v>
      </c>
      <c r="N36" s="213">
        <v>35.474</v>
      </c>
      <c r="O36" s="213">
        <v>36.395</v>
      </c>
      <c r="P36" s="213">
        <v>37.952</v>
      </c>
      <c r="Q36" s="213">
        <v>32.123</v>
      </c>
      <c r="R36" s="213">
        <v>32.732</v>
      </c>
      <c r="S36" s="213">
        <v>33.402</v>
      </c>
      <c r="T36" s="213">
        <v>30.37</v>
      </c>
      <c r="U36" s="213">
        <v>30.715</v>
      </c>
      <c r="V36" s="443">
        <v>38.816</v>
      </c>
      <c r="W36" s="214">
        <v>38.106</v>
      </c>
      <c r="X36" s="228" t="s">
        <v>33</v>
      </c>
      <c r="Y36" s="151">
        <f>W36/road_by_tot!W36*100</f>
        <v>91.81726181870754</v>
      </c>
      <c r="Z36" s="151">
        <f t="shared" si="2"/>
        <v>-1.8291426215993454</v>
      </c>
    </row>
    <row r="37" spans="1:26" ht="12.75" customHeight="1">
      <c r="A37" s="15"/>
      <c r="B37" s="94" t="s">
        <v>22</v>
      </c>
      <c r="C37" s="216">
        <v>146.714</v>
      </c>
      <c r="D37" s="217">
        <v>150.195</v>
      </c>
      <c r="E37" s="217">
        <v>152.502</v>
      </c>
      <c r="F37" s="217">
        <v>155.431</v>
      </c>
      <c r="G37" s="217">
        <v>149.019</v>
      </c>
      <c r="H37" s="217">
        <v>150.337</v>
      </c>
      <c r="I37" s="217">
        <v>149.76</v>
      </c>
      <c r="J37" s="217">
        <v>150.92</v>
      </c>
      <c r="K37" s="217">
        <v>153.933</v>
      </c>
      <c r="L37" s="217">
        <v>151.179</v>
      </c>
      <c r="M37" s="217">
        <v>151.218</v>
      </c>
      <c r="N37" s="217">
        <v>154.77</v>
      </c>
      <c r="O37" s="217">
        <v>160.708</v>
      </c>
      <c r="P37" s="217">
        <v>151.145</v>
      </c>
      <c r="Q37" s="217">
        <v>131.616</v>
      </c>
      <c r="R37" s="217">
        <v>137.753</v>
      </c>
      <c r="S37" s="260">
        <v>144.697</v>
      </c>
      <c r="T37" s="260">
        <v>150.004</v>
      </c>
      <c r="U37" s="260">
        <v>138.968</v>
      </c>
      <c r="V37" s="260">
        <v>135.64</v>
      </c>
      <c r="W37" s="243">
        <v>151.731</v>
      </c>
      <c r="X37" s="225" t="s">
        <v>22</v>
      </c>
      <c r="Y37" s="154">
        <f>W37/road_by_tot!W37*100</f>
        <v>95.47393722785733</v>
      </c>
      <c r="Z37" s="154">
        <f t="shared" si="2"/>
        <v>11.863019758183427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206"/>
      <c r="V38" s="206"/>
      <c r="W38" s="236"/>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394" t="s">
        <v>112</v>
      </c>
      <c r="Y39" s="293"/>
      <c r="Z39" s="293"/>
    </row>
    <row r="40" spans="1:26" ht="12.75" customHeight="1">
      <c r="A40" s="15"/>
      <c r="B40" s="17" t="s">
        <v>3</v>
      </c>
      <c r="C40" s="144" t="s">
        <v>35</v>
      </c>
      <c r="D40" s="59"/>
      <c r="E40" s="59"/>
      <c r="F40" s="59"/>
      <c r="G40" s="59"/>
      <c r="H40" s="59"/>
      <c r="I40" s="59"/>
      <c r="J40" s="59"/>
      <c r="K40" s="59"/>
      <c r="L40" s="59"/>
      <c r="M40" s="59"/>
      <c r="N40" s="59"/>
      <c r="O40" s="59"/>
      <c r="P40" s="59"/>
      <c r="Q40" s="59"/>
      <c r="R40" s="59"/>
      <c r="S40" s="59"/>
      <c r="T40" s="59"/>
      <c r="U40" s="59"/>
      <c r="V40" s="59"/>
      <c r="W40" s="215"/>
      <c r="X40" s="395"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394" t="s">
        <v>113</v>
      </c>
      <c r="Y41" s="293"/>
      <c r="Z41" s="293"/>
    </row>
    <row r="42" spans="1:26" ht="12.75" customHeight="1">
      <c r="A42" s="15"/>
      <c r="B42" s="18" t="s">
        <v>18</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v>216.123</v>
      </c>
      <c r="U42" s="60">
        <v>224.048</v>
      </c>
      <c r="V42" s="60">
        <v>234.492</v>
      </c>
      <c r="W42" s="219">
        <f>244.329</f>
        <v>244.329</v>
      </c>
      <c r="X42" s="396" t="s">
        <v>18</v>
      </c>
      <c r="Y42" s="111"/>
      <c r="Z42" s="111">
        <f>W42/V42*100-100</f>
        <v>4.195025843099145</v>
      </c>
    </row>
    <row r="43" spans="1:26" ht="12.75" customHeight="1">
      <c r="A43" s="15"/>
      <c r="B43" s="294" t="s">
        <v>4</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f>0.85</f>
        <v>0.85</v>
      </c>
      <c r="W43" s="299">
        <f>0.911</f>
        <v>0.911</v>
      </c>
      <c r="X43" s="300" t="s">
        <v>4</v>
      </c>
      <c r="Y43" s="301"/>
      <c r="Z43" s="351">
        <f>W43/V43*100-100</f>
        <v>7.17647058823529</v>
      </c>
    </row>
    <row r="44" spans="1:26" ht="12.75" customHeight="1">
      <c r="A44" s="15"/>
      <c r="B44" s="17" t="s">
        <v>34</v>
      </c>
      <c r="C44" s="144" t="s">
        <v>35</v>
      </c>
      <c r="D44" s="59"/>
      <c r="E44" s="59"/>
      <c r="F44" s="59"/>
      <c r="G44" s="59">
        <v>11.742</v>
      </c>
      <c r="H44" s="59">
        <v>12.114</v>
      </c>
      <c r="I44" s="59">
        <v>12.392</v>
      </c>
      <c r="J44" s="59">
        <v>12.721</v>
      </c>
      <c r="K44" s="59">
        <v>13.522</v>
      </c>
      <c r="L44" s="59">
        <v>14.453</v>
      </c>
      <c r="M44" s="59">
        <v>15.352</v>
      </c>
      <c r="N44" s="59">
        <v>15.31</v>
      </c>
      <c r="O44" s="59">
        <v>15.427</v>
      </c>
      <c r="P44" s="59">
        <v>16.658</v>
      </c>
      <c r="Q44" s="59">
        <v>15.277</v>
      </c>
      <c r="R44" s="59">
        <v>16.344</v>
      </c>
      <c r="S44" s="59">
        <v>16.131</v>
      </c>
      <c r="T44" s="59">
        <v>16.983</v>
      </c>
      <c r="U44" s="59">
        <v>18.334</v>
      </c>
      <c r="V44" s="59">
        <v>19.034</v>
      </c>
      <c r="W44" s="215">
        <v>20.462</v>
      </c>
      <c r="X44" s="228" t="s">
        <v>34</v>
      </c>
      <c r="Y44" s="109">
        <f>W44/road_by_tot!W44*100</f>
        <v>88.44225449515906</v>
      </c>
      <c r="Z44" s="109">
        <f>W44/V44*100-100</f>
        <v>7.502364190396136</v>
      </c>
    </row>
    <row r="45" spans="1:26" ht="11.25" customHeight="1">
      <c r="A45" s="15"/>
      <c r="B45" s="321" t="s">
        <v>5</v>
      </c>
      <c r="C45" s="345">
        <v>8.3646</v>
      </c>
      <c r="D45" s="281">
        <v>8.2977</v>
      </c>
      <c r="E45" s="281">
        <v>8.4507</v>
      </c>
      <c r="F45" s="281">
        <v>8.8455</v>
      </c>
      <c r="G45" s="281">
        <v>8.7813</v>
      </c>
      <c r="H45" s="281">
        <v>8.933</v>
      </c>
      <c r="I45" s="281">
        <v>8.6976</v>
      </c>
      <c r="J45" s="281">
        <v>8.8775</v>
      </c>
      <c r="K45" s="281">
        <v>8.8863</v>
      </c>
      <c r="L45" s="281">
        <v>9.108539026318487</v>
      </c>
      <c r="M45" s="281">
        <v>9.206332904327185</v>
      </c>
      <c r="N45" s="281">
        <v>9.353725670199344</v>
      </c>
      <c r="O45" s="281">
        <v>9.646154961419935</v>
      </c>
      <c r="P45" s="281">
        <v>9.813</v>
      </c>
      <c r="Q45" s="281">
        <v>9.697</v>
      </c>
      <c r="R45" s="281">
        <v>9.55</v>
      </c>
      <c r="S45" s="281">
        <v>9.912</v>
      </c>
      <c r="T45" s="281">
        <v>9.991</v>
      </c>
      <c r="U45" s="281">
        <v>10.158</v>
      </c>
      <c r="V45" s="281">
        <v>10.585</v>
      </c>
      <c r="W45" s="323">
        <v>10.362</v>
      </c>
      <c r="X45" s="363" t="s">
        <v>5</v>
      </c>
      <c r="Y45" s="364">
        <f>W45/road_by_tot!W45*100</f>
        <v>83.28912466843501</v>
      </c>
      <c r="Z45" s="364">
        <f>W45/V45*100-100</f>
        <v>-2.1067548417572084</v>
      </c>
    </row>
    <row r="46" ht="12.75" customHeight="1">
      <c r="A46" s="15"/>
    </row>
    <row r="47" spans="1:26" ht="15" customHeight="1">
      <c r="A47" s="15"/>
      <c r="B47" s="503" t="s">
        <v>148</v>
      </c>
      <c r="C47" s="504"/>
      <c r="D47" s="504"/>
      <c r="E47" s="504"/>
      <c r="F47" s="504"/>
      <c r="G47" s="504"/>
      <c r="H47" s="504"/>
      <c r="I47" s="504"/>
      <c r="J47" s="504"/>
      <c r="K47" s="504"/>
      <c r="L47" s="504"/>
      <c r="M47" s="504"/>
      <c r="N47" s="504"/>
      <c r="O47" s="504"/>
      <c r="P47" s="504"/>
      <c r="Q47" s="504"/>
      <c r="R47" s="504"/>
      <c r="S47" s="504"/>
      <c r="T47" s="504"/>
      <c r="U47" s="504"/>
      <c r="V47" s="504"/>
      <c r="W47" s="504"/>
      <c r="X47" s="504"/>
      <c r="Y47" s="1"/>
      <c r="Z47" s="179"/>
    </row>
    <row r="48" spans="2:6" ht="12.75" customHeight="1">
      <c r="B48" s="11" t="s">
        <v>108</v>
      </c>
      <c r="F48" s="179"/>
    </row>
    <row r="49" ht="12.75">
      <c r="B49" s="176" t="s">
        <v>149</v>
      </c>
    </row>
    <row r="50" spans="3:23" ht="12.75">
      <c r="C50" s="102"/>
      <c r="D50" s="102"/>
      <c r="E50" s="102"/>
      <c r="F50" s="102"/>
      <c r="G50" s="102"/>
      <c r="H50" s="102"/>
      <c r="I50" s="102"/>
      <c r="J50" s="102"/>
      <c r="K50" s="102"/>
      <c r="L50" s="102"/>
      <c r="M50" s="102"/>
      <c r="N50" s="102"/>
      <c r="O50" s="102"/>
      <c r="P50" s="102"/>
      <c r="Q50" s="102"/>
      <c r="R50" s="102"/>
      <c r="S50" s="102"/>
      <c r="T50" s="102"/>
      <c r="U50" s="102"/>
      <c r="V50" s="102"/>
      <c r="W50" s="102"/>
    </row>
    <row r="86" spans="10:12" ht="14.25">
      <c r="J86" s="251"/>
      <c r="K86" s="250"/>
      <c r="L86" s="250"/>
    </row>
    <row r="87" spans="10:11" ht="12.75">
      <c r="J87" s="251"/>
      <c r="K87" s="251"/>
    </row>
  </sheetData>
  <sheetProtection/>
  <mergeCells count="4">
    <mergeCell ref="B2:X2"/>
    <mergeCell ref="B3:X3"/>
    <mergeCell ref="Y2:Y5"/>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5">
    <pageSetUpPr fitToPage="1"/>
  </sheetPr>
  <dimension ref="A1:Z51"/>
  <sheetViews>
    <sheetView zoomScalePageLayoutView="0" workbookViewId="0" topLeftCell="A1">
      <selection activeCell="AB22" sqref="A22:AB23"/>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5.421875" style="0" customWidth="1"/>
    <col min="25" max="25" width="5.7109375" style="0" customWidth="1"/>
    <col min="26" max="26" width="6.421875" style="0" customWidth="1"/>
  </cols>
  <sheetData>
    <row r="1" spans="2:24" ht="14.25" customHeight="1">
      <c r="B1" s="40"/>
      <c r="C1" s="38"/>
      <c r="D1" s="38"/>
      <c r="E1" s="38"/>
      <c r="F1" s="38"/>
      <c r="G1" s="38"/>
      <c r="H1" s="38"/>
      <c r="I1" s="38"/>
      <c r="J1" s="41"/>
      <c r="X1" s="39" t="s">
        <v>94</v>
      </c>
    </row>
    <row r="2" spans="2:26" s="82" customFormat="1" ht="21" customHeight="1">
      <c r="B2" s="498" t="s">
        <v>85</v>
      </c>
      <c r="C2" s="498"/>
      <c r="D2" s="498"/>
      <c r="E2" s="498"/>
      <c r="F2" s="498"/>
      <c r="G2" s="498"/>
      <c r="H2" s="498"/>
      <c r="I2" s="498"/>
      <c r="J2" s="498"/>
      <c r="K2" s="498"/>
      <c r="L2" s="498"/>
      <c r="M2" s="498"/>
      <c r="N2" s="498"/>
      <c r="O2" s="498"/>
      <c r="P2" s="498"/>
      <c r="Q2" s="498"/>
      <c r="R2" s="63"/>
      <c r="S2" s="245"/>
      <c r="T2" s="230"/>
      <c r="U2" s="287"/>
      <c r="V2" s="390"/>
      <c r="W2" s="440"/>
      <c r="X2" s="183"/>
      <c r="Y2" s="500" t="s">
        <v>105</v>
      </c>
      <c r="Z2" s="183"/>
    </row>
    <row r="3" spans="2:26" ht="33.75" customHeight="1">
      <c r="B3" s="499" t="s">
        <v>38</v>
      </c>
      <c r="C3" s="499"/>
      <c r="D3" s="499"/>
      <c r="E3" s="499"/>
      <c r="F3" s="499"/>
      <c r="G3" s="499"/>
      <c r="H3" s="499"/>
      <c r="I3" s="499"/>
      <c r="J3" s="499"/>
      <c r="K3" s="499"/>
      <c r="L3" s="499"/>
      <c r="M3" s="499"/>
      <c r="N3" s="499"/>
      <c r="O3" s="499"/>
      <c r="P3" s="499"/>
      <c r="Q3" s="499"/>
      <c r="R3" s="49"/>
      <c r="S3" s="246"/>
      <c r="T3" s="231"/>
      <c r="U3" s="288"/>
      <c r="V3" s="391"/>
      <c r="W3" s="441"/>
      <c r="X3" s="184"/>
      <c r="Y3" s="501"/>
      <c r="Z3" s="184"/>
    </row>
    <row r="4" spans="2:26" ht="11.25" customHeight="1">
      <c r="B4" s="4"/>
      <c r="C4" s="56"/>
      <c r="D4" s="56"/>
      <c r="E4" s="56"/>
      <c r="F4" s="56"/>
      <c r="G4" s="56"/>
      <c r="H4" s="56"/>
      <c r="J4" s="21"/>
      <c r="K4" s="21"/>
      <c r="L4" s="21"/>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96"/>
      <c r="Y5" s="502"/>
      <c r="Z5" s="147" t="s">
        <v>150</v>
      </c>
    </row>
    <row r="6" spans="2:26" ht="9.75" customHeight="1">
      <c r="B6" s="4"/>
      <c r="C6" s="89"/>
      <c r="D6" s="86"/>
      <c r="E6" s="86"/>
      <c r="F6" s="86"/>
      <c r="G6" s="86"/>
      <c r="H6" s="86"/>
      <c r="I6" s="86"/>
      <c r="J6" s="86"/>
      <c r="K6" s="86"/>
      <c r="L6" s="86"/>
      <c r="M6" s="86"/>
      <c r="N6" s="86"/>
      <c r="O6" s="86"/>
      <c r="P6" s="86"/>
      <c r="Q6" s="86"/>
      <c r="R6" s="86"/>
      <c r="S6" s="86"/>
      <c r="T6" s="86"/>
      <c r="U6" s="86"/>
      <c r="V6" s="86"/>
      <c r="W6" s="188"/>
      <c r="X6" s="97"/>
      <c r="Y6" s="185">
        <v>2015</v>
      </c>
      <c r="Z6" s="76" t="s">
        <v>72</v>
      </c>
    </row>
    <row r="7" spans="2:26" ht="12.75" customHeight="1">
      <c r="B7" s="90" t="s">
        <v>118</v>
      </c>
      <c r="C7" s="163"/>
      <c r="D7" s="146"/>
      <c r="E7" s="146"/>
      <c r="F7" s="146"/>
      <c r="G7" s="146"/>
      <c r="H7" s="146">
        <f aca="true" t="shared" si="0" ref="H7:S7">SUM(H10:H37)</f>
        <v>421.57899999999995</v>
      </c>
      <c r="I7" s="146">
        <f t="shared" si="0"/>
        <v>447.048</v>
      </c>
      <c r="J7" s="146">
        <f t="shared" si="0"/>
        <v>471.0459999999999</v>
      </c>
      <c r="K7" s="146">
        <f t="shared" si="0"/>
        <v>480.2559999999999</v>
      </c>
      <c r="L7" s="146">
        <f t="shared" si="0"/>
        <v>551.2860000000002</v>
      </c>
      <c r="M7" s="146">
        <f t="shared" si="0"/>
        <v>568.7730000000001</v>
      </c>
      <c r="N7" s="146">
        <f t="shared" si="0"/>
        <v>605.7829999999997</v>
      </c>
      <c r="O7" s="146">
        <f t="shared" si="0"/>
        <v>627.182</v>
      </c>
      <c r="P7" s="146">
        <f t="shared" si="0"/>
        <v>615.344</v>
      </c>
      <c r="Q7" s="146">
        <f t="shared" si="0"/>
        <v>541.068</v>
      </c>
      <c r="R7" s="146">
        <f t="shared" si="0"/>
        <v>583.1909999999999</v>
      </c>
      <c r="S7" s="146">
        <f t="shared" si="0"/>
        <v>575.669</v>
      </c>
      <c r="T7" s="146">
        <f>SUM(T10:T37)</f>
        <v>576.6820000000001</v>
      </c>
      <c r="U7" s="146">
        <f>SUM(U10:U37)</f>
        <v>606.474</v>
      </c>
      <c r="V7" s="93">
        <f>SUM(V10:V37)</f>
        <v>613.87</v>
      </c>
      <c r="W7" s="398">
        <f>SUM(W10:W37)</f>
        <v>616.973</v>
      </c>
      <c r="X7" s="90" t="s">
        <v>118</v>
      </c>
      <c r="Y7" s="148">
        <f>W7/road_by_tot!W7*100</f>
        <v>34.89352484703016</v>
      </c>
      <c r="Z7" s="148">
        <f>W7/V7*100-100</f>
        <v>0.5054816166289129</v>
      </c>
    </row>
    <row r="8" spans="1:26" ht="12.75" customHeight="1">
      <c r="A8" s="15"/>
      <c r="B8" s="91" t="s">
        <v>119</v>
      </c>
      <c r="C8" s="92">
        <f>C10+C13+C14+SUM(C16:C21)+C25+C28+C29+C31+SUM(C35:C37)</f>
        <v>268.286</v>
      </c>
      <c r="D8" s="93">
        <f>D10+D13+D14+SUM(D16:D21)+D25+D28+D29+D31+SUM(D35:D37)</f>
        <v>274.017</v>
      </c>
      <c r="E8" s="93">
        <f>E10+E13+E14+SUM(E16:E21)+E25+E28+E29+E31+SUM(E35:E37)</f>
        <v>287.029</v>
      </c>
      <c r="F8" s="93">
        <f>F10+F13+F14+SUM(F16:F21)+F25+F28+F29+F31+SUM(F35:F37)</f>
        <v>308.52899999999994</v>
      </c>
      <c r="G8" s="93">
        <f>G10+G13+G14+SUM(G16:G21)+G25+G28+G29+G31+SUM(G35:G37)-G20</f>
        <v>313.95500000000004</v>
      </c>
      <c r="H8" s="93">
        <f aca="true" t="shared" si="1" ref="H8:S8">H7-H9</f>
        <v>330.25899999999996</v>
      </c>
      <c r="I8" s="93">
        <f t="shared" si="1"/>
        <v>343.63300000000004</v>
      </c>
      <c r="J8" s="93">
        <f t="shared" si="1"/>
        <v>352.4229999999999</v>
      </c>
      <c r="K8" s="93">
        <f t="shared" si="1"/>
        <v>351.28999999999996</v>
      </c>
      <c r="L8" s="169">
        <f t="shared" si="1"/>
        <v>394.7450000000002</v>
      </c>
      <c r="M8" s="169">
        <f t="shared" si="1"/>
        <v>380.70700000000016</v>
      </c>
      <c r="N8" s="169">
        <f t="shared" si="1"/>
        <v>382.7129999999997</v>
      </c>
      <c r="O8" s="169">
        <f t="shared" si="1"/>
        <v>372.42100000000005</v>
      </c>
      <c r="P8" s="169">
        <f t="shared" si="1"/>
        <v>348.66</v>
      </c>
      <c r="Q8" s="169">
        <f t="shared" si="1"/>
        <v>295.885</v>
      </c>
      <c r="R8" s="169">
        <f t="shared" si="1"/>
        <v>306.84799999999996</v>
      </c>
      <c r="S8" s="93">
        <f t="shared" si="1"/>
        <v>288.542</v>
      </c>
      <c r="T8" s="265">
        <f>T7-T9</f>
        <v>268.9130000000002</v>
      </c>
      <c r="U8" s="265">
        <f>U7-U9</f>
        <v>268.98400000000004</v>
      </c>
      <c r="V8" s="265">
        <f>V7-V9</f>
        <v>263.389</v>
      </c>
      <c r="W8" s="399">
        <f>W7-W9</f>
        <v>253.93</v>
      </c>
      <c r="X8" s="91" t="s">
        <v>119</v>
      </c>
      <c r="Y8" s="149">
        <f>W8/road_by_tot!W8*100</f>
        <v>20.637433620982513</v>
      </c>
      <c r="Z8" s="238">
        <f aca="true" t="shared" si="2" ref="Z8:Z37">W8/V8*100-100</f>
        <v>-3.591266150067014</v>
      </c>
    </row>
    <row r="9" spans="1:26" ht="12.75" customHeight="1">
      <c r="A9" s="15"/>
      <c r="B9" s="94" t="s">
        <v>120</v>
      </c>
      <c r="C9" s="98"/>
      <c r="D9" s="95"/>
      <c r="E9" s="95"/>
      <c r="F9" s="95"/>
      <c r="G9" s="95"/>
      <c r="H9" s="95">
        <f aca="true" t="shared" si="3" ref="H9:S9">H11+H12+H15+H20+H22+H23+H24+H26+H27+H30+H32+H33+H34</f>
        <v>91.32000000000001</v>
      </c>
      <c r="I9" s="95">
        <f t="shared" si="3"/>
        <v>103.41499999999999</v>
      </c>
      <c r="J9" s="95">
        <f t="shared" si="3"/>
        <v>118.623</v>
      </c>
      <c r="K9" s="95">
        <f t="shared" si="3"/>
        <v>128.96599999999998</v>
      </c>
      <c r="L9" s="95">
        <f t="shared" si="3"/>
        <v>156.541</v>
      </c>
      <c r="M9" s="95">
        <f t="shared" si="3"/>
        <v>188.06599999999997</v>
      </c>
      <c r="N9" s="95">
        <f t="shared" si="3"/>
        <v>223.07</v>
      </c>
      <c r="O9" s="95">
        <f t="shared" si="3"/>
        <v>254.761</v>
      </c>
      <c r="P9" s="95">
        <f t="shared" si="3"/>
        <v>266.684</v>
      </c>
      <c r="Q9" s="95">
        <f t="shared" si="3"/>
        <v>245.183</v>
      </c>
      <c r="R9" s="95">
        <f t="shared" si="3"/>
        <v>276.34299999999996</v>
      </c>
      <c r="S9" s="95">
        <f t="shared" si="3"/>
        <v>287.127</v>
      </c>
      <c r="T9" s="95">
        <f>T11+T12+T15+T20+T22+T23+T24+T26+T27+T30+T32+T33+T34</f>
        <v>307.76899999999995</v>
      </c>
      <c r="U9" s="95">
        <f>U11+U12+U15+U20+U22+U23+U24+U26+U27+U30+U32+U33+U34</f>
        <v>337.49</v>
      </c>
      <c r="V9" s="95">
        <f>V11+V12+V15+V20+V22+V23+V24+V26+V27+V30+V32+V33+V34</f>
        <v>350.481</v>
      </c>
      <c r="W9" s="400">
        <f>W11+W12+W15+W20+W22+W23+W24+W26+W27+W30+W32+W33+W34</f>
        <v>363.04299999999995</v>
      </c>
      <c r="X9" s="94" t="s">
        <v>120</v>
      </c>
      <c r="Y9" s="150">
        <f>W9/road_by_tot!W9*100</f>
        <v>67.51462178622903</v>
      </c>
      <c r="Z9" s="150">
        <f t="shared" si="2"/>
        <v>3.584217118759625</v>
      </c>
    </row>
    <row r="10" spans="1:26" ht="12.75" customHeight="1">
      <c r="A10" s="15"/>
      <c r="B10" s="17" t="s">
        <v>23</v>
      </c>
      <c r="C10" s="199">
        <v>26.984</v>
      </c>
      <c r="D10" s="200">
        <v>25.185</v>
      </c>
      <c r="E10" s="200">
        <v>25.274000000000004</v>
      </c>
      <c r="F10" s="200">
        <v>24.407</v>
      </c>
      <c r="G10" s="201">
        <v>21.526</v>
      </c>
      <c r="H10" s="200">
        <v>31.293</v>
      </c>
      <c r="I10" s="200">
        <v>32.617</v>
      </c>
      <c r="J10" s="200">
        <v>32.496</v>
      </c>
      <c r="K10" s="200">
        <v>30.959</v>
      </c>
      <c r="L10" s="200">
        <v>28.462</v>
      </c>
      <c r="M10" s="200">
        <v>24.565</v>
      </c>
      <c r="N10" s="200">
        <v>23.402</v>
      </c>
      <c r="O10" s="200">
        <v>22.435</v>
      </c>
      <c r="P10" s="200">
        <v>20.149</v>
      </c>
      <c r="Q10" s="200">
        <v>18.572</v>
      </c>
      <c r="R10" s="235">
        <v>17.246</v>
      </c>
      <c r="S10" s="235">
        <v>15.358</v>
      </c>
      <c r="T10" s="235">
        <v>13.919</v>
      </c>
      <c r="U10" s="200">
        <v>13.816</v>
      </c>
      <c r="V10" s="200">
        <v>12.641</v>
      </c>
      <c r="W10" s="262">
        <v>12.795</v>
      </c>
      <c r="X10" s="17" t="s">
        <v>23</v>
      </c>
      <c r="Y10" s="151">
        <f>W10/road_by_tot!W10*100</f>
        <v>40.32588483721516</v>
      </c>
      <c r="Z10" s="151">
        <f t="shared" si="2"/>
        <v>1.2182580492049624</v>
      </c>
    </row>
    <row r="11" spans="1:26" ht="12.75" customHeight="1">
      <c r="A11" s="15"/>
      <c r="B11" s="91" t="s">
        <v>6</v>
      </c>
      <c r="C11" s="202"/>
      <c r="D11" s="203"/>
      <c r="E11" s="203"/>
      <c r="F11" s="203"/>
      <c r="G11" s="203"/>
      <c r="H11" s="203">
        <v>3.343</v>
      </c>
      <c r="I11" s="203">
        <v>4.737</v>
      </c>
      <c r="J11" s="203">
        <v>4.873</v>
      </c>
      <c r="K11" s="203">
        <v>4.911</v>
      </c>
      <c r="L11" s="203">
        <v>7.349</v>
      </c>
      <c r="M11" s="203">
        <v>9.326</v>
      </c>
      <c r="N11" s="203">
        <v>7.959</v>
      </c>
      <c r="O11" s="203">
        <v>8.734</v>
      </c>
      <c r="P11" s="203">
        <v>8.2</v>
      </c>
      <c r="Q11" s="203">
        <v>11.436</v>
      </c>
      <c r="R11" s="203">
        <v>13.313</v>
      </c>
      <c r="S11" s="203">
        <v>14.696</v>
      </c>
      <c r="T11" s="203">
        <v>18.086</v>
      </c>
      <c r="U11" s="203">
        <v>19.905</v>
      </c>
      <c r="V11" s="203">
        <v>21.027</v>
      </c>
      <c r="W11" s="204">
        <v>25.125</v>
      </c>
      <c r="X11" s="91" t="s">
        <v>6</v>
      </c>
      <c r="Y11" s="120">
        <f>W11/road_by_tot!W11*100</f>
        <v>77.79360312103292</v>
      </c>
      <c r="Z11" s="120">
        <f t="shared" si="2"/>
        <v>19.489228135254663</v>
      </c>
    </row>
    <row r="12" spans="1:26" ht="12.75" customHeight="1">
      <c r="A12" s="15"/>
      <c r="B12" s="17" t="s">
        <v>8</v>
      </c>
      <c r="C12" s="205"/>
      <c r="D12" s="206"/>
      <c r="E12" s="206"/>
      <c r="F12" s="206"/>
      <c r="G12" s="206"/>
      <c r="H12" s="206">
        <v>23.096</v>
      </c>
      <c r="I12" s="206">
        <v>24.06</v>
      </c>
      <c r="J12" s="206">
        <v>27.356</v>
      </c>
      <c r="K12" s="206">
        <v>29.172</v>
      </c>
      <c r="L12" s="206">
        <v>29.965</v>
      </c>
      <c r="M12" s="206">
        <v>27.929</v>
      </c>
      <c r="N12" s="206">
        <v>34.294</v>
      </c>
      <c r="O12" s="206">
        <v>32.31</v>
      </c>
      <c r="P12" s="206">
        <v>35.129</v>
      </c>
      <c r="Q12" s="206">
        <v>31.474</v>
      </c>
      <c r="R12" s="206">
        <v>37.07</v>
      </c>
      <c r="S12" s="206">
        <v>39.845</v>
      </c>
      <c r="T12" s="206">
        <v>36.825</v>
      </c>
      <c r="U12" s="206">
        <v>39.5</v>
      </c>
      <c r="V12" s="206">
        <v>37.279</v>
      </c>
      <c r="W12" s="236">
        <v>36.101</v>
      </c>
      <c r="X12" s="17" t="s">
        <v>8</v>
      </c>
      <c r="Y12" s="152">
        <f>W12/road_by_tot!W12*100</f>
        <v>63.11363636363636</v>
      </c>
      <c r="Z12" s="152">
        <f t="shared" si="2"/>
        <v>-3.159956007403636</v>
      </c>
    </row>
    <row r="13" spans="1:26" ht="12.75" customHeight="1">
      <c r="A13" s="15"/>
      <c r="B13" s="91" t="s">
        <v>19</v>
      </c>
      <c r="C13" s="202">
        <v>13.072999999999999</v>
      </c>
      <c r="D13" s="203">
        <v>11.868</v>
      </c>
      <c r="E13" s="203">
        <v>11.788</v>
      </c>
      <c r="F13" s="203">
        <v>11.291999999999998</v>
      </c>
      <c r="G13" s="203">
        <v>12.814</v>
      </c>
      <c r="H13" s="203">
        <v>13.021</v>
      </c>
      <c r="I13" s="203">
        <v>11.269</v>
      </c>
      <c r="J13" s="203">
        <v>11.459</v>
      </c>
      <c r="K13" s="203">
        <v>11.997</v>
      </c>
      <c r="L13" s="203">
        <v>12.575</v>
      </c>
      <c r="M13" s="203">
        <v>12.241</v>
      </c>
      <c r="N13" s="203">
        <v>9.76</v>
      </c>
      <c r="O13" s="203">
        <v>9.16</v>
      </c>
      <c r="P13" s="203">
        <v>8.762</v>
      </c>
      <c r="Q13" s="203">
        <v>6.874</v>
      </c>
      <c r="R13" s="203">
        <v>4.445</v>
      </c>
      <c r="S13" s="203">
        <v>4.095</v>
      </c>
      <c r="T13" s="203">
        <v>4.387</v>
      </c>
      <c r="U13" s="203">
        <v>3.855</v>
      </c>
      <c r="V13" s="203">
        <v>3.241</v>
      </c>
      <c r="W13" s="204">
        <v>2.969</v>
      </c>
      <c r="X13" s="91" t="s">
        <v>19</v>
      </c>
      <c r="Y13" s="120">
        <f>W13/road_by_tot!W13*100</f>
        <v>19.154838709677417</v>
      </c>
      <c r="Z13" s="120">
        <f t="shared" si="2"/>
        <v>-8.392471459426105</v>
      </c>
    </row>
    <row r="14" spans="1:26" ht="12.75" customHeight="1">
      <c r="A14" s="15"/>
      <c r="B14" s="17" t="s">
        <v>24</v>
      </c>
      <c r="C14" s="205">
        <v>36.501000000000005</v>
      </c>
      <c r="D14" s="206">
        <v>37.405</v>
      </c>
      <c r="E14" s="206">
        <v>42.781000000000006</v>
      </c>
      <c r="F14" s="206">
        <v>46.99799999999999</v>
      </c>
      <c r="G14" s="206">
        <v>51.539</v>
      </c>
      <c r="H14" s="206">
        <v>54.179</v>
      </c>
      <c r="I14" s="206">
        <v>58.948</v>
      </c>
      <c r="J14" s="206">
        <v>59.74</v>
      </c>
      <c r="K14" s="206">
        <v>63.54</v>
      </c>
      <c r="L14" s="206">
        <v>71.449</v>
      </c>
      <c r="M14" s="206">
        <v>72.487</v>
      </c>
      <c r="N14" s="206">
        <v>78.637</v>
      </c>
      <c r="O14" s="206">
        <v>82.006</v>
      </c>
      <c r="P14" s="206">
        <v>76.987</v>
      </c>
      <c r="Q14" s="206">
        <v>61.979</v>
      </c>
      <c r="R14" s="206">
        <v>60.642</v>
      </c>
      <c r="S14" s="206">
        <v>58.807</v>
      </c>
      <c r="T14" s="206">
        <v>52.51</v>
      </c>
      <c r="U14" s="206">
        <v>49.022</v>
      </c>
      <c r="V14" s="206">
        <v>47.11</v>
      </c>
      <c r="W14" s="236">
        <v>45.166</v>
      </c>
      <c r="X14" s="17" t="s">
        <v>24</v>
      </c>
      <c r="Y14" s="152">
        <f>W14/road_by_tot!W14*100</f>
        <v>14.34679304736735</v>
      </c>
      <c r="Z14" s="152">
        <f t="shared" si="2"/>
        <v>-4.126512417745715</v>
      </c>
    </row>
    <row r="15" spans="1:26" ht="12.75" customHeight="1">
      <c r="A15" s="15"/>
      <c r="B15" s="91" t="s">
        <v>9</v>
      </c>
      <c r="C15" s="207">
        <v>1.1</v>
      </c>
      <c r="D15" s="208">
        <v>1.455</v>
      </c>
      <c r="E15" s="208">
        <v>2.263</v>
      </c>
      <c r="F15" s="208">
        <v>3.253</v>
      </c>
      <c r="G15" s="208">
        <v>3.241</v>
      </c>
      <c r="H15" s="208">
        <v>3.217</v>
      </c>
      <c r="I15" s="203">
        <v>4.129</v>
      </c>
      <c r="J15" s="209">
        <v>3.625</v>
      </c>
      <c r="K15" s="203">
        <v>2.406</v>
      </c>
      <c r="L15" s="208">
        <v>3.62</v>
      </c>
      <c r="M15" s="208">
        <v>3.977</v>
      </c>
      <c r="N15" s="208">
        <v>3.569</v>
      </c>
      <c r="O15" s="208">
        <v>4.475</v>
      </c>
      <c r="P15" s="208">
        <v>5.522</v>
      </c>
      <c r="Q15" s="208">
        <v>4.014</v>
      </c>
      <c r="R15" s="208">
        <v>4.226</v>
      </c>
      <c r="S15" s="208">
        <v>4.352</v>
      </c>
      <c r="T15" s="208">
        <v>4.192</v>
      </c>
      <c r="U15" s="208">
        <v>4.394</v>
      </c>
      <c r="V15" s="208">
        <v>4.769</v>
      </c>
      <c r="W15" s="261">
        <v>4.739</v>
      </c>
      <c r="X15" s="91" t="s">
        <v>9</v>
      </c>
      <c r="Y15" s="153">
        <f>W15/road_by_tot!W15*100</f>
        <v>75.6666134440364</v>
      </c>
      <c r="Z15" s="153">
        <f t="shared" si="2"/>
        <v>-0.6290626965820962</v>
      </c>
    </row>
    <row r="16" spans="1:26" ht="12.75" customHeight="1">
      <c r="A16" s="15"/>
      <c r="B16" s="17" t="s">
        <v>27</v>
      </c>
      <c r="C16" s="199">
        <v>0.8</v>
      </c>
      <c r="D16" s="200">
        <v>1.6</v>
      </c>
      <c r="E16" s="200">
        <v>2.3</v>
      </c>
      <c r="F16" s="200">
        <v>3.5</v>
      </c>
      <c r="G16" s="200">
        <v>2.4689999999999994</v>
      </c>
      <c r="H16" s="200">
        <v>3.938</v>
      </c>
      <c r="I16" s="200">
        <v>3.203</v>
      </c>
      <c r="J16" s="200">
        <v>3.545</v>
      </c>
      <c r="K16" s="200">
        <v>3.715</v>
      </c>
      <c r="L16" s="200">
        <v>3.928</v>
      </c>
      <c r="M16" s="200">
        <v>3.926</v>
      </c>
      <c r="N16" s="200">
        <v>3.622</v>
      </c>
      <c r="O16" s="200">
        <v>4.592</v>
      </c>
      <c r="P16" s="200">
        <v>4.137</v>
      </c>
      <c r="Q16" s="200">
        <v>3.218</v>
      </c>
      <c r="R16" s="200">
        <v>2.717</v>
      </c>
      <c r="S16" s="200">
        <v>2.638</v>
      </c>
      <c r="T16" s="200">
        <v>2.557</v>
      </c>
      <c r="U16" s="200">
        <v>1.999</v>
      </c>
      <c r="V16" s="200">
        <v>2.047</v>
      </c>
      <c r="W16" s="262">
        <v>2.141</v>
      </c>
      <c r="X16" s="17" t="s">
        <v>27</v>
      </c>
      <c r="Y16" s="151">
        <f>W16/road_by_tot!W16*100</f>
        <v>21.626262626262626</v>
      </c>
      <c r="Z16" s="151">
        <f t="shared" si="2"/>
        <v>4.59208597948215</v>
      </c>
    </row>
    <row r="17" spans="1:26" ht="12.75" customHeight="1">
      <c r="A17" s="15"/>
      <c r="B17" s="91" t="s">
        <v>20</v>
      </c>
      <c r="C17" s="210">
        <v>4</v>
      </c>
      <c r="D17" s="211">
        <v>4.05</v>
      </c>
      <c r="E17" s="211">
        <v>4.12</v>
      </c>
      <c r="F17" s="211">
        <v>4.2</v>
      </c>
      <c r="G17" s="211">
        <v>4.3</v>
      </c>
      <c r="H17" s="211">
        <v>4.5</v>
      </c>
      <c r="I17" s="211">
        <v>4.6</v>
      </c>
      <c r="J17" s="211">
        <v>4.7</v>
      </c>
      <c r="K17" s="208">
        <v>4.064</v>
      </c>
      <c r="L17" s="208">
        <v>5.028</v>
      </c>
      <c r="M17" s="208">
        <v>4.151</v>
      </c>
      <c r="N17" s="211">
        <v>7.865</v>
      </c>
      <c r="O17" s="203">
        <v>6.062</v>
      </c>
      <c r="P17" s="203">
        <v>4.504</v>
      </c>
      <c r="Q17" s="203">
        <v>4.357</v>
      </c>
      <c r="R17" s="203">
        <v>4.559</v>
      </c>
      <c r="S17" s="203">
        <v>3.788</v>
      </c>
      <c r="T17" s="203">
        <v>4.353</v>
      </c>
      <c r="U17" s="203">
        <v>4.417</v>
      </c>
      <c r="V17" s="203">
        <v>4.104</v>
      </c>
      <c r="W17" s="204">
        <v>4.741</v>
      </c>
      <c r="X17" s="91" t="s">
        <v>20</v>
      </c>
      <c r="Y17" s="120">
        <f>W17/road_by_tot!W17*100</f>
        <v>23.988059097348714</v>
      </c>
      <c r="Z17" s="120">
        <f t="shared" si="2"/>
        <v>15.521442495126706</v>
      </c>
    </row>
    <row r="18" spans="1:26" ht="12.75" customHeight="1">
      <c r="A18" s="15"/>
      <c r="B18" s="17" t="s">
        <v>25</v>
      </c>
      <c r="C18" s="212">
        <v>22.855999999999995</v>
      </c>
      <c r="D18" s="213">
        <v>25.742999999999995</v>
      </c>
      <c r="E18" s="213">
        <v>28.866</v>
      </c>
      <c r="F18" s="213">
        <v>33.67100000000001</v>
      </c>
      <c r="G18" s="213">
        <v>36.128</v>
      </c>
      <c r="H18" s="213">
        <v>41.782</v>
      </c>
      <c r="I18" s="213">
        <v>47.041</v>
      </c>
      <c r="J18" s="213">
        <v>55.039</v>
      </c>
      <c r="K18" s="213">
        <v>54.183</v>
      </c>
      <c r="L18" s="213">
        <v>65.807</v>
      </c>
      <c r="M18" s="213">
        <v>66.844</v>
      </c>
      <c r="N18" s="213">
        <v>67.2</v>
      </c>
      <c r="O18" s="213">
        <v>68.264</v>
      </c>
      <c r="P18" s="213">
        <v>67.799</v>
      </c>
      <c r="Q18" s="213">
        <v>60.835</v>
      </c>
      <c r="R18" s="213">
        <v>63.874</v>
      </c>
      <c r="S18" s="213">
        <v>64.52</v>
      </c>
      <c r="T18" s="213">
        <v>65.841</v>
      </c>
      <c r="U18" s="213">
        <v>65.6</v>
      </c>
      <c r="V18" s="213">
        <v>67.61</v>
      </c>
      <c r="W18" s="214">
        <v>72.154</v>
      </c>
      <c r="X18" s="17" t="s">
        <v>25</v>
      </c>
      <c r="Y18" s="110">
        <f>W18/road_by_tot!W18*100</f>
        <v>34.45914322555996</v>
      </c>
      <c r="Z18" s="110">
        <f t="shared" si="2"/>
        <v>6.7208992752551495</v>
      </c>
    </row>
    <row r="19" spans="1:26" ht="12.75" customHeight="1">
      <c r="A19" s="15"/>
      <c r="B19" s="91" t="s">
        <v>26</v>
      </c>
      <c r="C19" s="207">
        <v>42.9</v>
      </c>
      <c r="D19" s="208">
        <v>43.49799999999999</v>
      </c>
      <c r="E19" s="208">
        <v>42.44</v>
      </c>
      <c r="F19" s="208">
        <v>43.64099999999999</v>
      </c>
      <c r="G19" s="208">
        <v>45.688</v>
      </c>
      <c r="H19" s="208">
        <v>40.836</v>
      </c>
      <c r="I19" s="208">
        <v>38.298</v>
      </c>
      <c r="J19" s="208">
        <v>34.617</v>
      </c>
      <c r="K19" s="208">
        <v>32.712</v>
      </c>
      <c r="L19" s="208">
        <v>33.018</v>
      </c>
      <c r="M19" s="208">
        <v>27.954</v>
      </c>
      <c r="N19" s="208">
        <v>28.692</v>
      </c>
      <c r="O19" s="208">
        <v>27.824</v>
      </c>
      <c r="P19" s="208">
        <v>24.425</v>
      </c>
      <c r="Q19" s="208">
        <v>17.6</v>
      </c>
      <c r="R19" s="208">
        <v>17.868</v>
      </c>
      <c r="S19" s="208">
        <v>17.443</v>
      </c>
      <c r="T19" s="208">
        <v>15.996</v>
      </c>
      <c r="U19" s="208">
        <v>15.76</v>
      </c>
      <c r="V19" s="208">
        <v>14.113</v>
      </c>
      <c r="W19" s="261">
        <v>12.339</v>
      </c>
      <c r="X19" s="91" t="s">
        <v>26</v>
      </c>
      <c r="Y19" s="153">
        <f>W19/road_by_tot!W19*100</f>
        <v>8.034249251204583</v>
      </c>
      <c r="Z19" s="153">
        <f t="shared" si="2"/>
        <v>-12.569970948770631</v>
      </c>
    </row>
    <row r="20" spans="1:26" ht="12.75" customHeight="1">
      <c r="A20" s="15"/>
      <c r="B20" s="17" t="s">
        <v>37</v>
      </c>
      <c r="C20" s="144"/>
      <c r="D20" s="59"/>
      <c r="E20" s="59"/>
      <c r="F20" s="189"/>
      <c r="G20" s="59">
        <v>0.8179999999999998</v>
      </c>
      <c r="H20" s="59">
        <v>0.95</v>
      </c>
      <c r="I20" s="59">
        <v>3.57</v>
      </c>
      <c r="J20" s="59">
        <v>3.75</v>
      </c>
      <c r="K20" s="59">
        <v>4.117</v>
      </c>
      <c r="L20" s="59">
        <v>4.445999999999999</v>
      </c>
      <c r="M20" s="59">
        <v>4.941</v>
      </c>
      <c r="N20" s="59">
        <v>4.884</v>
      </c>
      <c r="O20" s="59">
        <v>5.38</v>
      </c>
      <c r="P20" s="59">
        <v>4.598</v>
      </c>
      <c r="Q20" s="59">
        <v>4.301</v>
      </c>
      <c r="R20" s="59">
        <v>4.233</v>
      </c>
      <c r="S20" s="59">
        <v>4.552</v>
      </c>
      <c r="T20" s="59">
        <v>4.504</v>
      </c>
      <c r="U20" s="59">
        <v>4.849</v>
      </c>
      <c r="V20" s="59">
        <v>5.45</v>
      </c>
      <c r="W20" s="215">
        <v>6.384</v>
      </c>
      <c r="X20" s="228" t="s">
        <v>37</v>
      </c>
      <c r="Y20" s="109">
        <f>W20/road_by_tot!W20*100</f>
        <v>61.15528307309129</v>
      </c>
      <c r="Z20" s="109">
        <f t="shared" si="2"/>
        <v>17.137614678899098</v>
      </c>
    </row>
    <row r="21" spans="1:26" ht="12.75" customHeight="1">
      <c r="A21" s="15"/>
      <c r="B21" s="91" t="s">
        <v>28</v>
      </c>
      <c r="C21" s="210">
        <v>24.13</v>
      </c>
      <c r="D21" s="211">
        <v>24.425</v>
      </c>
      <c r="E21" s="211">
        <v>24.753000000000014</v>
      </c>
      <c r="F21" s="211">
        <v>26.33099999999999</v>
      </c>
      <c r="G21" s="211">
        <v>25.323999999999984</v>
      </c>
      <c r="H21" s="211">
        <v>26.427</v>
      </c>
      <c r="I21" s="211">
        <v>31.764</v>
      </c>
      <c r="J21" s="203">
        <v>32.6</v>
      </c>
      <c r="K21" s="203">
        <v>30.904</v>
      </c>
      <c r="L21" s="203">
        <v>38.808</v>
      </c>
      <c r="M21" s="203">
        <v>40.217</v>
      </c>
      <c r="N21" s="203">
        <v>31.64</v>
      </c>
      <c r="O21" s="203">
        <v>27.004</v>
      </c>
      <c r="P21" s="203">
        <v>28.638</v>
      </c>
      <c r="Q21" s="203">
        <v>22.018</v>
      </c>
      <c r="R21" s="203">
        <v>26.528</v>
      </c>
      <c r="S21" s="203">
        <v>15.161</v>
      </c>
      <c r="T21" s="203">
        <v>12.23</v>
      </c>
      <c r="U21" s="203">
        <v>15.266</v>
      </c>
      <c r="V21" s="203">
        <v>15.462</v>
      </c>
      <c r="W21" s="204">
        <v>12.716</v>
      </c>
      <c r="X21" s="224" t="s">
        <v>28</v>
      </c>
      <c r="Y21" s="153">
        <f>W21/road_by_tot!W21*100</f>
        <v>10.88512241054614</v>
      </c>
      <c r="Z21" s="153">
        <f t="shared" si="2"/>
        <v>-17.759668865606002</v>
      </c>
    </row>
    <row r="22" spans="1:26" ht="12.75" customHeight="1">
      <c r="A22" s="15"/>
      <c r="B22" s="17" t="s">
        <v>7</v>
      </c>
      <c r="C22" s="144"/>
      <c r="D22" s="59"/>
      <c r="E22" s="59"/>
      <c r="F22" s="59"/>
      <c r="G22" s="59"/>
      <c r="H22" s="59">
        <v>0.03</v>
      </c>
      <c r="I22" s="59">
        <v>0.03</v>
      </c>
      <c r="J22" s="59">
        <v>0.037</v>
      </c>
      <c r="K22" s="59">
        <v>0.031</v>
      </c>
      <c r="L22" s="59">
        <v>0.017</v>
      </c>
      <c r="M22" s="59">
        <v>0.019</v>
      </c>
      <c r="N22" s="59">
        <v>0.02</v>
      </c>
      <c r="O22" s="59">
        <v>0.018</v>
      </c>
      <c r="P22" s="59">
        <v>0.012</v>
      </c>
      <c r="Q22" s="59">
        <v>0.018</v>
      </c>
      <c r="R22" s="59">
        <v>0.021</v>
      </c>
      <c r="S22" s="59">
        <v>0.018</v>
      </c>
      <c r="T22" s="59">
        <v>0.017</v>
      </c>
      <c r="U22" s="59">
        <v>0.016</v>
      </c>
      <c r="V22" s="59">
        <v>0.012</v>
      </c>
      <c r="W22" s="215">
        <v>0.015</v>
      </c>
      <c r="X22" s="228" t="s">
        <v>7</v>
      </c>
      <c r="Y22" s="152">
        <f>W22/road_by_tot!W22*100</f>
        <v>2.664298401420959</v>
      </c>
      <c r="Z22" s="152">
        <f t="shared" si="2"/>
        <v>25</v>
      </c>
    </row>
    <row r="23" spans="1:26" ht="12.75" customHeight="1">
      <c r="A23" s="15"/>
      <c r="B23" s="91" t="s">
        <v>11</v>
      </c>
      <c r="C23" s="202"/>
      <c r="D23" s="203"/>
      <c r="E23" s="203"/>
      <c r="F23" s="203"/>
      <c r="G23" s="203"/>
      <c r="H23" s="203">
        <v>3.305</v>
      </c>
      <c r="I23" s="203">
        <v>3.715</v>
      </c>
      <c r="J23" s="203">
        <v>4.233</v>
      </c>
      <c r="K23" s="203">
        <v>4.443</v>
      </c>
      <c r="L23" s="203">
        <v>5</v>
      </c>
      <c r="M23" s="203">
        <v>5.66</v>
      </c>
      <c r="N23" s="203">
        <v>8.035</v>
      </c>
      <c r="O23" s="203">
        <v>10.197</v>
      </c>
      <c r="P23" s="203">
        <v>9.807</v>
      </c>
      <c r="Q23" s="203">
        <v>5.966</v>
      </c>
      <c r="R23" s="203">
        <v>8.029</v>
      </c>
      <c r="S23" s="203">
        <v>9.485</v>
      </c>
      <c r="T23" s="203">
        <v>9.562</v>
      </c>
      <c r="U23" s="203">
        <v>10.013</v>
      </c>
      <c r="V23" s="203">
        <v>10.929</v>
      </c>
      <c r="W23" s="204">
        <v>11.937</v>
      </c>
      <c r="X23" s="224" t="s">
        <v>11</v>
      </c>
      <c r="Y23" s="153">
        <f>W23/road_by_tot!W23*100</f>
        <v>81.25936010891763</v>
      </c>
      <c r="Z23" s="153">
        <f t="shared" si="2"/>
        <v>9.22316771891299</v>
      </c>
    </row>
    <row r="24" spans="1:26" ht="12.75" customHeight="1">
      <c r="A24" s="15"/>
      <c r="B24" s="17" t="s">
        <v>12</v>
      </c>
      <c r="C24" s="144"/>
      <c r="D24" s="59"/>
      <c r="E24" s="59"/>
      <c r="F24" s="59"/>
      <c r="G24" s="59"/>
      <c r="H24" s="59">
        <v>6.235</v>
      </c>
      <c r="I24" s="59">
        <v>6.756</v>
      </c>
      <c r="J24" s="59">
        <v>9.191</v>
      </c>
      <c r="K24" s="59">
        <v>9.504</v>
      </c>
      <c r="L24" s="59">
        <v>10.066</v>
      </c>
      <c r="M24" s="59">
        <v>13.77</v>
      </c>
      <c r="N24" s="59">
        <v>15.902</v>
      </c>
      <c r="O24" s="59">
        <v>17.574</v>
      </c>
      <c r="P24" s="59">
        <v>17.859</v>
      </c>
      <c r="Q24" s="59">
        <v>15.124</v>
      </c>
      <c r="R24" s="59">
        <v>17.106</v>
      </c>
      <c r="S24" s="59">
        <v>19.192</v>
      </c>
      <c r="T24" s="59">
        <v>21.011</v>
      </c>
      <c r="U24" s="59">
        <v>23.798</v>
      </c>
      <c r="V24" s="59">
        <v>25.299</v>
      </c>
      <c r="W24" s="215">
        <v>23.572</v>
      </c>
      <c r="X24" s="228" t="s">
        <v>12</v>
      </c>
      <c r="Y24" s="109">
        <f>W24/road_by_tot!W24*100</f>
        <v>89.0013215027374</v>
      </c>
      <c r="Z24" s="109">
        <f t="shared" si="2"/>
        <v>-6.826356772994984</v>
      </c>
    </row>
    <row r="25" spans="1:26" ht="12.75" customHeight="1">
      <c r="A25" s="15"/>
      <c r="B25" s="91" t="s">
        <v>29</v>
      </c>
      <c r="C25" s="202">
        <v>4.969</v>
      </c>
      <c r="D25" s="203">
        <v>3.108</v>
      </c>
      <c r="E25" s="203">
        <v>4.006</v>
      </c>
      <c r="F25" s="203">
        <v>4.605</v>
      </c>
      <c r="G25" s="203">
        <v>5.936</v>
      </c>
      <c r="H25" s="203">
        <v>7.195</v>
      </c>
      <c r="I25" s="203">
        <v>8.212</v>
      </c>
      <c r="J25" s="203">
        <v>8.596</v>
      </c>
      <c r="K25" s="203">
        <v>9.079</v>
      </c>
      <c r="L25" s="203">
        <v>9.026</v>
      </c>
      <c r="M25" s="203">
        <v>8.309</v>
      </c>
      <c r="N25" s="203">
        <v>8.263</v>
      </c>
      <c r="O25" s="203">
        <v>9.014</v>
      </c>
      <c r="P25" s="203">
        <v>8.41</v>
      </c>
      <c r="Q25" s="203">
        <v>7.87</v>
      </c>
      <c r="R25" s="203">
        <v>8.12</v>
      </c>
      <c r="S25" s="203">
        <v>8.185</v>
      </c>
      <c r="T25" s="203">
        <v>6.906</v>
      </c>
      <c r="U25" s="203">
        <v>7.829</v>
      </c>
      <c r="V25" s="203">
        <v>8.471</v>
      </c>
      <c r="W25" s="204">
        <v>7.746</v>
      </c>
      <c r="X25" s="224" t="s">
        <v>29</v>
      </c>
      <c r="Y25" s="153">
        <f>W25/road_by_tot!W25*100</f>
        <v>87.52542372881356</v>
      </c>
      <c r="Z25" s="153">
        <f t="shared" si="2"/>
        <v>-8.55861173415181</v>
      </c>
    </row>
    <row r="26" spans="1:26" ht="12.75" customHeight="1">
      <c r="A26" s="15"/>
      <c r="B26" s="17" t="s">
        <v>10</v>
      </c>
      <c r="C26" s="205"/>
      <c r="D26" s="206"/>
      <c r="E26" s="206"/>
      <c r="F26" s="206"/>
      <c r="G26" s="206"/>
      <c r="H26" s="206">
        <v>6.979</v>
      </c>
      <c r="I26" s="206">
        <v>6.651</v>
      </c>
      <c r="J26" s="206">
        <v>6.746</v>
      </c>
      <c r="K26" s="206">
        <v>7.538</v>
      </c>
      <c r="L26" s="206">
        <v>9.632</v>
      </c>
      <c r="M26" s="206">
        <v>13.758</v>
      </c>
      <c r="N26" s="206">
        <v>18.054</v>
      </c>
      <c r="O26" s="206">
        <v>22.619</v>
      </c>
      <c r="P26" s="206">
        <v>22.716</v>
      </c>
      <c r="Q26" s="206">
        <v>23.203</v>
      </c>
      <c r="R26" s="206">
        <v>22.392</v>
      </c>
      <c r="S26" s="206">
        <v>23.995</v>
      </c>
      <c r="T26" s="206">
        <v>24.555</v>
      </c>
      <c r="U26" s="206">
        <v>26.572</v>
      </c>
      <c r="V26" s="206">
        <v>27.887</v>
      </c>
      <c r="W26" s="236">
        <v>27.996</v>
      </c>
      <c r="X26" s="228" t="s">
        <v>10</v>
      </c>
      <c r="Y26" s="152">
        <f>W26/road_by_tot!W26*100</f>
        <v>72.99559356504054</v>
      </c>
      <c r="Z26" s="109">
        <f t="shared" si="2"/>
        <v>0.39086312618780994</v>
      </c>
    </row>
    <row r="27" spans="1:26" ht="12.75" customHeight="1">
      <c r="A27" s="15"/>
      <c r="B27" s="58" t="s">
        <v>13</v>
      </c>
      <c r="C27" s="210"/>
      <c r="D27" s="211"/>
      <c r="E27" s="211"/>
      <c r="F27" s="211"/>
      <c r="G27" s="211"/>
      <c r="H27" s="211">
        <v>0.05</v>
      </c>
      <c r="I27" s="211">
        <v>0.05</v>
      </c>
      <c r="J27" s="211">
        <v>0.05</v>
      </c>
      <c r="K27" s="211">
        <v>0.05</v>
      </c>
      <c r="L27" s="211">
        <v>0.05</v>
      </c>
      <c r="M27" s="211">
        <v>0.05</v>
      </c>
      <c r="N27" s="211">
        <v>0.05</v>
      </c>
      <c r="O27" s="211">
        <v>0.05</v>
      </c>
      <c r="P27" s="211">
        <v>0.05</v>
      </c>
      <c r="Q27" s="211">
        <v>0.05</v>
      </c>
      <c r="R27" s="211">
        <v>0.05</v>
      </c>
      <c r="S27" s="211">
        <v>0.05</v>
      </c>
      <c r="T27" s="211">
        <v>0.05</v>
      </c>
      <c r="U27" s="211">
        <v>0.05</v>
      </c>
      <c r="V27" s="211">
        <v>0.05</v>
      </c>
      <c r="W27" s="211">
        <v>0.05</v>
      </c>
      <c r="X27" s="444" t="s">
        <v>13</v>
      </c>
      <c r="Y27" s="244">
        <f>W27/road_by_tot!W27*100</f>
        <v>20</v>
      </c>
      <c r="Z27" s="153">
        <f t="shared" si="2"/>
        <v>0</v>
      </c>
    </row>
    <row r="28" spans="1:26" ht="12.75" customHeight="1">
      <c r="A28" s="15"/>
      <c r="B28" s="17" t="s">
        <v>21</v>
      </c>
      <c r="C28" s="144">
        <v>40.416999999999994</v>
      </c>
      <c r="D28" s="59">
        <v>42.09700000000001</v>
      </c>
      <c r="E28" s="59">
        <v>43.215999999999994</v>
      </c>
      <c r="F28" s="59">
        <v>50.26</v>
      </c>
      <c r="G28" s="59">
        <v>50.88199999999999</v>
      </c>
      <c r="H28" s="59">
        <v>48.028</v>
      </c>
      <c r="I28" s="59">
        <v>47.492</v>
      </c>
      <c r="J28" s="59">
        <v>47.161</v>
      </c>
      <c r="K28" s="59">
        <v>47.979</v>
      </c>
      <c r="L28" s="59">
        <v>55.757</v>
      </c>
      <c r="M28" s="59">
        <v>52.336</v>
      </c>
      <c r="N28" s="59">
        <v>52.184</v>
      </c>
      <c r="O28" s="59">
        <v>47.235</v>
      </c>
      <c r="P28" s="59">
        <v>46.15</v>
      </c>
      <c r="Q28" s="59">
        <v>41.338</v>
      </c>
      <c r="R28" s="59">
        <v>46.773</v>
      </c>
      <c r="S28" s="59">
        <v>45.218</v>
      </c>
      <c r="T28" s="59">
        <v>41.39</v>
      </c>
      <c r="U28" s="59">
        <v>39.782</v>
      </c>
      <c r="V28" s="59">
        <v>40.085</v>
      </c>
      <c r="W28" s="215">
        <v>36.731</v>
      </c>
      <c r="X28" s="228" t="s">
        <v>21</v>
      </c>
      <c r="Y28" s="152">
        <f>W28/road_by_tot!W28*100</f>
        <v>53.31059506531205</v>
      </c>
      <c r="Z28" s="152">
        <f t="shared" si="2"/>
        <v>-8.367219658226261</v>
      </c>
    </row>
    <row r="29" spans="1:26" ht="12.75" customHeight="1">
      <c r="A29" s="15"/>
      <c r="B29" s="91" t="s">
        <v>30</v>
      </c>
      <c r="C29" s="202">
        <v>15.431</v>
      </c>
      <c r="D29" s="203">
        <v>16.356</v>
      </c>
      <c r="E29" s="203">
        <v>17.041000000000004</v>
      </c>
      <c r="F29" s="203">
        <v>18.585</v>
      </c>
      <c r="G29" s="203">
        <v>21.701999999999998</v>
      </c>
      <c r="H29" s="211">
        <v>22.733</v>
      </c>
      <c r="I29" s="211">
        <v>25.078</v>
      </c>
      <c r="J29" s="211">
        <v>25.835</v>
      </c>
      <c r="K29" s="211">
        <v>26.52</v>
      </c>
      <c r="L29" s="203">
        <v>26.81</v>
      </c>
      <c r="M29" s="203">
        <v>24.53</v>
      </c>
      <c r="N29" s="203">
        <v>24.75</v>
      </c>
      <c r="O29" s="203">
        <v>22.658</v>
      </c>
      <c r="P29" s="203">
        <v>19.732</v>
      </c>
      <c r="Q29" s="203">
        <v>15.584</v>
      </c>
      <c r="R29" s="203">
        <v>14.745</v>
      </c>
      <c r="S29" s="203">
        <v>14.067</v>
      </c>
      <c r="T29" s="203">
        <v>11.97</v>
      </c>
      <c r="U29" s="203">
        <v>10.36</v>
      </c>
      <c r="V29" s="203">
        <v>10.323</v>
      </c>
      <c r="W29" s="204">
        <v>9.745</v>
      </c>
      <c r="X29" s="224" t="s">
        <v>30</v>
      </c>
      <c r="Y29" s="153">
        <f>W29/road_by_tot!W29*100</f>
        <v>39.87968570960877</v>
      </c>
      <c r="Z29" s="153">
        <f t="shared" si="2"/>
        <v>-5.5991475346314274</v>
      </c>
    </row>
    <row r="30" spans="1:26" ht="12.75" customHeight="1">
      <c r="A30" s="15"/>
      <c r="B30" s="17" t="s">
        <v>14</v>
      </c>
      <c r="C30" s="194"/>
      <c r="D30" s="189"/>
      <c r="E30" s="189"/>
      <c r="F30" s="189"/>
      <c r="G30" s="189"/>
      <c r="H30" s="189">
        <v>27.023</v>
      </c>
      <c r="I30" s="189">
        <v>28.228</v>
      </c>
      <c r="J30" s="189">
        <v>29.818</v>
      </c>
      <c r="K30" s="189">
        <v>32.989</v>
      </c>
      <c r="L30" s="59">
        <v>43.982</v>
      </c>
      <c r="M30" s="59">
        <v>50.886</v>
      </c>
      <c r="N30" s="59">
        <v>68.895</v>
      </c>
      <c r="O30" s="59">
        <v>85.11</v>
      </c>
      <c r="P30" s="59">
        <v>93.013</v>
      </c>
      <c r="Q30" s="59">
        <v>101.534</v>
      </c>
      <c r="R30" s="59">
        <v>120.09</v>
      </c>
      <c r="S30" s="59">
        <v>117.917</v>
      </c>
      <c r="T30" s="59">
        <v>133.319</v>
      </c>
      <c r="U30" s="59">
        <v>147.274</v>
      </c>
      <c r="V30" s="59">
        <v>154.303</v>
      </c>
      <c r="W30" s="215">
        <v>156.034</v>
      </c>
      <c r="X30" s="228" t="s">
        <v>14</v>
      </c>
      <c r="Y30" s="109">
        <f>W30/road_by_tot!W30*100</f>
        <v>59.84895267976663</v>
      </c>
      <c r="Z30" s="109">
        <f t="shared" si="2"/>
        <v>1.1218187591945679</v>
      </c>
    </row>
    <row r="31" spans="1:26" ht="12.75" customHeight="1">
      <c r="A31" s="15"/>
      <c r="B31" s="91" t="s">
        <v>31</v>
      </c>
      <c r="C31" s="202">
        <v>15.5</v>
      </c>
      <c r="D31" s="203">
        <v>16.85</v>
      </c>
      <c r="E31" s="203">
        <v>18.63</v>
      </c>
      <c r="F31" s="203">
        <v>19.05</v>
      </c>
      <c r="G31" s="282">
        <v>11.778</v>
      </c>
      <c r="H31" s="203">
        <v>12.616</v>
      </c>
      <c r="I31" s="203">
        <v>13.616</v>
      </c>
      <c r="J31" s="203">
        <v>14.807</v>
      </c>
      <c r="K31" s="209">
        <v>13.227</v>
      </c>
      <c r="L31" s="203">
        <v>23.384</v>
      </c>
      <c r="M31" s="203">
        <v>25.163</v>
      </c>
      <c r="N31" s="203">
        <v>27.295</v>
      </c>
      <c r="O31" s="203">
        <v>27.884</v>
      </c>
      <c r="P31" s="203">
        <v>21.977</v>
      </c>
      <c r="Q31" s="203">
        <v>21.384</v>
      </c>
      <c r="R31" s="203">
        <v>22.487</v>
      </c>
      <c r="S31" s="203">
        <v>23.78</v>
      </c>
      <c r="T31" s="203">
        <v>21.754</v>
      </c>
      <c r="U31" s="203">
        <v>26.783</v>
      </c>
      <c r="V31" s="203">
        <v>24.394</v>
      </c>
      <c r="W31" s="204">
        <v>21.044</v>
      </c>
      <c r="X31" s="224" t="s">
        <v>31</v>
      </c>
      <c r="Y31" s="120">
        <f>W31/road_by_tot!W31*100</f>
        <v>66.10334537458772</v>
      </c>
      <c r="Z31" s="120">
        <f t="shared" si="2"/>
        <v>-13.732885135689102</v>
      </c>
    </row>
    <row r="32" spans="1:26" ht="12.75" customHeight="1">
      <c r="A32" s="15"/>
      <c r="B32" s="17" t="s">
        <v>15</v>
      </c>
      <c r="C32" s="212"/>
      <c r="D32" s="213"/>
      <c r="E32" s="213"/>
      <c r="F32" s="213"/>
      <c r="G32" s="213">
        <v>3.728999999999999</v>
      </c>
      <c r="H32" s="220">
        <v>4.408</v>
      </c>
      <c r="I32" s="213">
        <v>7.899</v>
      </c>
      <c r="J32" s="213">
        <v>14.37</v>
      </c>
      <c r="K32" s="213">
        <v>17.216</v>
      </c>
      <c r="L32" s="213">
        <v>22.569</v>
      </c>
      <c r="M32" s="213">
        <v>32.133</v>
      </c>
      <c r="N32" s="213">
        <v>34.565</v>
      </c>
      <c r="O32" s="213">
        <v>35.591</v>
      </c>
      <c r="P32" s="213">
        <v>33.196</v>
      </c>
      <c r="Q32" s="213">
        <v>13.39</v>
      </c>
      <c r="R32" s="213">
        <v>13.793</v>
      </c>
      <c r="S32" s="213">
        <v>14.491</v>
      </c>
      <c r="T32" s="213">
        <v>16.989</v>
      </c>
      <c r="U32" s="213">
        <v>21.522</v>
      </c>
      <c r="V32" s="213">
        <v>23</v>
      </c>
      <c r="W32" s="214">
        <v>26.955</v>
      </c>
      <c r="X32" s="228" t="s">
        <v>15</v>
      </c>
      <c r="Y32" s="151">
        <f>W32/road_by_tot!W32*100</f>
        <v>69.07464828434512</v>
      </c>
      <c r="Z32" s="151">
        <f t="shared" si="2"/>
        <v>17.195652173913032</v>
      </c>
    </row>
    <row r="33" spans="1:26" ht="12.75" customHeight="1">
      <c r="A33" s="15"/>
      <c r="B33" s="91" t="s">
        <v>17</v>
      </c>
      <c r="C33" s="202"/>
      <c r="D33" s="203"/>
      <c r="E33" s="203"/>
      <c r="F33" s="203"/>
      <c r="G33" s="203"/>
      <c r="H33" s="203">
        <v>3.4</v>
      </c>
      <c r="I33" s="203">
        <v>5.108</v>
      </c>
      <c r="J33" s="203">
        <v>4.664</v>
      </c>
      <c r="K33" s="203">
        <v>5.045</v>
      </c>
      <c r="L33" s="203">
        <v>6.74</v>
      </c>
      <c r="M33" s="203">
        <v>8.672</v>
      </c>
      <c r="N33" s="203">
        <v>9.834</v>
      </c>
      <c r="O33" s="203">
        <v>11.161</v>
      </c>
      <c r="P33" s="203">
        <v>13.625</v>
      </c>
      <c r="Q33" s="203">
        <v>12.486</v>
      </c>
      <c r="R33" s="203">
        <v>13.643</v>
      </c>
      <c r="S33" s="203">
        <v>14.262</v>
      </c>
      <c r="T33" s="203">
        <v>14.039</v>
      </c>
      <c r="U33" s="203">
        <v>14.016</v>
      </c>
      <c r="V33" s="203">
        <v>14.211</v>
      </c>
      <c r="W33" s="204">
        <v>15.84</v>
      </c>
      <c r="X33" s="224" t="s">
        <v>17</v>
      </c>
      <c r="Y33" s="153">
        <f>W33/road_by_tot!W33*100</f>
        <v>88.44714947791613</v>
      </c>
      <c r="Z33" s="153">
        <f t="shared" si="2"/>
        <v>11.462951234958837</v>
      </c>
    </row>
    <row r="34" spans="1:26" ht="12.75" customHeight="1">
      <c r="A34" s="15"/>
      <c r="B34" s="17" t="s">
        <v>16</v>
      </c>
      <c r="C34" s="212"/>
      <c r="D34" s="213"/>
      <c r="E34" s="213"/>
      <c r="F34" s="213"/>
      <c r="G34" s="213"/>
      <c r="H34" s="213">
        <v>9.284</v>
      </c>
      <c r="I34" s="213">
        <v>8.482</v>
      </c>
      <c r="J34" s="213">
        <v>9.91</v>
      </c>
      <c r="K34" s="213">
        <v>11.544</v>
      </c>
      <c r="L34" s="213">
        <v>13.105</v>
      </c>
      <c r="M34" s="213">
        <v>16.945</v>
      </c>
      <c r="N34" s="213">
        <v>17.009</v>
      </c>
      <c r="O34" s="213">
        <v>21.542</v>
      </c>
      <c r="P34" s="213">
        <v>22.957</v>
      </c>
      <c r="Q34" s="213">
        <v>22.187</v>
      </c>
      <c r="R34" s="213">
        <v>22.377</v>
      </c>
      <c r="S34" s="213">
        <v>24.272</v>
      </c>
      <c r="T34" s="213">
        <v>24.62</v>
      </c>
      <c r="U34" s="213">
        <v>25.581</v>
      </c>
      <c r="V34" s="213">
        <v>26.265</v>
      </c>
      <c r="W34" s="214">
        <v>28.295</v>
      </c>
      <c r="X34" s="228" t="s">
        <v>16</v>
      </c>
      <c r="Y34" s="151">
        <f>W34/road_by_tot!W34*100</f>
        <v>84.36195587358378</v>
      </c>
      <c r="Z34" s="151">
        <f t="shared" si="2"/>
        <v>7.728916809442239</v>
      </c>
    </row>
    <row r="35" spans="1:26" ht="12.75" customHeight="1">
      <c r="A35" s="15"/>
      <c r="B35" s="91" t="s">
        <v>32</v>
      </c>
      <c r="C35" s="202">
        <v>2.6960000000000015</v>
      </c>
      <c r="D35" s="203">
        <v>2.815</v>
      </c>
      <c r="E35" s="203">
        <v>2.192</v>
      </c>
      <c r="F35" s="203">
        <v>2.4890000000000008</v>
      </c>
      <c r="G35" s="203">
        <v>3.85</v>
      </c>
      <c r="H35" s="203">
        <v>4.258</v>
      </c>
      <c r="I35" s="203">
        <v>3.8</v>
      </c>
      <c r="J35" s="203">
        <v>3.897</v>
      </c>
      <c r="K35" s="203">
        <v>4.03</v>
      </c>
      <c r="L35" s="203">
        <v>4.96</v>
      </c>
      <c r="M35" s="203">
        <v>4.043</v>
      </c>
      <c r="N35" s="203">
        <v>4.25</v>
      </c>
      <c r="O35" s="203">
        <v>3.855</v>
      </c>
      <c r="P35" s="203">
        <v>3.421</v>
      </c>
      <c r="Q35" s="203">
        <v>3.411</v>
      </c>
      <c r="R35" s="203">
        <v>4.376</v>
      </c>
      <c r="S35" s="203">
        <v>3.131</v>
      </c>
      <c r="T35" s="203">
        <v>3.532</v>
      </c>
      <c r="U35" s="203">
        <v>3.461</v>
      </c>
      <c r="V35" s="203">
        <v>3.103</v>
      </c>
      <c r="W35" s="204">
        <v>3.054</v>
      </c>
      <c r="X35" s="224" t="s">
        <v>32</v>
      </c>
      <c r="Y35" s="153">
        <f>W35/road_by_tot!W35*100</f>
        <v>12.471414570401828</v>
      </c>
      <c r="Z35" s="153">
        <f t="shared" si="2"/>
        <v>-1.5791169835643046</v>
      </c>
    </row>
    <row r="36" spans="1:26" ht="12.75" customHeight="1">
      <c r="A36" s="15"/>
      <c r="B36" s="17" t="s">
        <v>33</v>
      </c>
      <c r="C36" s="212">
        <v>3.243000000000002</v>
      </c>
      <c r="D36" s="213">
        <v>3.011999999999997</v>
      </c>
      <c r="E36" s="213">
        <v>2.9239999999999995</v>
      </c>
      <c r="F36" s="213">
        <v>2.9309999999999974</v>
      </c>
      <c r="G36" s="213">
        <v>2.7780000000000022</v>
      </c>
      <c r="H36" s="213">
        <v>4.169</v>
      </c>
      <c r="I36" s="213">
        <v>4.191</v>
      </c>
      <c r="J36" s="213">
        <v>4.816</v>
      </c>
      <c r="K36" s="213">
        <v>5.171</v>
      </c>
      <c r="L36" s="213">
        <v>4.258</v>
      </c>
      <c r="M36" s="213">
        <v>3.874</v>
      </c>
      <c r="N36" s="213">
        <v>4.444</v>
      </c>
      <c r="O36" s="213">
        <v>4.145</v>
      </c>
      <c r="P36" s="213">
        <v>4.418</v>
      </c>
      <c r="Q36" s="213">
        <v>2.924</v>
      </c>
      <c r="R36" s="213">
        <v>3.536</v>
      </c>
      <c r="S36" s="213">
        <v>3.53</v>
      </c>
      <c r="T36" s="213">
        <v>3.111</v>
      </c>
      <c r="U36" s="213">
        <v>2.814</v>
      </c>
      <c r="V36" s="213">
        <v>3.148</v>
      </c>
      <c r="W36" s="214">
        <v>3.396</v>
      </c>
      <c r="X36" s="228" t="s">
        <v>33</v>
      </c>
      <c r="Y36" s="151">
        <f>W36/road_by_tot!W36*100</f>
        <v>8.182738181292468</v>
      </c>
      <c r="Z36" s="151">
        <f t="shared" si="2"/>
        <v>7.878017789072416</v>
      </c>
    </row>
    <row r="37" spans="1:26" ht="12.75" customHeight="1">
      <c r="A37" s="15"/>
      <c r="B37" s="94" t="s">
        <v>22</v>
      </c>
      <c r="C37" s="216">
        <v>14.786000000000001</v>
      </c>
      <c r="D37" s="217">
        <v>16.005</v>
      </c>
      <c r="E37" s="217">
        <v>16.69799999999998</v>
      </c>
      <c r="F37" s="217">
        <v>16.56899999999999</v>
      </c>
      <c r="G37" s="217">
        <v>17.241</v>
      </c>
      <c r="H37" s="217">
        <v>15.284</v>
      </c>
      <c r="I37" s="217">
        <v>13.504</v>
      </c>
      <c r="J37" s="217">
        <v>13.115</v>
      </c>
      <c r="K37" s="217">
        <v>13.21</v>
      </c>
      <c r="L37" s="217">
        <v>11.475</v>
      </c>
      <c r="M37" s="217">
        <v>10.067</v>
      </c>
      <c r="N37" s="217">
        <v>10.709</v>
      </c>
      <c r="O37" s="217">
        <v>10.283</v>
      </c>
      <c r="P37" s="217">
        <v>9.151</v>
      </c>
      <c r="Q37" s="217">
        <v>7.921</v>
      </c>
      <c r="R37" s="217">
        <v>8.932</v>
      </c>
      <c r="S37" s="260">
        <v>8.821</v>
      </c>
      <c r="T37" s="260">
        <v>8.457</v>
      </c>
      <c r="U37" s="260">
        <v>8.22</v>
      </c>
      <c r="V37" s="208">
        <v>7.537</v>
      </c>
      <c r="W37" s="243">
        <v>7.193</v>
      </c>
      <c r="X37" s="225" t="s">
        <v>22</v>
      </c>
      <c r="Y37" s="154">
        <f>W37/road_by_tot!W37*100</f>
        <v>4.526062772142659</v>
      </c>
      <c r="Z37" s="154">
        <f t="shared" si="2"/>
        <v>-4.564150192384247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189"/>
      <c r="V38" s="193"/>
      <c r="W38" s="129"/>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276" t="s">
        <v>112</v>
      </c>
      <c r="Y39" s="293"/>
      <c r="Z39" s="293"/>
    </row>
    <row r="40" spans="1:26" ht="12.75" customHeight="1">
      <c r="A40" s="15"/>
      <c r="B40" s="17" t="s">
        <v>3</v>
      </c>
      <c r="C40" s="144"/>
      <c r="D40" s="59"/>
      <c r="E40" s="59"/>
      <c r="F40" s="59"/>
      <c r="G40" s="59"/>
      <c r="H40" s="59"/>
      <c r="I40" s="59"/>
      <c r="J40" s="59"/>
      <c r="K40" s="59"/>
      <c r="L40" s="59"/>
      <c r="M40" s="59"/>
      <c r="N40" s="59"/>
      <c r="O40" s="59"/>
      <c r="P40" s="59"/>
      <c r="Q40" s="59"/>
      <c r="R40" s="59"/>
      <c r="S40" s="59"/>
      <c r="T40" s="59"/>
      <c r="U40" s="59"/>
      <c r="V40" s="59"/>
      <c r="W40" s="215"/>
      <c r="X40" s="17"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276" t="s">
        <v>113</v>
      </c>
      <c r="Y41" s="293"/>
      <c r="Z41" s="293"/>
    </row>
    <row r="42" spans="1:26" ht="12.75" customHeight="1">
      <c r="A42" s="15"/>
      <c r="B42" s="18" t="s">
        <v>18</v>
      </c>
      <c r="C42" s="145"/>
      <c r="D42" s="60"/>
      <c r="E42" s="60"/>
      <c r="F42" s="60"/>
      <c r="G42" s="60"/>
      <c r="H42" s="60"/>
      <c r="I42" s="60"/>
      <c r="J42" s="60"/>
      <c r="K42" s="60"/>
      <c r="L42" s="60"/>
      <c r="M42" s="60"/>
      <c r="N42" s="60"/>
      <c r="O42" s="60"/>
      <c r="P42" s="60"/>
      <c r="Q42" s="60"/>
      <c r="R42" s="60"/>
      <c r="S42" s="60"/>
      <c r="T42" s="60"/>
      <c r="U42" s="60"/>
      <c r="V42" s="60"/>
      <c r="W42" s="219"/>
      <c r="X42" s="18" t="s">
        <v>18</v>
      </c>
      <c r="Y42" s="111"/>
      <c r="Z42" s="111"/>
    </row>
    <row r="43" spans="1:26" ht="12.75" customHeight="1">
      <c r="A43" s="15"/>
      <c r="B43" s="294" t="s">
        <v>4</v>
      </c>
      <c r="C43" s="295"/>
      <c r="D43" s="296"/>
      <c r="E43" s="296"/>
      <c r="F43" s="296"/>
      <c r="G43" s="296"/>
      <c r="H43" s="296"/>
      <c r="I43" s="297"/>
      <c r="J43" s="297"/>
      <c r="K43" s="297"/>
      <c r="L43" s="297"/>
      <c r="M43" s="297"/>
      <c r="N43" s="297"/>
      <c r="O43" s="297"/>
      <c r="P43" s="297"/>
      <c r="Q43" s="297"/>
      <c r="R43" s="297"/>
      <c r="S43" s="303"/>
      <c r="T43" s="303"/>
      <c r="U43" s="303"/>
      <c r="V43" s="296"/>
      <c r="W43" s="347"/>
      <c r="X43" s="300" t="s">
        <v>4</v>
      </c>
      <c r="Y43" s="301"/>
      <c r="Z43" s="302"/>
    </row>
    <row r="44" spans="1:26" ht="12.75" customHeight="1">
      <c r="A44" s="15"/>
      <c r="B44" s="17" t="s">
        <v>34</v>
      </c>
      <c r="C44" s="144"/>
      <c r="D44" s="59"/>
      <c r="E44" s="59"/>
      <c r="F44" s="59"/>
      <c r="G44" s="59">
        <v>3.174</v>
      </c>
      <c r="H44" s="59">
        <v>3.018</v>
      </c>
      <c r="I44" s="59">
        <v>2.786</v>
      </c>
      <c r="J44" s="59">
        <v>2.705</v>
      </c>
      <c r="K44" s="59">
        <v>3.067</v>
      </c>
      <c r="L44" s="59">
        <v>3.007</v>
      </c>
      <c r="M44" s="59">
        <v>2.895</v>
      </c>
      <c r="N44" s="59">
        <v>4.077</v>
      </c>
      <c r="O44" s="59">
        <v>3.948</v>
      </c>
      <c r="P44" s="59">
        <v>3.938</v>
      </c>
      <c r="Q44" s="59">
        <v>3.17</v>
      </c>
      <c r="R44" s="59">
        <v>3.407</v>
      </c>
      <c r="S44" s="59">
        <v>3.057</v>
      </c>
      <c r="T44" s="59">
        <v>3.188</v>
      </c>
      <c r="U44" s="59">
        <v>2.983</v>
      </c>
      <c r="V44" s="59">
        <v>2.56</v>
      </c>
      <c r="W44" s="215">
        <v>2.674</v>
      </c>
      <c r="X44" s="228" t="s">
        <v>34</v>
      </c>
      <c r="Y44" s="109">
        <f>W44/road_by_tot!W44*100</f>
        <v>11.557745504840941</v>
      </c>
      <c r="Z44" s="109">
        <f>W44/V44*100-100</f>
        <v>4.453124999999986</v>
      </c>
    </row>
    <row r="45" spans="1:26" ht="12.75" customHeight="1">
      <c r="A45" s="15"/>
      <c r="B45" s="321" t="s">
        <v>78</v>
      </c>
      <c r="C45" s="345">
        <v>0.7461000000000002</v>
      </c>
      <c r="D45" s="281">
        <v>0.6984</v>
      </c>
      <c r="E45" s="281">
        <v>0.6832</v>
      </c>
      <c r="F45" s="281">
        <v>0.7001</v>
      </c>
      <c r="G45" s="281">
        <v>0.7836999999999996</v>
      </c>
      <c r="H45" s="281">
        <v>0.8582999999999998</v>
      </c>
      <c r="I45" s="281">
        <v>0.8642000000000003</v>
      </c>
      <c r="J45" s="281">
        <v>0.9372000000000007</v>
      </c>
      <c r="K45" s="281">
        <v>1.0053</v>
      </c>
      <c r="L45" s="281">
        <v>1.017639457743915</v>
      </c>
      <c r="M45" s="281">
        <v>0.9917115952670702</v>
      </c>
      <c r="N45" s="281">
        <v>1.079065637552416</v>
      </c>
      <c r="O45" s="279">
        <v>1.1479988834812849</v>
      </c>
      <c r="P45" s="281">
        <v>4.098</v>
      </c>
      <c r="Q45" s="281">
        <v>3.477</v>
      </c>
      <c r="R45" s="281">
        <v>3.687</v>
      </c>
      <c r="S45" s="281">
        <v>3.655</v>
      </c>
      <c r="T45" s="281">
        <v>2.975</v>
      </c>
      <c r="U45" s="281">
        <v>2.659</v>
      </c>
      <c r="V45" s="281">
        <v>2.482</v>
      </c>
      <c r="W45" s="323">
        <v>2.079</v>
      </c>
      <c r="X45" s="363" t="s">
        <v>78</v>
      </c>
      <c r="Y45" s="364">
        <f>W45/road_by_tot!W45*100</f>
        <v>16.710875331564985</v>
      </c>
      <c r="Z45" s="364">
        <f>W45/V45*100-100</f>
        <v>-16.236905721192585</v>
      </c>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row>
    <row r="47" spans="2:26" ht="20.25" customHeight="1">
      <c r="B47" s="506" t="s">
        <v>79</v>
      </c>
      <c r="C47" s="506"/>
      <c r="D47" s="506"/>
      <c r="E47" s="506"/>
      <c r="F47" s="506"/>
      <c r="G47" s="506"/>
      <c r="H47" s="506"/>
      <c r="I47" s="506"/>
      <c r="J47" s="506"/>
      <c r="K47" s="506"/>
      <c r="L47" s="506"/>
      <c r="M47" s="506"/>
      <c r="N47" s="506"/>
      <c r="O47" s="506"/>
      <c r="P47" s="506"/>
      <c r="Q47" s="506"/>
      <c r="R47" s="506"/>
      <c r="S47" s="506"/>
      <c r="T47" s="506"/>
      <c r="U47" s="506"/>
      <c r="V47" s="506"/>
      <c r="W47" s="506"/>
      <c r="X47" s="506"/>
      <c r="Y47" s="179"/>
      <c r="Z47" s="393"/>
    </row>
    <row r="48" ht="12.75">
      <c r="B48" s="11" t="s">
        <v>2</v>
      </c>
    </row>
    <row r="49" ht="12.75">
      <c r="B49" s="3" t="s">
        <v>86</v>
      </c>
    </row>
    <row r="50" ht="12.75">
      <c r="B50" s="103" t="s">
        <v>87</v>
      </c>
    </row>
    <row r="51" spans="2:26" ht="27.75" customHeight="1">
      <c r="B51" s="505" t="s">
        <v>106</v>
      </c>
      <c r="C51" s="505"/>
      <c r="D51" s="505"/>
      <c r="E51" s="505"/>
      <c r="F51" s="505"/>
      <c r="G51" s="505"/>
      <c r="H51" s="505"/>
      <c r="I51" s="505"/>
      <c r="J51" s="505"/>
      <c r="K51" s="505"/>
      <c r="L51" s="505"/>
      <c r="M51" s="505"/>
      <c r="N51" s="505"/>
      <c r="O51" s="505"/>
      <c r="P51" s="505"/>
      <c r="Q51" s="505"/>
      <c r="R51" s="186"/>
      <c r="S51" s="247"/>
      <c r="T51" s="232"/>
      <c r="U51" s="289"/>
      <c r="V51" s="392"/>
      <c r="W51" s="442"/>
      <c r="X51" s="181"/>
      <c r="Z51" s="181"/>
    </row>
  </sheetData>
  <sheetProtection/>
  <mergeCells count="5">
    <mergeCell ref="B51:Q51"/>
    <mergeCell ref="Y2:Y5"/>
    <mergeCell ref="B2:Q2"/>
    <mergeCell ref="B3:Q3"/>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7">
    <pageSetUpPr fitToPage="1"/>
  </sheetPr>
  <dimension ref="A1:Z53"/>
  <sheetViews>
    <sheetView zoomScalePageLayoutView="0" workbookViewId="0" topLeftCell="A16">
      <selection activeCell="AM20" sqref="A20:AM20"/>
    </sheetView>
  </sheetViews>
  <sheetFormatPr defaultColWidth="9.140625" defaultRowHeight="12.75"/>
  <cols>
    <col min="1" max="1" width="3.7109375" style="0" customWidth="1"/>
    <col min="2" max="2" width="4.57421875" style="0" customWidth="1"/>
    <col min="3" max="13" width="7.7109375" style="0" customWidth="1"/>
    <col min="14" max="22" width="8.28125" style="0" customWidth="1"/>
    <col min="23" max="23" width="8.28125" style="405" customWidth="1"/>
    <col min="24" max="24" width="6.00390625" style="0" customWidth="1"/>
    <col min="25" max="25" width="6.28125" style="0" customWidth="1"/>
    <col min="26" max="26" width="5.8515625" style="0" customWidth="1"/>
  </cols>
  <sheetData>
    <row r="1" spans="2:26" ht="14.25" customHeight="1">
      <c r="B1" s="40"/>
      <c r="C1" s="38"/>
      <c r="D1" s="38"/>
      <c r="E1" s="38"/>
      <c r="F1" s="38"/>
      <c r="G1" s="38"/>
      <c r="H1" s="38"/>
      <c r="I1" s="38"/>
      <c r="J1" s="41"/>
      <c r="Z1" s="39" t="s">
        <v>95</v>
      </c>
    </row>
    <row r="2" spans="2:26" s="82" customFormat="1" ht="15" customHeight="1">
      <c r="B2" s="483" t="s">
        <v>117</v>
      </c>
      <c r="C2" s="498"/>
      <c r="D2" s="498"/>
      <c r="E2" s="498"/>
      <c r="F2" s="498"/>
      <c r="G2" s="498"/>
      <c r="H2" s="498"/>
      <c r="I2" s="498"/>
      <c r="J2" s="498"/>
      <c r="K2" s="498"/>
      <c r="L2" s="498"/>
      <c r="M2" s="498"/>
      <c r="N2" s="498"/>
      <c r="O2" s="498"/>
      <c r="P2" s="498"/>
      <c r="Q2" s="498"/>
      <c r="R2" s="498"/>
      <c r="S2" s="498"/>
      <c r="T2" s="498"/>
      <c r="U2" s="498"/>
      <c r="V2" s="498"/>
      <c r="W2" s="498"/>
      <c r="X2" s="498"/>
      <c r="Y2" s="498"/>
      <c r="Z2" s="498"/>
    </row>
    <row r="3" spans="2:26" ht="1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499"/>
      <c r="Z3" s="499"/>
    </row>
    <row r="4" spans="2:25" ht="12" customHeight="1">
      <c r="B4" s="4"/>
      <c r="C4" s="24"/>
      <c r="D4" s="24"/>
      <c r="E4" s="24"/>
      <c r="F4" s="24"/>
      <c r="G4" s="24"/>
      <c r="H4" s="24"/>
      <c r="J4" s="22"/>
      <c r="K4" s="22"/>
      <c r="L4" s="22"/>
      <c r="Q4" s="248" t="s">
        <v>111</v>
      </c>
      <c r="R4" s="21"/>
      <c r="S4" s="21"/>
      <c r="T4" s="21"/>
      <c r="U4" s="21"/>
      <c r="V4" s="21"/>
      <c r="W4" s="21"/>
      <c r="X4" s="21"/>
      <c r="Y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14" t="s">
        <v>150</v>
      </c>
      <c r="Y5" s="64"/>
      <c r="Z5" s="64"/>
    </row>
    <row r="6" spans="2:26" ht="9.75" customHeight="1">
      <c r="B6" s="4"/>
      <c r="C6" s="89"/>
      <c r="D6" s="86"/>
      <c r="E6" s="86"/>
      <c r="F6" s="86"/>
      <c r="G6" s="86"/>
      <c r="H6" s="86"/>
      <c r="I6" s="86"/>
      <c r="J6" s="86"/>
      <c r="K6" s="86"/>
      <c r="L6" s="86"/>
      <c r="M6" s="86"/>
      <c r="N6" s="86"/>
      <c r="O6" s="86"/>
      <c r="P6" s="86"/>
      <c r="Q6" s="86"/>
      <c r="R6" s="86"/>
      <c r="S6" s="86"/>
      <c r="T6" s="86"/>
      <c r="U6" s="86"/>
      <c r="V6" s="86"/>
      <c r="W6" s="86"/>
      <c r="X6" s="71" t="s">
        <v>72</v>
      </c>
      <c r="Y6" s="66"/>
      <c r="Z6" s="64"/>
    </row>
    <row r="7" spans="2:26" ht="12.75" customHeight="1">
      <c r="B7" s="90" t="s">
        <v>118</v>
      </c>
      <c r="C7" s="310">
        <f aca="true" t="shared" si="0" ref="C7:N7">SUM(C10:C37)</f>
        <v>1288.66</v>
      </c>
      <c r="D7" s="311">
        <f t="shared" si="0"/>
        <v>1302.5789999999997</v>
      </c>
      <c r="E7" s="311">
        <f t="shared" si="0"/>
        <v>1351.678</v>
      </c>
      <c r="F7" s="311">
        <f t="shared" si="0"/>
        <v>1414.2039999999997</v>
      </c>
      <c r="G7" s="311">
        <f t="shared" si="0"/>
        <v>1460.6219999999998</v>
      </c>
      <c r="H7" s="311">
        <f t="shared" si="0"/>
        <v>1509.488</v>
      </c>
      <c r="I7" s="311">
        <f t="shared" si="0"/>
        <v>1552.5170000000003</v>
      </c>
      <c r="J7" s="311">
        <f t="shared" si="0"/>
        <v>1602.835</v>
      </c>
      <c r="K7" s="311">
        <f t="shared" si="0"/>
        <v>1607.683</v>
      </c>
      <c r="L7" s="311">
        <f t="shared" si="0"/>
        <v>1750.92</v>
      </c>
      <c r="M7" s="311">
        <f t="shared" si="0"/>
        <v>1794.5950000000003</v>
      </c>
      <c r="N7" s="311">
        <f t="shared" si="0"/>
        <v>1857.7469999999998</v>
      </c>
      <c r="O7" s="311">
        <f>SUM(O10:O37)</f>
        <v>1924.9579999999996</v>
      </c>
      <c r="P7" s="311">
        <f>SUM(P10:P37)</f>
        <v>1891.1260000000002</v>
      </c>
      <c r="Q7" s="311">
        <f>SUM(Q10:Q37)</f>
        <v>1699.7570000000003</v>
      </c>
      <c r="R7" s="311">
        <f>SUM(R10:R37)</f>
        <v>1756.3639999999998</v>
      </c>
      <c r="S7" s="311">
        <f>SUM(S10:S37)</f>
        <v>1745.6840000000002</v>
      </c>
      <c r="T7" s="311">
        <f>SUM(T10:T37)</f>
        <v>1694.862</v>
      </c>
      <c r="U7" s="311">
        <f>SUM(U10:U37)</f>
        <v>1721.3450000000003</v>
      </c>
      <c r="V7" s="311">
        <f>SUM(V10:V37)</f>
        <v>1726.9309999999998</v>
      </c>
      <c r="W7" s="311">
        <f>SUM(W10:W37)</f>
        <v>1768.1589999999999</v>
      </c>
      <c r="X7" s="252">
        <f>W7/V7*100-100</f>
        <v>2.3873565301682618</v>
      </c>
      <c r="Y7" s="90" t="s">
        <v>118</v>
      </c>
      <c r="Z7" s="309"/>
    </row>
    <row r="8" spans="1:26" ht="12.75" customHeight="1">
      <c r="A8" s="15"/>
      <c r="B8" s="91" t="s">
        <v>119</v>
      </c>
      <c r="C8" s="313">
        <f>C10+C13+C14+SUM(C16:C19)+C25+C28+C29+C31+SUM(C35:C37)+C21</f>
        <v>1138.231</v>
      </c>
      <c r="D8" s="314">
        <f aca="true" t="shared" si="1" ref="D8:R8">D10+D13+D14+SUM(D16:D19)+D25+D28+D29+D31+SUM(D35:D37)+D21</f>
        <v>1147.34</v>
      </c>
      <c r="E8" s="314">
        <f t="shared" si="1"/>
        <v>1183.0330000000001</v>
      </c>
      <c r="F8" s="314">
        <f t="shared" si="1"/>
        <v>1233.762</v>
      </c>
      <c r="G8" s="314">
        <f t="shared" si="1"/>
        <v>1272.581</v>
      </c>
      <c r="H8" s="314">
        <f t="shared" si="1"/>
        <v>1316.793</v>
      </c>
      <c r="I8" s="314">
        <f t="shared" si="1"/>
        <v>1343.646</v>
      </c>
      <c r="J8" s="314">
        <f t="shared" si="1"/>
        <v>1374.9560000000001</v>
      </c>
      <c r="K8" s="315">
        <f t="shared" si="1"/>
        <v>1360.677</v>
      </c>
      <c r="L8" s="315">
        <f t="shared" si="1"/>
        <v>1469.8320000000003</v>
      </c>
      <c r="M8" s="315">
        <f t="shared" si="1"/>
        <v>1473.5720000000001</v>
      </c>
      <c r="N8" s="316">
        <f t="shared" si="1"/>
        <v>1497.1750000000002</v>
      </c>
      <c r="O8" s="316">
        <f t="shared" si="1"/>
        <v>1523.239</v>
      </c>
      <c r="P8" s="316">
        <f t="shared" si="1"/>
        <v>1469.598</v>
      </c>
      <c r="Q8" s="316">
        <f t="shared" si="1"/>
        <v>1302.358</v>
      </c>
      <c r="R8" s="316">
        <f t="shared" si="1"/>
        <v>1333.9560000000001</v>
      </c>
      <c r="S8" s="315">
        <f>S10+S13+S14+SUM(S16:S19)+S25+S28+S29+S31+SUM(S35:S37)+S21</f>
        <v>1305.8210000000001</v>
      </c>
      <c r="T8" s="315">
        <f>T10+T13+T14+SUM(T16:T19)+T25+T28+T29+T31+SUM(T35:T37)+T21</f>
        <v>1236.738</v>
      </c>
      <c r="U8" s="315">
        <f>U10+U13+U14+SUM(U16:U19)+U25+U28+U29+U31+SUM(U35:U37)+U21</f>
        <v>1220.7079999999999</v>
      </c>
      <c r="V8" s="315">
        <f>V10+V13+V14+SUM(V16:V19)+V25+V28+V29+V31+SUM(V35:V37)+V21</f>
        <v>1215.554</v>
      </c>
      <c r="W8" s="315">
        <f>W10+W13+W14+SUM(W16:W19)+W25+W28+W29+W31+SUM(W35:W37)+W21</f>
        <v>1230.434</v>
      </c>
      <c r="X8" s="253">
        <f aca="true" t="shared" si="2" ref="X8:X45">W8/V8*100-100</f>
        <v>1.224133193589097</v>
      </c>
      <c r="Y8" s="91" t="s">
        <v>119</v>
      </c>
      <c r="Z8" s="309"/>
    </row>
    <row r="9" spans="1:26" ht="12.75" customHeight="1">
      <c r="A9" s="15"/>
      <c r="B9" s="94" t="s">
        <v>120</v>
      </c>
      <c r="C9" s="318">
        <f aca="true" t="shared" si="3" ref="C9:Q9">C7-C8</f>
        <v>150.4290000000001</v>
      </c>
      <c r="D9" s="319">
        <f t="shared" si="3"/>
        <v>155.2389999999998</v>
      </c>
      <c r="E9" s="319">
        <f t="shared" si="3"/>
        <v>168.64499999999998</v>
      </c>
      <c r="F9" s="319">
        <f t="shared" si="3"/>
        <v>180.44199999999978</v>
      </c>
      <c r="G9" s="319">
        <f t="shared" si="3"/>
        <v>188.04099999999994</v>
      </c>
      <c r="H9" s="319">
        <f t="shared" si="3"/>
        <v>192.69500000000016</v>
      </c>
      <c r="I9" s="319">
        <f t="shared" si="3"/>
        <v>208.87100000000032</v>
      </c>
      <c r="J9" s="319">
        <f t="shared" si="3"/>
        <v>227.8789999999999</v>
      </c>
      <c r="K9" s="319">
        <f t="shared" si="3"/>
        <v>247.00600000000009</v>
      </c>
      <c r="L9" s="319">
        <f t="shared" si="3"/>
        <v>281.08799999999974</v>
      </c>
      <c r="M9" s="319">
        <f t="shared" si="3"/>
        <v>321.02300000000014</v>
      </c>
      <c r="N9" s="319">
        <f t="shared" si="3"/>
        <v>360.57199999999966</v>
      </c>
      <c r="O9" s="319">
        <f t="shared" si="3"/>
        <v>401.7189999999996</v>
      </c>
      <c r="P9" s="319">
        <f t="shared" si="3"/>
        <v>421.52800000000025</v>
      </c>
      <c r="Q9" s="319">
        <f t="shared" si="3"/>
        <v>397.39900000000034</v>
      </c>
      <c r="R9" s="319">
        <f>R7-R8</f>
        <v>422.4079999999997</v>
      </c>
      <c r="S9" s="319">
        <f>S7-S8</f>
        <v>439.86300000000006</v>
      </c>
      <c r="T9" s="319">
        <f>T7-T8</f>
        <v>458.124</v>
      </c>
      <c r="U9" s="319">
        <f>U7-U8</f>
        <v>500.6370000000004</v>
      </c>
      <c r="V9" s="319">
        <f>V7-V8</f>
        <v>511.3769999999997</v>
      </c>
      <c r="W9" s="319">
        <f>W7-W8</f>
        <v>537.7249999999999</v>
      </c>
      <c r="X9" s="254">
        <f t="shared" si="2"/>
        <v>5.152363129354697</v>
      </c>
      <c r="Y9" s="94" t="s">
        <v>120</v>
      </c>
      <c r="Z9" s="309"/>
    </row>
    <row r="10" spans="1:26" ht="12.75" customHeight="1">
      <c r="A10" s="15"/>
      <c r="B10" s="17" t="s">
        <v>23</v>
      </c>
      <c r="C10" s="199">
        <v>45.6</v>
      </c>
      <c r="D10" s="200">
        <v>41.8</v>
      </c>
      <c r="E10" s="200">
        <v>43.7</v>
      </c>
      <c r="F10" s="200">
        <v>41.1</v>
      </c>
      <c r="G10" s="201">
        <v>37.284</v>
      </c>
      <c r="H10" s="200">
        <v>51.047</v>
      </c>
      <c r="I10" s="200">
        <v>53.182</v>
      </c>
      <c r="J10" s="200">
        <v>52.889</v>
      </c>
      <c r="K10" s="200">
        <v>50.542</v>
      </c>
      <c r="L10" s="200">
        <v>47.878</v>
      </c>
      <c r="M10" s="200">
        <v>43.847</v>
      </c>
      <c r="N10" s="200">
        <v>43.017</v>
      </c>
      <c r="O10" s="200">
        <v>42.085</v>
      </c>
      <c r="P10" s="200">
        <v>38.356</v>
      </c>
      <c r="Q10" s="200">
        <v>36.174</v>
      </c>
      <c r="R10" s="235">
        <v>35.002</v>
      </c>
      <c r="S10" s="235">
        <v>33.107</v>
      </c>
      <c r="T10" s="235">
        <v>32.105</v>
      </c>
      <c r="U10" s="200">
        <v>32.796</v>
      </c>
      <c r="V10" s="200">
        <v>31.808</v>
      </c>
      <c r="W10" s="200">
        <v>31.729</v>
      </c>
      <c r="X10" s="255">
        <f t="shared" si="2"/>
        <v>-0.24836519114688826</v>
      </c>
      <c r="Y10" s="17" t="s">
        <v>23</v>
      </c>
      <c r="Z10" s="309"/>
    </row>
    <row r="11" spans="1:26" ht="12.75" customHeight="1">
      <c r="A11" s="15"/>
      <c r="B11" s="91" t="s">
        <v>6</v>
      </c>
      <c r="C11" s="202">
        <v>5.2</v>
      </c>
      <c r="D11" s="203">
        <v>5.4</v>
      </c>
      <c r="E11" s="203">
        <v>5.6</v>
      </c>
      <c r="F11" s="203">
        <v>5.8</v>
      </c>
      <c r="G11" s="203">
        <v>6</v>
      </c>
      <c r="H11" s="203">
        <v>6.404</v>
      </c>
      <c r="I11" s="203">
        <v>8.047</v>
      </c>
      <c r="J11" s="203">
        <v>8.804</v>
      </c>
      <c r="K11" s="203">
        <v>9.497</v>
      </c>
      <c r="L11" s="203">
        <v>11.961</v>
      </c>
      <c r="M11" s="203">
        <v>14.371</v>
      </c>
      <c r="N11" s="203">
        <v>13.765</v>
      </c>
      <c r="O11" s="203">
        <v>14.624</v>
      </c>
      <c r="P11" s="203">
        <v>15.322</v>
      </c>
      <c r="Q11" s="203">
        <v>17.742</v>
      </c>
      <c r="R11" s="203">
        <v>19.433</v>
      </c>
      <c r="S11" s="203">
        <v>21.214</v>
      </c>
      <c r="T11" s="203">
        <v>24.372</v>
      </c>
      <c r="U11" s="203">
        <v>27.097</v>
      </c>
      <c r="V11" s="203">
        <v>27.854</v>
      </c>
      <c r="W11" s="203">
        <v>32.297</v>
      </c>
      <c r="X11" s="256">
        <f t="shared" si="2"/>
        <v>15.951030372657414</v>
      </c>
      <c r="Y11" s="91" t="s">
        <v>6</v>
      </c>
      <c r="Z11" s="309"/>
    </row>
    <row r="12" spans="1:26" ht="12.75" customHeight="1">
      <c r="A12" s="15"/>
      <c r="B12" s="17" t="s">
        <v>8</v>
      </c>
      <c r="C12" s="205">
        <v>31.3</v>
      </c>
      <c r="D12" s="206">
        <v>30.1</v>
      </c>
      <c r="E12" s="206">
        <v>30.64</v>
      </c>
      <c r="F12" s="206">
        <v>33.911</v>
      </c>
      <c r="G12" s="206">
        <v>36.964</v>
      </c>
      <c r="H12" s="206">
        <v>37.31</v>
      </c>
      <c r="I12" s="206">
        <v>39.067</v>
      </c>
      <c r="J12" s="206">
        <v>43.674</v>
      </c>
      <c r="K12" s="206">
        <v>46.535</v>
      </c>
      <c r="L12" s="206">
        <v>46.011</v>
      </c>
      <c r="M12" s="206">
        <v>43.447</v>
      </c>
      <c r="N12" s="206">
        <v>50.376</v>
      </c>
      <c r="O12" s="206">
        <v>48.141</v>
      </c>
      <c r="P12" s="206">
        <v>50.877</v>
      </c>
      <c r="Q12" s="206">
        <v>44.955</v>
      </c>
      <c r="R12" s="206">
        <v>51.832</v>
      </c>
      <c r="S12" s="206">
        <v>54.83</v>
      </c>
      <c r="T12" s="206">
        <v>51.228</v>
      </c>
      <c r="U12" s="206">
        <v>54.893</v>
      </c>
      <c r="V12" s="206">
        <v>54.092</v>
      </c>
      <c r="W12" s="206">
        <v>57.2</v>
      </c>
      <c r="X12" s="255">
        <f t="shared" si="2"/>
        <v>5.74576647193669</v>
      </c>
      <c r="Y12" s="17" t="s">
        <v>8</v>
      </c>
      <c r="Z12" s="309"/>
    </row>
    <row r="13" spans="1:26" ht="12.75" customHeight="1">
      <c r="A13" s="15"/>
      <c r="B13" s="91" t="s">
        <v>19</v>
      </c>
      <c r="C13" s="202">
        <v>22.4</v>
      </c>
      <c r="D13" s="203">
        <v>21.3</v>
      </c>
      <c r="E13" s="203">
        <v>21.5</v>
      </c>
      <c r="F13" s="203">
        <v>21.4</v>
      </c>
      <c r="G13" s="203">
        <v>23.236</v>
      </c>
      <c r="H13" s="203">
        <v>24.021</v>
      </c>
      <c r="I13" s="203">
        <v>22.156</v>
      </c>
      <c r="J13" s="203">
        <v>22.516</v>
      </c>
      <c r="K13" s="203">
        <v>23.009</v>
      </c>
      <c r="L13" s="203">
        <v>23.114</v>
      </c>
      <c r="M13" s="203">
        <v>23.299</v>
      </c>
      <c r="N13" s="203">
        <v>21.254</v>
      </c>
      <c r="O13" s="203">
        <v>20.96</v>
      </c>
      <c r="P13" s="203">
        <v>19.48</v>
      </c>
      <c r="Q13" s="203">
        <v>16.876</v>
      </c>
      <c r="R13" s="203">
        <v>15.018</v>
      </c>
      <c r="S13" s="203">
        <v>16.12</v>
      </c>
      <c r="T13" s="203">
        <v>16.679</v>
      </c>
      <c r="U13" s="203">
        <v>16.072</v>
      </c>
      <c r="V13" s="203">
        <v>16.184</v>
      </c>
      <c r="W13" s="203">
        <v>15.5</v>
      </c>
      <c r="X13" s="256">
        <f t="shared" si="2"/>
        <v>-4.226396440929321</v>
      </c>
      <c r="Y13" s="91" t="s">
        <v>19</v>
      </c>
      <c r="Z13" s="309"/>
    </row>
    <row r="14" spans="1:26" ht="12.75" customHeight="1">
      <c r="A14" s="15"/>
      <c r="B14" s="17" t="s">
        <v>24</v>
      </c>
      <c r="C14" s="205">
        <v>237.8</v>
      </c>
      <c r="D14" s="206">
        <v>236.6</v>
      </c>
      <c r="E14" s="206">
        <v>245.9</v>
      </c>
      <c r="F14" s="206">
        <v>257.4</v>
      </c>
      <c r="G14" s="206">
        <v>278.427</v>
      </c>
      <c r="H14" s="206">
        <v>280.708</v>
      </c>
      <c r="I14" s="206">
        <v>288.964</v>
      </c>
      <c r="J14" s="206">
        <v>285.214</v>
      </c>
      <c r="K14" s="206">
        <v>290.745</v>
      </c>
      <c r="L14" s="206">
        <v>303.752</v>
      </c>
      <c r="M14" s="206">
        <v>310.103</v>
      </c>
      <c r="N14" s="206">
        <v>330.016</v>
      </c>
      <c r="O14" s="206">
        <v>343.447</v>
      </c>
      <c r="P14" s="206">
        <v>341.532</v>
      </c>
      <c r="Q14" s="206">
        <v>307.547</v>
      </c>
      <c r="R14" s="206">
        <v>313.104</v>
      </c>
      <c r="S14" s="206">
        <v>323.833</v>
      </c>
      <c r="T14" s="206">
        <v>307.009</v>
      </c>
      <c r="U14" s="206">
        <v>305.744</v>
      </c>
      <c r="V14" s="206">
        <v>310.142</v>
      </c>
      <c r="W14" s="206">
        <v>314.816</v>
      </c>
      <c r="X14" s="255">
        <f t="shared" si="2"/>
        <v>1.5070516086179708</v>
      </c>
      <c r="Y14" s="17" t="s">
        <v>24</v>
      </c>
      <c r="Z14" s="309"/>
    </row>
    <row r="15" spans="1:26" ht="12.75" customHeight="1">
      <c r="A15" s="15"/>
      <c r="B15" s="91" t="s">
        <v>9</v>
      </c>
      <c r="C15" s="207">
        <v>1.549</v>
      </c>
      <c r="D15" s="208">
        <v>1.897</v>
      </c>
      <c r="E15" s="208">
        <v>2.773</v>
      </c>
      <c r="F15" s="208">
        <v>3.791</v>
      </c>
      <c r="G15" s="208">
        <v>3.975</v>
      </c>
      <c r="H15" s="208">
        <v>3.932</v>
      </c>
      <c r="I15" s="203">
        <v>4.677</v>
      </c>
      <c r="J15" s="209">
        <v>4.387</v>
      </c>
      <c r="K15" s="203">
        <v>3.974</v>
      </c>
      <c r="L15" s="208">
        <v>5.099</v>
      </c>
      <c r="M15" s="208">
        <v>5.824</v>
      </c>
      <c r="N15" s="208">
        <v>5.548</v>
      </c>
      <c r="O15" s="208">
        <v>6.417</v>
      </c>
      <c r="P15" s="208">
        <v>7.354</v>
      </c>
      <c r="Q15" s="208">
        <v>5.34</v>
      </c>
      <c r="R15" s="208">
        <v>5.614</v>
      </c>
      <c r="S15" s="208">
        <v>5.912</v>
      </c>
      <c r="T15" s="208">
        <v>5.791</v>
      </c>
      <c r="U15" s="208">
        <v>5.986</v>
      </c>
      <c r="V15" s="208">
        <v>6.31</v>
      </c>
      <c r="W15" s="208">
        <v>6.263</v>
      </c>
      <c r="X15" s="256">
        <f t="shared" si="2"/>
        <v>-0.7448494453248742</v>
      </c>
      <c r="Y15" s="91" t="s">
        <v>9</v>
      </c>
      <c r="Z15" s="309"/>
    </row>
    <row r="16" spans="1:26" ht="12.75" customHeight="1">
      <c r="A16" s="15"/>
      <c r="B16" s="17" t="s">
        <v>27</v>
      </c>
      <c r="C16" s="199">
        <v>5.5</v>
      </c>
      <c r="D16" s="200">
        <v>6.3</v>
      </c>
      <c r="E16" s="200">
        <v>7</v>
      </c>
      <c r="F16" s="200">
        <v>8.2</v>
      </c>
      <c r="G16" s="200">
        <v>10.206</v>
      </c>
      <c r="H16" s="200">
        <v>12.275</v>
      </c>
      <c r="I16" s="200">
        <v>12.325</v>
      </c>
      <c r="J16" s="200">
        <v>14.275</v>
      </c>
      <c r="K16" s="200">
        <v>15.65</v>
      </c>
      <c r="L16" s="200">
        <v>17.144</v>
      </c>
      <c r="M16" s="200">
        <v>17.91</v>
      </c>
      <c r="N16" s="200">
        <v>17.454</v>
      </c>
      <c r="O16" s="200">
        <v>19.02</v>
      </c>
      <c r="P16" s="200">
        <v>17.402</v>
      </c>
      <c r="Q16" s="200">
        <v>11.687</v>
      </c>
      <c r="R16" s="200">
        <v>10.939</v>
      </c>
      <c r="S16" s="200">
        <v>10.108</v>
      </c>
      <c r="T16" s="200">
        <v>9.976</v>
      </c>
      <c r="U16" s="200">
        <v>9.215</v>
      </c>
      <c r="V16" s="200">
        <v>9.751</v>
      </c>
      <c r="W16" s="262">
        <v>9.9</v>
      </c>
      <c r="X16" s="255">
        <f t="shared" si="2"/>
        <v>1.52804840529177</v>
      </c>
      <c r="Y16" s="17" t="s">
        <v>27</v>
      </c>
      <c r="Z16" s="309"/>
    </row>
    <row r="17" spans="1:26" ht="12.75" customHeight="1">
      <c r="A17" s="15"/>
      <c r="B17" s="91" t="s">
        <v>20</v>
      </c>
      <c r="C17" s="210">
        <v>24</v>
      </c>
      <c r="D17" s="211">
        <v>25.05</v>
      </c>
      <c r="E17" s="211">
        <v>26.12</v>
      </c>
      <c r="F17" s="211">
        <v>27.2</v>
      </c>
      <c r="G17" s="211">
        <v>28.1</v>
      </c>
      <c r="H17" s="211">
        <v>29</v>
      </c>
      <c r="I17" s="211">
        <v>30</v>
      </c>
      <c r="J17" s="211">
        <v>31</v>
      </c>
      <c r="K17" s="282">
        <v>19.34</v>
      </c>
      <c r="L17" s="208">
        <v>36.773</v>
      </c>
      <c r="M17" s="208">
        <v>23.761</v>
      </c>
      <c r="N17" s="208">
        <v>34.002</v>
      </c>
      <c r="O17" s="203">
        <v>27.791</v>
      </c>
      <c r="P17" s="203">
        <v>28.85</v>
      </c>
      <c r="Q17" s="203">
        <v>28.585</v>
      </c>
      <c r="R17" s="203">
        <v>29.815</v>
      </c>
      <c r="S17" s="203">
        <v>20.597</v>
      </c>
      <c r="T17" s="203">
        <v>20.839</v>
      </c>
      <c r="U17" s="203">
        <v>18.97</v>
      </c>
      <c r="V17" s="203">
        <v>19.223</v>
      </c>
      <c r="W17" s="204">
        <v>19.764</v>
      </c>
      <c r="X17" s="256">
        <f t="shared" si="2"/>
        <v>2.8143369921448453</v>
      </c>
      <c r="Y17" s="91" t="s">
        <v>20</v>
      </c>
      <c r="Z17" s="309"/>
    </row>
    <row r="18" spans="1:26" ht="12.75" customHeight="1">
      <c r="A18" s="15"/>
      <c r="B18" s="17" t="s">
        <v>25</v>
      </c>
      <c r="C18" s="212">
        <v>101.6</v>
      </c>
      <c r="D18" s="213">
        <v>102</v>
      </c>
      <c r="E18" s="213">
        <v>109.5</v>
      </c>
      <c r="F18" s="213">
        <v>125</v>
      </c>
      <c r="G18" s="213">
        <v>134.262</v>
      </c>
      <c r="H18" s="213">
        <v>148.717</v>
      </c>
      <c r="I18" s="213">
        <v>161.045</v>
      </c>
      <c r="J18" s="213">
        <v>184.549</v>
      </c>
      <c r="K18" s="213">
        <v>192.596</v>
      </c>
      <c r="L18" s="213">
        <v>220.822</v>
      </c>
      <c r="M18" s="213">
        <v>233.23</v>
      </c>
      <c r="N18" s="213">
        <v>241.788</v>
      </c>
      <c r="O18" s="213">
        <v>258.875</v>
      </c>
      <c r="P18" s="213">
        <v>242.983</v>
      </c>
      <c r="Q18" s="213">
        <v>211.895</v>
      </c>
      <c r="R18" s="213">
        <v>210.068</v>
      </c>
      <c r="S18" s="213">
        <v>206.843</v>
      </c>
      <c r="T18" s="213">
        <v>199.209</v>
      </c>
      <c r="U18" s="213">
        <v>192.597</v>
      </c>
      <c r="V18" s="213">
        <v>195.767</v>
      </c>
      <c r="W18" s="214">
        <v>209.39</v>
      </c>
      <c r="X18" s="255">
        <f t="shared" si="2"/>
        <v>6.958782634458302</v>
      </c>
      <c r="Y18" s="17" t="s">
        <v>25</v>
      </c>
      <c r="Z18" s="309"/>
    </row>
    <row r="19" spans="1:26" ht="12.75" customHeight="1">
      <c r="A19" s="15"/>
      <c r="B19" s="91" t="s">
        <v>26</v>
      </c>
      <c r="C19" s="207">
        <v>178.2</v>
      </c>
      <c r="D19" s="208">
        <v>180</v>
      </c>
      <c r="E19" s="208">
        <v>181.4</v>
      </c>
      <c r="F19" s="208">
        <v>189.1</v>
      </c>
      <c r="G19" s="208">
        <v>204.713</v>
      </c>
      <c r="H19" s="208">
        <v>203.999</v>
      </c>
      <c r="I19" s="208">
        <v>206.87</v>
      </c>
      <c r="J19" s="208">
        <v>204.359</v>
      </c>
      <c r="K19" s="208">
        <v>203.608</v>
      </c>
      <c r="L19" s="208">
        <v>212.201</v>
      </c>
      <c r="M19" s="208">
        <v>205.284</v>
      </c>
      <c r="N19" s="208">
        <v>211.445</v>
      </c>
      <c r="O19" s="208">
        <v>219.212</v>
      </c>
      <c r="P19" s="208">
        <v>206.304</v>
      </c>
      <c r="Q19" s="208">
        <v>173.621</v>
      </c>
      <c r="R19" s="208">
        <v>182.193</v>
      </c>
      <c r="S19" s="208">
        <v>185.685</v>
      </c>
      <c r="T19" s="208">
        <v>172.445</v>
      </c>
      <c r="U19" s="208">
        <v>171.472</v>
      </c>
      <c r="V19" s="208">
        <v>165.225</v>
      </c>
      <c r="W19" s="261">
        <v>153.58</v>
      </c>
      <c r="X19" s="256">
        <f t="shared" si="2"/>
        <v>-7.047964896353449</v>
      </c>
      <c r="Y19" s="91" t="s">
        <v>26</v>
      </c>
      <c r="Z19" s="309"/>
    </row>
    <row r="20" spans="1:26" ht="12.75" customHeight="1">
      <c r="A20" s="15"/>
      <c r="B20" s="17" t="s">
        <v>37</v>
      </c>
      <c r="C20" s="144"/>
      <c r="D20" s="59"/>
      <c r="E20" s="59"/>
      <c r="F20" s="189"/>
      <c r="G20" s="59">
        <v>2.424</v>
      </c>
      <c r="H20" s="59">
        <v>2.856</v>
      </c>
      <c r="I20" s="59">
        <v>6.7829999999999995</v>
      </c>
      <c r="J20" s="59">
        <v>7.413</v>
      </c>
      <c r="K20" s="59">
        <v>8.241</v>
      </c>
      <c r="L20" s="59">
        <v>8.818999999999999</v>
      </c>
      <c r="M20" s="59">
        <v>9.328</v>
      </c>
      <c r="N20" s="59">
        <v>10.175</v>
      </c>
      <c r="O20" s="59">
        <v>10.502</v>
      </c>
      <c r="P20" s="59">
        <v>11.042</v>
      </c>
      <c r="Q20" s="59">
        <v>9.426</v>
      </c>
      <c r="R20" s="59">
        <v>8.78</v>
      </c>
      <c r="S20" s="59">
        <v>8.926</v>
      </c>
      <c r="T20" s="59">
        <v>8.649</v>
      </c>
      <c r="U20" s="59">
        <v>9.133</v>
      </c>
      <c r="V20" s="59">
        <v>9.381</v>
      </c>
      <c r="W20" s="215">
        <v>10.439</v>
      </c>
      <c r="X20" s="255">
        <f t="shared" si="2"/>
        <v>11.278115339516035</v>
      </c>
      <c r="Y20" s="17" t="s">
        <v>37</v>
      </c>
      <c r="Z20" s="309"/>
    </row>
    <row r="21" spans="1:26" ht="12.75" customHeight="1">
      <c r="A21" s="15"/>
      <c r="B21" s="91" t="s">
        <v>28</v>
      </c>
      <c r="C21" s="210">
        <v>174.431</v>
      </c>
      <c r="D21" s="211">
        <v>175.45</v>
      </c>
      <c r="E21" s="211">
        <v>178.353</v>
      </c>
      <c r="F21" s="211">
        <v>180.482</v>
      </c>
      <c r="G21" s="211">
        <v>177.291</v>
      </c>
      <c r="H21" s="211">
        <v>184.677</v>
      </c>
      <c r="I21" s="211">
        <v>186.513</v>
      </c>
      <c r="J21" s="203">
        <v>192.681</v>
      </c>
      <c r="K21" s="203">
        <v>174.088</v>
      </c>
      <c r="L21" s="203">
        <v>196.98</v>
      </c>
      <c r="M21" s="203">
        <v>211.804</v>
      </c>
      <c r="N21" s="203">
        <v>187.065</v>
      </c>
      <c r="O21" s="203">
        <v>179.411</v>
      </c>
      <c r="P21" s="203">
        <v>180.461</v>
      </c>
      <c r="Q21" s="203">
        <v>167.627</v>
      </c>
      <c r="R21" s="203">
        <v>175.775</v>
      </c>
      <c r="S21" s="203">
        <v>142.843</v>
      </c>
      <c r="T21" s="203">
        <v>124.015</v>
      </c>
      <c r="U21" s="203">
        <v>127.241</v>
      </c>
      <c r="V21" s="203">
        <v>117.813</v>
      </c>
      <c r="W21" s="204">
        <v>116.82</v>
      </c>
      <c r="X21" s="256">
        <f t="shared" si="2"/>
        <v>-0.8428611443558935</v>
      </c>
      <c r="Y21" s="91" t="s">
        <v>28</v>
      </c>
      <c r="Z21" s="309"/>
    </row>
    <row r="22" spans="1:26" ht="12.75" customHeight="1">
      <c r="A22" s="15"/>
      <c r="B22" s="17" t="s">
        <v>7</v>
      </c>
      <c r="C22" s="144">
        <v>1.2</v>
      </c>
      <c r="D22" s="59">
        <v>1.23</v>
      </c>
      <c r="E22" s="59">
        <v>1.25</v>
      </c>
      <c r="F22" s="59">
        <v>1.29</v>
      </c>
      <c r="G22" s="59">
        <v>1.3</v>
      </c>
      <c r="H22" s="59">
        <v>1.31</v>
      </c>
      <c r="I22" s="59">
        <v>1.32</v>
      </c>
      <c r="J22" s="59">
        <v>1.322</v>
      </c>
      <c r="K22" s="59">
        <v>1.401</v>
      </c>
      <c r="L22" s="59">
        <v>1.119</v>
      </c>
      <c r="M22" s="59">
        <v>1.393</v>
      </c>
      <c r="N22" s="59">
        <v>1.165</v>
      </c>
      <c r="O22" s="59">
        <v>1.202</v>
      </c>
      <c r="P22" s="59">
        <v>1.308</v>
      </c>
      <c r="Q22" s="59">
        <v>0.963</v>
      </c>
      <c r="R22" s="59">
        <v>1.087</v>
      </c>
      <c r="S22" s="59">
        <v>0.941</v>
      </c>
      <c r="T22" s="59">
        <v>0.896</v>
      </c>
      <c r="U22" s="59">
        <v>0.634</v>
      </c>
      <c r="V22" s="59">
        <v>0.538</v>
      </c>
      <c r="W22" s="215">
        <v>0.563</v>
      </c>
      <c r="X22" s="255">
        <f t="shared" si="2"/>
        <v>4.646840148698871</v>
      </c>
      <c r="Y22" s="17" t="s">
        <v>7</v>
      </c>
      <c r="Z22" s="309"/>
    </row>
    <row r="23" spans="1:26" ht="12.75" customHeight="1">
      <c r="A23" s="15"/>
      <c r="B23" s="91" t="s">
        <v>11</v>
      </c>
      <c r="C23" s="202">
        <v>1.83</v>
      </c>
      <c r="D23" s="203">
        <v>2.208</v>
      </c>
      <c r="E23" s="203">
        <v>3.352</v>
      </c>
      <c r="F23" s="203">
        <v>4.108</v>
      </c>
      <c r="G23" s="203">
        <v>4.161</v>
      </c>
      <c r="H23" s="203">
        <v>4.789</v>
      </c>
      <c r="I23" s="203">
        <v>5.36</v>
      </c>
      <c r="J23" s="203">
        <v>6.2</v>
      </c>
      <c r="K23" s="203">
        <v>6.808</v>
      </c>
      <c r="L23" s="203">
        <v>7.381</v>
      </c>
      <c r="M23" s="203">
        <v>8.394</v>
      </c>
      <c r="N23" s="203">
        <v>10.753</v>
      </c>
      <c r="O23" s="203">
        <v>13.204</v>
      </c>
      <c r="P23" s="203">
        <v>12.344</v>
      </c>
      <c r="Q23" s="203">
        <v>8.115</v>
      </c>
      <c r="R23" s="203">
        <v>10.59</v>
      </c>
      <c r="S23" s="203">
        <v>12.131</v>
      </c>
      <c r="T23" s="203">
        <v>12.178</v>
      </c>
      <c r="U23" s="203">
        <v>12.816</v>
      </c>
      <c r="V23" s="203">
        <v>13.67</v>
      </c>
      <c r="W23" s="204">
        <v>14.69</v>
      </c>
      <c r="X23" s="256">
        <f t="shared" si="2"/>
        <v>7.461594732991955</v>
      </c>
      <c r="Y23" s="91" t="s">
        <v>11</v>
      </c>
      <c r="Z23" s="309"/>
    </row>
    <row r="24" spans="1:26" ht="12.75" customHeight="1">
      <c r="A24" s="15"/>
      <c r="B24" s="17" t="s">
        <v>12</v>
      </c>
      <c r="C24" s="144">
        <v>5.2</v>
      </c>
      <c r="D24" s="59">
        <v>4.191</v>
      </c>
      <c r="E24" s="59">
        <v>5.146</v>
      </c>
      <c r="F24" s="59">
        <v>5.611</v>
      </c>
      <c r="G24" s="59">
        <v>7.74</v>
      </c>
      <c r="H24" s="59">
        <v>7.769</v>
      </c>
      <c r="I24" s="59">
        <v>8.274</v>
      </c>
      <c r="J24" s="59">
        <v>10.709</v>
      </c>
      <c r="K24" s="59">
        <v>11.462</v>
      </c>
      <c r="L24" s="59">
        <v>12.279</v>
      </c>
      <c r="M24" s="59">
        <v>15.908</v>
      </c>
      <c r="N24" s="59">
        <v>18.134</v>
      </c>
      <c r="O24" s="59">
        <v>20.278</v>
      </c>
      <c r="P24" s="59">
        <v>20.419</v>
      </c>
      <c r="Q24" s="59">
        <v>17.757</v>
      </c>
      <c r="R24" s="59">
        <v>19.398</v>
      </c>
      <c r="S24" s="59">
        <v>21.512</v>
      </c>
      <c r="T24" s="59">
        <v>23.449</v>
      </c>
      <c r="U24" s="59">
        <v>26.338</v>
      </c>
      <c r="V24" s="59">
        <v>28.067</v>
      </c>
      <c r="W24" s="215">
        <v>26.485</v>
      </c>
      <c r="X24" s="255">
        <f t="shared" si="2"/>
        <v>-5.636512630491325</v>
      </c>
      <c r="Y24" s="17" t="s">
        <v>12</v>
      </c>
      <c r="Z24" s="309"/>
    </row>
    <row r="25" spans="1:26" ht="12.75" customHeight="1">
      <c r="A25" s="15"/>
      <c r="B25" s="91" t="s">
        <v>29</v>
      </c>
      <c r="C25" s="202">
        <v>5.5</v>
      </c>
      <c r="D25" s="203">
        <v>3.5</v>
      </c>
      <c r="E25" s="203">
        <v>4.4</v>
      </c>
      <c r="F25" s="203">
        <v>5</v>
      </c>
      <c r="G25" s="203">
        <v>6.313</v>
      </c>
      <c r="H25" s="203">
        <v>7.609</v>
      </c>
      <c r="I25" s="203">
        <v>8.7</v>
      </c>
      <c r="J25" s="203">
        <v>9.179</v>
      </c>
      <c r="K25" s="203">
        <v>9.645</v>
      </c>
      <c r="L25" s="203">
        <v>9.575</v>
      </c>
      <c r="M25" s="203">
        <v>8.803</v>
      </c>
      <c r="N25" s="203">
        <v>8.807</v>
      </c>
      <c r="O25" s="203">
        <v>9.562</v>
      </c>
      <c r="P25" s="203">
        <v>8.965</v>
      </c>
      <c r="Q25" s="203">
        <v>8.4</v>
      </c>
      <c r="R25" s="203">
        <v>8.694</v>
      </c>
      <c r="S25" s="203">
        <v>8.835</v>
      </c>
      <c r="T25" s="203">
        <v>7.95</v>
      </c>
      <c r="U25" s="203">
        <v>8.606</v>
      </c>
      <c r="V25" s="203">
        <v>9.599</v>
      </c>
      <c r="W25" s="204">
        <v>8.85</v>
      </c>
      <c r="X25" s="256">
        <f t="shared" si="2"/>
        <v>-7.802896135014066</v>
      </c>
      <c r="Y25" s="91" t="s">
        <v>29</v>
      </c>
      <c r="Z25" s="309"/>
    </row>
    <row r="26" spans="1:26" ht="12.75" customHeight="1">
      <c r="A26" s="15"/>
      <c r="B26" s="17" t="s">
        <v>10</v>
      </c>
      <c r="C26" s="205">
        <v>13.8</v>
      </c>
      <c r="D26" s="206">
        <v>14.3</v>
      </c>
      <c r="E26" s="206">
        <v>14.9</v>
      </c>
      <c r="F26" s="206">
        <v>18.674</v>
      </c>
      <c r="G26" s="206">
        <v>18.599</v>
      </c>
      <c r="H26" s="206">
        <v>19.124</v>
      </c>
      <c r="I26" s="206">
        <v>18.486</v>
      </c>
      <c r="J26" s="206">
        <v>17.913</v>
      </c>
      <c r="K26" s="206">
        <v>18.208</v>
      </c>
      <c r="L26" s="206">
        <v>20.608</v>
      </c>
      <c r="M26" s="206">
        <v>25.152</v>
      </c>
      <c r="N26" s="206">
        <v>30.479</v>
      </c>
      <c r="O26" s="206">
        <v>35.805</v>
      </c>
      <c r="P26" s="206">
        <v>35.759</v>
      </c>
      <c r="Q26" s="206">
        <v>35.373</v>
      </c>
      <c r="R26" s="206">
        <v>33.721</v>
      </c>
      <c r="S26" s="206">
        <v>34.529</v>
      </c>
      <c r="T26" s="206">
        <v>33.736</v>
      </c>
      <c r="U26" s="206">
        <v>35.818</v>
      </c>
      <c r="V26" s="206">
        <v>37.517</v>
      </c>
      <c r="W26" s="236">
        <v>38.353</v>
      </c>
      <c r="X26" s="255">
        <f t="shared" si="2"/>
        <v>2.228323160167392</v>
      </c>
      <c r="Y26" s="17" t="s">
        <v>10</v>
      </c>
      <c r="Z26" s="309"/>
    </row>
    <row r="27" spans="1:26" ht="12.75" customHeight="1">
      <c r="A27" s="15"/>
      <c r="B27" s="58" t="s">
        <v>13</v>
      </c>
      <c r="C27" s="210">
        <v>0.25</v>
      </c>
      <c r="D27" s="211">
        <v>0.25</v>
      </c>
      <c r="E27" s="211">
        <v>0.25</v>
      </c>
      <c r="F27" s="211">
        <v>0.25</v>
      </c>
      <c r="G27" s="211">
        <v>0.25</v>
      </c>
      <c r="H27" s="211">
        <v>0.25</v>
      </c>
      <c r="I27" s="211">
        <v>0.25</v>
      </c>
      <c r="J27" s="211">
        <v>0.25</v>
      </c>
      <c r="K27" s="211">
        <v>0.25</v>
      </c>
      <c r="L27" s="211">
        <v>0.25</v>
      </c>
      <c r="M27" s="211">
        <v>0.25</v>
      </c>
      <c r="N27" s="211">
        <v>0.25</v>
      </c>
      <c r="O27" s="211">
        <v>0.25</v>
      </c>
      <c r="P27" s="211">
        <v>0.25</v>
      </c>
      <c r="Q27" s="211">
        <v>0.25</v>
      </c>
      <c r="R27" s="211">
        <v>0.25</v>
      </c>
      <c r="S27" s="211">
        <v>0.25</v>
      </c>
      <c r="T27" s="211">
        <v>0.25</v>
      </c>
      <c r="U27" s="211">
        <v>0.25</v>
      </c>
      <c r="V27" s="211">
        <v>0.25</v>
      </c>
      <c r="W27" s="211">
        <v>0.25</v>
      </c>
      <c r="X27" s="257">
        <f t="shared" si="2"/>
        <v>0</v>
      </c>
      <c r="Y27" s="58" t="s">
        <v>13</v>
      </c>
      <c r="Z27" s="309"/>
    </row>
    <row r="28" spans="1:26" ht="12.75" customHeight="1">
      <c r="A28" s="15"/>
      <c r="B28" s="17" t="s">
        <v>21</v>
      </c>
      <c r="C28" s="144">
        <v>67.1</v>
      </c>
      <c r="D28" s="59">
        <v>69.4</v>
      </c>
      <c r="E28" s="59">
        <v>70.6</v>
      </c>
      <c r="F28" s="59">
        <v>78.5</v>
      </c>
      <c r="G28" s="59">
        <v>83.564</v>
      </c>
      <c r="H28" s="59">
        <v>79.565</v>
      </c>
      <c r="I28" s="59">
        <v>78.492</v>
      </c>
      <c r="J28" s="59">
        <v>77.418</v>
      </c>
      <c r="K28" s="59">
        <v>79.765</v>
      </c>
      <c r="L28" s="59">
        <v>89.695</v>
      </c>
      <c r="M28" s="59">
        <v>84.163</v>
      </c>
      <c r="N28" s="59">
        <v>83.193</v>
      </c>
      <c r="O28" s="59">
        <v>77.921</v>
      </c>
      <c r="P28" s="59">
        <v>78.159</v>
      </c>
      <c r="Q28" s="59">
        <v>72.675</v>
      </c>
      <c r="R28" s="59">
        <v>76.836</v>
      </c>
      <c r="S28" s="59">
        <v>75.543</v>
      </c>
      <c r="T28" s="59">
        <v>70.085</v>
      </c>
      <c r="U28" s="59">
        <v>72.081</v>
      </c>
      <c r="V28" s="59">
        <v>72.338</v>
      </c>
      <c r="W28" s="215">
        <v>68.9</v>
      </c>
      <c r="X28" s="255">
        <f t="shared" si="2"/>
        <v>-4.752688766623336</v>
      </c>
      <c r="Y28" s="17" t="s">
        <v>21</v>
      </c>
      <c r="Z28" s="309"/>
    </row>
    <row r="29" spans="1:26" ht="12.75" customHeight="1">
      <c r="A29" s="15"/>
      <c r="B29" s="91" t="s">
        <v>30</v>
      </c>
      <c r="C29" s="202">
        <v>26.5</v>
      </c>
      <c r="D29" s="203">
        <v>27.8</v>
      </c>
      <c r="E29" s="203">
        <v>28.6</v>
      </c>
      <c r="F29" s="203">
        <v>30.3</v>
      </c>
      <c r="G29" s="208">
        <v>33.982</v>
      </c>
      <c r="H29" s="208">
        <v>35.122</v>
      </c>
      <c r="I29" s="208">
        <v>37.532</v>
      </c>
      <c r="J29" s="208">
        <v>38.498</v>
      </c>
      <c r="K29" s="208">
        <v>39.557</v>
      </c>
      <c r="L29" s="208">
        <v>39.186</v>
      </c>
      <c r="M29" s="208">
        <v>37.044</v>
      </c>
      <c r="N29" s="208">
        <v>39.187</v>
      </c>
      <c r="O29" s="208">
        <v>37.402</v>
      </c>
      <c r="P29" s="208">
        <v>34.313</v>
      </c>
      <c r="Q29" s="208">
        <v>29.075</v>
      </c>
      <c r="R29" s="208">
        <v>28.659</v>
      </c>
      <c r="S29" s="208">
        <v>28.542</v>
      </c>
      <c r="T29" s="208">
        <v>26.089</v>
      </c>
      <c r="U29" s="208">
        <v>24.213</v>
      </c>
      <c r="V29" s="208">
        <v>24.299</v>
      </c>
      <c r="W29" s="261">
        <v>24.436</v>
      </c>
      <c r="X29" s="256">
        <f t="shared" si="2"/>
        <v>0.5638092102555561</v>
      </c>
      <c r="Y29" s="91" t="s">
        <v>30</v>
      </c>
      <c r="Z29" s="309"/>
    </row>
    <row r="30" spans="1:26" ht="12.75" customHeight="1">
      <c r="A30" s="15"/>
      <c r="B30" s="17" t="s">
        <v>14</v>
      </c>
      <c r="C30" s="194">
        <v>51.2</v>
      </c>
      <c r="D30" s="189">
        <v>56.513000000000005</v>
      </c>
      <c r="E30" s="189">
        <v>63.684</v>
      </c>
      <c r="F30" s="189">
        <v>69.542</v>
      </c>
      <c r="G30" s="189">
        <v>70.452</v>
      </c>
      <c r="H30" s="189">
        <v>75.023</v>
      </c>
      <c r="I30" s="189">
        <v>77.228</v>
      </c>
      <c r="J30" s="189">
        <v>80.318</v>
      </c>
      <c r="K30" s="189">
        <v>85.989</v>
      </c>
      <c r="L30" s="59">
        <v>102.807</v>
      </c>
      <c r="M30" s="59">
        <v>111.826</v>
      </c>
      <c r="N30" s="59">
        <v>128.315</v>
      </c>
      <c r="O30" s="59">
        <v>150.879</v>
      </c>
      <c r="P30" s="59">
        <v>164.93</v>
      </c>
      <c r="Q30" s="59">
        <v>180.742</v>
      </c>
      <c r="R30" s="59">
        <v>202.308</v>
      </c>
      <c r="S30" s="59">
        <v>207.651</v>
      </c>
      <c r="T30" s="59">
        <v>222.332</v>
      </c>
      <c r="U30" s="59">
        <v>247.594</v>
      </c>
      <c r="V30" s="59">
        <v>250.931</v>
      </c>
      <c r="W30" s="215">
        <v>260.713</v>
      </c>
      <c r="X30" s="255">
        <f t="shared" si="2"/>
        <v>3.8982827948719034</v>
      </c>
      <c r="Y30" s="17" t="s">
        <v>14</v>
      </c>
      <c r="Z30" s="309"/>
    </row>
    <row r="31" spans="1:26" ht="12.75" customHeight="1">
      <c r="A31" s="15"/>
      <c r="B31" s="91" t="s">
        <v>31</v>
      </c>
      <c r="C31" s="202">
        <v>32</v>
      </c>
      <c r="D31" s="203">
        <v>33.64</v>
      </c>
      <c r="E31" s="203">
        <v>35.96</v>
      </c>
      <c r="F31" s="203">
        <v>36.68</v>
      </c>
      <c r="G31" s="282">
        <v>26.087</v>
      </c>
      <c r="H31" s="203">
        <v>26.836</v>
      </c>
      <c r="I31" s="203">
        <v>29.967</v>
      </c>
      <c r="J31" s="203">
        <v>29.724</v>
      </c>
      <c r="K31" s="203">
        <v>27.425</v>
      </c>
      <c r="L31" s="282">
        <v>40.819</v>
      </c>
      <c r="M31" s="203">
        <v>42.607</v>
      </c>
      <c r="N31" s="203">
        <v>44.835</v>
      </c>
      <c r="O31" s="203">
        <v>46.203</v>
      </c>
      <c r="P31" s="203">
        <v>39.091</v>
      </c>
      <c r="Q31" s="203">
        <v>35.808</v>
      </c>
      <c r="R31" s="203">
        <v>35.368</v>
      </c>
      <c r="S31" s="203">
        <v>36.453</v>
      </c>
      <c r="T31" s="203">
        <v>32.935</v>
      </c>
      <c r="U31" s="203">
        <v>36.555</v>
      </c>
      <c r="V31" s="203">
        <v>34.863</v>
      </c>
      <c r="W31" s="204">
        <v>31.835</v>
      </c>
      <c r="X31" s="256">
        <f t="shared" si="2"/>
        <v>-8.685425809597575</v>
      </c>
      <c r="Y31" s="91" t="s">
        <v>31</v>
      </c>
      <c r="Z31" s="309"/>
    </row>
    <row r="32" spans="1:26" ht="12.75" customHeight="1">
      <c r="A32" s="15"/>
      <c r="B32" s="17" t="s">
        <v>15</v>
      </c>
      <c r="C32" s="212">
        <v>19.7</v>
      </c>
      <c r="D32" s="213">
        <v>19.8</v>
      </c>
      <c r="E32" s="213">
        <v>21.8</v>
      </c>
      <c r="F32" s="213">
        <v>15.785</v>
      </c>
      <c r="G32" s="213">
        <v>13.456</v>
      </c>
      <c r="H32" s="220">
        <v>14.288</v>
      </c>
      <c r="I32" s="213">
        <v>18.544</v>
      </c>
      <c r="J32" s="213">
        <v>25.35</v>
      </c>
      <c r="K32" s="213">
        <v>30.853</v>
      </c>
      <c r="L32" s="213">
        <v>37.22</v>
      </c>
      <c r="M32" s="213">
        <v>51.532</v>
      </c>
      <c r="N32" s="213">
        <v>57.288</v>
      </c>
      <c r="O32" s="213">
        <v>59.524</v>
      </c>
      <c r="P32" s="213">
        <v>56.386</v>
      </c>
      <c r="Q32" s="213">
        <v>34.269</v>
      </c>
      <c r="R32" s="213">
        <v>25.889</v>
      </c>
      <c r="S32" s="213">
        <v>26.349</v>
      </c>
      <c r="T32" s="213">
        <v>29.662</v>
      </c>
      <c r="U32" s="213">
        <v>34.026</v>
      </c>
      <c r="V32" s="213">
        <v>35.136</v>
      </c>
      <c r="W32" s="214">
        <v>39.023</v>
      </c>
      <c r="X32" s="255">
        <f t="shared" si="2"/>
        <v>11.062727686703084</v>
      </c>
      <c r="Y32" s="17" t="s">
        <v>15</v>
      </c>
      <c r="Z32" s="309"/>
    </row>
    <row r="33" spans="1:26" ht="12.75" customHeight="1">
      <c r="A33" s="15"/>
      <c r="B33" s="91" t="s">
        <v>17</v>
      </c>
      <c r="C33" s="202">
        <v>3.3</v>
      </c>
      <c r="D33" s="203">
        <v>3.5</v>
      </c>
      <c r="E33" s="203">
        <v>3.9</v>
      </c>
      <c r="F33" s="203">
        <v>3.8</v>
      </c>
      <c r="G33" s="203">
        <v>4.2</v>
      </c>
      <c r="H33" s="203">
        <v>5.3</v>
      </c>
      <c r="I33" s="203">
        <v>7.035</v>
      </c>
      <c r="J33" s="203">
        <v>6.609</v>
      </c>
      <c r="K33" s="203">
        <v>7.04</v>
      </c>
      <c r="L33" s="203">
        <v>9.007</v>
      </c>
      <c r="M33" s="203">
        <v>11.032</v>
      </c>
      <c r="N33" s="203">
        <v>12.112</v>
      </c>
      <c r="O33" s="203">
        <v>13.734</v>
      </c>
      <c r="P33" s="203">
        <v>16.261</v>
      </c>
      <c r="Q33" s="203">
        <v>14.762</v>
      </c>
      <c r="R33" s="203">
        <v>15.931</v>
      </c>
      <c r="S33" s="203">
        <v>16.439</v>
      </c>
      <c r="T33" s="203">
        <v>15.888</v>
      </c>
      <c r="U33" s="203">
        <v>15.905</v>
      </c>
      <c r="V33" s="203">
        <v>16.273</v>
      </c>
      <c r="W33" s="204">
        <v>17.909</v>
      </c>
      <c r="X33" s="256">
        <f t="shared" si="2"/>
        <v>10.053462791126407</v>
      </c>
      <c r="Y33" s="91" t="s">
        <v>17</v>
      </c>
      <c r="Z33" s="309"/>
    </row>
    <row r="34" spans="1:26" ht="12.75" customHeight="1">
      <c r="A34" s="15"/>
      <c r="B34" s="17" t="s">
        <v>16</v>
      </c>
      <c r="C34" s="212">
        <v>15.9</v>
      </c>
      <c r="D34" s="213">
        <v>15.85</v>
      </c>
      <c r="E34" s="213">
        <v>15.35</v>
      </c>
      <c r="F34" s="213">
        <v>17.88</v>
      </c>
      <c r="G34" s="213">
        <v>18.52</v>
      </c>
      <c r="H34" s="213">
        <v>14.34</v>
      </c>
      <c r="I34" s="213">
        <v>13.8</v>
      </c>
      <c r="J34" s="213">
        <v>14.93</v>
      </c>
      <c r="K34" s="213">
        <v>16.748</v>
      </c>
      <c r="L34" s="213">
        <v>18.527</v>
      </c>
      <c r="M34" s="213">
        <v>22.566</v>
      </c>
      <c r="N34" s="213">
        <v>22.212</v>
      </c>
      <c r="O34" s="213">
        <v>27.159</v>
      </c>
      <c r="P34" s="213">
        <v>29.276</v>
      </c>
      <c r="Q34" s="213">
        <v>27.705</v>
      </c>
      <c r="R34" s="213">
        <v>27.575</v>
      </c>
      <c r="S34" s="213">
        <v>29.179</v>
      </c>
      <c r="T34" s="213">
        <v>29.693</v>
      </c>
      <c r="U34" s="213">
        <v>30.147</v>
      </c>
      <c r="V34" s="213">
        <v>31.358</v>
      </c>
      <c r="W34" s="214">
        <v>33.54</v>
      </c>
      <c r="X34" s="255">
        <f t="shared" si="2"/>
        <v>6.958351935710169</v>
      </c>
      <c r="Y34" s="17" t="s">
        <v>16</v>
      </c>
      <c r="Z34" s="309"/>
    </row>
    <row r="35" spans="1:26" ht="12.75" customHeight="1">
      <c r="A35" s="15"/>
      <c r="B35" s="91" t="s">
        <v>32</v>
      </c>
      <c r="C35" s="202">
        <v>24.5</v>
      </c>
      <c r="D35" s="203">
        <v>25</v>
      </c>
      <c r="E35" s="203">
        <v>25.7</v>
      </c>
      <c r="F35" s="203">
        <v>28.1</v>
      </c>
      <c r="G35" s="203">
        <v>29.656</v>
      </c>
      <c r="H35" s="203">
        <v>31.975</v>
      </c>
      <c r="I35" s="203">
        <v>30.478</v>
      </c>
      <c r="J35" s="203">
        <v>31.967</v>
      </c>
      <c r="K35" s="203">
        <v>30.926</v>
      </c>
      <c r="L35" s="203">
        <v>32.29</v>
      </c>
      <c r="M35" s="203">
        <v>31.857</v>
      </c>
      <c r="N35" s="203">
        <v>29.715</v>
      </c>
      <c r="O35" s="203">
        <v>29.819</v>
      </c>
      <c r="P35" s="203">
        <v>31.036</v>
      </c>
      <c r="Q35" s="203">
        <v>27.805</v>
      </c>
      <c r="R35" s="203">
        <v>29.532</v>
      </c>
      <c r="S35" s="203">
        <v>26.863</v>
      </c>
      <c r="T35" s="203">
        <v>25.46</v>
      </c>
      <c r="U35" s="203">
        <v>24.429</v>
      </c>
      <c r="V35" s="203">
        <v>23.401</v>
      </c>
      <c r="W35" s="204">
        <v>24.488</v>
      </c>
      <c r="X35" s="256">
        <f t="shared" si="2"/>
        <v>4.645100636724919</v>
      </c>
      <c r="Y35" s="91" t="s">
        <v>32</v>
      </c>
      <c r="Z35" s="309"/>
    </row>
    <row r="36" spans="1:26" ht="12.75" customHeight="1">
      <c r="A36" s="15"/>
      <c r="B36" s="17" t="s">
        <v>33</v>
      </c>
      <c r="C36" s="212">
        <v>31.6</v>
      </c>
      <c r="D36" s="213">
        <v>33.3</v>
      </c>
      <c r="E36" s="213">
        <v>35.1</v>
      </c>
      <c r="F36" s="213">
        <v>33.3</v>
      </c>
      <c r="G36" s="213">
        <v>33.2</v>
      </c>
      <c r="H36" s="213">
        <v>35.621</v>
      </c>
      <c r="I36" s="213">
        <v>34.158</v>
      </c>
      <c r="J36" s="213">
        <v>36.652</v>
      </c>
      <c r="K36" s="213">
        <v>36.638</v>
      </c>
      <c r="L36" s="213">
        <v>36.949</v>
      </c>
      <c r="M36" s="213">
        <v>38.575</v>
      </c>
      <c r="N36" s="213">
        <v>39.918</v>
      </c>
      <c r="O36" s="213">
        <v>40.54</v>
      </c>
      <c r="P36" s="213">
        <v>42.37</v>
      </c>
      <c r="Q36" s="213">
        <v>35.047</v>
      </c>
      <c r="R36" s="213">
        <v>36.268</v>
      </c>
      <c r="S36" s="213">
        <v>36.932</v>
      </c>
      <c r="T36" s="213">
        <v>33.481</v>
      </c>
      <c r="U36" s="213">
        <v>33.529</v>
      </c>
      <c r="V36" s="443">
        <v>41.964</v>
      </c>
      <c r="W36" s="214">
        <v>41.502</v>
      </c>
      <c r="X36" s="255">
        <f t="shared" si="2"/>
        <v>-1.1009436659994236</v>
      </c>
      <c r="Y36" s="17" t="s">
        <v>132</v>
      </c>
      <c r="Z36" s="309"/>
    </row>
    <row r="37" spans="1:26" ht="12.75" customHeight="1">
      <c r="A37" s="15"/>
      <c r="B37" s="94" t="s">
        <v>22</v>
      </c>
      <c r="C37" s="216">
        <v>161.5</v>
      </c>
      <c r="D37" s="217">
        <v>166.2</v>
      </c>
      <c r="E37" s="217">
        <v>169.2</v>
      </c>
      <c r="F37" s="217">
        <v>172</v>
      </c>
      <c r="G37" s="217">
        <v>166.26</v>
      </c>
      <c r="H37" s="217">
        <v>165.621</v>
      </c>
      <c r="I37" s="217">
        <v>163.264</v>
      </c>
      <c r="J37" s="217">
        <v>164.035</v>
      </c>
      <c r="K37" s="217">
        <v>167.143</v>
      </c>
      <c r="L37" s="217">
        <v>162.654</v>
      </c>
      <c r="M37" s="217">
        <v>161.285</v>
      </c>
      <c r="N37" s="217">
        <v>165.479</v>
      </c>
      <c r="O37" s="217">
        <v>170.991</v>
      </c>
      <c r="P37" s="217">
        <v>160.296</v>
      </c>
      <c r="Q37" s="217">
        <v>139.536</v>
      </c>
      <c r="R37" s="217">
        <v>146.685</v>
      </c>
      <c r="S37" s="260">
        <v>153.517</v>
      </c>
      <c r="T37" s="260">
        <v>158.461</v>
      </c>
      <c r="U37" s="260">
        <v>147.188</v>
      </c>
      <c r="V37" s="260">
        <v>143.177</v>
      </c>
      <c r="W37" s="243">
        <v>158.924</v>
      </c>
      <c r="X37" s="258">
        <f t="shared" si="2"/>
        <v>10.99827486258269</v>
      </c>
      <c r="Y37" s="94" t="s">
        <v>22</v>
      </c>
      <c r="Z37" s="309"/>
    </row>
    <row r="38" spans="1:26" ht="12.75" customHeight="1">
      <c r="A38" s="15"/>
      <c r="B38" s="17" t="s">
        <v>121</v>
      </c>
      <c r="C38" s="205">
        <v>2.077</v>
      </c>
      <c r="D38" s="206">
        <v>2.248</v>
      </c>
      <c r="E38" s="206">
        <v>1.34</v>
      </c>
      <c r="F38" s="206">
        <v>1.83</v>
      </c>
      <c r="G38" s="206">
        <v>2.011</v>
      </c>
      <c r="H38" s="206">
        <v>2.164</v>
      </c>
      <c r="I38" s="206">
        <v>2.231</v>
      </c>
      <c r="J38" s="206">
        <v>2.352</v>
      </c>
      <c r="K38" s="206">
        <v>2.53</v>
      </c>
      <c r="L38" s="206">
        <v>2.798</v>
      </c>
      <c r="M38" s="206">
        <v>3.21</v>
      </c>
      <c r="N38" s="206">
        <v>3.306</v>
      </c>
      <c r="O38" s="206">
        <v>3.584</v>
      </c>
      <c r="P38" s="206">
        <v>4.098</v>
      </c>
      <c r="Q38" s="206">
        <v>4.445</v>
      </c>
      <c r="R38" s="206">
        <v>4.626</v>
      </c>
      <c r="S38" s="206">
        <v>3.805</v>
      </c>
      <c r="T38" s="206">
        <v>3.223</v>
      </c>
      <c r="U38" s="206">
        <v>3.497</v>
      </c>
      <c r="V38" s="189">
        <f>AVERAGE(S38:U38)</f>
        <v>3.5083333333333333</v>
      </c>
      <c r="W38" s="129">
        <f>AVERAGE(T38:V38)</f>
        <v>3.4094444444444445</v>
      </c>
      <c r="X38" s="414">
        <f t="shared" si="2"/>
        <v>-2.818685669041969</v>
      </c>
      <c r="Y38" s="17" t="s">
        <v>121</v>
      </c>
      <c r="Z38" s="23"/>
    </row>
    <row r="39" spans="1:26" ht="12.75" customHeight="1">
      <c r="A39" s="15"/>
      <c r="B39" s="276" t="s">
        <v>112</v>
      </c>
      <c r="C39" s="291"/>
      <c r="D39" s="278"/>
      <c r="E39" s="278"/>
      <c r="F39" s="278"/>
      <c r="G39" s="278"/>
      <c r="H39" s="278"/>
      <c r="I39" s="278">
        <v>0.078</v>
      </c>
      <c r="J39" s="278">
        <v>0.071</v>
      </c>
      <c r="K39" s="278">
        <v>0.071</v>
      </c>
      <c r="L39" s="278">
        <v>0.065</v>
      </c>
      <c r="M39" s="278">
        <v>0.061</v>
      </c>
      <c r="N39" s="278">
        <v>0.073</v>
      </c>
      <c r="O39" s="278">
        <v>0.092</v>
      </c>
      <c r="P39" s="278">
        <v>0.137</v>
      </c>
      <c r="Q39" s="278">
        <v>0.179</v>
      </c>
      <c r="R39" s="278">
        <v>0.167</v>
      </c>
      <c r="S39" s="278">
        <v>0.102</v>
      </c>
      <c r="T39" s="278">
        <v>0.076</v>
      </c>
      <c r="U39" s="278">
        <v>0.067</v>
      </c>
      <c r="V39" s="278">
        <v>0.122</v>
      </c>
      <c r="W39" s="445">
        <v>0.139717</v>
      </c>
      <c r="X39" s="306">
        <f t="shared" si="2"/>
        <v>14.522131147540989</v>
      </c>
      <c r="Y39" s="276" t="s">
        <v>112</v>
      </c>
      <c r="Z39" s="23"/>
    </row>
    <row r="40" spans="1:26" ht="12.75" customHeight="1">
      <c r="A40" s="15"/>
      <c r="B40" s="17" t="s">
        <v>3</v>
      </c>
      <c r="C40" s="144" t="s">
        <v>35</v>
      </c>
      <c r="D40" s="59" t="s">
        <v>35</v>
      </c>
      <c r="E40" s="59" t="s">
        <v>35</v>
      </c>
      <c r="F40" s="59" t="s">
        <v>35</v>
      </c>
      <c r="G40" s="59"/>
      <c r="H40" s="59"/>
      <c r="I40" s="59">
        <v>3.131</v>
      </c>
      <c r="J40" s="59">
        <v>4</v>
      </c>
      <c r="K40" s="59">
        <v>5.451</v>
      </c>
      <c r="L40" s="59">
        <v>5.341</v>
      </c>
      <c r="M40" s="59">
        <v>5.577</v>
      </c>
      <c r="N40" s="59">
        <v>8.299</v>
      </c>
      <c r="O40" s="59">
        <v>5.938</v>
      </c>
      <c r="P40" s="59">
        <v>3.978</v>
      </c>
      <c r="Q40" s="59">
        <v>4.035</v>
      </c>
      <c r="R40" s="59">
        <v>4.235</v>
      </c>
      <c r="S40" s="59">
        <v>5.381</v>
      </c>
      <c r="T40" s="59">
        <v>5.802</v>
      </c>
      <c r="U40" s="59">
        <v>5.145</v>
      </c>
      <c r="V40" s="59">
        <v>7.399</v>
      </c>
      <c r="W40" s="215">
        <v>6.759</v>
      </c>
      <c r="X40" s="255">
        <f t="shared" si="2"/>
        <v>-8.649817542911194</v>
      </c>
      <c r="Y40" s="17" t="s">
        <v>3</v>
      </c>
      <c r="Z40" s="23"/>
    </row>
    <row r="41" spans="1:26" ht="12.75" customHeight="1">
      <c r="A41" s="15"/>
      <c r="B41" s="276" t="s">
        <v>113</v>
      </c>
      <c r="C41" s="291"/>
      <c r="D41" s="278"/>
      <c r="E41" s="278">
        <v>0.968</v>
      </c>
      <c r="F41" s="278">
        <v>0.875</v>
      </c>
      <c r="G41" s="278">
        <v>0.552</v>
      </c>
      <c r="H41" s="278">
        <v>0.582</v>
      </c>
      <c r="I41" s="278">
        <v>0.475</v>
      </c>
      <c r="J41" s="278">
        <v>0.459</v>
      </c>
      <c r="K41" s="278">
        <v>0.452</v>
      </c>
      <c r="L41" s="278">
        <v>0.277</v>
      </c>
      <c r="M41" s="278">
        <v>0.68</v>
      </c>
      <c r="N41" s="278">
        <v>0.798</v>
      </c>
      <c r="O41" s="278">
        <v>1.161</v>
      </c>
      <c r="P41" s="278">
        <v>1.112</v>
      </c>
      <c r="Q41" s="278">
        <v>1.185</v>
      </c>
      <c r="R41" s="278">
        <v>1.689</v>
      </c>
      <c r="S41" s="278">
        <v>1.907</v>
      </c>
      <c r="T41" s="278">
        <v>2.474</v>
      </c>
      <c r="U41" s="278">
        <v>2.824</v>
      </c>
      <c r="V41" s="278">
        <v>2.959</v>
      </c>
      <c r="W41" s="292">
        <v>2.973</v>
      </c>
      <c r="X41" s="306">
        <f t="shared" si="2"/>
        <v>0.4731328151402465</v>
      </c>
      <c r="Y41" s="276" t="s">
        <v>113</v>
      </c>
      <c r="Z41" s="23"/>
    </row>
    <row r="42" spans="1:26" ht="12.75" customHeight="1">
      <c r="A42" s="15"/>
      <c r="B42" s="18" t="s">
        <v>75</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f>road_by_nat!T42</f>
        <v>216.123</v>
      </c>
      <c r="U42" s="60">
        <v>224.048</v>
      </c>
      <c r="V42" s="60">
        <v>234.492</v>
      </c>
      <c r="W42" s="219">
        <v>244.329</v>
      </c>
      <c r="X42" s="259">
        <f t="shared" si="2"/>
        <v>4.195025843099145</v>
      </c>
      <c r="Y42" s="18" t="s">
        <v>133</v>
      </c>
      <c r="Z42" s="23"/>
    </row>
    <row r="43" spans="1:26" ht="12.75" customHeight="1">
      <c r="A43" s="15"/>
      <c r="B43" s="294" t="s">
        <v>122</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v>0.85</v>
      </c>
      <c r="W43" s="299">
        <f>0.911</f>
        <v>0.911</v>
      </c>
      <c r="X43" s="307">
        <f t="shared" si="2"/>
        <v>7.17647058823529</v>
      </c>
      <c r="Y43" s="294" t="s">
        <v>134</v>
      </c>
      <c r="Z43" s="23"/>
    </row>
    <row r="44" spans="1:26" ht="12.75" customHeight="1">
      <c r="A44" s="15"/>
      <c r="B44" s="17" t="s">
        <v>34</v>
      </c>
      <c r="C44" s="144">
        <v>9.7</v>
      </c>
      <c r="D44" s="59">
        <v>12.5</v>
      </c>
      <c r="E44" s="59">
        <v>14.1</v>
      </c>
      <c r="F44" s="59">
        <v>14.8</v>
      </c>
      <c r="G44" s="59">
        <v>14.916</v>
      </c>
      <c r="H44" s="59">
        <v>15.132</v>
      </c>
      <c r="I44" s="59">
        <v>15.179</v>
      </c>
      <c r="J44" s="59">
        <v>15.426</v>
      </c>
      <c r="K44" s="59">
        <v>16.59</v>
      </c>
      <c r="L44" s="59">
        <v>17.46</v>
      </c>
      <c r="M44" s="59">
        <v>18.247</v>
      </c>
      <c r="N44" s="59">
        <v>19.387</v>
      </c>
      <c r="O44" s="59">
        <v>19.375</v>
      </c>
      <c r="P44" s="59">
        <v>20.595</v>
      </c>
      <c r="Q44" s="59">
        <v>18.447</v>
      </c>
      <c r="R44" s="59">
        <v>19.751</v>
      </c>
      <c r="S44" s="59">
        <v>19.188</v>
      </c>
      <c r="T44" s="59">
        <v>20.171</v>
      </c>
      <c r="U44" s="59">
        <v>21.317</v>
      </c>
      <c r="V44" s="59">
        <v>21.594</v>
      </c>
      <c r="W44" s="215">
        <v>23.136</v>
      </c>
      <c r="X44" s="255">
        <f t="shared" si="2"/>
        <v>7.140872464573491</v>
      </c>
      <c r="Y44" s="17" t="s">
        <v>34</v>
      </c>
      <c r="Z44" s="23"/>
    </row>
    <row r="45" spans="1:26" ht="12.75" customHeight="1">
      <c r="A45" s="15"/>
      <c r="B45" s="321" t="s">
        <v>74</v>
      </c>
      <c r="C45" s="345">
        <v>9.1107</v>
      </c>
      <c r="D45" s="281">
        <v>8.9961</v>
      </c>
      <c r="E45" s="281">
        <v>9.1339</v>
      </c>
      <c r="F45" s="281">
        <v>9.5456</v>
      </c>
      <c r="G45" s="281">
        <v>9.565</v>
      </c>
      <c r="H45" s="281">
        <v>9.7913</v>
      </c>
      <c r="I45" s="281">
        <v>9.5618</v>
      </c>
      <c r="J45" s="281">
        <v>9.8147</v>
      </c>
      <c r="K45" s="281">
        <v>9.8916</v>
      </c>
      <c r="L45" s="281">
        <v>10.126178484062402</v>
      </c>
      <c r="M45" s="281">
        <v>10.198044499594255</v>
      </c>
      <c r="N45" s="281">
        <v>10.43279130775176</v>
      </c>
      <c r="O45" s="279">
        <v>10.79415384490122</v>
      </c>
      <c r="P45" s="281">
        <v>13.911</v>
      </c>
      <c r="Q45" s="281">
        <v>13.174</v>
      </c>
      <c r="R45" s="281">
        <v>13.237</v>
      </c>
      <c r="S45" s="281">
        <v>13.567</v>
      </c>
      <c r="T45" s="281">
        <v>12.957</v>
      </c>
      <c r="U45" s="281">
        <v>12.817</v>
      </c>
      <c r="V45" s="281">
        <v>13.067</v>
      </c>
      <c r="W45" s="323">
        <v>12.441</v>
      </c>
      <c r="X45" s="365">
        <f t="shared" si="2"/>
        <v>-4.790694114946049</v>
      </c>
      <c r="Y45" s="321" t="s">
        <v>135</v>
      </c>
      <c r="Z45" s="23"/>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23"/>
    </row>
    <row r="47" spans="2:26" ht="15.75" customHeight="1">
      <c r="B47" s="509" t="s">
        <v>131</v>
      </c>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row>
    <row r="48" ht="12.75" customHeight="1">
      <c r="B48" s="11" t="s">
        <v>2</v>
      </c>
    </row>
    <row r="49" ht="12.75" customHeight="1">
      <c r="B49" s="3" t="s">
        <v>84</v>
      </c>
    </row>
    <row r="50" ht="12.75" customHeight="1">
      <c r="B50" s="103" t="s">
        <v>87</v>
      </c>
    </row>
    <row r="51" ht="12.75">
      <c r="B51" s="413" t="s">
        <v>136</v>
      </c>
    </row>
    <row r="52" spans="2:13" ht="12.75" customHeight="1">
      <c r="B52" s="234" t="s">
        <v>137</v>
      </c>
      <c r="C52" s="102"/>
      <c r="D52" s="102"/>
      <c r="E52" s="102"/>
      <c r="F52" s="102"/>
      <c r="G52" s="102"/>
      <c r="H52" s="102"/>
      <c r="I52" s="102"/>
      <c r="J52" s="102"/>
      <c r="K52" s="102"/>
      <c r="L52" s="102"/>
      <c r="M52" s="102"/>
    </row>
    <row r="53" spans="2:26" ht="14.25" customHeight="1">
      <c r="B53" s="507" t="s">
        <v>138</v>
      </c>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row>
  </sheetData>
  <sheetProtection/>
  <mergeCells count="4">
    <mergeCell ref="B2:Z2"/>
    <mergeCell ref="B3:Z3"/>
    <mergeCell ref="B53:Z53"/>
    <mergeCell ref="B47:Z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8">
    <pageSetUpPr fitToPage="1"/>
  </sheetPr>
  <dimension ref="A1:Q51"/>
  <sheetViews>
    <sheetView zoomScalePageLayoutView="0" workbookViewId="0" topLeftCell="A10">
      <selection activeCell="T39" sqref="M36:T39"/>
    </sheetView>
  </sheetViews>
  <sheetFormatPr defaultColWidth="9.140625" defaultRowHeight="12.75"/>
  <cols>
    <col min="1" max="1" width="3.7109375" style="405" customWidth="1"/>
    <col min="2" max="2" width="4.57421875" style="405" customWidth="1"/>
    <col min="3" max="3" width="7.7109375" style="405" customWidth="1"/>
    <col min="4" max="13" width="8.28125" style="405" customWidth="1"/>
    <col min="14" max="14" width="6.00390625" style="405" customWidth="1"/>
    <col min="15" max="15" width="6.28125" style="405" customWidth="1"/>
    <col min="16" max="16" width="5.8515625" style="405" customWidth="1"/>
    <col min="17" max="16384" width="9.140625" style="405" customWidth="1"/>
  </cols>
  <sheetData>
    <row r="1" spans="2:16" ht="14.25" customHeight="1">
      <c r="B1" s="40"/>
      <c r="P1" s="20" t="s">
        <v>129</v>
      </c>
    </row>
    <row r="2" spans="2:16" s="82" customFormat="1" ht="15" customHeight="1">
      <c r="B2" s="483" t="s">
        <v>147</v>
      </c>
      <c r="C2" s="498"/>
      <c r="D2" s="498"/>
      <c r="E2" s="498"/>
      <c r="F2" s="498"/>
      <c r="G2" s="498"/>
      <c r="H2" s="498"/>
      <c r="I2" s="498"/>
      <c r="J2" s="498"/>
      <c r="K2" s="498"/>
      <c r="L2" s="498"/>
      <c r="M2" s="498"/>
      <c r="N2" s="498"/>
      <c r="O2" s="498"/>
      <c r="P2" s="498"/>
    </row>
    <row r="3" spans="2:16" ht="15" customHeight="1">
      <c r="B3" s="511" t="s">
        <v>139</v>
      </c>
      <c r="C3" s="499"/>
      <c r="D3" s="499"/>
      <c r="E3" s="499"/>
      <c r="F3" s="499"/>
      <c r="G3" s="499"/>
      <c r="H3" s="499"/>
      <c r="I3" s="499"/>
      <c r="J3" s="499"/>
      <c r="K3" s="499"/>
      <c r="L3" s="499"/>
      <c r="M3" s="499"/>
      <c r="N3" s="499"/>
      <c r="O3" s="499"/>
      <c r="P3" s="499"/>
    </row>
    <row r="4" spans="2:15" ht="12" customHeight="1">
      <c r="B4" s="4"/>
      <c r="G4" s="248" t="s">
        <v>111</v>
      </c>
      <c r="H4" s="21"/>
      <c r="I4" s="21"/>
      <c r="J4" s="21"/>
      <c r="K4" s="21"/>
      <c r="L4" s="21"/>
      <c r="M4" s="21"/>
      <c r="N4" s="21"/>
      <c r="O4" s="6"/>
    </row>
    <row r="5" spans="2:16" ht="19.5" customHeight="1">
      <c r="B5" s="4"/>
      <c r="C5" s="87">
        <v>2005</v>
      </c>
      <c r="D5" s="88">
        <v>2006</v>
      </c>
      <c r="E5" s="88">
        <v>2007</v>
      </c>
      <c r="F5" s="88">
        <v>2008</v>
      </c>
      <c r="G5" s="88">
        <v>2009</v>
      </c>
      <c r="H5" s="88">
        <v>2010</v>
      </c>
      <c r="I5" s="88">
        <v>2011</v>
      </c>
      <c r="J5" s="88">
        <v>2012</v>
      </c>
      <c r="K5" s="88">
        <v>2013</v>
      </c>
      <c r="L5" s="88">
        <v>2014</v>
      </c>
      <c r="M5" s="88">
        <v>2015</v>
      </c>
      <c r="N5" s="114" t="s">
        <v>150</v>
      </c>
      <c r="O5" s="64"/>
      <c r="P5" s="64"/>
    </row>
    <row r="6" spans="2:16" ht="9.75" customHeight="1">
      <c r="B6" s="4"/>
      <c r="C6" s="89"/>
      <c r="D6" s="86"/>
      <c r="E6" s="86"/>
      <c r="F6" s="86"/>
      <c r="G6" s="86"/>
      <c r="H6" s="86"/>
      <c r="I6" s="86"/>
      <c r="J6" s="86"/>
      <c r="K6" s="86"/>
      <c r="L6" s="86"/>
      <c r="M6" s="86"/>
      <c r="N6" s="71" t="s">
        <v>72</v>
      </c>
      <c r="O6" s="66"/>
      <c r="P6" s="64"/>
    </row>
    <row r="7" spans="2:16" ht="12.75" customHeight="1">
      <c r="B7" s="90" t="s">
        <v>118</v>
      </c>
      <c r="C7" s="415">
        <f>SUM(C10:C37)</f>
        <v>1755.4521895434887</v>
      </c>
      <c r="D7" s="415">
        <f aca="true" t="shared" si="0" ref="D7:L7">SUM(D10:D37)</f>
        <v>1810.2923511235158</v>
      </c>
      <c r="E7" s="415">
        <f t="shared" si="0"/>
        <v>1875.778641914531</v>
      </c>
      <c r="F7" s="415">
        <f t="shared" si="0"/>
        <v>1844.1198571687864</v>
      </c>
      <c r="G7" s="415">
        <f t="shared" si="0"/>
        <v>1660.3209960354313</v>
      </c>
      <c r="H7" s="415">
        <f t="shared" si="0"/>
        <v>1709.8018032430837</v>
      </c>
      <c r="I7" s="415">
        <f t="shared" si="0"/>
        <v>1699.185589296451</v>
      </c>
      <c r="J7" s="415">
        <f t="shared" si="0"/>
        <v>1645.0865133098703</v>
      </c>
      <c r="K7" s="415">
        <f t="shared" si="0"/>
        <v>1670.7050358245485</v>
      </c>
      <c r="L7" s="415">
        <f t="shared" si="0"/>
        <v>1676.1680372651085</v>
      </c>
      <c r="M7" s="415">
        <f>SUM(M10:M37)</f>
        <v>1722.324096107958</v>
      </c>
      <c r="N7" s="252">
        <f>M7/L7*100-100</f>
        <v>2.7536653734406826</v>
      </c>
      <c r="O7" s="90" t="s">
        <v>118</v>
      </c>
      <c r="P7" s="309"/>
    </row>
    <row r="8" spans="1:16" ht="12.75" customHeight="1">
      <c r="A8" s="15"/>
      <c r="B8" s="91" t="s">
        <v>119</v>
      </c>
      <c r="C8" s="315">
        <f>C7-C9</f>
        <v>1530.1768931243018</v>
      </c>
      <c r="D8" s="316">
        <f aca="true" t="shared" si="1" ref="D8:L8">D7-D9</f>
        <v>1575.4013865817424</v>
      </c>
      <c r="E8" s="316">
        <f t="shared" si="1"/>
        <v>1629.9101659321068</v>
      </c>
      <c r="F8" s="316">
        <f t="shared" si="1"/>
        <v>1597.101813928543</v>
      </c>
      <c r="G8" s="316">
        <f t="shared" si="1"/>
        <v>1428.9174421912637</v>
      </c>
      <c r="H8" s="316">
        <f t="shared" si="1"/>
        <v>1476.7660011818955</v>
      </c>
      <c r="I8" s="315">
        <f t="shared" si="1"/>
        <v>1454.3906300942513</v>
      </c>
      <c r="J8" s="315">
        <f t="shared" si="1"/>
        <v>1398.6148441492019</v>
      </c>
      <c r="K8" s="315">
        <f t="shared" si="1"/>
        <v>1403.9916983713906</v>
      </c>
      <c r="L8" s="315">
        <f t="shared" si="1"/>
        <v>1410.747522327587</v>
      </c>
      <c r="M8" s="315">
        <f>M7-M9</f>
        <v>1437.7965328487976</v>
      </c>
      <c r="N8" s="253">
        <f aca="true" t="shared" si="2" ref="N8:N37">M8/L8*100-100</f>
        <v>1.9173530410730564</v>
      </c>
      <c r="O8" s="91" t="s">
        <v>119</v>
      </c>
      <c r="P8" s="309"/>
    </row>
    <row r="9" spans="1:16" ht="12.75" customHeight="1">
      <c r="A9" s="15"/>
      <c r="B9" s="94" t="s">
        <v>120</v>
      </c>
      <c r="C9" s="416">
        <f>C11+C12+C15+C20+C22+C23+C24+C26+C27+C30+C32+C33+C34</f>
        <v>225.27529641918673</v>
      </c>
      <c r="D9" s="416">
        <f aca="true" t="shared" si="3" ref="D9:L9">D11+D12+D15+D20+D22+D23+D24+D26+D27+D30+D32+D33+D34</f>
        <v>234.89096454177349</v>
      </c>
      <c r="E9" s="416">
        <f t="shared" si="3"/>
        <v>245.86847598242417</v>
      </c>
      <c r="F9" s="416">
        <f t="shared" si="3"/>
        <v>247.0180432402436</v>
      </c>
      <c r="G9" s="416">
        <f t="shared" si="3"/>
        <v>231.40355384416762</v>
      </c>
      <c r="H9" s="416">
        <f t="shared" si="3"/>
        <v>233.0358020611882</v>
      </c>
      <c r="I9" s="416">
        <f t="shared" si="3"/>
        <v>244.79495920219986</v>
      </c>
      <c r="J9" s="416">
        <f t="shared" si="3"/>
        <v>246.4716691606685</v>
      </c>
      <c r="K9" s="416">
        <f t="shared" si="3"/>
        <v>266.71333745315786</v>
      </c>
      <c r="L9" s="416">
        <f t="shared" si="3"/>
        <v>265.4205149375217</v>
      </c>
      <c r="M9" s="416">
        <f>M11+M12+M15+M20+M22+M23+M24+M26+M27+M30+M32+M33+M34</f>
        <v>284.5275632591604</v>
      </c>
      <c r="N9" s="254">
        <f t="shared" si="2"/>
        <v>7.198783532665658</v>
      </c>
      <c r="O9" s="94" t="s">
        <v>120</v>
      </c>
      <c r="P9" s="309"/>
    </row>
    <row r="10" spans="1:16" ht="12.75" customHeight="1">
      <c r="A10" s="15"/>
      <c r="B10" s="17" t="s">
        <v>23</v>
      </c>
      <c r="C10" s="200">
        <v>46.76301404565918</v>
      </c>
      <c r="D10" s="200">
        <v>47.9639101974337</v>
      </c>
      <c r="E10" s="200">
        <v>49.05179900580638</v>
      </c>
      <c r="F10" s="200">
        <v>47.058469513292096</v>
      </c>
      <c r="G10" s="200">
        <v>44.42591767204744</v>
      </c>
      <c r="H10" s="235">
        <v>45.63094698021629</v>
      </c>
      <c r="I10" s="235">
        <v>45.567818510325395</v>
      </c>
      <c r="J10" s="235">
        <v>45.855247793812204</v>
      </c>
      <c r="K10" s="200">
        <v>47.5789781472124</v>
      </c>
      <c r="L10" s="200">
        <v>47.927896048155496</v>
      </c>
      <c r="M10" s="464">
        <v>47.697809418043896</v>
      </c>
      <c r="N10" s="255">
        <f t="shared" si="2"/>
        <v>-0.4800682881644178</v>
      </c>
      <c r="O10" s="17" t="s">
        <v>23</v>
      </c>
      <c r="P10" s="309"/>
    </row>
    <row r="11" spans="1:17" ht="12.75" customHeight="1">
      <c r="A11" s="15"/>
      <c r="B11" s="91" t="s">
        <v>6</v>
      </c>
      <c r="C11" s="203">
        <v>11.007035810527396</v>
      </c>
      <c r="D11" s="203">
        <v>10.972872576275181</v>
      </c>
      <c r="E11" s="203">
        <v>10.439787754898461</v>
      </c>
      <c r="F11" s="203">
        <v>9.768980578108053</v>
      </c>
      <c r="G11" s="203">
        <v>8.74653512708231</v>
      </c>
      <c r="H11" s="203">
        <v>8.8941473866294</v>
      </c>
      <c r="I11" s="203">
        <v>9.72917955742397</v>
      </c>
      <c r="J11" s="203">
        <v>9.267267719747341</v>
      </c>
      <c r="K11" s="203">
        <v>10.95871855857401</v>
      </c>
      <c r="L11" s="203">
        <v>10.34287100673919</v>
      </c>
      <c r="M11" s="204">
        <v>11.15676977867308</v>
      </c>
      <c r="N11" s="256">
        <f t="shared" si="2"/>
        <v>7.869176473375461</v>
      </c>
      <c r="O11" s="91" t="s">
        <v>6</v>
      </c>
      <c r="P11" s="309"/>
      <c r="Q11" s="308"/>
    </row>
    <row r="12" spans="1:17" ht="12.75" customHeight="1">
      <c r="A12" s="15"/>
      <c r="B12" s="17" t="s">
        <v>8</v>
      </c>
      <c r="C12" s="206">
        <v>32.28874439089088</v>
      </c>
      <c r="D12" s="206">
        <v>33.697465023117374</v>
      </c>
      <c r="E12" s="206">
        <v>33.98459025088896</v>
      </c>
      <c r="F12" s="206">
        <v>32.55834810978094</v>
      </c>
      <c r="G12" s="206">
        <v>29.159244054916382</v>
      </c>
      <c r="H12" s="206">
        <v>31.979649503595233</v>
      </c>
      <c r="I12" s="206">
        <v>33.16219774666988</v>
      </c>
      <c r="J12" s="206">
        <v>32.46242312496349</v>
      </c>
      <c r="K12" s="206">
        <v>35.4193214055898</v>
      </c>
      <c r="L12" s="206">
        <v>37.0063058121713</v>
      </c>
      <c r="M12" s="236">
        <v>42.22693117529249</v>
      </c>
      <c r="N12" s="255">
        <f t="shared" si="2"/>
        <v>14.107393992847946</v>
      </c>
      <c r="O12" s="17" t="s">
        <v>8</v>
      </c>
      <c r="P12" s="309"/>
      <c r="Q12" s="308"/>
    </row>
    <row r="13" spans="1:17" ht="12.75" customHeight="1">
      <c r="A13" s="15"/>
      <c r="B13" s="91" t="s">
        <v>19</v>
      </c>
      <c r="C13" s="203">
        <v>16.786513223591253</v>
      </c>
      <c r="D13" s="203">
        <v>17.692258729141255</v>
      </c>
      <c r="E13" s="203">
        <v>18.387594020981314</v>
      </c>
      <c r="F13" s="203">
        <v>18.91441807897732</v>
      </c>
      <c r="G13" s="203">
        <v>16.91574824382039</v>
      </c>
      <c r="H13" s="203">
        <v>17.24374926954662</v>
      </c>
      <c r="I13" s="203">
        <v>18.438395166590464</v>
      </c>
      <c r="J13" s="203">
        <v>18.57103761762617</v>
      </c>
      <c r="K13" s="203">
        <v>19.296589792790574</v>
      </c>
      <c r="L13" s="203">
        <v>19.517208846489904</v>
      </c>
      <c r="M13" s="204">
        <v>19.131049144529158</v>
      </c>
      <c r="N13" s="256">
        <f t="shared" si="2"/>
        <v>-1.978560074844907</v>
      </c>
      <c r="O13" s="91" t="s">
        <v>19</v>
      </c>
      <c r="P13" s="309"/>
      <c r="Q13" s="308"/>
    </row>
    <row r="14" spans="1:17" ht="12.75" customHeight="1">
      <c r="A14" s="15"/>
      <c r="B14" s="17" t="s">
        <v>24</v>
      </c>
      <c r="C14" s="206">
        <v>370.796115326825</v>
      </c>
      <c r="D14" s="206">
        <v>394.4637780630344</v>
      </c>
      <c r="E14" s="206">
        <v>413.15934772379165</v>
      </c>
      <c r="F14" s="206">
        <v>419.98022530633915</v>
      </c>
      <c r="G14" s="206">
        <v>385.29438178325245</v>
      </c>
      <c r="H14" s="206">
        <v>404.91844653132574</v>
      </c>
      <c r="I14" s="206">
        <v>417.5668014800958</v>
      </c>
      <c r="J14" s="206">
        <v>408.2493436370987</v>
      </c>
      <c r="K14" s="206">
        <v>416.65466837269844</v>
      </c>
      <c r="L14" s="206">
        <v>426.88748990796023</v>
      </c>
      <c r="M14" s="236">
        <v>432.4019541037992</v>
      </c>
      <c r="N14" s="255">
        <f t="shared" si="2"/>
        <v>1.2917839773257214</v>
      </c>
      <c r="O14" s="17" t="s">
        <v>24</v>
      </c>
      <c r="P14" s="309"/>
      <c r="Q14" s="308"/>
    </row>
    <row r="15" spans="1:17" ht="12.75" customHeight="1">
      <c r="A15" s="15"/>
      <c r="B15" s="91" t="s">
        <v>9</v>
      </c>
      <c r="C15" s="208">
        <v>2.670218256504957</v>
      </c>
      <c r="D15" s="208">
        <v>2.869056913484314</v>
      </c>
      <c r="E15" s="208">
        <v>2.9354882647712865</v>
      </c>
      <c r="F15" s="208">
        <v>2.7715629772013086</v>
      </c>
      <c r="G15" s="208">
        <v>2.0761908485298957</v>
      </c>
      <c r="H15" s="208">
        <v>2.1707540736261453</v>
      </c>
      <c r="I15" s="208">
        <v>2.481376068861341</v>
      </c>
      <c r="J15" s="208">
        <v>2.532630233076241</v>
      </c>
      <c r="K15" s="208">
        <v>2.68903099170912</v>
      </c>
      <c r="L15" s="208">
        <v>2.642112912307629</v>
      </c>
      <c r="M15" s="261">
        <v>2.8360651986652687</v>
      </c>
      <c r="N15" s="256">
        <f t="shared" si="2"/>
        <v>7.340802334910109</v>
      </c>
      <c r="O15" s="91" t="s">
        <v>9</v>
      </c>
      <c r="P15" s="309"/>
      <c r="Q15" s="308"/>
    </row>
    <row r="16" spans="1:17" ht="12.75" customHeight="1">
      <c r="A16" s="15"/>
      <c r="B16" s="17" t="s">
        <v>27</v>
      </c>
      <c r="C16" s="200">
        <v>15.61261907534383</v>
      </c>
      <c r="D16" s="200">
        <v>15.515330391542724</v>
      </c>
      <c r="E16" s="200">
        <v>16.246972097592554</v>
      </c>
      <c r="F16" s="200">
        <v>14.847004373113187</v>
      </c>
      <c r="G16" s="200">
        <v>9.814266919633539</v>
      </c>
      <c r="H16" s="200">
        <v>9.65582529389642</v>
      </c>
      <c r="I16" s="200">
        <v>9.030605641165451</v>
      </c>
      <c r="J16" s="200">
        <v>8.81708867715554</v>
      </c>
      <c r="K16" s="200">
        <v>8.566563639840439</v>
      </c>
      <c r="L16" s="200">
        <v>9.018885009741053</v>
      </c>
      <c r="M16" s="262">
        <v>9.230277059475217</v>
      </c>
      <c r="N16" s="255">
        <f t="shared" si="2"/>
        <v>2.343882303697683</v>
      </c>
      <c r="O16" s="17" t="s">
        <v>27</v>
      </c>
      <c r="P16" s="309"/>
      <c r="Q16" s="308"/>
    </row>
    <row r="17" spans="1:17" ht="12.75" customHeight="1">
      <c r="A17" s="15"/>
      <c r="B17" s="91" t="s">
        <v>20</v>
      </c>
      <c r="C17" s="208">
        <v>21.916598855311484</v>
      </c>
      <c r="D17" s="208">
        <v>28.970940114922165</v>
      </c>
      <c r="E17" s="203">
        <v>24.143190174937523</v>
      </c>
      <c r="F17" s="203">
        <v>26.445160535546503</v>
      </c>
      <c r="G17" s="203">
        <v>26.075647513472227</v>
      </c>
      <c r="H17" s="203">
        <v>27.645544661844863</v>
      </c>
      <c r="I17" s="203">
        <v>18.734846730275756</v>
      </c>
      <c r="J17" s="203">
        <v>18.62974648294</v>
      </c>
      <c r="K17" s="203">
        <v>17.11847594226845</v>
      </c>
      <c r="L17" s="203">
        <v>17.530279662870075</v>
      </c>
      <c r="M17" s="204">
        <v>17.65300242789907</v>
      </c>
      <c r="N17" s="256">
        <f t="shared" si="2"/>
        <v>0.7000616498373802</v>
      </c>
      <c r="O17" s="91" t="s">
        <v>20</v>
      </c>
      <c r="P17" s="309"/>
      <c r="Q17" s="308"/>
    </row>
    <row r="18" spans="1:17" ht="12.75" customHeight="1">
      <c r="A18" s="15"/>
      <c r="B18" s="17" t="s">
        <v>25</v>
      </c>
      <c r="C18" s="213">
        <v>210.72119561327622</v>
      </c>
      <c r="D18" s="213">
        <v>220.1293027852322</v>
      </c>
      <c r="E18" s="213">
        <v>237.26616542326778</v>
      </c>
      <c r="F18" s="213">
        <v>217.319783899161</v>
      </c>
      <c r="G18" s="213">
        <v>189.43479571602757</v>
      </c>
      <c r="H18" s="213">
        <v>184.4014915288827</v>
      </c>
      <c r="I18" s="213">
        <v>179.86855247564554</v>
      </c>
      <c r="J18" s="213">
        <v>169.76957151140692</v>
      </c>
      <c r="K18" s="213">
        <v>166.1146186456011</v>
      </c>
      <c r="L18" s="213">
        <v>167.109135372805</v>
      </c>
      <c r="M18" s="214">
        <v>177.9625317936469</v>
      </c>
      <c r="N18" s="255">
        <f t="shared" si="2"/>
        <v>6.494795390227438</v>
      </c>
      <c r="O18" s="17" t="s">
        <v>25</v>
      </c>
      <c r="P18" s="309"/>
      <c r="Q18" s="308"/>
    </row>
    <row r="19" spans="1:17" ht="12.75" customHeight="1">
      <c r="A19" s="15"/>
      <c r="B19" s="91" t="s">
        <v>26</v>
      </c>
      <c r="C19" s="208">
        <v>294.5378107198869</v>
      </c>
      <c r="D19" s="208">
        <v>303.93056686590086</v>
      </c>
      <c r="E19" s="208">
        <v>315.32721576011994</v>
      </c>
      <c r="F19" s="208">
        <v>301.42667973424125</v>
      </c>
      <c r="G19" s="208">
        <v>261.74858388974764</v>
      </c>
      <c r="H19" s="208">
        <v>275.1300027034246</v>
      </c>
      <c r="I19" s="208">
        <v>273.3770401042355</v>
      </c>
      <c r="J19" s="208">
        <v>259.05725243365947</v>
      </c>
      <c r="K19" s="208">
        <v>263.7151444730045</v>
      </c>
      <c r="L19" s="208">
        <v>259.80141982219743</v>
      </c>
      <c r="M19" s="261">
        <v>250.5305869910635</v>
      </c>
      <c r="N19" s="256">
        <f t="shared" si="2"/>
        <v>-3.5684303948295195</v>
      </c>
      <c r="O19" s="91" t="s">
        <v>26</v>
      </c>
      <c r="P19" s="309"/>
      <c r="Q19" s="308"/>
    </row>
    <row r="20" spans="1:17" ht="12.75" customHeight="1">
      <c r="A20" s="15"/>
      <c r="B20" s="17" t="s">
        <v>37</v>
      </c>
      <c r="C20" s="59">
        <v>10.483056070627628</v>
      </c>
      <c r="D20" s="59">
        <v>10.909940770981342</v>
      </c>
      <c r="E20" s="59">
        <v>11.03297977974009</v>
      </c>
      <c r="F20" s="59">
        <v>10.375046058567255</v>
      </c>
      <c r="G20" s="59">
        <v>8.496535731296532</v>
      </c>
      <c r="H20" s="59">
        <v>7.926124097909287</v>
      </c>
      <c r="I20" s="59">
        <v>7.732765336393909</v>
      </c>
      <c r="J20" s="59">
        <v>7.41336450333157</v>
      </c>
      <c r="K20" s="59">
        <v>7.744341000239901</v>
      </c>
      <c r="L20" s="59">
        <v>7.56610477906448</v>
      </c>
      <c r="M20" s="215">
        <v>8.21855134137456</v>
      </c>
      <c r="N20" s="255">
        <f t="shared" si="2"/>
        <v>8.62328214268733</v>
      </c>
      <c r="O20" s="17" t="s">
        <v>37</v>
      </c>
      <c r="P20" s="309"/>
      <c r="Q20" s="308"/>
    </row>
    <row r="21" spans="1:17" ht="12.75" customHeight="1">
      <c r="A21" s="15"/>
      <c r="B21" s="91" t="s">
        <v>28</v>
      </c>
      <c r="C21" s="203">
        <v>203.95294284383934</v>
      </c>
      <c r="D21" s="203">
        <v>190.0707919389948</v>
      </c>
      <c r="E21" s="203">
        <v>186.7974509966079</v>
      </c>
      <c r="F21" s="203">
        <v>187.5037110470505</v>
      </c>
      <c r="G21" s="203">
        <v>176.4269649897107</v>
      </c>
      <c r="H21" s="203">
        <v>183.60681268352803</v>
      </c>
      <c r="I21" s="203">
        <v>157.32085045794125</v>
      </c>
      <c r="J21" s="203">
        <v>139.4608572476581</v>
      </c>
      <c r="K21" s="203">
        <v>141.808640751393</v>
      </c>
      <c r="L21" s="203">
        <v>133.0218722805414</v>
      </c>
      <c r="M21" s="204">
        <v>133.9256587805312</v>
      </c>
      <c r="N21" s="256">
        <f t="shared" si="2"/>
        <v>0.6794269878292738</v>
      </c>
      <c r="O21" s="91" t="s">
        <v>28</v>
      </c>
      <c r="P21" s="309"/>
      <c r="Q21" s="308"/>
    </row>
    <row r="22" spans="1:17" ht="12.75" customHeight="1">
      <c r="A22" s="15"/>
      <c r="B22" s="17" t="s">
        <v>7</v>
      </c>
      <c r="C22" s="59">
        <v>1.374</v>
      </c>
      <c r="D22" s="59">
        <v>1.145</v>
      </c>
      <c r="E22" s="59">
        <v>1.184</v>
      </c>
      <c r="F22" s="59">
        <v>1.296</v>
      </c>
      <c r="G22" s="59">
        <v>0.944</v>
      </c>
      <c r="H22" s="59">
        <v>1.066</v>
      </c>
      <c r="I22" s="59">
        <v>0.923</v>
      </c>
      <c r="J22" s="59">
        <v>0.88</v>
      </c>
      <c r="K22" s="59">
        <v>0.618</v>
      </c>
      <c r="L22" s="59">
        <v>0.526</v>
      </c>
      <c r="M22" s="215">
        <v>0.548</v>
      </c>
      <c r="N22" s="255">
        <f t="shared" si="2"/>
        <v>4.182509505703422</v>
      </c>
      <c r="O22" s="17" t="s">
        <v>7</v>
      </c>
      <c r="P22" s="309"/>
      <c r="Q22" s="308"/>
    </row>
    <row r="23" spans="1:17" ht="12.75" customHeight="1">
      <c r="A23" s="15"/>
      <c r="B23" s="91" t="s">
        <v>11</v>
      </c>
      <c r="C23" s="203">
        <v>3.736019029695376</v>
      </c>
      <c r="D23" s="203">
        <v>3.9484290348493487</v>
      </c>
      <c r="E23" s="203">
        <v>4.4073087578065175</v>
      </c>
      <c r="F23" s="203">
        <v>3.885788787028725</v>
      </c>
      <c r="G23" s="203">
        <v>3.2108269453857816</v>
      </c>
      <c r="H23" s="203">
        <v>3.742389974092833</v>
      </c>
      <c r="I23" s="203">
        <v>4.007675239415379</v>
      </c>
      <c r="J23" s="203">
        <v>4.122468705895208</v>
      </c>
      <c r="K23" s="203">
        <v>4.535362202885462</v>
      </c>
      <c r="L23" s="203">
        <v>4.495995774871111</v>
      </c>
      <c r="M23" s="204">
        <v>4.797191394485863</v>
      </c>
      <c r="N23" s="256">
        <f t="shared" si="2"/>
        <v>6.699197123319962</v>
      </c>
      <c r="O23" s="91" t="s">
        <v>11</v>
      </c>
      <c r="P23" s="309"/>
      <c r="Q23" s="308"/>
    </row>
    <row r="24" spans="1:17" ht="12.75" customHeight="1">
      <c r="A24" s="15"/>
      <c r="B24" s="17" t="s">
        <v>12</v>
      </c>
      <c r="C24" s="59">
        <v>4.351353207776591</v>
      </c>
      <c r="D24" s="59">
        <v>5.078910462035611</v>
      </c>
      <c r="E24" s="59">
        <v>5.8571309853276174</v>
      </c>
      <c r="F24" s="59">
        <v>5.452983304573189</v>
      </c>
      <c r="G24" s="59">
        <v>5.002943592924514</v>
      </c>
      <c r="H24" s="59">
        <v>5.022840242056868</v>
      </c>
      <c r="I24" s="59">
        <v>5.392323192048656</v>
      </c>
      <c r="J24" s="59">
        <v>5.9841807369090105</v>
      </c>
      <c r="K24" s="59">
        <v>6.6910372615034595</v>
      </c>
      <c r="L24" s="59">
        <v>6.71376373135293</v>
      </c>
      <c r="M24" s="215">
        <v>7.27714651091554</v>
      </c>
      <c r="N24" s="255">
        <f t="shared" si="2"/>
        <v>8.391459725215554</v>
      </c>
      <c r="O24" s="17" t="s">
        <v>12</v>
      </c>
      <c r="P24" s="309"/>
      <c r="Q24" s="308"/>
    </row>
    <row r="25" spans="1:17" ht="12.75" customHeight="1">
      <c r="A25" s="15"/>
      <c r="B25" s="91" t="s">
        <v>29</v>
      </c>
      <c r="C25" s="203">
        <v>1.8788998995106998</v>
      </c>
      <c r="D25" s="203">
        <v>1.8961685926874257</v>
      </c>
      <c r="E25" s="203">
        <v>2.000693558032783</v>
      </c>
      <c r="F25" s="203">
        <v>2.1804820101599613</v>
      </c>
      <c r="G25" s="203">
        <v>1.9610770952485</v>
      </c>
      <c r="H25" s="203">
        <v>2.1045873313087924</v>
      </c>
      <c r="I25" s="203">
        <v>2.157089340830361</v>
      </c>
      <c r="J25" s="203">
        <v>2.7314068623047962</v>
      </c>
      <c r="K25" s="203">
        <v>2.45924184577352</v>
      </c>
      <c r="L25" s="203">
        <v>2.9089434606293723</v>
      </c>
      <c r="M25" s="204">
        <v>2.643003441920126</v>
      </c>
      <c r="N25" s="256">
        <f t="shared" si="2"/>
        <v>-9.142151516815943</v>
      </c>
      <c r="O25" s="91" t="s">
        <v>29</v>
      </c>
      <c r="P25" s="309"/>
      <c r="Q25" s="308"/>
    </row>
    <row r="26" spans="1:17" ht="12.75" customHeight="1">
      <c r="A26" s="15"/>
      <c r="B26" s="17" t="s">
        <v>10</v>
      </c>
      <c r="C26" s="206">
        <v>22.20882237556989</v>
      </c>
      <c r="D26" s="206">
        <v>24.25465570945259</v>
      </c>
      <c r="E26" s="206">
        <v>26.15750704390402</v>
      </c>
      <c r="F26" s="206">
        <v>27.20579472873975</v>
      </c>
      <c r="G26" s="206">
        <v>22.343334546697704</v>
      </c>
      <c r="H26" s="206">
        <v>21.303895740560723</v>
      </c>
      <c r="I26" s="206">
        <v>21.07346221570778</v>
      </c>
      <c r="J26" s="206">
        <v>19.75900855410396</v>
      </c>
      <c r="K26" s="206">
        <v>20.063198467914958</v>
      </c>
      <c r="L26" s="206">
        <v>20.74466597455359</v>
      </c>
      <c r="M26" s="236">
        <v>22.06127395956336</v>
      </c>
      <c r="N26" s="255">
        <f t="shared" si="2"/>
        <v>6.346730222722229</v>
      </c>
      <c r="O26" s="17" t="s">
        <v>10</v>
      </c>
      <c r="P26" s="309"/>
      <c r="Q26" s="308"/>
    </row>
    <row r="27" spans="1:17" ht="12.75" customHeight="1">
      <c r="A27" s="15"/>
      <c r="B27" s="58" t="s">
        <v>13</v>
      </c>
      <c r="C27" s="410"/>
      <c r="D27" s="412"/>
      <c r="E27" s="412"/>
      <c r="F27" s="412"/>
      <c r="G27" s="412"/>
      <c r="H27" s="412"/>
      <c r="I27" s="412"/>
      <c r="J27" s="412"/>
      <c r="K27" s="412"/>
      <c r="L27" s="412"/>
      <c r="M27" s="411"/>
      <c r="N27" s="257"/>
      <c r="O27" s="58" t="s">
        <v>13</v>
      </c>
      <c r="P27" s="309"/>
      <c r="Q27" s="308"/>
    </row>
    <row r="28" spans="1:17" ht="12.75" customHeight="1">
      <c r="A28" s="15"/>
      <c r="B28" s="17" t="s">
        <v>21</v>
      </c>
      <c r="C28" s="59">
        <v>49.74629061696946</v>
      </c>
      <c r="D28" s="59">
        <v>50.08323452271459</v>
      </c>
      <c r="E28" s="59">
        <v>49.9850529209316</v>
      </c>
      <c r="F28" s="59">
        <v>51.3696464361302</v>
      </c>
      <c r="G28" s="59">
        <v>48.98111152744274</v>
      </c>
      <c r="H28" s="59">
        <v>49.170720022948395</v>
      </c>
      <c r="I28" s="59">
        <v>49.140716806790834</v>
      </c>
      <c r="J28" s="59">
        <v>47.01759327576898</v>
      </c>
      <c r="K28" s="59">
        <v>51.000215100204684</v>
      </c>
      <c r="L28" s="59">
        <v>51.53896746172657</v>
      </c>
      <c r="M28" s="215">
        <v>51.528090465453616</v>
      </c>
      <c r="N28" s="255">
        <f t="shared" si="2"/>
        <v>-0.021104412464282518</v>
      </c>
      <c r="O28" s="17" t="s">
        <v>21</v>
      </c>
      <c r="P28" s="309"/>
      <c r="Q28" s="308"/>
    </row>
    <row r="29" spans="1:17" ht="12.75" customHeight="1">
      <c r="A29" s="15"/>
      <c r="B29" s="91" t="s">
        <v>30</v>
      </c>
      <c r="C29" s="208">
        <v>32.38138072602243</v>
      </c>
      <c r="D29" s="208">
        <v>35.440497776109034</v>
      </c>
      <c r="E29" s="208">
        <v>38.54762394463393</v>
      </c>
      <c r="F29" s="208">
        <v>41.111043866369045</v>
      </c>
      <c r="G29" s="208">
        <v>35.72898571925888</v>
      </c>
      <c r="H29" s="208">
        <v>37.861436321100896</v>
      </c>
      <c r="I29" s="208">
        <v>39.07817415831835</v>
      </c>
      <c r="J29" s="208">
        <v>38.0198542200877</v>
      </c>
      <c r="K29" s="208">
        <v>38.5968084352982</v>
      </c>
      <c r="L29" s="208">
        <v>38.9358880147738</v>
      </c>
      <c r="M29" s="261">
        <v>40.547775130081604</v>
      </c>
      <c r="N29" s="256">
        <f t="shared" si="2"/>
        <v>4.139849371603361</v>
      </c>
      <c r="O29" s="91" t="s">
        <v>30</v>
      </c>
      <c r="P29" s="309"/>
      <c r="Q29" s="308"/>
    </row>
    <row r="30" spans="1:17" ht="12.75" customHeight="1">
      <c r="A30" s="15"/>
      <c r="B30" s="17" t="s">
        <v>14</v>
      </c>
      <c r="C30" s="59">
        <v>86.81153982873587</v>
      </c>
      <c r="D30" s="59">
        <v>91.00012286406606</v>
      </c>
      <c r="E30" s="59">
        <v>95.3348474163421</v>
      </c>
      <c r="F30" s="59">
        <v>101.63664418474924</v>
      </c>
      <c r="G30" s="59">
        <v>107.35587481029782</v>
      </c>
      <c r="H30" s="59">
        <v>116.21699760290893</v>
      </c>
      <c r="I30" s="59">
        <v>125.60186987621069</v>
      </c>
      <c r="J30" s="59">
        <v>127.87654066091758</v>
      </c>
      <c r="K30" s="59">
        <v>141.5422167845204</v>
      </c>
      <c r="L30" s="59">
        <v>138.53798125927258</v>
      </c>
      <c r="M30" s="215">
        <v>147.3695917018001</v>
      </c>
      <c r="N30" s="255">
        <f t="shared" si="2"/>
        <v>6.374865839858913</v>
      </c>
      <c r="O30" s="17" t="s">
        <v>14</v>
      </c>
      <c r="P30" s="309"/>
      <c r="Q30" s="308"/>
    </row>
    <row r="31" spans="1:17" ht="12.75" customHeight="1">
      <c r="A31" s="15"/>
      <c r="B31" s="91" t="s">
        <v>31</v>
      </c>
      <c r="C31" s="203">
        <v>23.861106448547513</v>
      </c>
      <c r="D31" s="203">
        <v>24.434706019003297</v>
      </c>
      <c r="E31" s="203">
        <v>25.87732662931777</v>
      </c>
      <c r="F31" s="203">
        <v>23.675799061433665</v>
      </c>
      <c r="G31" s="203">
        <v>20.921435122121764</v>
      </c>
      <c r="H31" s="203">
        <v>18.94939533184484</v>
      </c>
      <c r="I31" s="203">
        <v>19.056490446758794</v>
      </c>
      <c r="J31" s="203">
        <v>16.45951942232786</v>
      </c>
      <c r="K31" s="203">
        <v>15.759646554312239</v>
      </c>
      <c r="L31" s="203">
        <v>16.64932317780718</v>
      </c>
      <c r="M31" s="204">
        <v>16.32173483871335</v>
      </c>
      <c r="N31" s="256">
        <f t="shared" si="2"/>
        <v>-1.9675775140847236</v>
      </c>
      <c r="O31" s="91" t="s">
        <v>31</v>
      </c>
      <c r="P31" s="309"/>
      <c r="Q31" s="308"/>
    </row>
    <row r="32" spans="1:17" ht="12.75" customHeight="1">
      <c r="A32" s="15"/>
      <c r="B32" s="17" t="s">
        <v>15</v>
      </c>
      <c r="C32" s="213">
        <v>32.50925754118051</v>
      </c>
      <c r="D32" s="213">
        <v>32.57239672934683</v>
      </c>
      <c r="E32" s="213">
        <v>33.914632044073144</v>
      </c>
      <c r="F32" s="213">
        <v>30.958933923373845</v>
      </c>
      <c r="G32" s="213">
        <v>25.14834193788769</v>
      </c>
      <c r="H32" s="213">
        <v>15.615036670078807</v>
      </c>
      <c r="I32" s="213">
        <v>15.447449865840989</v>
      </c>
      <c r="J32" s="213">
        <v>16.86897560303549</v>
      </c>
      <c r="K32" s="213">
        <v>17.011525106354746</v>
      </c>
      <c r="L32" s="213">
        <v>16.54557028318079</v>
      </c>
      <c r="M32" s="214">
        <v>16.45781980594476</v>
      </c>
      <c r="N32" s="255">
        <f t="shared" si="2"/>
        <v>-0.5303563173354746</v>
      </c>
      <c r="O32" s="17" t="s">
        <v>15</v>
      </c>
      <c r="P32" s="309"/>
      <c r="Q32" s="308"/>
    </row>
    <row r="33" spans="1:17" ht="12.75" customHeight="1">
      <c r="A33" s="15"/>
      <c r="B33" s="91" t="s">
        <v>17</v>
      </c>
      <c r="C33" s="203">
        <v>7.307312247604474</v>
      </c>
      <c r="D33" s="203">
        <v>8.04289439821908</v>
      </c>
      <c r="E33" s="203">
        <v>8.456888011299537</v>
      </c>
      <c r="F33" s="203">
        <v>8.435419939181065</v>
      </c>
      <c r="G33" s="203">
        <v>7.312721638056319</v>
      </c>
      <c r="H33" s="203">
        <v>7.321513167152348</v>
      </c>
      <c r="I33" s="203">
        <v>7.29226014649901</v>
      </c>
      <c r="J33" s="203">
        <v>7.10626691976622</v>
      </c>
      <c r="K33" s="203">
        <v>7.14423337069741</v>
      </c>
      <c r="L33" s="203">
        <v>7.31814317014675</v>
      </c>
      <c r="M33" s="204">
        <v>7.75368745154467</v>
      </c>
      <c r="N33" s="256">
        <f t="shared" si="2"/>
        <v>5.9515681952582895</v>
      </c>
      <c r="O33" s="91" t="s">
        <v>17</v>
      </c>
      <c r="P33" s="309"/>
      <c r="Q33" s="308"/>
    </row>
    <row r="34" spans="1:17" ht="12.75" customHeight="1">
      <c r="A34" s="15"/>
      <c r="B34" s="17" t="s">
        <v>16</v>
      </c>
      <c r="C34" s="213">
        <v>10.527937660073155</v>
      </c>
      <c r="D34" s="213">
        <v>10.399220059945735</v>
      </c>
      <c r="E34" s="213">
        <v>12.16331567337247</v>
      </c>
      <c r="F34" s="213">
        <v>12.672540648940206</v>
      </c>
      <c r="G34" s="213">
        <v>11.607004611092629</v>
      </c>
      <c r="H34" s="213">
        <v>11.776453602577616</v>
      </c>
      <c r="I34" s="213">
        <v>11.951399957128286</v>
      </c>
      <c r="J34" s="213">
        <v>12.19854239892241</v>
      </c>
      <c r="K34" s="213">
        <v>12.296352303168609</v>
      </c>
      <c r="L34" s="213">
        <v>12.98100023386133</v>
      </c>
      <c r="M34" s="214">
        <v>13.82453494090068</v>
      </c>
      <c r="N34" s="255">
        <f t="shared" si="2"/>
        <v>6.498225805735402</v>
      </c>
      <c r="O34" s="17" t="s">
        <v>16</v>
      </c>
      <c r="P34" s="309"/>
      <c r="Q34" s="308"/>
    </row>
    <row r="35" spans="1:17" ht="12.75" customHeight="1">
      <c r="A35" s="15"/>
      <c r="B35" s="91" t="s">
        <v>32</v>
      </c>
      <c r="C35" s="203">
        <v>28.808963842747477</v>
      </c>
      <c r="D35" s="203">
        <v>26.52365723807053</v>
      </c>
      <c r="E35" s="203">
        <v>27.05002016729235</v>
      </c>
      <c r="F35" s="203">
        <v>28.714320893272802</v>
      </c>
      <c r="G35" s="203">
        <v>25.397070133212612</v>
      </c>
      <c r="H35" s="203">
        <v>26.48876395597503</v>
      </c>
      <c r="I35" s="203">
        <v>24.595234999554382</v>
      </c>
      <c r="J35" s="203">
        <v>22.99406903744862</v>
      </c>
      <c r="K35" s="203">
        <v>21.8932789675415</v>
      </c>
      <c r="L35" s="203">
        <v>21.48565577750336</v>
      </c>
      <c r="M35" s="204">
        <v>22.776561462951854</v>
      </c>
      <c r="N35" s="256">
        <f t="shared" si="2"/>
        <v>6.008221014134179</v>
      </c>
      <c r="O35" s="91" t="s">
        <v>32</v>
      </c>
      <c r="P35" s="309"/>
      <c r="Q35" s="308"/>
    </row>
    <row r="36" spans="1:17" ht="12.75" customHeight="1">
      <c r="A36" s="15"/>
      <c r="B36" s="17" t="s">
        <v>33</v>
      </c>
      <c r="C36" s="213">
        <v>45.11531791761173</v>
      </c>
      <c r="D36" s="213">
        <v>46.78847446211154</v>
      </c>
      <c r="E36" s="213">
        <v>47.93511056979689</v>
      </c>
      <c r="F36" s="213">
        <v>48.8968528873092</v>
      </c>
      <c r="G36" s="213">
        <v>40.78704589439581</v>
      </c>
      <c r="H36" s="213">
        <v>42.44900974922502</v>
      </c>
      <c r="I36" s="213">
        <v>42.90362385303556</v>
      </c>
      <c r="J36" s="213">
        <v>39.59258859089917</v>
      </c>
      <c r="K36" s="213">
        <v>41.21569515834709</v>
      </c>
      <c r="L36" s="213">
        <v>48.825807972453845</v>
      </c>
      <c r="M36" s="214">
        <v>49.3997503502624</v>
      </c>
      <c r="N36" s="255">
        <f t="shared" si="2"/>
        <v>1.1754897699437095</v>
      </c>
      <c r="O36" s="17" t="s">
        <v>33</v>
      </c>
      <c r="P36" s="309"/>
      <c r="Q36" s="308"/>
    </row>
    <row r="37" spans="1:17" ht="12.75" customHeight="1">
      <c r="A37" s="15"/>
      <c r="B37" s="94" t="s">
        <v>22</v>
      </c>
      <c r="C37" s="217">
        <v>167.2981239691594</v>
      </c>
      <c r="D37" s="217">
        <v>171.4977688848444</v>
      </c>
      <c r="E37" s="217">
        <v>178.1346029389962</v>
      </c>
      <c r="F37" s="217">
        <v>167.65821628614697</v>
      </c>
      <c r="G37" s="217">
        <v>145.0044099718719</v>
      </c>
      <c r="H37" s="217">
        <v>151.50926881682688</v>
      </c>
      <c r="I37" s="260">
        <v>157.5543899226872</v>
      </c>
      <c r="J37" s="260">
        <v>163.38966733900753</v>
      </c>
      <c r="K37" s="260">
        <v>152.21313254510474</v>
      </c>
      <c r="L37" s="260">
        <v>149.58874951193238</v>
      </c>
      <c r="M37" s="243">
        <v>166.04674744042595</v>
      </c>
      <c r="N37" s="258">
        <f t="shared" si="2"/>
        <v>11.002162918128235</v>
      </c>
      <c r="O37" s="94" t="s">
        <v>22</v>
      </c>
      <c r="P37" s="309"/>
      <c r="Q37" s="308"/>
    </row>
    <row r="38" spans="1:16" ht="12.75" customHeight="1">
      <c r="A38" s="15"/>
      <c r="B38" s="17" t="s">
        <v>121</v>
      </c>
      <c r="C38" s="206"/>
      <c r="D38" s="206"/>
      <c r="E38" s="206"/>
      <c r="F38" s="206"/>
      <c r="G38" s="206"/>
      <c r="H38" s="206"/>
      <c r="I38" s="206"/>
      <c r="J38" s="206"/>
      <c r="K38" s="206"/>
      <c r="L38" s="206"/>
      <c r="M38" s="236"/>
      <c r="N38" s="255"/>
      <c r="O38" s="17" t="s">
        <v>121</v>
      </c>
      <c r="P38" s="23"/>
    </row>
    <row r="39" spans="1:16" ht="12.75" customHeight="1">
      <c r="A39" s="15"/>
      <c r="B39" s="276" t="s">
        <v>112</v>
      </c>
      <c r="C39" s="278"/>
      <c r="D39" s="278"/>
      <c r="E39" s="278"/>
      <c r="F39" s="278"/>
      <c r="G39" s="278"/>
      <c r="H39" s="278"/>
      <c r="I39" s="278"/>
      <c r="J39" s="278"/>
      <c r="K39" s="278"/>
      <c r="L39" s="278"/>
      <c r="M39" s="292"/>
      <c r="N39" s="306"/>
      <c r="O39" s="276" t="s">
        <v>112</v>
      </c>
      <c r="P39" s="23"/>
    </row>
    <row r="40" spans="1:16" ht="12.75" customHeight="1">
      <c r="A40" s="15"/>
      <c r="B40" s="17" t="s">
        <v>3</v>
      </c>
      <c r="C40" s="59"/>
      <c r="D40" s="59"/>
      <c r="E40" s="59"/>
      <c r="F40" s="59"/>
      <c r="G40" s="59"/>
      <c r="H40" s="59"/>
      <c r="I40" s="59"/>
      <c r="J40" s="59"/>
      <c r="K40" s="59"/>
      <c r="L40" s="59"/>
      <c r="M40" s="215"/>
      <c r="N40" s="255"/>
      <c r="O40" s="17" t="s">
        <v>3</v>
      </c>
      <c r="P40" s="23"/>
    </row>
    <row r="41" spans="1:16" ht="12.75" customHeight="1">
      <c r="A41" s="15"/>
      <c r="B41" s="276" t="s">
        <v>113</v>
      </c>
      <c r="C41" s="278"/>
      <c r="D41" s="278"/>
      <c r="E41" s="278"/>
      <c r="F41" s="278"/>
      <c r="G41" s="278"/>
      <c r="H41" s="278"/>
      <c r="I41" s="278"/>
      <c r="J41" s="278"/>
      <c r="K41" s="278"/>
      <c r="L41" s="278"/>
      <c r="M41" s="292"/>
      <c r="N41" s="306"/>
      <c r="O41" s="276" t="s">
        <v>113</v>
      </c>
      <c r="P41" s="23"/>
    </row>
    <row r="42" spans="1:16" ht="12.75" customHeight="1">
      <c r="A42" s="15"/>
      <c r="B42" s="18" t="s">
        <v>18</v>
      </c>
      <c r="C42" s="60"/>
      <c r="D42" s="60"/>
      <c r="E42" s="60"/>
      <c r="F42" s="60"/>
      <c r="G42" s="60"/>
      <c r="H42" s="60"/>
      <c r="I42" s="60"/>
      <c r="J42" s="60"/>
      <c r="K42" s="60"/>
      <c r="L42" s="60"/>
      <c r="M42" s="219"/>
      <c r="N42" s="259"/>
      <c r="O42" s="18" t="s">
        <v>18</v>
      </c>
      <c r="P42" s="23"/>
    </row>
    <row r="43" spans="1:16" ht="12.75" customHeight="1">
      <c r="A43" s="15"/>
      <c r="B43" s="294" t="s">
        <v>4</v>
      </c>
      <c r="C43" s="297"/>
      <c r="D43" s="297"/>
      <c r="E43" s="297"/>
      <c r="F43" s="297"/>
      <c r="G43" s="297"/>
      <c r="H43" s="297"/>
      <c r="I43" s="298"/>
      <c r="J43" s="298"/>
      <c r="K43" s="298"/>
      <c r="L43" s="298"/>
      <c r="M43" s="299"/>
      <c r="N43" s="307"/>
      <c r="O43" s="294" t="s">
        <v>4</v>
      </c>
      <c r="P43" s="23"/>
    </row>
    <row r="44" spans="1:16" ht="12.75" customHeight="1">
      <c r="A44" s="15"/>
      <c r="B44" s="17" t="s">
        <v>34</v>
      </c>
      <c r="C44" s="59">
        <v>17.146508685921173</v>
      </c>
      <c r="D44" s="59">
        <v>17.822798132876812</v>
      </c>
      <c r="E44" s="59">
        <v>17.91117513847166</v>
      </c>
      <c r="F44" s="59">
        <v>19.5874502197437</v>
      </c>
      <c r="G44" s="59">
        <v>17.868884368585746</v>
      </c>
      <c r="H44" s="59">
        <v>19.14077040984116</v>
      </c>
      <c r="I44" s="59">
        <v>19.11057328664377</v>
      </c>
      <c r="J44" s="59">
        <v>20.03683130473766</v>
      </c>
      <c r="K44" s="59">
        <v>22.02071044532175</v>
      </c>
      <c r="L44" s="59">
        <v>22.22617645077484</v>
      </c>
      <c r="M44" s="215">
        <v>23.70411769260134</v>
      </c>
      <c r="N44" s="255">
        <f>M44/L44*100-100</f>
        <v>6.649552364977168</v>
      </c>
      <c r="O44" s="17" t="s">
        <v>34</v>
      </c>
      <c r="P44" s="23"/>
    </row>
    <row r="45" spans="1:16" ht="12.75" customHeight="1">
      <c r="A45" s="15"/>
      <c r="B45" s="321" t="s">
        <v>5</v>
      </c>
      <c r="C45" s="281">
        <v>23.00769685687968</v>
      </c>
      <c r="D45" s="281">
        <v>23.25856754969014</v>
      </c>
      <c r="E45" s="281">
        <v>22.048322357583544</v>
      </c>
      <c r="F45" s="281">
        <v>22.285776574414683</v>
      </c>
      <c r="G45" s="281">
        <v>20.88645377654663</v>
      </c>
      <c r="H45" s="281">
        <v>21.60194082713814</v>
      </c>
      <c r="I45" s="281">
        <v>21.171207494683856</v>
      </c>
      <c r="J45" s="281">
        <v>20.849872959497766</v>
      </c>
      <c r="K45" s="281">
        <v>20.827749283283858</v>
      </c>
      <c r="L45" s="281">
        <v>21.68838959806049</v>
      </c>
      <c r="M45" s="323">
        <v>20.79337341042709</v>
      </c>
      <c r="N45" s="365">
        <f>M45/L45*100-100</f>
        <v>-4.126706520033352</v>
      </c>
      <c r="O45" s="321" t="s">
        <v>5</v>
      </c>
      <c r="P45" s="23"/>
    </row>
    <row r="46" spans="1:16" ht="7.5" customHeight="1">
      <c r="A46" s="15"/>
      <c r="B46" s="366"/>
      <c r="C46" s="366"/>
      <c r="D46" s="366"/>
      <c r="E46" s="366"/>
      <c r="F46" s="366"/>
      <c r="G46" s="366"/>
      <c r="H46" s="366"/>
      <c r="I46" s="366"/>
      <c r="J46" s="366"/>
      <c r="K46" s="366"/>
      <c r="L46" s="366"/>
      <c r="M46" s="366"/>
      <c r="N46" s="366"/>
      <c r="O46" s="366"/>
      <c r="P46" s="23"/>
    </row>
    <row r="47" spans="2:16" ht="17.25" customHeight="1">
      <c r="B47" s="509" t="s">
        <v>130</v>
      </c>
      <c r="C47" s="510"/>
      <c r="D47" s="510"/>
      <c r="E47" s="510"/>
      <c r="F47" s="510"/>
      <c r="G47" s="510"/>
      <c r="H47" s="510"/>
      <c r="I47" s="510"/>
      <c r="J47" s="510"/>
      <c r="K47" s="510"/>
      <c r="L47" s="510"/>
      <c r="M47" s="510"/>
      <c r="N47" s="510"/>
      <c r="O47" s="510"/>
      <c r="P47" s="510"/>
    </row>
    <row r="48" ht="12.75" customHeight="1">
      <c r="B48" s="11" t="s">
        <v>2</v>
      </c>
    </row>
    <row r="49" ht="12.75" customHeight="1">
      <c r="B49" s="3" t="s">
        <v>84</v>
      </c>
    </row>
    <row r="50" ht="11.25" customHeight="1">
      <c r="B50" s="103" t="s">
        <v>87</v>
      </c>
    </row>
    <row r="51" spans="2:13" ht="12.75">
      <c r="B51" s="413" t="s">
        <v>140</v>
      </c>
      <c r="C51" s="3"/>
      <c r="D51" s="3"/>
      <c r="E51" s="3"/>
      <c r="F51" s="3"/>
      <c r="G51" s="3"/>
      <c r="H51" s="3"/>
      <c r="I51" s="3"/>
      <c r="J51" s="3"/>
      <c r="K51" s="3"/>
      <c r="L51" s="3"/>
      <c r="M51" s="3"/>
    </row>
  </sheetData>
  <sheetProtection/>
  <mergeCells count="3">
    <mergeCell ref="B2:P2"/>
    <mergeCell ref="B3:P3"/>
    <mergeCell ref="B47:P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44">
    <pageSetUpPr fitToPage="1"/>
  </sheetPr>
  <dimension ref="A1:AH79"/>
  <sheetViews>
    <sheetView zoomScalePageLayoutView="0" workbookViewId="0" topLeftCell="A16">
      <selection activeCell="AH38" sqref="A36:AH38"/>
    </sheetView>
  </sheetViews>
  <sheetFormatPr defaultColWidth="9.140625" defaultRowHeight="12.75"/>
  <cols>
    <col min="1" max="1" width="3.57421875" style="0" customWidth="1"/>
    <col min="2" max="2" width="7.28125" style="3" customWidth="1"/>
    <col min="3" max="20" width="6.7109375" style="3" customWidth="1"/>
    <col min="21" max="30" width="7.28125" style="3" customWidth="1"/>
    <col min="31" max="31" width="6.28125" style="3" customWidth="1"/>
    <col min="32" max="32" width="5.57421875" style="3" customWidth="1"/>
    <col min="33" max="16384" width="9.140625" style="3" customWidth="1"/>
  </cols>
  <sheetData>
    <row r="1" spans="2:32"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F1" s="39" t="s">
        <v>96</v>
      </c>
    </row>
    <row r="2" spans="1:32" s="48" customFormat="1" ht="30" customHeight="1">
      <c r="A2" s="82"/>
      <c r="B2" s="512" t="s">
        <v>40</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2" ht="12.75">
      <c r="B3" s="4"/>
      <c r="C3" s="4"/>
      <c r="E3" s="28"/>
      <c r="F3" s="28"/>
      <c r="G3" s="28"/>
      <c r="H3" s="28"/>
      <c r="I3" s="28"/>
      <c r="K3" s="30"/>
      <c r="L3" s="30"/>
      <c r="M3" s="30"/>
      <c r="N3" s="30"/>
      <c r="O3" s="30"/>
      <c r="Q3" s="44"/>
      <c r="R3" s="44"/>
      <c r="X3" s="248" t="s">
        <v>111</v>
      </c>
      <c r="Y3" s="21"/>
      <c r="Z3" s="21"/>
      <c r="AA3" s="21"/>
      <c r="AB3" s="21"/>
      <c r="AC3" s="21"/>
      <c r="AD3" s="21"/>
      <c r="AE3" s="6"/>
      <c r="AF3" s="46"/>
    </row>
    <row r="4" spans="2:32"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row>
    <row r="5" spans="2:32" ht="9.75" customHeight="1">
      <c r="B5" s="180"/>
      <c r="C5" s="119"/>
      <c r="D5" s="119"/>
      <c r="E5" s="86"/>
      <c r="F5" s="86"/>
      <c r="G5" s="86"/>
      <c r="H5" s="86"/>
      <c r="I5" s="86"/>
      <c r="J5" s="86"/>
      <c r="K5" s="86"/>
      <c r="L5" s="86"/>
      <c r="M5" s="86"/>
      <c r="N5" s="86"/>
      <c r="O5" s="86"/>
      <c r="P5" s="86"/>
      <c r="Q5" s="86"/>
      <c r="R5" s="86"/>
      <c r="S5" s="86"/>
      <c r="T5" s="86"/>
      <c r="U5" s="86"/>
      <c r="V5" s="86"/>
      <c r="W5" s="86"/>
      <c r="X5" s="86"/>
      <c r="Y5" s="86"/>
      <c r="Z5" s="86"/>
      <c r="AA5" s="86"/>
      <c r="AB5" s="86"/>
      <c r="AC5" s="86"/>
      <c r="AD5" s="86"/>
      <c r="AE5" s="71" t="s">
        <v>72</v>
      </c>
      <c r="AF5" s="66"/>
    </row>
    <row r="6" spans="2:32" ht="12.75" customHeight="1">
      <c r="B6" s="90" t="s">
        <v>118</v>
      </c>
      <c r="C6" s="148">
        <f>SUM(C9:C36)+55.9</f>
        <v>551.069</v>
      </c>
      <c r="D6" s="148">
        <f>SUM(D9:D36)+66.2</f>
        <v>641.432</v>
      </c>
      <c r="E6" s="146">
        <f>SUM(E9:E36)+59.4</f>
        <v>526.343</v>
      </c>
      <c r="F6" s="146">
        <f>SUM(F9:F36)+45.8</f>
        <v>443.929011</v>
      </c>
      <c r="G6" s="146">
        <f>SUM(G9:G36)+44</f>
        <v>394.464591</v>
      </c>
      <c r="H6" s="146">
        <f>SUM(H9:H36)</f>
        <v>371.69550899999996</v>
      </c>
      <c r="I6" s="146">
        <f aca="true" t="shared" si="0" ref="I6:AA6">SUM(I9:I36)</f>
        <v>380.15225799999996</v>
      </c>
      <c r="J6" s="146">
        <f t="shared" si="0"/>
        <v>388.11806800000005</v>
      </c>
      <c r="K6" s="146">
        <f t="shared" si="0"/>
        <v>393.8630000000001</v>
      </c>
      <c r="L6" s="146">
        <f t="shared" si="0"/>
        <v>411.2519999999999</v>
      </c>
      <c r="M6" s="146">
        <f t="shared" si="0"/>
        <v>394.337525</v>
      </c>
      <c r="N6" s="146">
        <f t="shared" si="0"/>
        <v>385.31001500293985</v>
      </c>
      <c r="O6" s="146">
        <f t="shared" si="0"/>
        <v>405.4637546422241</v>
      </c>
      <c r="P6" s="146">
        <f t="shared" si="0"/>
        <v>388.048302252257</v>
      </c>
      <c r="Q6" s="146">
        <f t="shared" si="0"/>
        <v>385.983192553031</v>
      </c>
      <c r="R6" s="146">
        <f t="shared" si="0"/>
        <v>394.37526875462396</v>
      </c>
      <c r="S6" s="146">
        <f t="shared" si="0"/>
        <v>419.326370260433</v>
      </c>
      <c r="T6" s="146">
        <f t="shared" si="0"/>
        <v>416.0241804501331</v>
      </c>
      <c r="U6" s="146">
        <f t="shared" si="0"/>
        <v>438.164920252945</v>
      </c>
      <c r="V6" s="264">
        <f t="shared" si="0"/>
        <v>452</v>
      </c>
      <c r="W6" s="167">
        <f t="shared" si="0"/>
        <v>442.7629999999999</v>
      </c>
      <c r="X6" s="167">
        <f t="shared" si="0"/>
        <v>363.541</v>
      </c>
      <c r="Y6" s="167">
        <f t="shared" si="0"/>
        <v>393.531</v>
      </c>
      <c r="Z6" s="167">
        <f t="shared" si="0"/>
        <v>422.0969999999999</v>
      </c>
      <c r="AA6" s="146">
        <f t="shared" si="0"/>
        <v>406.661</v>
      </c>
      <c r="AB6" s="146">
        <f>SUM(AB9:AB36)</f>
        <v>406.7200000000001</v>
      </c>
      <c r="AC6" s="146">
        <f>SUM(AC9:AC36)</f>
        <v>410.82399999999996</v>
      </c>
      <c r="AD6" s="146">
        <f>SUM(AD9:AD36)</f>
        <v>417.5400000000001</v>
      </c>
      <c r="AE6" s="148">
        <f>AD6/AC6*100-100</f>
        <v>1.6347633049676062</v>
      </c>
      <c r="AF6" s="90" t="s">
        <v>118</v>
      </c>
    </row>
    <row r="7" spans="1:32" ht="12.75" customHeight="1">
      <c r="A7" s="15"/>
      <c r="B7" s="91" t="s">
        <v>119</v>
      </c>
      <c r="C7" s="149">
        <f>C9+C12+C13+SUM(C15:C20)+C24+C27+C28+C30+SUM(C34:C36)</f>
        <v>282.45900000000006</v>
      </c>
      <c r="D7" s="149">
        <f>D9+D12+D13+SUM(D15:D20)+D24+D27+D28+D30+SUM(D34:D36)</f>
        <v>289.822</v>
      </c>
      <c r="E7" s="93">
        <f>E9+E12+E13+SUM(E15:E18)+E24+E27+E28+E30+SUM(E34:E36)+E20</f>
        <v>256.511</v>
      </c>
      <c r="F7" s="93">
        <f>F9+F12+F13+SUM(F15:F18)+F24+F27+F28+F30+SUM(F34:F36)+F20</f>
        <v>235.668011</v>
      </c>
      <c r="G7" s="93">
        <f>G9+G12+G13+SUM(G15:G18)+G24+G27+G28+G30+SUM(G34:G36)+G20</f>
        <v>223.08759099999997</v>
      </c>
      <c r="H7" s="93">
        <f>H9+H12+H13+SUM(H15:H18)+H24+H27+H28+H30+SUM(H34:H36)+H20</f>
        <v>205.43950900000002</v>
      </c>
      <c r="I7" s="93">
        <f aca="true" t="shared" si="1" ref="I7:AA7">I9+I12+I13+SUM(I15:I18)+I24+I27+I28+I30+SUM(I34:I36)+I20</f>
        <v>219.61625800000002</v>
      </c>
      <c r="J7" s="93">
        <f t="shared" si="1"/>
        <v>222.73306799999997</v>
      </c>
      <c r="K7" s="93">
        <f t="shared" si="1"/>
        <v>223.77200000000002</v>
      </c>
      <c r="L7" s="93">
        <f t="shared" si="1"/>
        <v>240.20200000000003</v>
      </c>
      <c r="M7" s="93">
        <f t="shared" si="1"/>
        <v>239.98352500000004</v>
      </c>
      <c r="N7" s="93">
        <f t="shared" si="1"/>
        <v>243.43601500294002</v>
      </c>
      <c r="O7" s="93">
        <f t="shared" si="1"/>
        <v>257.067754642224</v>
      </c>
      <c r="P7" s="93">
        <f t="shared" si="1"/>
        <v>248.427302252257</v>
      </c>
      <c r="Q7" s="93">
        <f t="shared" si="1"/>
        <v>245.78019255303101</v>
      </c>
      <c r="R7" s="93">
        <f t="shared" si="1"/>
        <v>248.47926875462403</v>
      </c>
      <c r="S7" s="93">
        <f t="shared" si="1"/>
        <v>264.833370260433</v>
      </c>
      <c r="T7" s="93">
        <f t="shared" si="1"/>
        <v>261.933180450133</v>
      </c>
      <c r="U7" s="93">
        <f t="shared" si="1"/>
        <v>280.598920252945</v>
      </c>
      <c r="V7" s="265">
        <f t="shared" si="1"/>
        <v>292.45700000000005</v>
      </c>
      <c r="W7" s="169">
        <f t="shared" si="1"/>
        <v>289.077</v>
      </c>
      <c r="X7" s="169">
        <f t="shared" si="1"/>
        <v>236.41699999999997</v>
      </c>
      <c r="Y7" s="169">
        <f t="shared" si="1"/>
        <v>255.416</v>
      </c>
      <c r="Z7" s="169">
        <f t="shared" si="1"/>
        <v>269.988</v>
      </c>
      <c r="AA7" s="93">
        <f t="shared" si="1"/>
        <v>263.321</v>
      </c>
      <c r="AB7" s="93">
        <f>AB9+AB12+AB13+SUM(AB15:AB18)+AB24+AB27+AB28+AB30+SUM(AB34:AB36)+AB20</f>
        <v>263.98799999999994</v>
      </c>
      <c r="AC7" s="93">
        <f>AC9+AC12+AC13+SUM(AC15:AC18)+AC24+AC27+AC28+AC30+SUM(AC34:AC36)+AC20</f>
        <v>268.254</v>
      </c>
      <c r="AD7" s="93">
        <f>AD9+AD12+AD13+SUM(AD15:AD18)+AD24+AD27+AD28+AD30+SUM(AD34:AD36)+AD20</f>
        <v>273.48599999999993</v>
      </c>
      <c r="AE7" s="149">
        <f aca="true" t="shared" si="2" ref="AE7:AE44">AD7/AC7*100-100</f>
        <v>1.9503903017289161</v>
      </c>
      <c r="AF7" s="91" t="s">
        <v>119</v>
      </c>
    </row>
    <row r="8" spans="1:32" ht="12.75" customHeight="1">
      <c r="A8" s="15"/>
      <c r="B8" s="94" t="s">
        <v>120</v>
      </c>
      <c r="C8" s="150">
        <f>C6-C7</f>
        <v>268.6099999999999</v>
      </c>
      <c r="D8" s="150">
        <f>D6-D7</f>
        <v>351.61</v>
      </c>
      <c r="E8" s="95">
        <f>E6-E7</f>
        <v>269.83199999999994</v>
      </c>
      <c r="F8" s="95">
        <f>F6-F7</f>
        <v>208.261</v>
      </c>
      <c r="G8" s="95">
        <f>G6-G7</f>
        <v>171.377</v>
      </c>
      <c r="H8" s="95">
        <f>H6-H7</f>
        <v>166.25599999999994</v>
      </c>
      <c r="I8" s="95">
        <f aca="true" t="shared" si="3" ref="I8:AA8">I6-I7</f>
        <v>160.53599999999994</v>
      </c>
      <c r="J8" s="95">
        <f t="shared" si="3"/>
        <v>165.38500000000008</v>
      </c>
      <c r="K8" s="95">
        <f t="shared" si="3"/>
        <v>170.0910000000001</v>
      </c>
      <c r="L8" s="95">
        <f t="shared" si="3"/>
        <v>171.04999999999987</v>
      </c>
      <c r="M8" s="95">
        <f t="shared" si="3"/>
        <v>154.35399999999998</v>
      </c>
      <c r="N8" s="95">
        <f t="shared" si="3"/>
        <v>141.87399999999982</v>
      </c>
      <c r="O8" s="95">
        <f t="shared" si="3"/>
        <v>148.39600000000013</v>
      </c>
      <c r="P8" s="95">
        <f t="shared" si="3"/>
        <v>139.62099999999998</v>
      </c>
      <c r="Q8" s="95">
        <f t="shared" si="3"/>
        <v>140.203</v>
      </c>
      <c r="R8" s="95">
        <f t="shared" si="3"/>
        <v>145.89599999999993</v>
      </c>
      <c r="S8" s="266">
        <f t="shared" si="3"/>
        <v>154.493</v>
      </c>
      <c r="T8" s="266">
        <f t="shared" si="3"/>
        <v>154.09100000000007</v>
      </c>
      <c r="U8" s="95">
        <f t="shared" si="3"/>
        <v>157.56600000000003</v>
      </c>
      <c r="V8" s="266">
        <f t="shared" si="3"/>
        <v>159.54299999999995</v>
      </c>
      <c r="W8" s="171">
        <f t="shared" si="3"/>
        <v>153.68599999999992</v>
      </c>
      <c r="X8" s="171">
        <f t="shared" si="3"/>
        <v>127.12400000000002</v>
      </c>
      <c r="Y8" s="171">
        <f t="shared" si="3"/>
        <v>138.115</v>
      </c>
      <c r="Z8" s="171">
        <f t="shared" si="3"/>
        <v>152.10899999999992</v>
      </c>
      <c r="AA8" s="171">
        <f t="shared" si="3"/>
        <v>143.33999999999997</v>
      </c>
      <c r="AB8" s="171">
        <f>AB6-AB7</f>
        <v>142.73200000000014</v>
      </c>
      <c r="AC8" s="171">
        <f>AC6-AC7</f>
        <v>142.56999999999994</v>
      </c>
      <c r="AD8" s="171">
        <f>AD6-AD7</f>
        <v>144.05400000000014</v>
      </c>
      <c r="AE8" s="239">
        <f t="shared" si="2"/>
        <v>1.040892193308693</v>
      </c>
      <c r="AF8" s="94" t="s">
        <v>120</v>
      </c>
    </row>
    <row r="9" spans="1:32" ht="12.75" customHeight="1">
      <c r="A9" s="15"/>
      <c r="B9" s="17" t="s">
        <v>23</v>
      </c>
      <c r="C9" s="199">
        <v>7.876</v>
      </c>
      <c r="D9" s="199">
        <v>8.037</v>
      </c>
      <c r="E9" s="199">
        <v>8.37</v>
      </c>
      <c r="F9" s="235">
        <v>8.203</v>
      </c>
      <c r="G9" s="235">
        <v>8.361</v>
      </c>
      <c r="H9" s="235">
        <v>7.596</v>
      </c>
      <c r="I9" s="235">
        <v>8.097</v>
      </c>
      <c r="J9" s="200">
        <v>7.304</v>
      </c>
      <c r="K9" s="200">
        <v>7.244</v>
      </c>
      <c r="L9" s="200">
        <v>7.465</v>
      </c>
      <c r="M9" s="200">
        <v>7.6</v>
      </c>
      <c r="N9" s="201">
        <v>7.392</v>
      </c>
      <c r="O9" s="200">
        <v>7.674</v>
      </c>
      <c r="P9" s="200">
        <v>7.081</v>
      </c>
      <c r="Q9" s="200">
        <v>7.297</v>
      </c>
      <c r="R9" s="200">
        <v>7.293</v>
      </c>
      <c r="S9" s="200">
        <v>7.691</v>
      </c>
      <c r="T9" s="200">
        <v>8.13</v>
      </c>
      <c r="U9" s="200">
        <v>8.572</v>
      </c>
      <c r="V9" s="200">
        <v>9.258</v>
      </c>
      <c r="W9" s="200">
        <v>8.927</v>
      </c>
      <c r="X9" s="200">
        <v>6.374</v>
      </c>
      <c r="Y9" s="235">
        <v>7.476</v>
      </c>
      <c r="Z9" s="235">
        <v>7.593</v>
      </c>
      <c r="AA9" s="285">
        <f>(1700+1700+1600+1500)/1000+0.78</f>
        <v>7.28</v>
      </c>
      <c r="AB9" s="285">
        <v>7.28</v>
      </c>
      <c r="AC9" s="285">
        <v>7.28</v>
      </c>
      <c r="AD9" s="285">
        <v>7.28</v>
      </c>
      <c r="AE9" s="305">
        <f t="shared" si="2"/>
        <v>0</v>
      </c>
      <c r="AF9" s="17" t="s">
        <v>23</v>
      </c>
    </row>
    <row r="10" spans="1:32" ht="12.75" customHeight="1">
      <c r="A10" s="15"/>
      <c r="B10" s="91" t="s">
        <v>6</v>
      </c>
      <c r="C10" s="202">
        <v>13.7</v>
      </c>
      <c r="D10" s="202">
        <v>17.68</v>
      </c>
      <c r="E10" s="202">
        <v>14.13</v>
      </c>
      <c r="F10" s="203">
        <v>8.7</v>
      </c>
      <c r="G10" s="203">
        <v>7.76</v>
      </c>
      <c r="H10" s="203">
        <v>7.7</v>
      </c>
      <c r="I10" s="203">
        <v>7.77</v>
      </c>
      <c r="J10" s="203">
        <v>8.6</v>
      </c>
      <c r="K10" s="203">
        <v>7.517</v>
      </c>
      <c r="L10" s="203">
        <v>7.405</v>
      </c>
      <c r="M10" s="203">
        <v>6.152</v>
      </c>
      <c r="N10" s="203">
        <v>5.2</v>
      </c>
      <c r="O10" s="203">
        <v>5.538</v>
      </c>
      <c r="P10" s="203">
        <v>4.9</v>
      </c>
      <c r="Q10" s="203">
        <v>4.627</v>
      </c>
      <c r="R10" s="203">
        <v>5.274</v>
      </c>
      <c r="S10" s="203">
        <v>5.211</v>
      </c>
      <c r="T10" s="203">
        <v>5.163</v>
      </c>
      <c r="U10" s="203">
        <v>5.396</v>
      </c>
      <c r="V10" s="203">
        <v>5.241</v>
      </c>
      <c r="W10" s="203">
        <v>4.693</v>
      </c>
      <c r="X10" s="203">
        <v>3.145</v>
      </c>
      <c r="Y10" s="203">
        <v>3.064</v>
      </c>
      <c r="Z10" s="203">
        <v>3.291</v>
      </c>
      <c r="AA10" s="203">
        <v>2.907</v>
      </c>
      <c r="AB10" s="203">
        <v>3.246</v>
      </c>
      <c r="AC10" s="203">
        <v>3.439</v>
      </c>
      <c r="AD10" s="204">
        <v>3.65</v>
      </c>
      <c r="AE10" s="153">
        <f t="shared" si="2"/>
        <v>6.135504507124168</v>
      </c>
      <c r="AF10" s="91" t="s">
        <v>6</v>
      </c>
    </row>
    <row r="11" spans="1:32" ht="12.75" customHeight="1">
      <c r="A11" s="15"/>
      <c r="B11" s="17" t="s">
        <v>8</v>
      </c>
      <c r="C11" s="205"/>
      <c r="D11" s="205"/>
      <c r="E11" s="205"/>
      <c r="F11" s="206"/>
      <c r="G11" s="206"/>
      <c r="H11" s="206">
        <v>25.2</v>
      </c>
      <c r="I11" s="206">
        <v>22.8</v>
      </c>
      <c r="J11" s="206">
        <v>22.623</v>
      </c>
      <c r="K11" s="206">
        <v>22.339</v>
      </c>
      <c r="L11" s="206">
        <v>21.01</v>
      </c>
      <c r="M11" s="206">
        <v>18.709</v>
      </c>
      <c r="N11" s="206">
        <v>16.713</v>
      </c>
      <c r="O11" s="206">
        <v>17.496</v>
      </c>
      <c r="P11" s="206">
        <v>16.9</v>
      </c>
      <c r="Q11" s="206">
        <v>15.81</v>
      </c>
      <c r="R11" s="206">
        <v>15.862</v>
      </c>
      <c r="S11" s="206">
        <v>15.092</v>
      </c>
      <c r="T11" s="206">
        <v>14.866</v>
      </c>
      <c r="U11" s="206">
        <v>15.779</v>
      </c>
      <c r="V11" s="206">
        <v>16.304</v>
      </c>
      <c r="W11" s="206">
        <v>15.437</v>
      </c>
      <c r="X11" s="206">
        <v>12.791</v>
      </c>
      <c r="Y11" s="206">
        <v>13.77</v>
      </c>
      <c r="Z11" s="206">
        <v>14.316</v>
      </c>
      <c r="AA11" s="206">
        <v>14.267</v>
      </c>
      <c r="AB11" s="206">
        <v>13.965</v>
      </c>
      <c r="AC11" s="206">
        <v>14.574</v>
      </c>
      <c r="AD11" s="236">
        <v>15.261</v>
      </c>
      <c r="AE11" s="152">
        <f t="shared" si="2"/>
        <v>4.7138740222313515</v>
      </c>
      <c r="AF11" s="17" t="s">
        <v>8</v>
      </c>
    </row>
    <row r="12" spans="1:32" ht="12.75" customHeight="1">
      <c r="A12" s="15"/>
      <c r="B12" s="91" t="s">
        <v>19</v>
      </c>
      <c r="C12" s="202">
        <v>1.701</v>
      </c>
      <c r="D12" s="202">
        <v>1.619</v>
      </c>
      <c r="E12" s="202">
        <v>1.73</v>
      </c>
      <c r="F12" s="203">
        <v>1.858</v>
      </c>
      <c r="G12" s="203">
        <v>1.87</v>
      </c>
      <c r="H12" s="203">
        <v>1.796</v>
      </c>
      <c r="I12" s="203">
        <v>2.008</v>
      </c>
      <c r="J12" s="203">
        <v>1.985</v>
      </c>
      <c r="K12" s="203">
        <v>1.757</v>
      </c>
      <c r="L12" s="203">
        <v>1.983</v>
      </c>
      <c r="M12" s="203">
        <v>2.058</v>
      </c>
      <c r="N12" s="203">
        <v>1.938</v>
      </c>
      <c r="O12" s="203">
        <v>2.025</v>
      </c>
      <c r="P12" s="203">
        <v>2.091</v>
      </c>
      <c r="Q12" s="203">
        <v>1.877</v>
      </c>
      <c r="R12" s="203">
        <v>1.985</v>
      </c>
      <c r="S12" s="203">
        <v>2.321</v>
      </c>
      <c r="T12" s="203">
        <v>1.976</v>
      </c>
      <c r="U12" s="203">
        <v>1.892</v>
      </c>
      <c r="V12" s="203">
        <v>1.779</v>
      </c>
      <c r="W12" s="203">
        <v>1.866</v>
      </c>
      <c r="X12" s="203">
        <v>1.7</v>
      </c>
      <c r="Y12" s="203">
        <v>2.239</v>
      </c>
      <c r="Z12" s="203">
        <v>2.615</v>
      </c>
      <c r="AA12" s="203">
        <v>2.278</v>
      </c>
      <c r="AB12" s="203">
        <v>2.449</v>
      </c>
      <c r="AC12" s="203">
        <v>2.455</v>
      </c>
      <c r="AD12" s="204">
        <v>2.273</v>
      </c>
      <c r="AE12" s="153">
        <f t="shared" si="2"/>
        <v>-7.413441955193477</v>
      </c>
      <c r="AF12" s="91" t="s">
        <v>19</v>
      </c>
    </row>
    <row r="13" spans="1:34" ht="12.75" customHeight="1">
      <c r="A13" s="15"/>
      <c r="B13" s="17" t="s">
        <v>24</v>
      </c>
      <c r="C13" s="205">
        <v>113</v>
      </c>
      <c r="D13" s="205">
        <v>121.3</v>
      </c>
      <c r="E13" s="205">
        <v>101.7</v>
      </c>
      <c r="F13" s="206">
        <v>82.2</v>
      </c>
      <c r="G13" s="206">
        <v>72.8</v>
      </c>
      <c r="H13" s="206">
        <v>65.6</v>
      </c>
      <c r="I13" s="206">
        <v>70.7</v>
      </c>
      <c r="J13" s="206">
        <v>70.5</v>
      </c>
      <c r="K13" s="206">
        <v>70</v>
      </c>
      <c r="L13" s="206">
        <v>73.9</v>
      </c>
      <c r="M13" s="206">
        <v>74.2</v>
      </c>
      <c r="N13" s="206">
        <v>76.822</v>
      </c>
      <c r="O13" s="206">
        <v>82.675</v>
      </c>
      <c r="P13" s="206">
        <v>81.042</v>
      </c>
      <c r="Q13" s="206">
        <v>81.059</v>
      </c>
      <c r="R13" s="206">
        <v>85.128</v>
      </c>
      <c r="S13" s="206">
        <v>91.921</v>
      </c>
      <c r="T13" s="206">
        <v>95.42</v>
      </c>
      <c r="U13" s="206">
        <v>107.007</v>
      </c>
      <c r="V13" s="206">
        <v>114.615</v>
      </c>
      <c r="W13" s="206">
        <v>115.652</v>
      </c>
      <c r="X13" s="206">
        <v>95.834</v>
      </c>
      <c r="Y13" s="206">
        <v>107.317</v>
      </c>
      <c r="Z13" s="206">
        <v>113.317</v>
      </c>
      <c r="AA13" s="206">
        <v>110.065</v>
      </c>
      <c r="AB13" s="206">
        <v>112.613</v>
      </c>
      <c r="AC13" s="206">
        <v>112.629</v>
      </c>
      <c r="AD13" s="236">
        <v>116.632</v>
      </c>
      <c r="AE13" s="152">
        <f t="shared" si="2"/>
        <v>3.5541468005575894</v>
      </c>
      <c r="AF13" s="17" t="s">
        <v>24</v>
      </c>
      <c r="AG13" s="348"/>
      <c r="AH13" s="348"/>
    </row>
    <row r="14" spans="1:32" ht="12.75" customHeight="1">
      <c r="A14" s="15"/>
      <c r="B14" s="91" t="s">
        <v>9</v>
      </c>
      <c r="C14" s="207">
        <v>5.7</v>
      </c>
      <c r="D14" s="207">
        <v>6.5</v>
      </c>
      <c r="E14" s="207">
        <v>6.98</v>
      </c>
      <c r="F14" s="208">
        <v>6.5</v>
      </c>
      <c r="G14" s="208">
        <v>3.4</v>
      </c>
      <c r="H14" s="208">
        <v>4.2</v>
      </c>
      <c r="I14" s="208">
        <v>3.6</v>
      </c>
      <c r="J14" s="208">
        <v>3.845</v>
      </c>
      <c r="K14" s="208">
        <v>4.198</v>
      </c>
      <c r="L14" s="208">
        <v>5.102</v>
      </c>
      <c r="M14" s="208">
        <v>6.079</v>
      </c>
      <c r="N14" s="208">
        <v>7.295</v>
      </c>
      <c r="O14" s="208">
        <v>8.102</v>
      </c>
      <c r="P14" s="203">
        <v>8.557</v>
      </c>
      <c r="Q14" s="209">
        <v>9.697</v>
      </c>
      <c r="R14" s="203">
        <v>9.67</v>
      </c>
      <c r="S14" s="208">
        <v>10.488</v>
      </c>
      <c r="T14" s="208">
        <v>10.639</v>
      </c>
      <c r="U14" s="208">
        <v>10.418</v>
      </c>
      <c r="V14" s="208">
        <v>8.43</v>
      </c>
      <c r="W14" s="208">
        <v>5.943</v>
      </c>
      <c r="X14" s="208">
        <v>5.947</v>
      </c>
      <c r="Y14" s="208">
        <v>6.638</v>
      </c>
      <c r="Z14" s="208">
        <v>6.271</v>
      </c>
      <c r="AA14" s="208">
        <v>5.129</v>
      </c>
      <c r="AB14" s="208">
        <v>4.722</v>
      </c>
      <c r="AC14" s="208">
        <v>3.256</v>
      </c>
      <c r="AD14" s="261">
        <v>3.117</v>
      </c>
      <c r="AE14" s="153">
        <f t="shared" si="2"/>
        <v>-4.269041769041763</v>
      </c>
      <c r="AF14" s="91" t="s">
        <v>9</v>
      </c>
    </row>
    <row r="15" spans="1:32" ht="12.75" customHeight="1">
      <c r="A15" s="15"/>
      <c r="B15" s="17" t="s">
        <v>27</v>
      </c>
      <c r="C15" s="199">
        <v>0.545</v>
      </c>
      <c r="D15" s="199">
        <v>0.637</v>
      </c>
      <c r="E15" s="199">
        <v>0.589</v>
      </c>
      <c r="F15" s="200">
        <v>0.603</v>
      </c>
      <c r="G15" s="200">
        <v>0.633</v>
      </c>
      <c r="H15" s="200">
        <v>0.575</v>
      </c>
      <c r="I15" s="200">
        <v>0.569</v>
      </c>
      <c r="J15" s="200">
        <v>0.602</v>
      </c>
      <c r="K15" s="200">
        <v>0.57</v>
      </c>
      <c r="L15" s="200">
        <v>0.522</v>
      </c>
      <c r="M15" s="200">
        <v>0.466</v>
      </c>
      <c r="N15" s="200">
        <v>0.526</v>
      </c>
      <c r="O15" s="200">
        <v>0.491</v>
      </c>
      <c r="P15" s="200">
        <v>0.516</v>
      </c>
      <c r="Q15" s="200">
        <v>0.426</v>
      </c>
      <c r="R15" s="200">
        <v>0.398</v>
      </c>
      <c r="S15" s="200">
        <v>0.399</v>
      </c>
      <c r="T15" s="200">
        <v>0.303</v>
      </c>
      <c r="U15" s="200">
        <v>0.205</v>
      </c>
      <c r="V15" s="200">
        <v>0.129</v>
      </c>
      <c r="W15" s="200">
        <v>0.103</v>
      </c>
      <c r="X15" s="200">
        <v>0.079</v>
      </c>
      <c r="Y15" s="200">
        <v>0.092</v>
      </c>
      <c r="Z15" s="200">
        <v>0.105</v>
      </c>
      <c r="AA15" s="200">
        <v>0.091</v>
      </c>
      <c r="AB15" s="200">
        <v>0.099</v>
      </c>
      <c r="AC15" s="200">
        <v>0.1</v>
      </c>
      <c r="AD15" s="262">
        <v>0.096</v>
      </c>
      <c r="AE15" s="152">
        <f t="shared" si="2"/>
        <v>-4</v>
      </c>
      <c r="AF15" s="17" t="s">
        <v>27</v>
      </c>
    </row>
    <row r="16" spans="1:32" ht="12.75" customHeight="1">
      <c r="A16" s="15"/>
      <c r="B16" s="91" t="s">
        <v>20</v>
      </c>
      <c r="C16" s="210">
        <v>0.688</v>
      </c>
      <c r="D16" s="210">
        <v>0.814</v>
      </c>
      <c r="E16" s="210">
        <v>0.609</v>
      </c>
      <c r="F16" s="211">
        <v>0.561</v>
      </c>
      <c r="G16" s="211">
        <v>0.527</v>
      </c>
      <c r="H16" s="211">
        <v>0.503</v>
      </c>
      <c r="I16" s="211">
        <v>0.31</v>
      </c>
      <c r="J16" s="211">
        <v>0.292</v>
      </c>
      <c r="K16" s="211">
        <v>0.337</v>
      </c>
      <c r="L16" s="211">
        <v>0.317</v>
      </c>
      <c r="M16" s="211">
        <v>0.326</v>
      </c>
      <c r="N16" s="211">
        <v>0.326</v>
      </c>
      <c r="O16" s="211">
        <v>0.427</v>
      </c>
      <c r="P16" s="211">
        <v>0.38</v>
      </c>
      <c r="Q16" s="211">
        <v>0.327</v>
      </c>
      <c r="R16" s="203">
        <v>0.456</v>
      </c>
      <c r="S16" s="211">
        <v>0.592</v>
      </c>
      <c r="T16" s="211">
        <v>0.613</v>
      </c>
      <c r="U16" s="211">
        <v>0.662</v>
      </c>
      <c r="V16" s="203">
        <v>0.835</v>
      </c>
      <c r="W16" s="203">
        <v>0.786</v>
      </c>
      <c r="X16" s="203">
        <v>0.552</v>
      </c>
      <c r="Y16" s="203">
        <v>0.614</v>
      </c>
      <c r="Z16" s="203">
        <v>0.352</v>
      </c>
      <c r="AA16" s="203">
        <v>0.283</v>
      </c>
      <c r="AB16" s="203">
        <v>0.237</v>
      </c>
      <c r="AC16" s="203">
        <v>0.311</v>
      </c>
      <c r="AD16" s="204">
        <v>0.294</v>
      </c>
      <c r="AE16" s="153">
        <f t="shared" si="2"/>
        <v>-5.466237942122191</v>
      </c>
      <c r="AF16" s="91" t="s">
        <v>20</v>
      </c>
    </row>
    <row r="17" spans="1:32" ht="12.75" customHeight="1">
      <c r="A17" s="15"/>
      <c r="B17" s="17" t="s">
        <v>25</v>
      </c>
      <c r="C17" s="212">
        <v>9.741</v>
      </c>
      <c r="D17" s="212">
        <v>11.281</v>
      </c>
      <c r="E17" s="212">
        <v>11.153</v>
      </c>
      <c r="F17" s="213">
        <v>10.462</v>
      </c>
      <c r="G17" s="213">
        <v>9.205</v>
      </c>
      <c r="H17" s="213">
        <v>7.836</v>
      </c>
      <c r="I17" s="213">
        <v>9.089</v>
      </c>
      <c r="J17" s="213">
        <v>10.955</v>
      </c>
      <c r="K17" s="213">
        <v>11.125</v>
      </c>
      <c r="L17" s="213">
        <v>12.511</v>
      </c>
      <c r="M17" s="213">
        <v>11.322</v>
      </c>
      <c r="N17" s="213">
        <v>11.487</v>
      </c>
      <c r="O17" s="213">
        <v>11.614</v>
      </c>
      <c r="P17" s="213">
        <v>11.717</v>
      </c>
      <c r="Q17" s="213">
        <v>11.569</v>
      </c>
      <c r="R17" s="213">
        <v>11.743</v>
      </c>
      <c r="S17" s="213">
        <v>12.436</v>
      </c>
      <c r="T17" s="213">
        <v>11.585</v>
      </c>
      <c r="U17" s="213">
        <v>11.541</v>
      </c>
      <c r="V17" s="213">
        <v>11.237</v>
      </c>
      <c r="W17" s="213">
        <v>10.971</v>
      </c>
      <c r="X17" s="213">
        <v>7.806</v>
      </c>
      <c r="Y17" s="213">
        <v>8.913</v>
      </c>
      <c r="Z17" s="213">
        <v>9.451</v>
      </c>
      <c r="AA17" s="213">
        <v>9.458</v>
      </c>
      <c r="AB17" s="213">
        <v>9.338</v>
      </c>
      <c r="AC17" s="213">
        <v>10.385</v>
      </c>
      <c r="AD17" s="214">
        <v>11.131</v>
      </c>
      <c r="AE17" s="152">
        <f t="shared" si="2"/>
        <v>7.1834376504573925</v>
      </c>
      <c r="AF17" s="17" t="s">
        <v>25</v>
      </c>
    </row>
    <row r="18" spans="1:32" ht="12.75" customHeight="1">
      <c r="A18" s="15"/>
      <c r="B18" s="91" t="s">
        <v>26</v>
      </c>
      <c r="C18" s="207">
        <v>67.586</v>
      </c>
      <c r="D18" s="207">
        <v>68.815</v>
      </c>
      <c r="E18" s="207">
        <v>52.24</v>
      </c>
      <c r="F18" s="208">
        <v>52.430011</v>
      </c>
      <c r="G18" s="208">
        <v>51.180591</v>
      </c>
      <c r="H18" s="208">
        <v>45.582509</v>
      </c>
      <c r="I18" s="208">
        <v>48.871258</v>
      </c>
      <c r="J18" s="208">
        <v>48.266068</v>
      </c>
      <c r="K18" s="208">
        <v>50.113</v>
      </c>
      <c r="L18" s="208">
        <v>54.246</v>
      </c>
      <c r="M18" s="208">
        <v>54.09952500000001</v>
      </c>
      <c r="N18" s="208">
        <v>54.53801500294</v>
      </c>
      <c r="O18" s="208">
        <v>57.72575464222399</v>
      </c>
      <c r="P18" s="208">
        <v>51.718302252257004</v>
      </c>
      <c r="Q18" s="208">
        <v>51.288192553031</v>
      </c>
      <c r="R18" s="208">
        <v>48.057268754624005</v>
      </c>
      <c r="S18" s="208">
        <v>46.348370260433</v>
      </c>
      <c r="T18" s="208">
        <v>40.701180450133</v>
      </c>
      <c r="U18" s="208">
        <v>41.17892025294501</v>
      </c>
      <c r="V18" s="208">
        <v>42.623</v>
      </c>
      <c r="W18" s="208">
        <v>40.436</v>
      </c>
      <c r="X18" s="208">
        <v>32.13</v>
      </c>
      <c r="Y18" s="208">
        <v>29.965</v>
      </c>
      <c r="Z18" s="208">
        <v>34.202</v>
      </c>
      <c r="AA18" s="208">
        <v>32.552</v>
      </c>
      <c r="AB18" s="208">
        <v>32.23</v>
      </c>
      <c r="AC18" s="208">
        <v>32.596</v>
      </c>
      <c r="AD18" s="261">
        <v>34.252</v>
      </c>
      <c r="AE18" s="153">
        <f t="shared" si="2"/>
        <v>5.080377960485976</v>
      </c>
      <c r="AF18" s="91" t="s">
        <v>26</v>
      </c>
    </row>
    <row r="19" spans="1:32" ht="12.75" customHeight="1">
      <c r="A19" s="15"/>
      <c r="B19" s="17" t="s">
        <v>37</v>
      </c>
      <c r="C19" s="144"/>
      <c r="D19" s="144"/>
      <c r="E19" s="144" t="s">
        <v>35</v>
      </c>
      <c r="F19" s="59"/>
      <c r="G19" s="59"/>
      <c r="H19" s="59"/>
      <c r="I19" s="59"/>
      <c r="J19" s="59">
        <v>1.974</v>
      </c>
      <c r="K19" s="59">
        <v>1.717</v>
      </c>
      <c r="L19" s="59">
        <v>1.715</v>
      </c>
      <c r="M19" s="189">
        <v>1.831</v>
      </c>
      <c r="N19" s="59">
        <v>1.685</v>
      </c>
      <c r="O19" s="59">
        <v>1.788</v>
      </c>
      <c r="P19" s="59">
        <v>2.074</v>
      </c>
      <c r="Q19" s="59">
        <v>2.206</v>
      </c>
      <c r="R19" s="59">
        <v>2.487</v>
      </c>
      <c r="S19" s="59">
        <v>2.493</v>
      </c>
      <c r="T19" s="59">
        <v>2.835</v>
      </c>
      <c r="U19" s="59">
        <v>3.305</v>
      </c>
      <c r="V19" s="59">
        <v>3.574</v>
      </c>
      <c r="W19" s="59">
        <v>3.312</v>
      </c>
      <c r="X19" s="59">
        <v>2.641</v>
      </c>
      <c r="Y19" s="59">
        <v>2.618</v>
      </c>
      <c r="Z19" s="59">
        <v>2.438</v>
      </c>
      <c r="AA19" s="59">
        <v>2.332</v>
      </c>
      <c r="AB19" s="59">
        <v>2.086</v>
      </c>
      <c r="AC19" s="59">
        <v>2.119</v>
      </c>
      <c r="AD19" s="215">
        <v>2.184</v>
      </c>
      <c r="AE19" s="152">
        <f t="shared" si="2"/>
        <v>3.067484662576689</v>
      </c>
      <c r="AF19" s="17" t="s">
        <v>37</v>
      </c>
    </row>
    <row r="20" spans="1:32" ht="12.75" customHeight="1">
      <c r="A20" s="15"/>
      <c r="B20" s="91" t="s">
        <v>28</v>
      </c>
      <c r="C20" s="210">
        <v>18.069</v>
      </c>
      <c r="D20" s="210">
        <v>18.384</v>
      </c>
      <c r="E20" s="210">
        <v>19.361</v>
      </c>
      <c r="F20" s="211">
        <v>19.963</v>
      </c>
      <c r="G20" s="211">
        <v>19.267</v>
      </c>
      <c r="H20" s="211">
        <v>18.12</v>
      </c>
      <c r="I20" s="211">
        <v>20.425</v>
      </c>
      <c r="J20" s="211">
        <v>21.69</v>
      </c>
      <c r="K20" s="211">
        <v>21.034</v>
      </c>
      <c r="L20" s="211">
        <v>22.903</v>
      </c>
      <c r="M20" s="211">
        <v>22.454</v>
      </c>
      <c r="N20" s="211">
        <v>21.549</v>
      </c>
      <c r="O20" s="211">
        <v>22.817</v>
      </c>
      <c r="P20" s="211">
        <v>21.762</v>
      </c>
      <c r="Q20" s="203">
        <v>20.679</v>
      </c>
      <c r="R20" s="203">
        <v>20.299</v>
      </c>
      <c r="S20" s="203">
        <v>22.183</v>
      </c>
      <c r="T20" s="203">
        <v>22.761</v>
      </c>
      <c r="U20" s="203">
        <v>24.151</v>
      </c>
      <c r="V20" s="203">
        <v>25.285</v>
      </c>
      <c r="W20" s="203">
        <v>23.831</v>
      </c>
      <c r="X20" s="203">
        <v>17.791</v>
      </c>
      <c r="Y20" s="203">
        <v>18.616</v>
      </c>
      <c r="Z20" s="203">
        <v>19.787</v>
      </c>
      <c r="AA20" s="203">
        <v>20.244</v>
      </c>
      <c r="AB20" s="203">
        <v>19.037</v>
      </c>
      <c r="AC20" s="203">
        <v>20.157</v>
      </c>
      <c r="AD20" s="204">
        <v>20.781</v>
      </c>
      <c r="AE20" s="153">
        <f t="shared" si="2"/>
        <v>3.095698764697133</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15.52</v>
      </c>
      <c r="D22" s="202">
        <v>17.59</v>
      </c>
      <c r="E22" s="202">
        <v>18.54</v>
      </c>
      <c r="F22" s="203">
        <v>16.7</v>
      </c>
      <c r="G22" s="203">
        <v>10.12</v>
      </c>
      <c r="H22" s="203">
        <v>9.85</v>
      </c>
      <c r="I22" s="203">
        <v>9.52</v>
      </c>
      <c r="J22" s="203">
        <v>9.76</v>
      </c>
      <c r="K22" s="203">
        <v>12.413</v>
      </c>
      <c r="L22" s="203">
        <v>13.97</v>
      </c>
      <c r="M22" s="203">
        <v>12.996</v>
      </c>
      <c r="N22" s="203">
        <v>12.21</v>
      </c>
      <c r="O22" s="203">
        <v>13.31</v>
      </c>
      <c r="P22" s="203">
        <v>14.18</v>
      </c>
      <c r="Q22" s="203">
        <v>15.02</v>
      </c>
      <c r="R22" s="203">
        <v>17.955</v>
      </c>
      <c r="S22" s="203">
        <v>18.618</v>
      </c>
      <c r="T22" s="203">
        <v>19.779</v>
      </c>
      <c r="U22" s="203">
        <v>16.831</v>
      </c>
      <c r="V22" s="203">
        <v>18.313</v>
      </c>
      <c r="W22" s="203">
        <v>19.581</v>
      </c>
      <c r="X22" s="203">
        <v>18.725</v>
      </c>
      <c r="Y22" s="203">
        <v>17.179</v>
      </c>
      <c r="Z22" s="203">
        <v>21.41</v>
      </c>
      <c r="AA22" s="203">
        <v>21.867</v>
      </c>
      <c r="AB22" s="203">
        <v>19.532</v>
      </c>
      <c r="AC22" s="203">
        <v>19.441</v>
      </c>
      <c r="AD22" s="204">
        <v>18.906</v>
      </c>
      <c r="AE22" s="153">
        <f t="shared" si="2"/>
        <v>-2.7519160537009384</v>
      </c>
      <c r="AF22" s="91" t="s">
        <v>11</v>
      </c>
    </row>
    <row r="23" spans="1:32" ht="12.75" customHeight="1">
      <c r="A23" s="15"/>
      <c r="B23" s="17" t="s">
        <v>12</v>
      </c>
      <c r="C23" s="144">
        <v>13.57</v>
      </c>
      <c r="D23" s="144">
        <v>18.24</v>
      </c>
      <c r="E23" s="144">
        <v>19.26</v>
      </c>
      <c r="F23" s="59">
        <v>17.7</v>
      </c>
      <c r="G23" s="59">
        <v>11.34</v>
      </c>
      <c r="H23" s="59">
        <v>9.9</v>
      </c>
      <c r="I23" s="59">
        <v>8</v>
      </c>
      <c r="J23" s="59">
        <v>7.2</v>
      </c>
      <c r="K23" s="59">
        <v>8.103</v>
      </c>
      <c r="L23" s="59">
        <v>8.622</v>
      </c>
      <c r="M23" s="59">
        <v>8.265</v>
      </c>
      <c r="N23" s="59">
        <v>7.849</v>
      </c>
      <c r="O23" s="59">
        <v>8.918</v>
      </c>
      <c r="P23" s="59">
        <v>7.741</v>
      </c>
      <c r="Q23" s="59">
        <v>9.767</v>
      </c>
      <c r="R23" s="59">
        <v>11.457</v>
      </c>
      <c r="S23" s="59">
        <v>11.637</v>
      </c>
      <c r="T23" s="59">
        <v>12.457</v>
      </c>
      <c r="U23" s="59">
        <v>12.896</v>
      </c>
      <c r="V23" s="59">
        <v>14.373</v>
      </c>
      <c r="W23" s="59">
        <v>14.748</v>
      </c>
      <c r="X23" s="59">
        <v>11.888</v>
      </c>
      <c r="Y23" s="59">
        <v>13.431</v>
      </c>
      <c r="Z23" s="59">
        <v>15.088</v>
      </c>
      <c r="AA23" s="59">
        <v>14.172</v>
      </c>
      <c r="AB23" s="59">
        <v>13.344</v>
      </c>
      <c r="AC23" s="59">
        <v>14.307</v>
      </c>
      <c r="AD23" s="215">
        <v>14.036</v>
      </c>
      <c r="AE23" s="152">
        <f t="shared" si="2"/>
        <v>-1.8941776752638617</v>
      </c>
      <c r="AF23" s="17" t="s">
        <v>12</v>
      </c>
    </row>
    <row r="24" spans="1:32" ht="12.75" customHeight="1">
      <c r="A24" s="15"/>
      <c r="B24" s="91" t="s">
        <v>29</v>
      </c>
      <c r="C24" s="202">
        <v>0.763</v>
      </c>
      <c r="D24" s="202">
        <v>0.665</v>
      </c>
      <c r="E24" s="202">
        <v>0.615</v>
      </c>
      <c r="F24" s="203">
        <v>0.622</v>
      </c>
      <c r="G24" s="203">
        <v>0.597</v>
      </c>
      <c r="H24" s="203">
        <v>0.607</v>
      </c>
      <c r="I24" s="203">
        <v>0.645</v>
      </c>
      <c r="J24" s="203">
        <v>0.529</v>
      </c>
      <c r="K24" s="203">
        <v>0.53</v>
      </c>
      <c r="L24" s="203">
        <v>0.566</v>
      </c>
      <c r="M24" s="203">
        <v>0.574</v>
      </c>
      <c r="N24" s="203">
        <v>0.608</v>
      </c>
      <c r="O24" s="203">
        <v>0.632</v>
      </c>
      <c r="P24" s="203">
        <v>0.585</v>
      </c>
      <c r="Q24" s="203">
        <v>0.55</v>
      </c>
      <c r="R24" s="203">
        <v>0.525</v>
      </c>
      <c r="S24" s="203">
        <v>0.559</v>
      </c>
      <c r="T24" s="203">
        <v>0.392</v>
      </c>
      <c r="U24" s="203">
        <v>0.441</v>
      </c>
      <c r="V24" s="203">
        <v>0.574</v>
      </c>
      <c r="W24" s="203">
        <v>0.279</v>
      </c>
      <c r="X24" s="203">
        <v>0.2</v>
      </c>
      <c r="Y24" s="203">
        <v>0.323</v>
      </c>
      <c r="Z24" s="203">
        <v>0.288</v>
      </c>
      <c r="AA24" s="208">
        <v>0.231</v>
      </c>
      <c r="AB24" s="208">
        <v>0.218</v>
      </c>
      <c r="AC24" s="208">
        <v>0.208</v>
      </c>
      <c r="AD24" s="261">
        <v>0.207</v>
      </c>
      <c r="AE24" s="244">
        <f t="shared" si="2"/>
        <v>-0.4807692307692264</v>
      </c>
      <c r="AF24" s="91" t="s">
        <v>29</v>
      </c>
    </row>
    <row r="25" spans="1:32" ht="12.75" customHeight="1">
      <c r="A25" s="15"/>
      <c r="B25" s="17" t="s">
        <v>10</v>
      </c>
      <c r="C25" s="205">
        <v>19.82</v>
      </c>
      <c r="D25" s="205">
        <v>24.4</v>
      </c>
      <c r="E25" s="205">
        <v>16.8</v>
      </c>
      <c r="F25" s="206">
        <v>11.9</v>
      </c>
      <c r="G25" s="206">
        <v>10</v>
      </c>
      <c r="H25" s="206">
        <v>7.7</v>
      </c>
      <c r="I25" s="206">
        <v>7.7</v>
      </c>
      <c r="J25" s="206">
        <v>8.4</v>
      </c>
      <c r="K25" s="206">
        <v>7.6</v>
      </c>
      <c r="L25" s="206">
        <v>8.147</v>
      </c>
      <c r="M25" s="206">
        <v>8.15</v>
      </c>
      <c r="N25" s="206">
        <v>8.5</v>
      </c>
      <c r="O25" s="206">
        <v>8.8</v>
      </c>
      <c r="P25" s="206">
        <v>7.7</v>
      </c>
      <c r="Q25" s="206">
        <v>7.8</v>
      </c>
      <c r="R25" s="206">
        <v>7.614</v>
      </c>
      <c r="S25" s="206">
        <v>8.749</v>
      </c>
      <c r="T25" s="206">
        <v>9.09</v>
      </c>
      <c r="U25" s="206">
        <v>10.167</v>
      </c>
      <c r="V25" s="206">
        <v>10.048</v>
      </c>
      <c r="W25" s="206">
        <v>9.874</v>
      </c>
      <c r="X25" s="206">
        <v>7.673</v>
      </c>
      <c r="Y25" s="206">
        <v>8.809</v>
      </c>
      <c r="Z25" s="206">
        <v>9.118</v>
      </c>
      <c r="AA25" s="206">
        <v>9.23</v>
      </c>
      <c r="AB25" s="206">
        <v>9.722</v>
      </c>
      <c r="AC25" s="206">
        <v>10.158</v>
      </c>
      <c r="AD25" s="236">
        <v>10.01</v>
      </c>
      <c r="AE25" s="152">
        <f t="shared" si="2"/>
        <v>-1.456979720417408</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3.715</v>
      </c>
      <c r="D27" s="144">
        <v>3.468</v>
      </c>
      <c r="E27" s="144">
        <v>3.07</v>
      </c>
      <c r="F27" s="59">
        <v>3.038</v>
      </c>
      <c r="G27" s="59">
        <v>2.76</v>
      </c>
      <c r="H27" s="59">
        <v>2.68</v>
      </c>
      <c r="I27" s="59">
        <v>2.83</v>
      </c>
      <c r="J27" s="59">
        <v>3.1</v>
      </c>
      <c r="K27" s="59">
        <v>3.123</v>
      </c>
      <c r="L27" s="59">
        <v>3.406</v>
      </c>
      <c r="M27" s="59">
        <v>3.778</v>
      </c>
      <c r="N27" s="59">
        <v>3.988</v>
      </c>
      <c r="O27" s="59">
        <v>4.522</v>
      </c>
      <c r="P27" s="59">
        <v>4.293</v>
      </c>
      <c r="Q27" s="59">
        <v>4.024</v>
      </c>
      <c r="R27" s="59">
        <v>4.705</v>
      </c>
      <c r="S27" s="59">
        <v>5.831</v>
      </c>
      <c r="T27" s="59">
        <v>5.865</v>
      </c>
      <c r="U27" s="59">
        <v>6.289</v>
      </c>
      <c r="V27" s="59">
        <v>7.216</v>
      </c>
      <c r="W27" s="59">
        <v>6.984</v>
      </c>
      <c r="X27" s="59">
        <v>5.578</v>
      </c>
      <c r="Y27" s="59">
        <v>5.925</v>
      </c>
      <c r="Z27" s="59">
        <v>6.378</v>
      </c>
      <c r="AA27" s="206">
        <v>6.157</v>
      </c>
      <c r="AB27" s="206">
        <v>6.078</v>
      </c>
      <c r="AC27" s="206">
        <v>6.169</v>
      </c>
      <c r="AD27" s="236">
        <v>6.545</v>
      </c>
      <c r="AE27" s="152">
        <f t="shared" si="2"/>
        <v>6.09499108445452</v>
      </c>
      <c r="AF27" s="17" t="s">
        <v>21</v>
      </c>
    </row>
    <row r="28" spans="1:32" ht="12.75" customHeight="1">
      <c r="A28" s="15"/>
      <c r="B28" s="91" t="s">
        <v>30</v>
      </c>
      <c r="C28" s="202">
        <v>9.868</v>
      </c>
      <c r="D28" s="202">
        <v>11.002</v>
      </c>
      <c r="E28" s="202">
        <v>12.158</v>
      </c>
      <c r="F28" s="203">
        <v>12.322</v>
      </c>
      <c r="G28" s="203">
        <v>11.57</v>
      </c>
      <c r="H28" s="203">
        <v>11.24</v>
      </c>
      <c r="I28" s="203">
        <v>12.42</v>
      </c>
      <c r="J28" s="203">
        <v>13.2</v>
      </c>
      <c r="K28" s="203">
        <v>13.33</v>
      </c>
      <c r="L28" s="203">
        <v>14.199</v>
      </c>
      <c r="M28" s="203">
        <v>14.71</v>
      </c>
      <c r="N28" s="203">
        <v>15.04</v>
      </c>
      <c r="O28" s="211">
        <v>16.6</v>
      </c>
      <c r="P28" s="211">
        <v>16.893</v>
      </c>
      <c r="Q28" s="211">
        <v>17.13</v>
      </c>
      <c r="R28" s="211">
        <v>16.866</v>
      </c>
      <c r="S28" s="203">
        <v>18.757</v>
      </c>
      <c r="T28" s="203">
        <v>18.957</v>
      </c>
      <c r="U28" s="203">
        <v>20.98</v>
      </c>
      <c r="V28" s="203">
        <v>21.371</v>
      </c>
      <c r="W28" s="203">
        <v>21.915</v>
      </c>
      <c r="X28" s="203">
        <v>17.767</v>
      </c>
      <c r="Y28" s="203">
        <v>19.833</v>
      </c>
      <c r="Z28" s="203">
        <v>20.345</v>
      </c>
      <c r="AA28" s="208">
        <v>19.499</v>
      </c>
      <c r="AB28" s="208">
        <v>19.278</v>
      </c>
      <c r="AC28" s="208">
        <v>20.494</v>
      </c>
      <c r="AD28" s="261">
        <v>20.266</v>
      </c>
      <c r="AE28" s="153">
        <f t="shared" si="2"/>
        <v>-1.1125207377769186</v>
      </c>
      <c r="AF28" s="91" t="s">
        <v>30</v>
      </c>
    </row>
    <row r="29" spans="1:32" ht="12.75" customHeight="1">
      <c r="A29" s="15"/>
      <c r="B29" s="17" t="s">
        <v>14</v>
      </c>
      <c r="C29" s="194">
        <v>98</v>
      </c>
      <c r="D29" s="194">
        <v>132.4</v>
      </c>
      <c r="E29" s="194">
        <v>81.6</v>
      </c>
      <c r="F29" s="189">
        <v>65.2</v>
      </c>
      <c r="G29" s="189">
        <v>57.8</v>
      </c>
      <c r="H29" s="189">
        <v>63.2</v>
      </c>
      <c r="I29" s="189">
        <v>64.7</v>
      </c>
      <c r="J29" s="189">
        <v>68.2</v>
      </c>
      <c r="K29" s="189">
        <v>67.4</v>
      </c>
      <c r="L29" s="189">
        <v>67.7</v>
      </c>
      <c r="M29" s="189">
        <v>60.9</v>
      </c>
      <c r="N29" s="189">
        <v>55.1</v>
      </c>
      <c r="O29" s="189">
        <v>54</v>
      </c>
      <c r="P29" s="189">
        <v>47.7</v>
      </c>
      <c r="Q29" s="189">
        <v>46.6</v>
      </c>
      <c r="R29" s="189">
        <v>47.407</v>
      </c>
      <c r="S29" s="59">
        <v>52.332</v>
      </c>
      <c r="T29" s="59">
        <v>49.972</v>
      </c>
      <c r="U29" s="59">
        <v>53.622</v>
      </c>
      <c r="V29" s="59">
        <v>54.253</v>
      </c>
      <c r="W29" s="59">
        <v>52.043</v>
      </c>
      <c r="X29" s="59">
        <v>43.445</v>
      </c>
      <c r="Y29" s="59">
        <v>48.705</v>
      </c>
      <c r="Z29" s="59">
        <v>53.746</v>
      </c>
      <c r="AA29" s="206">
        <v>48.903</v>
      </c>
      <c r="AB29" s="206">
        <v>50.881</v>
      </c>
      <c r="AC29" s="206">
        <v>50.073</v>
      </c>
      <c r="AD29" s="236">
        <v>50.603</v>
      </c>
      <c r="AE29" s="152">
        <f t="shared" si="2"/>
        <v>1.0584546562019597</v>
      </c>
      <c r="AF29" s="17" t="s">
        <v>14</v>
      </c>
    </row>
    <row r="30" spans="1:32" ht="12.75" customHeight="1">
      <c r="A30" s="15"/>
      <c r="B30" s="91" t="s">
        <v>31</v>
      </c>
      <c r="C30" s="202">
        <v>0.776</v>
      </c>
      <c r="D30" s="202">
        <v>1.001</v>
      </c>
      <c r="E30" s="202">
        <v>1.459</v>
      </c>
      <c r="F30" s="203">
        <v>1.66</v>
      </c>
      <c r="G30" s="203">
        <v>1.767</v>
      </c>
      <c r="H30" s="203">
        <v>1.666</v>
      </c>
      <c r="I30" s="203">
        <v>1.635</v>
      </c>
      <c r="J30" s="203">
        <v>2.019</v>
      </c>
      <c r="K30" s="203">
        <v>1.857</v>
      </c>
      <c r="L30" s="203">
        <v>2.247</v>
      </c>
      <c r="M30" s="203">
        <v>2.048</v>
      </c>
      <c r="N30" s="203">
        <v>2.179</v>
      </c>
      <c r="O30" s="203">
        <v>2.183</v>
      </c>
      <c r="P30" s="203">
        <v>2.138</v>
      </c>
      <c r="Q30" s="203">
        <v>2.193</v>
      </c>
      <c r="R30" s="203">
        <v>2.073</v>
      </c>
      <c r="S30" s="203">
        <v>2.282</v>
      </c>
      <c r="T30" s="203">
        <v>2.422</v>
      </c>
      <c r="U30" s="203">
        <v>2.43</v>
      </c>
      <c r="V30" s="203">
        <v>2.586</v>
      </c>
      <c r="W30" s="203">
        <v>2.549</v>
      </c>
      <c r="X30" s="203">
        <v>2.174</v>
      </c>
      <c r="Y30" s="203">
        <v>2.313</v>
      </c>
      <c r="Z30" s="203">
        <v>2.322</v>
      </c>
      <c r="AA30" s="208">
        <v>2.421</v>
      </c>
      <c r="AB30" s="208">
        <v>2.29</v>
      </c>
      <c r="AC30" s="208">
        <v>2.434</v>
      </c>
      <c r="AD30" s="261">
        <v>2.688</v>
      </c>
      <c r="AE30" s="153">
        <f t="shared" si="2"/>
        <v>10.435497124075582</v>
      </c>
      <c r="AF30" s="91" t="s">
        <v>31</v>
      </c>
    </row>
    <row r="31" spans="1:32" ht="12.75" customHeight="1">
      <c r="A31" s="15"/>
      <c r="B31" s="17" t="s">
        <v>15</v>
      </c>
      <c r="C31" s="212">
        <v>43.1</v>
      </c>
      <c r="D31" s="212">
        <v>64.8</v>
      </c>
      <c r="E31" s="212">
        <v>48.912</v>
      </c>
      <c r="F31" s="213">
        <v>32.561</v>
      </c>
      <c r="G31" s="213">
        <v>24.387</v>
      </c>
      <c r="H31" s="213">
        <v>22.046</v>
      </c>
      <c r="I31" s="213">
        <v>21.746</v>
      </c>
      <c r="J31" s="213">
        <v>17.907</v>
      </c>
      <c r="K31" s="213">
        <v>24.254</v>
      </c>
      <c r="L31" s="213">
        <v>22.111</v>
      </c>
      <c r="M31" s="213">
        <v>16.619</v>
      </c>
      <c r="N31" s="213">
        <v>14.679</v>
      </c>
      <c r="O31" s="220">
        <v>16.354</v>
      </c>
      <c r="P31" s="213">
        <v>16.102</v>
      </c>
      <c r="Q31" s="213">
        <v>15.218</v>
      </c>
      <c r="R31" s="213">
        <v>15.039</v>
      </c>
      <c r="S31" s="213">
        <v>17.022</v>
      </c>
      <c r="T31" s="213">
        <v>16.582</v>
      </c>
      <c r="U31" s="213">
        <v>15.791</v>
      </c>
      <c r="V31" s="213">
        <v>15.757</v>
      </c>
      <c r="W31" s="213">
        <v>15.236</v>
      </c>
      <c r="X31" s="213">
        <v>11.088</v>
      </c>
      <c r="Y31" s="213">
        <v>12.375</v>
      </c>
      <c r="Z31" s="213">
        <v>14.719</v>
      </c>
      <c r="AA31" s="200">
        <v>13.472</v>
      </c>
      <c r="AB31" s="200">
        <v>12.941</v>
      </c>
      <c r="AC31" s="200">
        <v>12.264</v>
      </c>
      <c r="AD31" s="262">
        <v>13.673</v>
      </c>
      <c r="AE31" s="152">
        <f t="shared" si="2"/>
        <v>11.488910632746268</v>
      </c>
      <c r="AF31" s="17" t="s">
        <v>15</v>
      </c>
    </row>
    <row r="32" spans="1:32" ht="12.75" customHeight="1">
      <c r="A32" s="15"/>
      <c r="B32" s="91" t="s">
        <v>17</v>
      </c>
      <c r="C32" s="202">
        <v>3.3</v>
      </c>
      <c r="D32" s="202">
        <v>3.8</v>
      </c>
      <c r="E32" s="202">
        <v>4.21</v>
      </c>
      <c r="F32" s="203">
        <v>3.2</v>
      </c>
      <c r="G32" s="203">
        <v>2.57</v>
      </c>
      <c r="H32" s="203">
        <v>2.26</v>
      </c>
      <c r="I32" s="203">
        <v>2.5</v>
      </c>
      <c r="J32" s="203">
        <v>3.076</v>
      </c>
      <c r="K32" s="203">
        <v>2.55</v>
      </c>
      <c r="L32" s="203">
        <v>2.9</v>
      </c>
      <c r="M32" s="203">
        <v>2.9</v>
      </c>
      <c r="N32" s="203">
        <v>2.784</v>
      </c>
      <c r="O32" s="203">
        <v>2.857</v>
      </c>
      <c r="P32" s="203">
        <v>2.837</v>
      </c>
      <c r="Q32" s="203">
        <v>3.078</v>
      </c>
      <c r="R32" s="203">
        <v>3.018</v>
      </c>
      <c r="S32" s="203">
        <v>3.149</v>
      </c>
      <c r="T32" s="203">
        <v>3.245</v>
      </c>
      <c r="U32" s="203">
        <v>3.373</v>
      </c>
      <c r="V32" s="203">
        <v>3.603</v>
      </c>
      <c r="W32" s="203">
        <v>3.52</v>
      </c>
      <c r="X32" s="203">
        <v>2.817</v>
      </c>
      <c r="Y32" s="203">
        <v>3.421</v>
      </c>
      <c r="Z32" s="203">
        <v>3.752</v>
      </c>
      <c r="AA32" s="208">
        <v>3.47</v>
      </c>
      <c r="AB32" s="208">
        <v>3.799</v>
      </c>
      <c r="AC32" s="208">
        <v>4.11</v>
      </c>
      <c r="AD32" s="261">
        <v>4.175</v>
      </c>
      <c r="AE32" s="153">
        <f t="shared" si="2"/>
        <v>1.5815085158150737</v>
      </c>
      <c r="AF32" s="91" t="s">
        <v>17</v>
      </c>
    </row>
    <row r="33" spans="1:32" ht="12.75" customHeight="1">
      <c r="A33" s="15"/>
      <c r="B33" s="17" t="s">
        <v>16</v>
      </c>
      <c r="C33" s="212"/>
      <c r="D33" s="212"/>
      <c r="E33" s="212"/>
      <c r="F33" s="213"/>
      <c r="G33" s="213"/>
      <c r="H33" s="213">
        <v>14.2</v>
      </c>
      <c r="I33" s="213">
        <v>12.2</v>
      </c>
      <c r="J33" s="213">
        <v>13.8</v>
      </c>
      <c r="K33" s="213">
        <v>12</v>
      </c>
      <c r="L33" s="213">
        <v>12.368</v>
      </c>
      <c r="M33" s="213">
        <v>11.753</v>
      </c>
      <c r="N33" s="213">
        <v>9.859</v>
      </c>
      <c r="O33" s="213">
        <v>11.233</v>
      </c>
      <c r="P33" s="213">
        <v>10.93</v>
      </c>
      <c r="Q33" s="213">
        <v>10.38</v>
      </c>
      <c r="R33" s="213">
        <v>10.113</v>
      </c>
      <c r="S33" s="213">
        <v>9.702</v>
      </c>
      <c r="T33" s="213">
        <v>9.463</v>
      </c>
      <c r="U33" s="213">
        <v>9.988</v>
      </c>
      <c r="V33" s="213">
        <v>9.647</v>
      </c>
      <c r="W33" s="213">
        <v>9.299</v>
      </c>
      <c r="X33" s="213">
        <v>6.964</v>
      </c>
      <c r="Y33" s="213">
        <v>8.105</v>
      </c>
      <c r="Z33" s="213">
        <v>7.96</v>
      </c>
      <c r="AA33" s="200">
        <v>7.591</v>
      </c>
      <c r="AB33" s="200">
        <v>8.494</v>
      </c>
      <c r="AC33" s="200">
        <v>8.829</v>
      </c>
      <c r="AD33" s="262">
        <v>8.439</v>
      </c>
      <c r="AE33" s="152">
        <f t="shared" si="2"/>
        <v>-4.417261297995239</v>
      </c>
      <c r="AF33" s="17" t="s">
        <v>16</v>
      </c>
    </row>
    <row r="34" spans="1:32" ht="12.75" customHeight="1">
      <c r="A34" s="15"/>
      <c r="B34" s="91" t="s">
        <v>32</v>
      </c>
      <c r="C34" s="202">
        <v>6.27</v>
      </c>
      <c r="D34" s="202">
        <v>8.335</v>
      </c>
      <c r="E34" s="202">
        <v>8.357</v>
      </c>
      <c r="F34" s="203">
        <v>7.63</v>
      </c>
      <c r="G34" s="203">
        <v>7.848</v>
      </c>
      <c r="H34" s="203">
        <v>9.26</v>
      </c>
      <c r="I34" s="203">
        <v>9.948</v>
      </c>
      <c r="J34" s="203">
        <v>9.6</v>
      </c>
      <c r="K34" s="203">
        <v>8.806</v>
      </c>
      <c r="L34" s="203">
        <v>9.856</v>
      </c>
      <c r="M34" s="203">
        <v>9.885</v>
      </c>
      <c r="N34" s="203">
        <v>9.753</v>
      </c>
      <c r="O34" s="203">
        <v>10.107</v>
      </c>
      <c r="P34" s="203">
        <v>9.857</v>
      </c>
      <c r="Q34" s="203">
        <v>9.664</v>
      </c>
      <c r="R34" s="203">
        <v>10.047</v>
      </c>
      <c r="S34" s="203">
        <v>10.105</v>
      </c>
      <c r="T34" s="203">
        <v>9.706</v>
      </c>
      <c r="U34" s="203">
        <v>11.06</v>
      </c>
      <c r="V34" s="203">
        <v>10.434</v>
      </c>
      <c r="W34" s="203">
        <v>10.777</v>
      </c>
      <c r="X34" s="203">
        <v>8.872</v>
      </c>
      <c r="Y34" s="203">
        <v>9.75</v>
      </c>
      <c r="Z34" s="203">
        <v>9.395</v>
      </c>
      <c r="AA34" s="208">
        <v>9.275</v>
      </c>
      <c r="AB34" s="208">
        <v>9.47</v>
      </c>
      <c r="AC34" s="208">
        <v>9.597</v>
      </c>
      <c r="AD34" s="261">
        <v>8.468</v>
      </c>
      <c r="AE34" s="153">
        <f t="shared" si="2"/>
        <v>-11.764092945712207</v>
      </c>
      <c r="AF34" s="91" t="s">
        <v>32</v>
      </c>
    </row>
    <row r="35" spans="1:32" ht="12.75" customHeight="1">
      <c r="A35" s="15"/>
      <c r="B35" s="17" t="s">
        <v>33</v>
      </c>
      <c r="C35" s="212">
        <v>17.311</v>
      </c>
      <c r="D35" s="212">
        <v>16.648</v>
      </c>
      <c r="E35" s="212">
        <v>19.1</v>
      </c>
      <c r="F35" s="213">
        <v>18.816</v>
      </c>
      <c r="G35" s="213">
        <v>19.202</v>
      </c>
      <c r="H35" s="213">
        <v>18.578</v>
      </c>
      <c r="I35" s="213">
        <v>19.069</v>
      </c>
      <c r="J35" s="213">
        <v>19.391</v>
      </c>
      <c r="K35" s="213">
        <v>18.846</v>
      </c>
      <c r="L35" s="213">
        <v>19.181</v>
      </c>
      <c r="M35" s="213">
        <v>19.163</v>
      </c>
      <c r="N35" s="213">
        <v>19.09</v>
      </c>
      <c r="O35" s="213">
        <v>19.475</v>
      </c>
      <c r="P35" s="213">
        <v>18.954</v>
      </c>
      <c r="Q35" s="213">
        <v>19.197</v>
      </c>
      <c r="R35" s="213">
        <v>20.17</v>
      </c>
      <c r="S35" s="213">
        <v>20.856</v>
      </c>
      <c r="T35" s="213">
        <v>21.675</v>
      </c>
      <c r="U35" s="213">
        <v>22.271</v>
      </c>
      <c r="V35" s="213">
        <v>23.25</v>
      </c>
      <c r="W35" s="213">
        <v>22.924</v>
      </c>
      <c r="X35" s="213">
        <v>20.389</v>
      </c>
      <c r="Y35" s="213">
        <v>23.464</v>
      </c>
      <c r="Z35" s="213">
        <v>22.864</v>
      </c>
      <c r="AA35" s="200">
        <v>22.043</v>
      </c>
      <c r="AB35" s="200">
        <v>20.97</v>
      </c>
      <c r="AC35" s="200">
        <v>21.296</v>
      </c>
      <c r="AD35" s="262">
        <v>20.583</v>
      </c>
      <c r="AE35" s="152">
        <f t="shared" si="2"/>
        <v>-3.3480465815176643</v>
      </c>
      <c r="AF35" s="17" t="s">
        <v>33</v>
      </c>
    </row>
    <row r="36" spans="1:32" ht="12.75" customHeight="1">
      <c r="A36" s="15"/>
      <c r="B36" s="94" t="s">
        <v>22</v>
      </c>
      <c r="C36" s="216">
        <v>24.55</v>
      </c>
      <c r="D36" s="216">
        <v>17.816</v>
      </c>
      <c r="E36" s="216">
        <v>16</v>
      </c>
      <c r="F36" s="217">
        <v>15.3</v>
      </c>
      <c r="G36" s="217">
        <v>15.5</v>
      </c>
      <c r="H36" s="217">
        <v>13.8</v>
      </c>
      <c r="I36" s="217">
        <v>13</v>
      </c>
      <c r="J36" s="217">
        <v>13.3</v>
      </c>
      <c r="K36" s="217">
        <v>15.1</v>
      </c>
      <c r="L36" s="217">
        <v>16.9</v>
      </c>
      <c r="M36" s="217">
        <v>17.3</v>
      </c>
      <c r="N36" s="217">
        <v>18.2</v>
      </c>
      <c r="O36" s="217">
        <v>18.1</v>
      </c>
      <c r="P36" s="217">
        <v>19.4</v>
      </c>
      <c r="Q36" s="217">
        <v>18.5</v>
      </c>
      <c r="R36" s="217">
        <v>18.734</v>
      </c>
      <c r="S36" s="217">
        <v>22.552</v>
      </c>
      <c r="T36" s="217">
        <v>21.427</v>
      </c>
      <c r="U36" s="217">
        <v>21.919</v>
      </c>
      <c r="V36" s="217">
        <v>21.265</v>
      </c>
      <c r="W36" s="217">
        <v>21.077</v>
      </c>
      <c r="X36" s="217">
        <v>19.171</v>
      </c>
      <c r="Y36" s="217">
        <v>18.576</v>
      </c>
      <c r="Z36" s="260">
        <v>20.974</v>
      </c>
      <c r="AA36" s="260">
        <v>21.444</v>
      </c>
      <c r="AB36" s="260">
        <v>22.401</v>
      </c>
      <c r="AC36" s="260">
        <v>22.143</v>
      </c>
      <c r="AD36" s="243">
        <v>21.99</v>
      </c>
      <c r="AE36" s="154">
        <f t="shared" si="2"/>
        <v>-0.6909632841078661</v>
      </c>
      <c r="AF36" s="94" t="s">
        <v>22</v>
      </c>
    </row>
    <row r="37" spans="1:32" ht="12.75" customHeight="1">
      <c r="A37" s="15"/>
      <c r="B37" s="17" t="s">
        <v>121</v>
      </c>
      <c r="C37" s="144">
        <v>0.16</v>
      </c>
      <c r="D37" s="324">
        <v>0.477</v>
      </c>
      <c r="E37" s="324">
        <v>0.584</v>
      </c>
      <c r="F37" s="218">
        <v>0.278</v>
      </c>
      <c r="G37" s="326">
        <v>0.06</v>
      </c>
      <c r="H37" s="218">
        <v>0.054</v>
      </c>
      <c r="I37" s="218">
        <v>0.053</v>
      </c>
      <c r="J37" s="218">
        <v>0.053</v>
      </c>
      <c r="K37" s="59">
        <v>0.042</v>
      </c>
      <c r="L37" s="59">
        <v>0.023</v>
      </c>
      <c r="M37" s="59">
        <v>0.025</v>
      </c>
      <c r="N37" s="59">
        <v>0.026</v>
      </c>
      <c r="O37" s="59">
        <v>0.028</v>
      </c>
      <c r="P37" s="59">
        <v>0.019</v>
      </c>
      <c r="Q37" s="59">
        <v>0.021</v>
      </c>
      <c r="R37" s="59">
        <v>0.032</v>
      </c>
      <c r="S37" s="59">
        <v>0.032</v>
      </c>
      <c r="T37" s="59">
        <v>0.026</v>
      </c>
      <c r="U37" s="59">
        <v>0.036</v>
      </c>
      <c r="V37" s="59">
        <v>0.053</v>
      </c>
      <c r="W37" s="59">
        <v>0.052</v>
      </c>
      <c r="X37" s="59">
        <v>0.046</v>
      </c>
      <c r="Y37" s="59">
        <v>0.066177</v>
      </c>
      <c r="Z37" s="206">
        <v>0.050122</v>
      </c>
      <c r="AA37" s="206">
        <v>0.025307</v>
      </c>
      <c r="AB37" s="206">
        <v>0.022975</v>
      </c>
      <c r="AC37" s="206">
        <v>0.039889</v>
      </c>
      <c r="AD37" s="236">
        <v>0.023</v>
      </c>
      <c r="AE37" s="152">
        <f t="shared" si="2"/>
        <v>-42.33999348191231</v>
      </c>
      <c r="AF37" s="17" t="s">
        <v>121</v>
      </c>
    </row>
    <row r="38" spans="1:32" ht="12.75" customHeight="1">
      <c r="A38" s="15"/>
      <c r="B38" s="276" t="s">
        <v>112</v>
      </c>
      <c r="C38" s="277"/>
      <c r="D38" s="277"/>
      <c r="E38" s="278"/>
      <c r="F38" s="278"/>
      <c r="G38" s="278"/>
      <c r="H38" s="278"/>
      <c r="I38" s="278"/>
      <c r="J38" s="278"/>
      <c r="K38" s="278"/>
      <c r="L38" s="278"/>
      <c r="M38" s="278"/>
      <c r="N38" s="278"/>
      <c r="O38" s="278"/>
      <c r="P38" s="278"/>
      <c r="Q38" s="278"/>
      <c r="R38" s="278"/>
      <c r="S38" s="278"/>
      <c r="T38" s="278"/>
      <c r="U38" s="278"/>
      <c r="V38" s="278">
        <v>0.185</v>
      </c>
      <c r="W38" s="278">
        <v>0.183</v>
      </c>
      <c r="X38" s="278">
        <v>0.1</v>
      </c>
      <c r="Y38" s="278">
        <v>0.15</v>
      </c>
      <c r="Z38" s="278">
        <v>0.136</v>
      </c>
      <c r="AA38" s="278">
        <v>0.073</v>
      </c>
      <c r="AB38" s="278">
        <v>0.105</v>
      </c>
      <c r="AC38" s="278">
        <v>0.094</v>
      </c>
      <c r="AD38" s="292">
        <v>0.112</v>
      </c>
      <c r="AE38" s="328">
        <f t="shared" si="2"/>
        <v>19.148936170212764</v>
      </c>
      <c r="AF38" s="276" t="s">
        <v>112</v>
      </c>
    </row>
    <row r="39" spans="1:32" ht="12.75" customHeight="1">
      <c r="A39" s="15"/>
      <c r="B39" s="17" t="s">
        <v>3</v>
      </c>
      <c r="C39" s="106" t="s">
        <v>35</v>
      </c>
      <c r="D39" s="106" t="s">
        <v>35</v>
      </c>
      <c r="E39" s="59" t="s">
        <v>35</v>
      </c>
      <c r="F39" s="59"/>
      <c r="G39" s="59"/>
      <c r="H39" s="59"/>
      <c r="I39" s="59"/>
      <c r="J39" s="59"/>
      <c r="K39" s="59"/>
      <c r="L39" s="59"/>
      <c r="M39" s="59"/>
      <c r="N39" s="59"/>
      <c r="O39" s="59">
        <v>0.5</v>
      </c>
      <c r="P39" s="59">
        <v>0.462</v>
      </c>
      <c r="Q39" s="59">
        <v>0.334</v>
      </c>
      <c r="R39" s="59">
        <v>0.373</v>
      </c>
      <c r="S39" s="59">
        <v>0.426</v>
      </c>
      <c r="T39" s="59">
        <v>0.531</v>
      </c>
      <c r="U39" s="59">
        <v>0.614</v>
      </c>
      <c r="V39" s="59">
        <v>0.778</v>
      </c>
      <c r="W39" s="59">
        <v>0.743</v>
      </c>
      <c r="X39" s="59">
        <v>0.497</v>
      </c>
      <c r="Y39" s="59">
        <v>0.525</v>
      </c>
      <c r="Z39" s="59">
        <v>0.479</v>
      </c>
      <c r="AA39" s="59">
        <v>0.423</v>
      </c>
      <c r="AB39" s="59">
        <v>0.421</v>
      </c>
      <c r="AC39" s="59">
        <v>0.411</v>
      </c>
      <c r="AD39" s="215">
        <v>0.278</v>
      </c>
      <c r="AE39" s="152">
        <f t="shared" si="2"/>
        <v>-32.36009732360097</v>
      </c>
      <c r="AF39" s="17" t="s">
        <v>3</v>
      </c>
    </row>
    <row r="40" spans="1:32" ht="12.75" customHeight="1">
      <c r="A40" s="15"/>
      <c r="B40" s="276" t="s">
        <v>113</v>
      </c>
      <c r="C40" s="277"/>
      <c r="D40" s="277"/>
      <c r="E40" s="278"/>
      <c r="F40" s="278"/>
      <c r="G40" s="278"/>
      <c r="H40" s="278"/>
      <c r="I40" s="278"/>
      <c r="J40" s="278"/>
      <c r="K40" s="278"/>
      <c r="L40" s="278"/>
      <c r="M40" s="278"/>
      <c r="N40" s="278"/>
      <c r="O40" s="278"/>
      <c r="P40" s="278"/>
      <c r="Q40" s="278"/>
      <c r="R40" s="278"/>
      <c r="S40" s="278"/>
      <c r="T40" s="278"/>
      <c r="U40" s="278"/>
      <c r="V40" s="278"/>
      <c r="W40" s="278">
        <v>4.339</v>
      </c>
      <c r="X40" s="278">
        <v>2.967</v>
      </c>
      <c r="Y40" s="278">
        <v>3.522</v>
      </c>
      <c r="Z40" s="278">
        <v>3.611</v>
      </c>
      <c r="AA40" s="278">
        <v>2.769</v>
      </c>
      <c r="AB40" s="278">
        <v>3.022</v>
      </c>
      <c r="AC40" s="278">
        <v>2.988</v>
      </c>
      <c r="AD40" s="292">
        <v>3.248</v>
      </c>
      <c r="AE40" s="328">
        <f t="shared" si="2"/>
        <v>8.701472556894245</v>
      </c>
      <c r="AF40" s="276" t="s">
        <v>113</v>
      </c>
    </row>
    <row r="41" spans="1:32" ht="12.75" customHeight="1">
      <c r="A41" s="15"/>
      <c r="B41" s="18" t="s">
        <v>18</v>
      </c>
      <c r="C41" s="108">
        <v>5.5</v>
      </c>
      <c r="D41" s="108">
        <v>5</v>
      </c>
      <c r="E41" s="60">
        <v>7.894</v>
      </c>
      <c r="F41" s="60">
        <v>7.977</v>
      </c>
      <c r="G41" s="60">
        <v>8.231</v>
      </c>
      <c r="H41" s="60">
        <v>8.396</v>
      </c>
      <c r="I41" s="60">
        <v>8.203</v>
      </c>
      <c r="J41" s="60">
        <v>8.506</v>
      </c>
      <c r="K41" s="60">
        <v>8.904</v>
      </c>
      <c r="L41" s="60">
        <v>9.606</v>
      </c>
      <c r="M41" s="60">
        <v>8.369</v>
      </c>
      <c r="N41" s="60">
        <v>8.23</v>
      </c>
      <c r="O41" s="60">
        <v>9.757</v>
      </c>
      <c r="P41" s="60">
        <v>7.483</v>
      </c>
      <c r="Q41" s="60">
        <v>7.176</v>
      </c>
      <c r="R41" s="60">
        <v>8.612</v>
      </c>
      <c r="S41" s="60">
        <v>9.332</v>
      </c>
      <c r="T41" s="60">
        <v>9.077</v>
      </c>
      <c r="U41" s="60">
        <v>9.544</v>
      </c>
      <c r="V41" s="60">
        <v>9.755</v>
      </c>
      <c r="W41" s="60">
        <v>10.552</v>
      </c>
      <c r="X41" s="60">
        <v>10.163</v>
      </c>
      <c r="Y41" s="60">
        <v>11.3</v>
      </c>
      <c r="Z41" s="60">
        <v>11.303</v>
      </c>
      <c r="AA41" s="60">
        <v>11.223</v>
      </c>
      <c r="AB41" s="60">
        <v>10.75</v>
      </c>
      <c r="AC41" s="60">
        <v>11.601</v>
      </c>
      <c r="AD41" s="219">
        <v>10.178</v>
      </c>
      <c r="AE41" s="329">
        <f t="shared" si="2"/>
        <v>-12.26618394965952</v>
      </c>
      <c r="AF41" s="18" t="s">
        <v>18</v>
      </c>
    </row>
    <row r="42" spans="1:32" ht="12.75" customHeight="1">
      <c r="A42" s="15"/>
      <c r="B42" s="276" t="s">
        <v>4</v>
      </c>
      <c r="C42" s="277" t="s">
        <v>36</v>
      </c>
      <c r="D42" s="277" t="s">
        <v>36</v>
      </c>
      <c r="E42" s="296" t="s">
        <v>36</v>
      </c>
      <c r="F42" s="296" t="s">
        <v>36</v>
      </c>
      <c r="G42" s="296" t="s">
        <v>36</v>
      </c>
      <c r="H42" s="296" t="s">
        <v>36</v>
      </c>
      <c r="I42" s="296" t="s">
        <v>36</v>
      </c>
      <c r="J42" s="296" t="s">
        <v>36</v>
      </c>
      <c r="K42" s="296" t="s">
        <v>36</v>
      </c>
      <c r="L42" s="296" t="s">
        <v>36</v>
      </c>
      <c r="M42" s="296" t="s">
        <v>36</v>
      </c>
      <c r="N42" s="296" t="s">
        <v>36</v>
      </c>
      <c r="O42" s="296" t="s">
        <v>36</v>
      </c>
      <c r="P42" s="297" t="s">
        <v>36</v>
      </c>
      <c r="Q42" s="297" t="s">
        <v>36</v>
      </c>
      <c r="R42" s="297" t="s">
        <v>36</v>
      </c>
      <c r="S42" s="297" t="s">
        <v>36</v>
      </c>
      <c r="T42" s="297" t="s">
        <v>36</v>
      </c>
      <c r="U42" s="297" t="s">
        <v>36</v>
      </c>
      <c r="V42" s="297" t="s">
        <v>36</v>
      </c>
      <c r="W42" s="297" t="s">
        <v>36</v>
      </c>
      <c r="X42" s="297" t="s">
        <v>36</v>
      </c>
      <c r="Y42" s="297" t="s">
        <v>36</v>
      </c>
      <c r="Z42" s="303" t="s">
        <v>36</v>
      </c>
      <c r="AA42" s="303" t="s">
        <v>36</v>
      </c>
      <c r="AB42" s="303" t="s">
        <v>36</v>
      </c>
      <c r="AC42" s="303" t="s">
        <v>36</v>
      </c>
      <c r="AD42" s="304" t="s">
        <v>36</v>
      </c>
      <c r="AE42" s="351" t="s">
        <v>36</v>
      </c>
      <c r="AF42" s="294" t="s">
        <v>4</v>
      </c>
    </row>
    <row r="43" spans="1:32" ht="12.75" customHeight="1">
      <c r="A43" s="15"/>
      <c r="B43" s="17" t="s">
        <v>34</v>
      </c>
      <c r="C43" s="106">
        <v>2.6</v>
      </c>
      <c r="D43" s="106">
        <v>3</v>
      </c>
      <c r="E43" s="59">
        <v>2.6</v>
      </c>
      <c r="F43" s="59">
        <v>2.7</v>
      </c>
      <c r="G43" s="59">
        <v>2.7</v>
      </c>
      <c r="H43" s="59">
        <v>2.9</v>
      </c>
      <c r="I43" s="59">
        <v>2.7</v>
      </c>
      <c r="J43" s="59">
        <v>2.7</v>
      </c>
      <c r="K43" s="59">
        <v>2.8</v>
      </c>
      <c r="L43" s="59">
        <v>3</v>
      </c>
      <c r="M43" s="59">
        <v>2.9</v>
      </c>
      <c r="N43" s="59">
        <v>2.9</v>
      </c>
      <c r="O43" s="59">
        <v>3</v>
      </c>
      <c r="P43" s="59">
        <v>2.9</v>
      </c>
      <c r="Q43" s="59">
        <v>2.7</v>
      </c>
      <c r="R43" s="59">
        <v>2.627</v>
      </c>
      <c r="S43" s="59">
        <v>2.845</v>
      </c>
      <c r="T43" s="59">
        <v>3.149</v>
      </c>
      <c r="U43" s="59">
        <v>3.351</v>
      </c>
      <c r="V43" s="59">
        <v>3.502</v>
      </c>
      <c r="W43" s="59">
        <v>3.621</v>
      </c>
      <c r="X43" s="59">
        <v>3.506</v>
      </c>
      <c r="Y43" s="59">
        <v>3.496</v>
      </c>
      <c r="Z43" s="59">
        <v>3.574</v>
      </c>
      <c r="AA43" s="59">
        <v>3.489</v>
      </c>
      <c r="AB43" s="59">
        <v>3.383</v>
      </c>
      <c r="AC43" s="59">
        <v>3.539</v>
      </c>
      <c r="AD43" s="215">
        <v>3.498</v>
      </c>
      <c r="AE43" s="152">
        <f t="shared" si="2"/>
        <v>-1.1585193557502151</v>
      </c>
      <c r="AF43" s="17" t="s">
        <v>34</v>
      </c>
    </row>
    <row r="44" spans="1:32" ht="12.75" customHeight="1">
      <c r="A44" s="15"/>
      <c r="B44" s="321" t="s">
        <v>5</v>
      </c>
      <c r="C44" s="322">
        <v>6.9</v>
      </c>
      <c r="D44" s="322">
        <v>7.8</v>
      </c>
      <c r="E44" s="281">
        <v>9.045</v>
      </c>
      <c r="F44" s="281">
        <v>8.917</v>
      </c>
      <c r="G44" s="281">
        <v>8.458</v>
      </c>
      <c r="H44" s="281">
        <v>8.051</v>
      </c>
      <c r="I44" s="281">
        <v>8.819</v>
      </c>
      <c r="J44" s="281">
        <v>8.856</v>
      </c>
      <c r="K44" s="281">
        <v>8.031</v>
      </c>
      <c r="L44" s="281">
        <v>8.836</v>
      </c>
      <c r="M44" s="281">
        <v>9.411</v>
      </c>
      <c r="N44" s="281">
        <v>9.831</v>
      </c>
      <c r="O44" s="281">
        <v>11.08</v>
      </c>
      <c r="P44" s="281">
        <v>11.172</v>
      </c>
      <c r="Q44" s="281">
        <v>10.746</v>
      </c>
      <c r="R44" s="281">
        <v>10.598</v>
      </c>
      <c r="S44" s="281">
        <v>11.489</v>
      </c>
      <c r="T44" s="281">
        <v>11.677</v>
      </c>
      <c r="U44" s="281">
        <v>12.466</v>
      </c>
      <c r="V44" s="279">
        <v>11.952</v>
      </c>
      <c r="W44" s="281">
        <v>12.265</v>
      </c>
      <c r="X44" s="281">
        <v>10.565</v>
      </c>
      <c r="Y44" s="281">
        <v>11.074</v>
      </c>
      <c r="Z44" s="281">
        <v>11.526</v>
      </c>
      <c r="AA44" s="281">
        <v>11.061</v>
      </c>
      <c r="AB44" s="281">
        <v>11.812</v>
      </c>
      <c r="AC44" s="281">
        <v>12.313</v>
      </c>
      <c r="AD44" s="323">
        <v>12.431</v>
      </c>
      <c r="AE44" s="327">
        <f t="shared" si="2"/>
        <v>0.9583367172906634</v>
      </c>
      <c r="AF44" s="321" t="s">
        <v>5</v>
      </c>
    </row>
    <row r="45" spans="2:32" ht="27" customHeight="1">
      <c r="B45" s="513" t="s">
        <v>80</v>
      </c>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row>
    <row r="46" spans="2:31" ht="44.25" customHeight="1">
      <c r="B46" s="263" t="s">
        <v>83</v>
      </c>
      <c r="C46" s="514" t="s">
        <v>151</v>
      </c>
      <c r="D46" s="514"/>
      <c r="E46" s="514"/>
      <c r="F46" s="514"/>
      <c r="G46" s="514"/>
      <c r="H46" s="514"/>
      <c r="I46" s="514"/>
      <c r="J46" s="514"/>
      <c r="K46" s="514"/>
      <c r="L46" s="514"/>
      <c r="M46" s="514"/>
      <c r="N46" s="514"/>
      <c r="O46" s="514"/>
      <c r="P46" s="514"/>
      <c r="Q46" s="514"/>
      <c r="R46" s="514"/>
      <c r="S46" s="165"/>
      <c r="T46" s="165"/>
      <c r="U46" s="165"/>
      <c r="V46" s="165"/>
      <c r="W46" s="165"/>
      <c r="X46" s="165"/>
      <c r="Y46" s="165"/>
      <c r="Z46" s="165"/>
      <c r="AA46" s="165"/>
      <c r="AB46" s="165"/>
      <c r="AC46" s="165"/>
      <c r="AD46" s="165"/>
      <c r="AE46" s="165"/>
    </row>
    <row r="47" ht="12.75">
      <c r="C47" s="165"/>
    </row>
    <row r="48" spans="21:24" ht="12.75">
      <c r="U48"/>
      <c r="V48"/>
      <c r="W48"/>
      <c r="X48"/>
    </row>
    <row r="69" spans="16:21" ht="12.75">
      <c r="P69" s="233"/>
      <c r="Q69"/>
      <c r="R69"/>
      <c r="S69"/>
      <c r="T69"/>
      <c r="U69"/>
    </row>
    <row r="70" spans="16:21" ht="12.75">
      <c r="P70" s="233"/>
      <c r="Q70" s="233"/>
      <c r="R70"/>
      <c r="S70"/>
      <c r="T70"/>
      <c r="U70"/>
    </row>
    <row r="71" spans="16:21" ht="12.75">
      <c r="P71"/>
      <c r="Q71"/>
      <c r="R71"/>
      <c r="S71"/>
      <c r="T71"/>
      <c r="U71"/>
    </row>
    <row r="72" spans="16:21" ht="12.75">
      <c r="P72"/>
      <c r="Q72"/>
      <c r="R72"/>
      <c r="S72"/>
      <c r="T72"/>
      <c r="U72"/>
    </row>
    <row r="73" spans="16:21" ht="12.75">
      <c r="P73"/>
      <c r="Q73"/>
      <c r="R73"/>
      <c r="S73"/>
      <c r="T73"/>
      <c r="U73"/>
    </row>
    <row r="74" spans="16:21" ht="12.75">
      <c r="P74"/>
      <c r="Q74"/>
      <c r="R74"/>
      <c r="S74"/>
      <c r="T74"/>
      <c r="U74"/>
    </row>
    <row r="75" spans="16:21" ht="12.75">
      <c r="P75"/>
      <c r="Q75"/>
      <c r="R75"/>
      <c r="S75"/>
      <c r="T75"/>
      <c r="U75"/>
    </row>
    <row r="76" spans="16:21" ht="12.75">
      <c r="P76"/>
      <c r="Q76"/>
      <c r="R76"/>
      <c r="S76"/>
      <c r="T76"/>
      <c r="U76"/>
    </row>
    <row r="77" spans="16:21" ht="12.75">
      <c r="P77"/>
      <c r="Q77"/>
      <c r="R77"/>
      <c r="S77"/>
      <c r="T77"/>
      <c r="U77"/>
    </row>
    <row r="78" spans="16:21" ht="12.75">
      <c r="P78"/>
      <c r="Q78"/>
      <c r="R78"/>
      <c r="S78"/>
      <c r="T78"/>
      <c r="U78"/>
    </row>
    <row r="79" spans="16:21" ht="12.75">
      <c r="P79"/>
      <c r="Q79"/>
      <c r="R79"/>
      <c r="S79"/>
      <c r="T79"/>
      <c r="U79"/>
    </row>
  </sheetData>
  <sheetProtection/>
  <mergeCells count="3">
    <mergeCell ref="B2:AF2"/>
    <mergeCell ref="B45:AF45"/>
    <mergeCell ref="C46:R46"/>
  </mergeCells>
  <hyperlinks>
    <hyperlink ref="AA49" r:id="rId1" tooltip="Click once to display linked information. Click and hold to select this cell." display="http://stats.oecd.org/OECDStat_Metadata/ShowMetadata.ashx?Dataset=ITF_GOODS_TRANSPORT&amp;ShowOnWeb=true&amp;Lang=en"/>
    <hyperlink ref="AA53" r:id="rId2" tooltip="Click once to display linked information. Click and hold to select this cell." display="http://stats.oecd.org/OECDStat_Metadata/ShowMetadata.ashx?Dataset=ITF_GOODS_TRANSPORT&amp;ShowOnWeb=true&amp;Lang=en"/>
    <hyperlink ref="AA59" r:id="rId3" tooltip="Click once to display linked information. Click and hold to select this cell." display="http://stats.oecd.org/"/>
    <hyperlink ref="AA55"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MOVE A3</cp:lastModifiedBy>
  <cp:lastPrinted>2012-03-28T15:28:45Z</cp:lastPrinted>
  <dcterms:created xsi:type="dcterms:W3CDTF">2003-09-05T14:33:05Z</dcterms:created>
  <dcterms:modified xsi:type="dcterms:W3CDTF">2017-08-07T09:57:59Z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