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02. Economic assessment\4. Statistics\02 Pocket book\Pocketbook 2021 work files\PB2021\"/>
    </mc:Choice>
  </mc:AlternateContent>
  <bookViews>
    <workbookView xWindow="0" yWindow="0" windowWidth="11985" windowHeight="6690" tabRatio="864" firstSheet="5" activeTab="19"/>
  </bookViews>
  <sheets>
    <sheet name="T2.6" sheetId="174" r:id="rId1"/>
    <sheet name="motorisation" sheetId="112" r:id="rId2"/>
    <sheet name="stock_cars" sheetId="113" r:id="rId3"/>
    <sheet name="stock_bus" sheetId="114" state="hidden" r:id="rId4"/>
    <sheet name="stock_busses" sheetId="175" r:id="rId5"/>
    <sheet name="stock_goods" sheetId="115" r:id="rId6"/>
    <sheet name="stock_mbike" sheetId="116" r:id="rId7"/>
    <sheet name="car_reg" sheetId="117" r:id="rId8"/>
    <sheet name="comm_reg" sheetId="119" r:id="rId9"/>
    <sheet name="bus_reg" sheetId="120" r:id="rId10"/>
    <sheet name="mbike_reg" sheetId="118" r:id="rId11"/>
    <sheet name="moped_del" sheetId="170" r:id="rId12"/>
    <sheet name="sea_fleet_eu" sheetId="124" r:id="rId13"/>
    <sheet name="sea_world_region" sheetId="125" r:id="rId14"/>
    <sheet name="sea_world_type" sheetId="173" r:id="rId15"/>
    <sheet name="aircraft_passeng" sheetId="126" r:id="rId16"/>
    <sheet name="aircraft_other" sheetId="127" r:id="rId17"/>
    <sheet name="stock_loco" sheetId="121" r:id="rId18"/>
    <sheet name="stock_railcar" sheetId="122" r:id="rId19"/>
    <sheet name="stock_railgood" sheetId="123" r:id="rId20"/>
  </sheets>
  <definedNames>
    <definedName name="A" localSheetId="0">'T2.6'!$A$65501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16">aircraft_other!$B$1:$H$52</definedName>
    <definedName name="_xlnm.Print_Area" localSheetId="15">aircraft_passeng!$B$1:$H$48</definedName>
    <definedName name="_xlnm.Print_Area" localSheetId="9">bus_reg!$A$1:$AV$42</definedName>
    <definedName name="_xlnm.Print_Area" localSheetId="7">car_reg!$B$1:$AN$44</definedName>
    <definedName name="_xlnm.Print_Area" localSheetId="8">comm_reg!$A$1:$AK$42</definedName>
    <definedName name="_xlnm.Print_Area" localSheetId="10">mbike_reg!$B$1:$S$45</definedName>
    <definedName name="_xlnm.Print_Area" localSheetId="11">moped_del!$B$1:$X$45</definedName>
    <definedName name="_xlnm.Print_Area" localSheetId="1">motorisation!$A$1:$AJ$47</definedName>
    <definedName name="_xlnm.Print_Area" localSheetId="12">sea_fleet_eu!$B$1:$K$47</definedName>
    <definedName name="_xlnm.Print_Area" localSheetId="13">sea_world_region!$B$1:$L$21</definedName>
    <definedName name="_xlnm.Print_Area" localSheetId="14">sea_world_type!$B$1:$L$41</definedName>
    <definedName name="_xlnm.Print_Area" localSheetId="3">stock_bus!$B$1:$Z$47</definedName>
    <definedName name="_xlnm.Print_Area" localSheetId="2">stock_cars!$A$1:$Z$49</definedName>
    <definedName name="_xlnm.Print_Area" localSheetId="5">stock_goods!$B$1:$Z$48</definedName>
    <definedName name="_xlnm.Print_Area" localSheetId="17">stock_loco!#REF!</definedName>
    <definedName name="_xlnm.Print_Area" localSheetId="6">stock_mbike!$B$1:$S$47</definedName>
    <definedName name="_xlnm.Print_Area" localSheetId="18">stock_railcar!$B$1:$AB$47</definedName>
    <definedName name="_xlnm.Print_Area" localSheetId="19">stock_railgood!$B$1:$N$45</definedName>
    <definedName name="_xlnm.Print_Area" localSheetId="0">'T2.6'!$A$1:$D$33</definedName>
    <definedName name="TABLE" localSheetId="17">stock_loco!#REF!</definedName>
    <definedName name="TABLE_2" localSheetId="17">stock_loco!#REF!</definedName>
  </definedNames>
  <calcPr calcId="162913"/>
</workbook>
</file>

<file path=xl/calcChain.xml><?xml version="1.0" encoding="utf-8"?>
<calcChain xmlns="http://schemas.openxmlformats.org/spreadsheetml/2006/main">
  <c r="J6" i="173" l="1"/>
  <c r="H6" i="173"/>
  <c r="AN43" i="117" l="1"/>
  <c r="AK43" i="117"/>
  <c r="AJ43" i="117"/>
  <c r="AI43" i="117"/>
  <c r="AH43" i="117"/>
  <c r="AG43" i="117"/>
  <c r="AF43" i="117"/>
  <c r="AN42" i="117"/>
  <c r="AK42" i="117"/>
  <c r="AJ42" i="117"/>
  <c r="AI42" i="117"/>
  <c r="AH42" i="117"/>
  <c r="AG42" i="117"/>
  <c r="Z42" i="117"/>
  <c r="AF42" i="117" s="1"/>
  <c r="AN41" i="117"/>
  <c r="AK41" i="117"/>
  <c r="AJ41" i="117"/>
  <c r="AI41" i="117"/>
  <c r="AH41" i="117"/>
  <c r="AG41" i="117"/>
  <c r="Z41" i="117"/>
  <c r="AF41" i="117" s="1"/>
  <c r="AJ40" i="117"/>
  <c r="AI40" i="117"/>
  <c r="AH40" i="117"/>
  <c r="AG40" i="117"/>
  <c r="AF40" i="117"/>
  <c r="Y40" i="117"/>
  <c r="AK40" i="117" s="1"/>
  <c r="AN39" i="117"/>
  <c r="Y39" i="117"/>
  <c r="T39" i="117"/>
  <c r="S39" i="117"/>
  <c r="R39" i="117"/>
  <c r="Q39" i="117"/>
  <c r="Y37" i="117"/>
  <c r="AN37" i="117" s="1"/>
  <c r="X37" i="117"/>
  <c r="AN36" i="117"/>
  <c r="Y36" i="117"/>
  <c r="V36" i="117"/>
  <c r="U36" i="117"/>
  <c r="S36" i="117"/>
  <c r="AN35" i="117"/>
  <c r="AK35" i="117"/>
  <c r="AJ35" i="117"/>
  <c r="AI35" i="117"/>
  <c r="AH35" i="117"/>
  <c r="AG35" i="117"/>
  <c r="Z35" i="117"/>
  <c r="AF35" i="117" s="1"/>
  <c r="AN34" i="117"/>
  <c r="AK34" i="117"/>
  <c r="AJ34" i="117"/>
  <c r="AI34" i="117"/>
  <c r="AH34" i="117"/>
  <c r="AG34" i="117"/>
  <c r="Z34" i="117"/>
  <c r="AF34" i="117" s="1"/>
  <c r="AN33" i="117"/>
  <c r="AK33" i="117"/>
  <c r="AJ33" i="117"/>
  <c r="AI33" i="117"/>
  <c r="AH33" i="117"/>
  <c r="AG33" i="117"/>
  <c r="Z33" i="117"/>
  <c r="AF33" i="117" s="1"/>
  <c r="AN32" i="117"/>
  <c r="AK32" i="117"/>
  <c r="AJ32" i="117"/>
  <c r="AI32" i="117"/>
  <c r="AH32" i="117"/>
  <c r="AG32" i="117"/>
  <c r="Z32" i="117"/>
  <c r="AF32" i="117" s="1"/>
  <c r="AN31" i="117"/>
  <c r="AK31" i="117"/>
  <c r="AJ31" i="117"/>
  <c r="AI31" i="117"/>
  <c r="AH31" i="117"/>
  <c r="AG31" i="117"/>
  <c r="Z31" i="117"/>
  <c r="AF31" i="117" s="1"/>
  <c r="AN30" i="117"/>
  <c r="AK30" i="117"/>
  <c r="AJ30" i="117"/>
  <c r="AI30" i="117"/>
  <c r="AH30" i="117"/>
  <c r="AG30" i="117"/>
  <c r="Z30" i="117"/>
  <c r="AF30" i="117" s="1"/>
  <c r="AN29" i="117"/>
  <c r="AK29" i="117"/>
  <c r="AJ29" i="117"/>
  <c r="AI29" i="117"/>
  <c r="AH29" i="117"/>
  <c r="AG29" i="117"/>
  <c r="Z29" i="117"/>
  <c r="AF29" i="117" s="1"/>
  <c r="AN28" i="117"/>
  <c r="AK28" i="117"/>
  <c r="AJ28" i="117"/>
  <c r="AI28" i="117"/>
  <c r="AH28" i="117"/>
  <c r="AG28" i="117"/>
  <c r="Z28" i="117"/>
  <c r="AF28" i="117" s="1"/>
  <c r="AN27" i="117"/>
  <c r="AK27" i="117"/>
  <c r="AJ27" i="117"/>
  <c r="AI27" i="117"/>
  <c r="AH27" i="117"/>
  <c r="AG27" i="117"/>
  <c r="Z27" i="117"/>
  <c r="AF27" i="117" s="1"/>
  <c r="AN26" i="117"/>
  <c r="AK26" i="117"/>
  <c r="AJ26" i="117"/>
  <c r="AI26" i="117"/>
  <c r="AH26" i="117"/>
  <c r="AG26" i="117"/>
  <c r="Z26" i="117"/>
  <c r="AF26" i="117" s="1"/>
  <c r="AJ25" i="117"/>
  <c r="AI25" i="117"/>
  <c r="AH25" i="117"/>
  <c r="AG25" i="117"/>
  <c r="Z25" i="117"/>
  <c r="AF25" i="117" s="1"/>
  <c r="Y25" i="117"/>
  <c r="AN25" i="117" s="1"/>
  <c r="P25" i="117"/>
  <c r="P6" i="117" s="1"/>
  <c r="O25" i="117"/>
  <c r="L25" i="117"/>
  <c r="K25" i="117"/>
  <c r="K7" i="117" s="1"/>
  <c r="J25" i="117"/>
  <c r="I25" i="117"/>
  <c r="H25" i="117"/>
  <c r="AN24" i="117"/>
  <c r="AK24" i="117"/>
  <c r="AJ24" i="117"/>
  <c r="AI24" i="117"/>
  <c r="AH24" i="117"/>
  <c r="AG24" i="117"/>
  <c r="AF24" i="117"/>
  <c r="AN23" i="117"/>
  <c r="AK23" i="117"/>
  <c r="AJ23" i="117"/>
  <c r="AI23" i="117"/>
  <c r="AH23" i="117"/>
  <c r="AG23" i="117"/>
  <c r="Z23" i="117"/>
  <c r="AF23" i="117" s="1"/>
  <c r="AN22" i="117"/>
  <c r="AK22" i="117"/>
  <c r="AJ22" i="117"/>
  <c r="AI22" i="117"/>
  <c r="AH22" i="117"/>
  <c r="AG22" i="117"/>
  <c r="Z22" i="117"/>
  <c r="AF22" i="117" s="1"/>
  <c r="AN21" i="117"/>
  <c r="AK21" i="117"/>
  <c r="AJ21" i="117"/>
  <c r="AI21" i="117"/>
  <c r="AH21" i="117"/>
  <c r="AG21" i="117"/>
  <c r="Z21" i="117"/>
  <c r="AF21" i="117" s="1"/>
  <c r="AJ20" i="117"/>
  <c r="AH20" i="117"/>
  <c r="AG20" i="117"/>
  <c r="Z20" i="117"/>
  <c r="AF20" i="117" s="1"/>
  <c r="Y20" i="117"/>
  <c r="AN20" i="117" s="1"/>
  <c r="X20" i="117"/>
  <c r="W20" i="117"/>
  <c r="AI20" i="117" s="1"/>
  <c r="M20" i="117"/>
  <c r="M6" i="117" s="1"/>
  <c r="L20" i="117"/>
  <c r="L6" i="117" s="1"/>
  <c r="K20" i="117"/>
  <c r="J20" i="117"/>
  <c r="J7" i="117" s="1"/>
  <c r="I20" i="117"/>
  <c r="I6" i="117" s="1"/>
  <c r="H20" i="117"/>
  <c r="H7" i="117" s="1"/>
  <c r="G20" i="117"/>
  <c r="F20" i="117"/>
  <c r="E20" i="117"/>
  <c r="AN19" i="117"/>
  <c r="AK19" i="117"/>
  <c r="AJ19" i="117"/>
  <c r="AI19" i="117"/>
  <c r="AH19" i="117"/>
  <c r="AG19" i="117"/>
  <c r="Z19" i="117"/>
  <c r="AF19" i="117" s="1"/>
  <c r="AN18" i="117"/>
  <c r="AK18" i="117"/>
  <c r="AJ18" i="117"/>
  <c r="AI18" i="117"/>
  <c r="AH18" i="117"/>
  <c r="AG18" i="117"/>
  <c r="Z18" i="117"/>
  <c r="AF18" i="117" s="1"/>
  <c r="AN17" i="117"/>
  <c r="AK17" i="117"/>
  <c r="AJ17" i="117"/>
  <c r="AI17" i="117"/>
  <c r="AH17" i="117"/>
  <c r="AG17" i="117"/>
  <c r="Z17" i="117"/>
  <c r="AF17" i="117" s="1"/>
  <c r="AN16" i="117"/>
  <c r="AK16" i="117"/>
  <c r="AJ16" i="117"/>
  <c r="AI16" i="117"/>
  <c r="AH16" i="117"/>
  <c r="AG16" i="117"/>
  <c r="Z16" i="117"/>
  <c r="AF16" i="117" s="1"/>
  <c r="AN15" i="117"/>
  <c r="AK15" i="117"/>
  <c r="AJ15" i="117"/>
  <c r="AI15" i="117"/>
  <c r="AH15" i="117"/>
  <c r="AG15" i="117"/>
  <c r="Z15" i="117"/>
  <c r="AF15" i="117" s="1"/>
  <c r="AN14" i="117"/>
  <c r="AK14" i="117"/>
  <c r="AJ14" i="117"/>
  <c r="AI14" i="117"/>
  <c r="AH14" i="117"/>
  <c r="AG14" i="117"/>
  <c r="Z14" i="117"/>
  <c r="AF14" i="117" s="1"/>
  <c r="AN13" i="117"/>
  <c r="AK13" i="117"/>
  <c r="AJ13" i="117"/>
  <c r="AI13" i="117"/>
  <c r="AH13" i="117"/>
  <c r="AG13" i="117"/>
  <c r="Z13" i="117"/>
  <c r="AF13" i="117" s="1"/>
  <c r="AN12" i="117"/>
  <c r="AK12" i="117"/>
  <c r="AJ12" i="117"/>
  <c r="AI12" i="117"/>
  <c r="AH12" i="117"/>
  <c r="AG12" i="117"/>
  <c r="Z12" i="117"/>
  <c r="AF12" i="117" s="1"/>
  <c r="AN11" i="117"/>
  <c r="AK11" i="117"/>
  <c r="AJ11" i="117"/>
  <c r="AI11" i="117"/>
  <c r="AH11" i="117"/>
  <c r="AG11" i="117"/>
  <c r="Z11" i="117"/>
  <c r="AF11" i="117" s="1"/>
  <c r="AN10" i="117"/>
  <c r="AK10" i="117"/>
  <c r="AJ10" i="117"/>
  <c r="AI10" i="117"/>
  <c r="AH10" i="117"/>
  <c r="AG10" i="117"/>
  <c r="Z10" i="117"/>
  <c r="AF10" i="117" s="1"/>
  <c r="AN9" i="117"/>
  <c r="AK9" i="117"/>
  <c r="AJ9" i="117"/>
  <c r="AI9" i="117"/>
  <c r="AH9" i="117"/>
  <c r="AG9" i="117"/>
  <c r="Z9" i="117"/>
  <c r="AF9" i="117" s="1"/>
  <c r="AN8" i="117"/>
  <c r="AK8" i="117"/>
  <c r="AJ8" i="117"/>
  <c r="AI8" i="117"/>
  <c r="AH8" i="117"/>
  <c r="AG8" i="117"/>
  <c r="Z8" i="117"/>
  <c r="AE7" i="117"/>
  <c r="AD7" i="117"/>
  <c r="AC7" i="117"/>
  <c r="AB7" i="117"/>
  <c r="AA7" i="117"/>
  <c r="AG7" i="117" s="1"/>
  <c r="X7" i="117"/>
  <c r="AJ7" i="117" s="1"/>
  <c r="V7" i="117"/>
  <c r="U7" i="117"/>
  <c r="T7" i="117"/>
  <c r="S7" i="117"/>
  <c r="R7" i="117"/>
  <c r="Q7" i="117"/>
  <c r="P7" i="117"/>
  <c r="O7" i="117"/>
  <c r="N7" i="117"/>
  <c r="L7" i="117"/>
  <c r="AE6" i="117"/>
  <c r="AD6" i="117"/>
  <c r="AC6" i="117"/>
  <c r="AB6" i="117"/>
  <c r="AA6" i="117"/>
  <c r="AG6" i="117" s="1"/>
  <c r="X6" i="117"/>
  <c r="W6" i="117"/>
  <c r="AI6" i="117" s="1"/>
  <c r="V6" i="117"/>
  <c r="U6" i="117"/>
  <c r="T6" i="117"/>
  <c r="S6" i="117"/>
  <c r="R6" i="117"/>
  <c r="Q6" i="117"/>
  <c r="O6" i="117"/>
  <c r="N6" i="117"/>
  <c r="Z7" i="117" l="1"/>
  <c r="AF7" i="117" s="1"/>
  <c r="AH7" i="117"/>
  <c r="K6" i="117"/>
  <c r="AF8" i="117"/>
  <c r="H6" i="117"/>
  <c r="Y6" i="117"/>
  <c r="AN6" i="117" s="1"/>
  <c r="AH6" i="117"/>
  <c r="Z6" i="117"/>
  <c r="AF6" i="117" s="1"/>
  <c r="AJ6" i="117"/>
  <c r="Y7" i="117"/>
  <c r="AN7" i="117" s="1"/>
  <c r="AK25" i="117"/>
  <c r="J6" i="117"/>
  <c r="W7" i="117"/>
  <c r="AI7" i="117" s="1"/>
  <c r="AN40" i="117"/>
  <c r="I7" i="117"/>
  <c r="M7" i="117"/>
  <c r="AK20" i="117"/>
  <c r="AK7" i="117" l="1"/>
  <c r="AK6" i="117"/>
  <c r="X7" i="125"/>
  <c r="W30" i="118"/>
  <c r="V30" i="118"/>
  <c r="U30" i="118"/>
  <c r="T30" i="118"/>
  <c r="S30" i="118"/>
  <c r="R30" i="118"/>
  <c r="Q30" i="118"/>
  <c r="P30" i="118"/>
  <c r="O30" i="118"/>
  <c r="N30" i="118"/>
  <c r="Y35" i="122" l="1"/>
  <c r="AB35" i="122" s="1"/>
  <c r="Y35" i="121"/>
  <c r="AB35" i="121" s="1"/>
  <c r="X35" i="121"/>
  <c r="W35" i="121"/>
  <c r="V35" i="121"/>
  <c r="Y32" i="121"/>
  <c r="AB32" i="121" s="1"/>
  <c r="Y41" i="121"/>
  <c r="AB10" i="121"/>
  <c r="AB12" i="121"/>
  <c r="AB13" i="121"/>
  <c r="AB16" i="121"/>
  <c r="AB20" i="121"/>
  <c r="AB27" i="121"/>
  <c r="AB29" i="121"/>
  <c r="AB33" i="121"/>
  <c r="AB36" i="121"/>
  <c r="AB41" i="121"/>
  <c r="J35" i="173" l="1"/>
  <c r="E35" i="173"/>
  <c r="J30" i="173" l="1"/>
  <c r="H30" i="173"/>
  <c r="E30" i="173"/>
  <c r="G30" i="173" s="1"/>
  <c r="J29" i="173"/>
  <c r="E29" i="173"/>
  <c r="C29" i="173"/>
  <c r="J28" i="173"/>
  <c r="E28" i="173"/>
  <c r="G28" i="173" s="1"/>
  <c r="J23" i="173"/>
  <c r="E23" i="173"/>
  <c r="J16" i="173"/>
  <c r="E16" i="173"/>
  <c r="G16" i="173" s="1"/>
  <c r="J15" i="173"/>
  <c r="E15" i="173"/>
  <c r="G15" i="173" s="1"/>
  <c r="G13" i="173"/>
  <c r="G14" i="173"/>
  <c r="G18" i="173"/>
  <c r="G19" i="173"/>
  <c r="G20" i="173"/>
  <c r="G21" i="173"/>
  <c r="G22" i="173"/>
  <c r="G23" i="173"/>
  <c r="J7" i="173"/>
  <c r="J12" i="173"/>
  <c r="C9" i="173"/>
  <c r="H20" i="124"/>
  <c r="E12" i="173"/>
  <c r="G12" i="173" s="1"/>
  <c r="G29" i="173" l="1"/>
  <c r="L12" i="173"/>
  <c r="L15" i="173"/>
  <c r="L16" i="173"/>
  <c r="L13" i="173"/>
  <c r="L14" i="173"/>
  <c r="L18" i="173"/>
  <c r="L19" i="173"/>
  <c r="L20" i="173"/>
  <c r="L21" i="173"/>
  <c r="L22" i="173"/>
  <c r="L23" i="173"/>
  <c r="G11" i="173"/>
  <c r="L7" i="173"/>
  <c r="J10" i="173"/>
  <c r="J9" i="173"/>
  <c r="H10" i="173"/>
  <c r="H9" i="173"/>
  <c r="E11" i="173"/>
  <c r="E10" i="173"/>
  <c r="C10" i="173"/>
  <c r="C7" i="173" s="1"/>
  <c r="E9" i="173"/>
  <c r="G9" i="173" s="1"/>
  <c r="C6" i="173"/>
  <c r="Q16" i="125"/>
  <c r="R16" i="125"/>
  <c r="S16" i="125"/>
  <c r="T16" i="125"/>
  <c r="U16" i="125"/>
  <c r="V16" i="125"/>
  <c r="W16" i="125"/>
  <c r="P16" i="125"/>
  <c r="X13" i="125"/>
  <c r="X14" i="125"/>
  <c r="X12" i="125"/>
  <c r="X9" i="125"/>
  <c r="X10" i="125" s="1"/>
  <c r="H15" i="124"/>
  <c r="C37" i="124"/>
  <c r="C32" i="124"/>
  <c r="C28" i="124"/>
  <c r="C24" i="124"/>
  <c r="D14" i="124"/>
  <c r="D15" i="124"/>
  <c r="C10" i="124"/>
  <c r="C17" i="124"/>
  <c r="C20" i="124"/>
  <c r="C29" i="124"/>
  <c r="C31" i="124"/>
  <c r="C34" i="124"/>
  <c r="C35" i="124"/>
  <c r="C36" i="124"/>
  <c r="C39" i="124"/>
  <c r="C41" i="124"/>
  <c r="C42" i="124"/>
  <c r="C43" i="124"/>
  <c r="H41" i="124"/>
  <c r="F41" i="124"/>
  <c r="D41" i="124" s="1"/>
  <c r="X11" i="125" s="1"/>
  <c r="H44" i="124"/>
  <c r="F44" i="124"/>
  <c r="E44" i="124"/>
  <c r="C44" i="124" s="1"/>
  <c r="H43" i="124"/>
  <c r="F43" i="124"/>
  <c r="D43" i="124" s="1"/>
  <c r="H42" i="124"/>
  <c r="F42" i="124"/>
  <c r="H39" i="124"/>
  <c r="F39" i="124"/>
  <c r="D39" i="124" s="1"/>
  <c r="F37" i="124"/>
  <c r="D37" i="124" s="1"/>
  <c r="H36" i="124"/>
  <c r="F36" i="124"/>
  <c r="D36" i="124" s="1"/>
  <c r="H35" i="124"/>
  <c r="F35" i="124"/>
  <c r="H34" i="124"/>
  <c r="F34" i="124"/>
  <c r="D34" i="124" s="1"/>
  <c r="H32" i="124"/>
  <c r="D32" i="124" s="1"/>
  <c r="H31" i="124"/>
  <c r="F31" i="124"/>
  <c r="D31" i="124" s="1"/>
  <c r="H30" i="124"/>
  <c r="G30" i="124"/>
  <c r="C30" i="124" s="1"/>
  <c r="F30" i="124"/>
  <c r="H29" i="124"/>
  <c r="F29" i="124"/>
  <c r="D29" i="124" s="1"/>
  <c r="H28" i="124"/>
  <c r="D28" i="124" s="1"/>
  <c r="H27" i="124"/>
  <c r="G27" i="124"/>
  <c r="C27" i="124" s="1"/>
  <c r="F27" i="124"/>
  <c r="D27" i="124" s="1"/>
  <c r="H26" i="124"/>
  <c r="G26" i="124"/>
  <c r="C26" i="124" s="1"/>
  <c r="F26" i="124"/>
  <c r="H24" i="124"/>
  <c r="D24" i="124" s="1"/>
  <c r="H23" i="124"/>
  <c r="G23" i="124"/>
  <c r="F23" i="124"/>
  <c r="E23" i="124"/>
  <c r="C23" i="124" s="1"/>
  <c r="H22" i="124"/>
  <c r="G22" i="124"/>
  <c r="F22" i="124"/>
  <c r="D22" i="124" s="1"/>
  <c r="E22" i="124"/>
  <c r="C22" i="124" s="1"/>
  <c r="H21" i="124"/>
  <c r="G21" i="124"/>
  <c r="F21" i="124"/>
  <c r="E21" i="124"/>
  <c r="C21" i="124" s="1"/>
  <c r="F20" i="124"/>
  <c r="D20" i="124" s="1"/>
  <c r="F19" i="124"/>
  <c r="D19" i="124" s="1"/>
  <c r="E19" i="124"/>
  <c r="C19" i="124" s="1"/>
  <c r="H18" i="124"/>
  <c r="F18" i="124"/>
  <c r="D18" i="124" s="1"/>
  <c r="E18" i="124"/>
  <c r="C18" i="124" s="1"/>
  <c r="H17" i="124"/>
  <c r="D17" i="124" s="1"/>
  <c r="H16" i="124"/>
  <c r="F16" i="124"/>
  <c r="D16" i="124" s="1"/>
  <c r="E16" i="124"/>
  <c r="C16" i="124" s="1"/>
  <c r="E15" i="124"/>
  <c r="C15" i="124" s="1"/>
  <c r="G14" i="124"/>
  <c r="E14" i="124"/>
  <c r="C14" i="124" s="1"/>
  <c r="H13" i="124"/>
  <c r="G13" i="124"/>
  <c r="F13" i="124"/>
  <c r="D13" i="124" s="1"/>
  <c r="E13" i="124"/>
  <c r="C13" i="124" s="1"/>
  <c r="H12" i="124"/>
  <c r="G12" i="124"/>
  <c r="F12" i="124"/>
  <c r="D12" i="124" s="1"/>
  <c r="E12" i="124"/>
  <c r="E7" i="124" s="1"/>
  <c r="H10" i="124"/>
  <c r="F10" i="124"/>
  <c r="D10" i="124" s="1"/>
  <c r="C9" i="124"/>
  <c r="H9" i="124"/>
  <c r="D9" i="124" s="1"/>
  <c r="F9" i="124"/>
  <c r="G10" i="173" l="1"/>
  <c r="J11" i="173"/>
  <c r="L11" i="173" s="1"/>
  <c r="L10" i="173"/>
  <c r="E7" i="173"/>
  <c r="G7" i="173" s="1"/>
  <c r="L9" i="173"/>
  <c r="D21" i="124"/>
  <c r="D23" i="124"/>
  <c r="D26" i="124"/>
  <c r="D8" i="124" s="1"/>
  <c r="G8" i="124"/>
  <c r="F8" i="124"/>
  <c r="D30" i="124"/>
  <c r="D7" i="124" s="1"/>
  <c r="X8" i="125" s="1"/>
  <c r="X16" i="125" s="1"/>
  <c r="D35" i="124"/>
  <c r="D42" i="124"/>
  <c r="D44" i="124"/>
  <c r="C12" i="124"/>
  <c r="C8" i="124"/>
  <c r="C7" i="124"/>
  <c r="E6" i="173" s="1"/>
  <c r="G6" i="173" s="1"/>
  <c r="E8" i="124"/>
  <c r="G7" i="124"/>
  <c r="H8" i="124"/>
  <c r="H7" i="124"/>
  <c r="F7" i="124"/>
  <c r="L6" i="173" l="1"/>
  <c r="X17" i="125"/>
  <c r="Y34" i="121" l="1"/>
  <c r="AB34" i="121" s="1"/>
  <c r="Y14" i="121"/>
  <c r="AB14" i="121" s="1"/>
  <c r="Y7" i="121"/>
  <c r="AB7" i="121" s="1"/>
  <c r="AI18" i="113"/>
  <c r="Y31" i="123" l="1"/>
  <c r="Y28" i="123"/>
  <c r="Y27" i="123"/>
  <c r="Y26" i="123"/>
  <c r="Y23" i="123"/>
  <c r="Y20" i="123"/>
  <c r="Y14" i="123"/>
  <c r="Y29" i="123"/>
  <c r="Y38" i="123"/>
  <c r="Y36" i="123"/>
  <c r="Y18" i="123"/>
  <c r="Y13" i="123"/>
  <c r="Y7" i="123"/>
  <c r="AB8" i="122" l="1"/>
  <c r="AB9" i="122"/>
  <c r="AB10" i="122"/>
  <c r="AB11" i="122"/>
  <c r="AB12" i="122"/>
  <c r="AB13" i="122"/>
  <c r="AB14" i="122"/>
  <c r="AB15" i="122"/>
  <c r="AB16" i="122"/>
  <c r="AB17" i="122"/>
  <c r="AB18" i="122"/>
  <c r="AB21" i="122"/>
  <c r="AB22" i="122"/>
  <c r="AB25" i="122"/>
  <c r="AB27" i="122"/>
  <c r="AB28" i="122"/>
  <c r="AB31" i="122"/>
  <c r="AB36" i="122"/>
  <c r="AB38" i="122"/>
  <c r="AB39" i="122"/>
  <c r="AB42" i="122"/>
  <c r="Y41" i="122"/>
  <c r="AB41" i="122" s="1"/>
  <c r="Y7" i="122"/>
  <c r="AB7" i="122" s="1"/>
  <c r="Y32" i="122"/>
  <c r="AB32" i="122" s="1"/>
  <c r="Y36" i="122"/>
  <c r="Y34" i="122"/>
  <c r="AB34" i="122" s="1"/>
  <c r="Y33" i="122"/>
  <c r="AB33" i="122" s="1"/>
  <c r="Y20" i="122"/>
  <c r="AB20" i="122" s="1"/>
  <c r="X8" i="170" l="1"/>
  <c r="X10" i="170"/>
  <c r="X11" i="170"/>
  <c r="X12" i="170"/>
  <c r="X13" i="170"/>
  <c r="X14" i="170"/>
  <c r="X16" i="170"/>
  <c r="X17" i="170"/>
  <c r="X18" i="170"/>
  <c r="X19" i="170"/>
  <c r="X21" i="170"/>
  <c r="X22" i="170"/>
  <c r="X23" i="170"/>
  <c r="X26" i="170"/>
  <c r="X27" i="170"/>
  <c r="X28" i="170"/>
  <c r="X29" i="170"/>
  <c r="X30" i="170"/>
  <c r="X31" i="170"/>
  <c r="X32" i="170"/>
  <c r="X33" i="170"/>
  <c r="X35" i="170"/>
  <c r="X42" i="170"/>
  <c r="W15" i="170"/>
  <c r="V15" i="170"/>
  <c r="W9" i="118"/>
  <c r="V10" i="118"/>
  <c r="X11" i="118"/>
  <c r="X28" i="118"/>
  <c r="X30" i="118"/>
  <c r="X34" i="118"/>
  <c r="X36" i="118"/>
  <c r="W36" i="118"/>
  <c r="W25" i="118"/>
  <c r="X25" i="118" s="1"/>
  <c r="W25" i="170"/>
  <c r="W39" i="170"/>
  <c r="X39" i="170" s="1"/>
  <c r="W39" i="118"/>
  <c r="X39" i="118" s="1"/>
  <c r="W43" i="170"/>
  <c r="X43" i="170" s="1"/>
  <c r="W43" i="118"/>
  <c r="X43" i="118" s="1"/>
  <c r="W9" i="170"/>
  <c r="W40" i="170"/>
  <c r="X40" i="170" s="1"/>
  <c r="W34" i="170"/>
  <c r="X34" i="170" s="1"/>
  <c r="W42" i="118"/>
  <c r="X42" i="118" s="1"/>
  <c r="W40" i="118"/>
  <c r="X40" i="118" s="1"/>
  <c r="W37" i="118"/>
  <c r="X37" i="118" s="1"/>
  <c r="W35" i="118"/>
  <c r="V35" i="118"/>
  <c r="W33" i="118"/>
  <c r="V33" i="118"/>
  <c r="W32" i="118"/>
  <c r="V32" i="118"/>
  <c r="X32" i="118" s="1"/>
  <c r="W31" i="118"/>
  <c r="X31" i="118" s="1"/>
  <c r="W29" i="118"/>
  <c r="X29" i="118" s="1"/>
  <c r="W28" i="118"/>
  <c r="W27" i="118"/>
  <c r="X27" i="118" s="1"/>
  <c r="V27" i="118"/>
  <c r="W26" i="118"/>
  <c r="V26" i="118"/>
  <c r="W24" i="118"/>
  <c r="X24" i="118" s="1"/>
  <c r="W23" i="118"/>
  <c r="V23" i="118"/>
  <c r="W22" i="118"/>
  <c r="X22" i="118" s="1"/>
  <c r="W21" i="118"/>
  <c r="X21" i="118" s="1"/>
  <c r="W19" i="118"/>
  <c r="V19" i="118"/>
  <c r="V18" i="118"/>
  <c r="W18" i="118"/>
  <c r="X18" i="118" s="1"/>
  <c r="V17" i="118"/>
  <c r="W17" i="118"/>
  <c r="W16" i="118"/>
  <c r="V16" i="118"/>
  <c r="X16" i="118" s="1"/>
  <c r="W15" i="118"/>
  <c r="X15" i="118" s="1"/>
  <c r="W14" i="118"/>
  <c r="X14" i="118" s="1"/>
  <c r="W13" i="118"/>
  <c r="X13" i="118" s="1"/>
  <c r="W12" i="118"/>
  <c r="X12" i="118" s="1"/>
  <c r="W10" i="118"/>
  <c r="V8" i="118"/>
  <c r="BR14" i="120"/>
  <c r="BR38" i="120"/>
  <c r="BR39" i="120"/>
  <c r="BM36" i="120"/>
  <c r="BN36" i="120"/>
  <c r="BO36" i="120"/>
  <c r="BP36" i="120"/>
  <c r="BQ36" i="120"/>
  <c r="BR36" i="120" s="1"/>
  <c r="BM10" i="120"/>
  <c r="BN10" i="120"/>
  <c r="BO10" i="120"/>
  <c r="BP10" i="120"/>
  <c r="BR10" i="120" s="1"/>
  <c r="BQ10" i="120"/>
  <c r="BB21" i="120"/>
  <c r="BC21" i="120"/>
  <c r="BD21" i="120"/>
  <c r="BE21" i="120"/>
  <c r="BF21" i="120"/>
  <c r="BG21" i="120"/>
  <c r="BH21" i="120"/>
  <c r="BI21" i="120"/>
  <c r="BJ21" i="120"/>
  <c r="BK21" i="120"/>
  <c r="BL21" i="120"/>
  <c r="BM21" i="120"/>
  <c r="BN21" i="120"/>
  <c r="BO21" i="120"/>
  <c r="BP21" i="120"/>
  <c r="BQ21" i="120"/>
  <c r="BN29" i="120"/>
  <c r="BO29" i="120"/>
  <c r="BP29" i="120"/>
  <c r="BQ29" i="120"/>
  <c r="BR29" i="120" s="1"/>
  <c r="BM29" i="120"/>
  <c r="BQ16" i="120"/>
  <c r="BR16" i="120" s="1"/>
  <c r="BQ15" i="120"/>
  <c r="BR15" i="120" s="1"/>
  <c r="BQ14" i="120"/>
  <c r="BQ13" i="120"/>
  <c r="BQ12" i="120"/>
  <c r="BR12" i="120" s="1"/>
  <c r="BQ11" i="120"/>
  <c r="BR11" i="120" s="1"/>
  <c r="BQ9" i="120"/>
  <c r="BQ8" i="120" s="1"/>
  <c r="BR8" i="120" s="1"/>
  <c r="BD10" i="120"/>
  <c r="BE10" i="120"/>
  <c r="BF10" i="120"/>
  <c r="BG10" i="120"/>
  <c r="BH10" i="120"/>
  <c r="BI10" i="120"/>
  <c r="BI8" i="120" s="1"/>
  <c r="BJ10" i="120"/>
  <c r="BJ8" i="120" s="1"/>
  <c r="BK10" i="120"/>
  <c r="BL10" i="120"/>
  <c r="BQ26" i="119"/>
  <c r="BR26" i="119" s="1"/>
  <c r="BQ10" i="119"/>
  <c r="BQ8" i="119" s="1"/>
  <c r="BR8" i="119" s="1"/>
  <c r="BQ11" i="119"/>
  <c r="BQ12" i="119"/>
  <c r="BQ13" i="119"/>
  <c r="BQ14" i="119"/>
  <c r="BR14" i="119" s="1"/>
  <c r="BQ15" i="119"/>
  <c r="BQ16" i="119"/>
  <c r="BQ17" i="119"/>
  <c r="BQ18" i="119"/>
  <c r="BR18" i="119" s="1"/>
  <c r="BQ19" i="119"/>
  <c r="BQ20" i="119"/>
  <c r="BQ21" i="119"/>
  <c r="BQ22" i="119"/>
  <c r="BR22" i="119" s="1"/>
  <c r="BQ23" i="119"/>
  <c r="BQ24" i="119"/>
  <c r="BQ25" i="119"/>
  <c r="BQ27" i="119"/>
  <c r="BR27" i="119" s="1"/>
  <c r="BQ28" i="119"/>
  <c r="BQ29" i="119"/>
  <c r="BQ30" i="119"/>
  <c r="BQ31" i="119"/>
  <c r="BR31" i="119" s="1"/>
  <c r="BQ32" i="119"/>
  <c r="BQ33" i="119"/>
  <c r="BQ34" i="119"/>
  <c r="BQ35" i="119"/>
  <c r="BR35" i="119" s="1"/>
  <c r="BQ37" i="119"/>
  <c r="BQ38" i="119"/>
  <c r="BQ39" i="119"/>
  <c r="R36" i="119"/>
  <c r="BQ36" i="119" s="1"/>
  <c r="R7" i="119"/>
  <c r="AA18" i="116"/>
  <c r="AB18" i="116" s="1"/>
  <c r="AK8" i="112"/>
  <c r="AK34" i="112"/>
  <c r="AK35" i="112"/>
  <c r="AK36" i="112"/>
  <c r="AK38" i="112"/>
  <c r="AK39" i="112"/>
  <c r="AK40" i="112"/>
  <c r="AK42" i="112"/>
  <c r="AK43" i="112"/>
  <c r="AK15" i="112"/>
  <c r="AK16" i="112"/>
  <c r="AK18" i="112"/>
  <c r="AK19" i="112"/>
  <c r="AK20" i="112"/>
  <c r="AK22" i="112"/>
  <c r="AK23" i="112"/>
  <c r="AK24" i="112"/>
  <c r="AK26" i="112"/>
  <c r="AK27" i="112"/>
  <c r="AK28" i="112"/>
  <c r="AK30" i="112"/>
  <c r="AK31" i="112"/>
  <c r="AK32" i="112"/>
  <c r="AK12" i="112"/>
  <c r="AK13" i="112"/>
  <c r="AK14" i="112"/>
  <c r="AK10" i="112"/>
  <c r="AK11" i="112"/>
  <c r="AK9" i="112"/>
  <c r="AK7" i="112"/>
  <c r="Y39" i="121"/>
  <c r="AB39" i="121" s="1"/>
  <c r="Y42" i="121"/>
  <c r="AB42" i="121" s="1"/>
  <c r="Y38" i="121"/>
  <c r="AB38" i="121" s="1"/>
  <c r="Y31" i="121"/>
  <c r="AB31" i="121" s="1"/>
  <c r="Y30" i="121"/>
  <c r="AB30" i="121" s="1"/>
  <c r="Y28" i="121"/>
  <c r="AB28" i="121" s="1"/>
  <c r="Y26" i="121"/>
  <c r="AB26" i="121" s="1"/>
  <c r="Y25" i="121"/>
  <c r="AB25" i="121" s="1"/>
  <c r="Y23" i="121"/>
  <c r="AB23" i="121" s="1"/>
  <c r="Y22" i="121"/>
  <c r="AB22" i="121" s="1"/>
  <c r="Y21" i="121"/>
  <c r="AB21" i="121" s="1"/>
  <c r="Y18" i="121"/>
  <c r="AB18" i="121" s="1"/>
  <c r="Y17" i="121"/>
  <c r="AB17" i="121" s="1"/>
  <c r="Y15" i="121"/>
  <c r="AB15" i="121" s="1"/>
  <c r="Y11" i="121"/>
  <c r="AB11" i="121" s="1"/>
  <c r="Y9" i="121"/>
  <c r="AB9" i="121" s="1"/>
  <c r="Y8" i="121"/>
  <c r="AH45" i="115"/>
  <c r="AI17" i="115"/>
  <c r="AH42" i="115"/>
  <c r="AG42" i="115"/>
  <c r="AA15" i="116"/>
  <c r="AB15" i="116"/>
  <c r="AB16" i="116"/>
  <c r="AB33" i="116"/>
  <c r="AB36" i="116"/>
  <c r="AB39" i="116"/>
  <c r="AA10" i="116"/>
  <c r="AB10" i="116" s="1"/>
  <c r="AH18" i="175"/>
  <c r="G9" i="126"/>
  <c r="G10" i="126"/>
  <c r="G11" i="126"/>
  <c r="G12" i="126"/>
  <c r="G13" i="126"/>
  <c r="G14" i="126"/>
  <c r="G15" i="126"/>
  <c r="G16" i="126"/>
  <c r="G17" i="126"/>
  <c r="G18" i="126"/>
  <c r="G19" i="126"/>
  <c r="G20" i="126"/>
  <c r="G21" i="126"/>
  <c r="G22" i="126"/>
  <c r="G23" i="126"/>
  <c r="G24" i="126"/>
  <c r="G25" i="126"/>
  <c r="G26" i="126"/>
  <c r="G27" i="126"/>
  <c r="G28" i="126"/>
  <c r="G29" i="126"/>
  <c r="G30" i="126"/>
  <c r="G31" i="126"/>
  <c r="G32" i="126"/>
  <c r="G33" i="126"/>
  <c r="G34" i="126"/>
  <c r="G35" i="126"/>
  <c r="G36" i="126"/>
  <c r="G37" i="126"/>
  <c r="G39" i="126"/>
  <c r="G40" i="126"/>
  <c r="G41" i="126"/>
  <c r="G42" i="126"/>
  <c r="G44" i="126"/>
  <c r="G45" i="126"/>
  <c r="W8" i="118"/>
  <c r="X8" i="118" s="1"/>
  <c r="BQ9" i="119"/>
  <c r="W20" i="118"/>
  <c r="X20" i="118" s="1"/>
  <c r="W20" i="170"/>
  <c r="X20" i="170" s="1"/>
  <c r="BQ17" i="120"/>
  <c r="BR17" i="120" s="1"/>
  <c r="BQ18" i="120"/>
  <c r="BR18" i="120" s="1"/>
  <c r="BQ19" i="120"/>
  <c r="BR19" i="120" s="1"/>
  <c r="BQ20" i="120"/>
  <c r="BR20" i="120" s="1"/>
  <c r="BQ22" i="120"/>
  <c r="BR22" i="120" s="1"/>
  <c r="BQ23" i="120"/>
  <c r="BR23" i="120" s="1"/>
  <c r="BQ24" i="120"/>
  <c r="BR24" i="120" s="1"/>
  <c r="BQ25" i="120"/>
  <c r="BR25" i="120" s="1"/>
  <c r="BQ26" i="120"/>
  <c r="BR26" i="120" s="1"/>
  <c r="BQ27" i="120"/>
  <c r="BR27" i="120" s="1"/>
  <c r="BQ28" i="120"/>
  <c r="BR28" i="120" s="1"/>
  <c r="BQ30" i="120"/>
  <c r="BQ31" i="120"/>
  <c r="BQ32" i="120"/>
  <c r="BR32" i="120" s="1"/>
  <c r="BQ33" i="120"/>
  <c r="BR33" i="120" s="1"/>
  <c r="BQ34" i="120"/>
  <c r="BQ35" i="120"/>
  <c r="BQ37" i="120"/>
  <c r="BR37" i="120" s="1"/>
  <c r="BQ38" i="120"/>
  <c r="BQ39" i="120"/>
  <c r="AA40" i="116"/>
  <c r="AB40" i="116" s="1"/>
  <c r="Z40" i="116"/>
  <c r="Y40" i="116"/>
  <c r="AA38" i="116"/>
  <c r="AB38" i="116" s="1"/>
  <c r="AH39" i="115"/>
  <c r="AI39" i="115" s="1"/>
  <c r="AH38" i="175"/>
  <c r="AA43" i="116"/>
  <c r="AB43" i="116" s="1"/>
  <c r="AA35" i="116"/>
  <c r="Z35" i="116"/>
  <c r="AB35" i="116" s="1"/>
  <c r="AH36" i="115"/>
  <c r="AI36" i="115" s="1"/>
  <c r="AH39" i="175"/>
  <c r="AA45" i="116"/>
  <c r="AH45" i="175"/>
  <c r="AI45" i="175" s="1"/>
  <c r="AH44" i="175"/>
  <c r="AH41" i="175"/>
  <c r="AA44" i="116"/>
  <c r="AA41" i="116"/>
  <c r="AB41" i="116" s="1"/>
  <c r="AA33" i="116"/>
  <c r="AA32" i="116"/>
  <c r="AB32" i="116" s="1"/>
  <c r="AA31" i="116"/>
  <c r="AB31" i="116" s="1"/>
  <c r="AH10" i="175"/>
  <c r="AH7" i="175" s="1"/>
  <c r="AH43" i="175"/>
  <c r="AH35" i="175"/>
  <c r="AH33" i="175"/>
  <c r="AH32" i="175"/>
  <c r="AH31" i="175"/>
  <c r="AH46" i="115"/>
  <c r="AI46" i="115" s="1"/>
  <c r="AH44" i="115"/>
  <c r="AI44" i="115" s="1"/>
  <c r="AH34" i="115"/>
  <c r="AH33" i="115"/>
  <c r="AH19" i="115"/>
  <c r="AI19" i="115" s="1"/>
  <c r="AH11" i="115"/>
  <c r="AI12" i="175"/>
  <c r="AI16" i="175"/>
  <c r="AI18" i="175"/>
  <c r="AI20" i="175"/>
  <c r="AI28" i="175"/>
  <c r="AI31" i="175"/>
  <c r="AI32" i="175"/>
  <c r="AI33" i="175"/>
  <c r="AI34" i="175"/>
  <c r="AI35" i="175"/>
  <c r="AI36" i="175"/>
  <c r="AI38" i="175"/>
  <c r="AI39" i="175"/>
  <c r="AI41" i="175"/>
  <c r="AI43" i="175"/>
  <c r="AI44" i="175"/>
  <c r="AI10" i="115"/>
  <c r="AA30" i="116"/>
  <c r="AB30" i="116" s="1"/>
  <c r="AH30" i="175"/>
  <c r="AI30" i="175" s="1"/>
  <c r="AA29" i="116"/>
  <c r="AB29" i="116" s="1"/>
  <c r="AH29" i="175"/>
  <c r="AI29" i="175" s="1"/>
  <c r="AG29" i="175"/>
  <c r="AA28" i="116"/>
  <c r="AB28" i="116" s="1"/>
  <c r="AH29" i="115"/>
  <c r="AH28" i="175"/>
  <c r="AA27" i="116"/>
  <c r="AH28" i="115"/>
  <c r="AH27" i="175"/>
  <c r="AI27" i="175" s="1"/>
  <c r="AH26" i="175"/>
  <c r="AI26" i="175" s="1"/>
  <c r="AH27" i="115"/>
  <c r="AA26" i="116"/>
  <c r="AB26" i="116" s="1"/>
  <c r="AA25" i="116"/>
  <c r="AB25" i="116" s="1"/>
  <c r="AH26" i="115"/>
  <c r="AG26" i="115"/>
  <c r="AH25" i="175"/>
  <c r="AI25" i="175" s="1"/>
  <c r="AA24" i="116"/>
  <c r="AB24" i="116" s="1"/>
  <c r="AH25" i="115"/>
  <c r="AH24" i="175"/>
  <c r="AI24" i="175" s="1"/>
  <c r="AA23" i="116"/>
  <c r="AB23" i="116" s="1"/>
  <c r="AH24" i="115"/>
  <c r="AH23" i="175"/>
  <c r="AI23" i="175" s="1"/>
  <c r="AA22" i="116"/>
  <c r="AB22" i="116" s="1"/>
  <c r="AH23" i="115"/>
  <c r="AI23" i="115" s="1"/>
  <c r="AH22" i="175"/>
  <c r="AI22" i="175" s="1"/>
  <c r="AH30" i="115"/>
  <c r="AI30" i="115" s="1"/>
  <c r="AH32" i="115"/>
  <c r="AI32" i="115" s="1"/>
  <c r="AH31" i="115"/>
  <c r="AI31" i="115" s="1"/>
  <c r="AH22" i="115"/>
  <c r="AI22" i="115" s="1"/>
  <c r="AH21" i="175"/>
  <c r="AI21" i="175" s="1"/>
  <c r="AA21" i="116"/>
  <c r="AB21" i="116" s="1"/>
  <c r="AA20" i="116"/>
  <c r="AB20" i="116" s="1"/>
  <c r="AH21" i="115"/>
  <c r="AH20" i="175"/>
  <c r="AA19" i="116"/>
  <c r="AH20" i="115"/>
  <c r="AH19" i="175"/>
  <c r="AI19" i="175" s="1"/>
  <c r="AA17" i="116"/>
  <c r="AH18" i="115"/>
  <c r="AH17" i="175"/>
  <c r="AI17" i="175" s="1"/>
  <c r="AH15" i="175"/>
  <c r="AI15" i="175" s="1"/>
  <c r="AA14" i="116"/>
  <c r="AH14" i="175"/>
  <c r="AI14" i="175" s="1"/>
  <c r="AH15" i="115"/>
  <c r="AI15" i="115" s="1"/>
  <c r="AA13" i="116"/>
  <c r="AB13" i="116" s="1"/>
  <c r="AH14" i="115"/>
  <c r="AH13" i="175"/>
  <c r="AI13" i="175" s="1"/>
  <c r="AH12" i="175"/>
  <c r="AA11" i="116"/>
  <c r="AB11" i="116" s="1"/>
  <c r="AH12" i="115"/>
  <c r="AI12" i="115" s="1"/>
  <c r="AH11" i="175"/>
  <c r="AI11" i="175" s="1"/>
  <c r="AA9" i="116"/>
  <c r="AC9" i="175"/>
  <c r="W9" i="175"/>
  <c r="O10" i="115"/>
  <c r="AH9" i="175"/>
  <c r="AI9" i="175" s="1"/>
  <c r="AG9" i="175"/>
  <c r="AF9" i="175"/>
  <c r="AD9" i="175"/>
  <c r="AD7" i="175" s="1"/>
  <c r="AB9" i="175"/>
  <c r="AA9" i="175"/>
  <c r="AH41" i="115"/>
  <c r="AI41" i="115" s="1"/>
  <c r="AH40" i="175"/>
  <c r="AI40" i="175" s="1"/>
  <c r="AH40" i="113"/>
  <c r="AG40" i="113"/>
  <c r="AI40" i="113" s="1"/>
  <c r="AH37" i="115"/>
  <c r="AH36" i="113"/>
  <c r="AH38" i="113"/>
  <c r="AI38" i="113" s="1"/>
  <c r="AA42" i="116"/>
  <c r="AB42" i="116" s="1"/>
  <c r="AH43" i="115"/>
  <c r="AI43" i="115" s="1"/>
  <c r="AH42" i="175"/>
  <c r="AI42" i="175" s="1"/>
  <c r="AH42" i="113"/>
  <c r="AI42" i="113" s="1"/>
  <c r="AG42" i="113"/>
  <c r="AA37" i="116"/>
  <c r="AB37" i="116" s="1"/>
  <c r="AH38" i="115"/>
  <c r="AH37" i="175"/>
  <c r="AI37" i="175" s="1"/>
  <c r="AH37" i="113"/>
  <c r="AI37" i="113" s="1"/>
  <c r="AH35" i="115"/>
  <c r="AA34" i="116"/>
  <c r="AH34" i="113"/>
  <c r="AH16" i="115"/>
  <c r="AI16" i="115" s="1"/>
  <c r="AH15" i="113"/>
  <c r="AH7" i="113" s="1"/>
  <c r="AI9" i="113"/>
  <c r="AI10" i="113"/>
  <c r="AI11" i="113"/>
  <c r="AI12" i="113"/>
  <c r="AI13" i="113"/>
  <c r="AI14" i="113"/>
  <c r="AI16" i="113"/>
  <c r="AI17" i="113"/>
  <c r="AI19" i="113"/>
  <c r="AI20" i="113"/>
  <c r="AI21" i="113"/>
  <c r="AI22" i="113"/>
  <c r="AI23" i="113"/>
  <c r="AI25" i="113"/>
  <c r="AI27" i="113"/>
  <c r="AI28" i="113"/>
  <c r="AI29" i="113"/>
  <c r="AI30" i="113"/>
  <c r="AI31" i="113"/>
  <c r="AI32" i="113"/>
  <c r="AI33" i="113"/>
  <c r="AI34" i="113"/>
  <c r="AI35" i="113"/>
  <c r="AI39" i="113"/>
  <c r="AI41" i="113"/>
  <c r="AI43" i="113"/>
  <c r="AI44" i="113"/>
  <c r="AI45" i="113"/>
  <c r="AI36" i="113"/>
  <c r="H6" i="123"/>
  <c r="H5" i="123"/>
  <c r="F5" i="122"/>
  <c r="E8" i="119"/>
  <c r="F8" i="119"/>
  <c r="G8" i="119"/>
  <c r="H8" i="119"/>
  <c r="I8" i="119"/>
  <c r="J8" i="119"/>
  <c r="K8" i="119"/>
  <c r="L8" i="119"/>
  <c r="N8" i="119"/>
  <c r="O8" i="119"/>
  <c r="P8" i="119"/>
  <c r="Q8" i="119"/>
  <c r="D8" i="119"/>
  <c r="E7" i="119"/>
  <c r="F7" i="119"/>
  <c r="G7" i="119"/>
  <c r="H7" i="119"/>
  <c r="I7" i="119"/>
  <c r="J7" i="119"/>
  <c r="K7" i="119"/>
  <c r="L7" i="119"/>
  <c r="N7" i="119"/>
  <c r="O7" i="119"/>
  <c r="P7" i="119"/>
  <c r="Q7" i="119"/>
  <c r="D7" i="119"/>
  <c r="AB43" i="175"/>
  <c r="AA43" i="175"/>
  <c r="Y43" i="175"/>
  <c r="X43" i="175"/>
  <c r="W43" i="175"/>
  <c r="V43" i="175"/>
  <c r="U43" i="175"/>
  <c r="T43" i="175"/>
  <c r="S43" i="175"/>
  <c r="R43" i="175"/>
  <c r="Q43" i="175"/>
  <c r="P43" i="175"/>
  <c r="O43" i="175"/>
  <c r="X45" i="175"/>
  <c r="AB44" i="175"/>
  <c r="AB41" i="175"/>
  <c r="AA41" i="175"/>
  <c r="Y41" i="175"/>
  <c r="X41" i="175"/>
  <c r="W41" i="175"/>
  <c r="V41" i="175"/>
  <c r="U41" i="175"/>
  <c r="T41" i="175"/>
  <c r="S41" i="175"/>
  <c r="R41" i="175"/>
  <c r="Y38" i="175"/>
  <c r="X38" i="175"/>
  <c r="W38" i="175"/>
  <c r="V38" i="175"/>
  <c r="AB36" i="175"/>
  <c r="AA36" i="175"/>
  <c r="AA8" i="175" s="1"/>
  <c r="Y36" i="175"/>
  <c r="X36" i="175"/>
  <c r="W36" i="175"/>
  <c r="V36" i="175"/>
  <c r="U36" i="175"/>
  <c r="T36" i="175"/>
  <c r="S36" i="175"/>
  <c r="R36" i="175"/>
  <c r="Q36" i="175"/>
  <c r="P36" i="175"/>
  <c r="O36" i="175"/>
  <c r="N36" i="175"/>
  <c r="M36" i="175"/>
  <c r="L36" i="175"/>
  <c r="K36" i="175"/>
  <c r="J36" i="175"/>
  <c r="I36" i="175"/>
  <c r="X35" i="175"/>
  <c r="AB34" i="175"/>
  <c r="Y34" i="175"/>
  <c r="Y8" i="175" s="1"/>
  <c r="X34" i="175"/>
  <c r="AB33" i="175"/>
  <c r="Y33" i="175"/>
  <c r="X33" i="175"/>
  <c r="AB32" i="175"/>
  <c r="Y32" i="175"/>
  <c r="X31" i="175"/>
  <c r="V31" i="175"/>
  <c r="V7" i="175" s="1"/>
  <c r="U31" i="175"/>
  <c r="T31" i="175"/>
  <c r="S31" i="175"/>
  <c r="R31" i="175"/>
  <c r="R8" i="175" s="1"/>
  <c r="Q31" i="175"/>
  <c r="P31" i="175"/>
  <c r="O31" i="175"/>
  <c r="N31" i="175"/>
  <c r="M31" i="175"/>
  <c r="L31" i="175"/>
  <c r="K31" i="175"/>
  <c r="J31" i="175"/>
  <c r="J7" i="175" s="1"/>
  <c r="I31" i="175"/>
  <c r="H31" i="175"/>
  <c r="G31" i="175"/>
  <c r="F31" i="175"/>
  <c r="E31" i="175"/>
  <c r="X30" i="175"/>
  <c r="Y28" i="175"/>
  <c r="AB27" i="175"/>
  <c r="AA27" i="175"/>
  <c r="Y27" i="175"/>
  <c r="AG26" i="175"/>
  <c r="AF26" i="175"/>
  <c r="AF7" i="175" s="1"/>
  <c r="AE26" i="175"/>
  <c r="AD26" i="175"/>
  <c r="AC26" i="175"/>
  <c r="AC8" i="175" s="1"/>
  <c r="AB26" i="175"/>
  <c r="AA26" i="175"/>
  <c r="Y26" i="175"/>
  <c r="X26" i="175"/>
  <c r="W26" i="175"/>
  <c r="V26" i="175"/>
  <c r="U26" i="175"/>
  <c r="T26" i="175"/>
  <c r="P26" i="175"/>
  <c r="O26" i="175"/>
  <c r="N26" i="175"/>
  <c r="M26" i="175"/>
  <c r="M7" i="175" s="1"/>
  <c r="G26" i="175"/>
  <c r="F26" i="175"/>
  <c r="Y25" i="175"/>
  <c r="X24" i="175"/>
  <c r="AB23" i="175"/>
  <c r="AA23" i="175"/>
  <c r="Y23" i="175"/>
  <c r="X23" i="175"/>
  <c r="X7" i="175" s="1"/>
  <c r="W23" i="175"/>
  <c r="V23" i="175"/>
  <c r="U23" i="175"/>
  <c r="T23" i="175"/>
  <c r="T8" i="175" s="1"/>
  <c r="S23" i="175"/>
  <c r="R23" i="175"/>
  <c r="Q23" i="175"/>
  <c r="P23" i="175"/>
  <c r="P7" i="175" s="1"/>
  <c r="O23" i="175"/>
  <c r="N23" i="175"/>
  <c r="M23" i="175"/>
  <c r="L23" i="175"/>
  <c r="L7" i="175" s="1"/>
  <c r="K23" i="175"/>
  <c r="J23" i="175"/>
  <c r="I23" i="175" s="1"/>
  <c r="G23" i="175"/>
  <c r="I22" i="175"/>
  <c r="H22" i="175"/>
  <c r="G22" i="175"/>
  <c r="F22" i="175"/>
  <c r="X21" i="175"/>
  <c r="Y15" i="175"/>
  <c r="X15" i="175"/>
  <c r="AE13" i="175"/>
  <c r="AE8" i="175" s="1"/>
  <c r="Y13" i="175"/>
  <c r="Y12" i="175"/>
  <c r="X12" i="175"/>
  <c r="AG11" i="175"/>
  <c r="AG7" i="175" s="1"/>
  <c r="AE11" i="175"/>
  <c r="AD11" i="175"/>
  <c r="AC11" i="175"/>
  <c r="AB11" i="175"/>
  <c r="AB7" i="175" s="1"/>
  <c r="AA11" i="175"/>
  <c r="Y11" i="175"/>
  <c r="X11" i="175"/>
  <c r="W11" i="175"/>
  <c r="W8" i="175" s="1"/>
  <c r="V11" i="175"/>
  <c r="U11" i="175"/>
  <c r="T11" i="175"/>
  <c r="S11" i="175"/>
  <c r="S8" i="175" s="1"/>
  <c r="R11" i="175"/>
  <c r="Q11" i="175"/>
  <c r="P11" i="175"/>
  <c r="O11" i="175"/>
  <c r="O7" i="175" s="1"/>
  <c r="N11" i="175"/>
  <c r="M11" i="175"/>
  <c r="L11" i="175"/>
  <c r="K11" i="175"/>
  <c r="K8" i="175" s="1"/>
  <c r="J11" i="175"/>
  <c r="I11" i="175"/>
  <c r="G11" i="175"/>
  <c r="G7" i="175" s="1"/>
  <c r="F11" i="175"/>
  <c r="H10" i="175"/>
  <c r="G10" i="175"/>
  <c r="F10" i="175"/>
  <c r="F8" i="175" s="1"/>
  <c r="E10" i="175"/>
  <c r="E7" i="175"/>
  <c r="Z8" i="175"/>
  <c r="Z7" i="175"/>
  <c r="U7" i="175"/>
  <c r="AD8" i="175"/>
  <c r="F23" i="175"/>
  <c r="Q7" i="175"/>
  <c r="R7" i="175"/>
  <c r="AB8" i="175"/>
  <c r="AC7" i="175"/>
  <c r="Q8" i="175"/>
  <c r="U8" i="175"/>
  <c r="H23" i="175"/>
  <c r="H7" i="175"/>
  <c r="N7" i="175"/>
  <c r="E8" i="175"/>
  <c r="N8" i="175"/>
  <c r="AA7" i="175"/>
  <c r="AE7" i="175"/>
  <c r="P8" i="175"/>
  <c r="H8" i="175"/>
  <c r="X6" i="121"/>
  <c r="X5" i="121"/>
  <c r="AG40" i="115"/>
  <c r="AH40" i="115" s="1"/>
  <c r="AI40" i="115" s="1"/>
  <c r="D9" i="127"/>
  <c r="E9" i="127"/>
  <c r="F9" i="127"/>
  <c r="G9" i="127"/>
  <c r="C9" i="127"/>
  <c r="D8" i="127"/>
  <c r="E8" i="127"/>
  <c r="F8" i="127"/>
  <c r="G8" i="127"/>
  <c r="C8" i="127"/>
  <c r="D8" i="126"/>
  <c r="E8" i="126"/>
  <c r="F8" i="126"/>
  <c r="C8" i="126"/>
  <c r="D7" i="126"/>
  <c r="E7" i="126"/>
  <c r="F7" i="126"/>
  <c r="C7" i="126"/>
  <c r="G7" i="126" s="1"/>
  <c r="J24" i="124"/>
  <c r="J28" i="124"/>
  <c r="J32" i="124"/>
  <c r="J10" i="124"/>
  <c r="J12" i="124"/>
  <c r="J13" i="124"/>
  <c r="J14" i="124"/>
  <c r="J15" i="124"/>
  <c r="J16" i="124"/>
  <c r="J17" i="124"/>
  <c r="J18" i="124"/>
  <c r="J19" i="124"/>
  <c r="J20" i="124"/>
  <c r="J21" i="124"/>
  <c r="J22" i="124"/>
  <c r="J23" i="124"/>
  <c r="J26" i="124"/>
  <c r="J27" i="124"/>
  <c r="J29" i="124"/>
  <c r="J30" i="124"/>
  <c r="J31" i="124"/>
  <c r="J34" i="124"/>
  <c r="J35" i="124"/>
  <c r="J36" i="124"/>
  <c r="J39" i="124"/>
  <c r="J42" i="124"/>
  <c r="J43" i="124"/>
  <c r="J44" i="124"/>
  <c r="J9" i="124"/>
  <c r="I36" i="124"/>
  <c r="I39" i="124"/>
  <c r="I41" i="124"/>
  <c r="I42" i="124"/>
  <c r="I43" i="124"/>
  <c r="I44" i="124"/>
  <c r="J41" i="124"/>
  <c r="I34" i="124"/>
  <c r="I35" i="124"/>
  <c r="I31" i="124"/>
  <c r="I32" i="124"/>
  <c r="I30" i="124"/>
  <c r="I29" i="124"/>
  <c r="I27" i="124"/>
  <c r="I28" i="124"/>
  <c r="I26" i="124"/>
  <c r="I23" i="124"/>
  <c r="I24" i="124"/>
  <c r="I22" i="124"/>
  <c r="I21" i="124"/>
  <c r="I19" i="124"/>
  <c r="I20" i="124"/>
  <c r="I18" i="124"/>
  <c r="I17" i="124"/>
  <c r="I15" i="124"/>
  <c r="I16" i="124"/>
  <c r="I14" i="124"/>
  <c r="I13" i="124"/>
  <c r="I12" i="124"/>
  <c r="I9" i="124"/>
  <c r="I10" i="124"/>
  <c r="P7" i="170"/>
  <c r="P6" i="170"/>
  <c r="J6" i="118"/>
  <c r="J7" i="118"/>
  <c r="U36" i="118"/>
  <c r="V25" i="118"/>
  <c r="V25" i="170"/>
  <c r="V9" i="118"/>
  <c r="V7" i="118" s="1"/>
  <c r="BP11" i="120"/>
  <c r="BP12" i="120"/>
  <c r="BP13" i="120"/>
  <c r="BR13" i="120" s="1"/>
  <c r="BP14" i="120"/>
  <c r="BP15" i="120"/>
  <c r="BP16" i="120"/>
  <c r="BP17" i="120"/>
  <c r="BP18" i="120"/>
  <c r="BP19" i="120"/>
  <c r="BP20" i="120"/>
  <c r="BP22" i="120"/>
  <c r="BP23" i="120"/>
  <c r="BP24" i="120"/>
  <c r="BP25" i="120"/>
  <c r="BP26" i="120"/>
  <c r="BP27" i="120"/>
  <c r="BP28" i="120"/>
  <c r="BP30" i="120"/>
  <c r="BR30" i="120" s="1"/>
  <c r="BP31" i="120"/>
  <c r="BR31" i="120" s="1"/>
  <c r="BP32" i="120"/>
  <c r="BP33" i="120"/>
  <c r="BP34" i="120"/>
  <c r="BR34" i="120" s="1"/>
  <c r="BP35" i="120"/>
  <c r="BR35" i="120" s="1"/>
  <c r="BP37" i="120"/>
  <c r="BP38" i="120"/>
  <c r="BP39" i="120"/>
  <c r="BP9" i="120"/>
  <c r="BP7" i="120" s="1"/>
  <c r="BP36" i="119"/>
  <c r="BR36" i="119"/>
  <c r="BP26" i="119"/>
  <c r="BP11" i="119"/>
  <c r="BR11" i="119"/>
  <c r="BP12" i="119"/>
  <c r="BR12" i="119"/>
  <c r="BP13" i="119"/>
  <c r="BR13" i="119"/>
  <c r="BP14" i="119"/>
  <c r="BP15" i="119"/>
  <c r="BR15" i="119"/>
  <c r="BP16" i="119"/>
  <c r="BR16" i="119"/>
  <c r="BP17" i="119"/>
  <c r="BR17" i="119"/>
  <c r="BP18" i="119"/>
  <c r="BP19" i="119"/>
  <c r="BR19" i="119"/>
  <c r="BP20" i="119"/>
  <c r="BR20" i="119"/>
  <c r="BP21" i="119"/>
  <c r="BR21" i="119"/>
  <c r="BP22" i="119"/>
  <c r="BP23" i="119"/>
  <c r="BR23" i="119"/>
  <c r="BP24" i="119"/>
  <c r="BR24" i="119" s="1"/>
  <c r="BP25" i="119"/>
  <c r="BR25" i="119"/>
  <c r="BP27" i="119"/>
  <c r="BP28" i="119"/>
  <c r="BR28" i="119"/>
  <c r="BP29" i="119"/>
  <c r="BR29" i="119" s="1"/>
  <c r="BP30" i="119"/>
  <c r="BR30" i="119"/>
  <c r="BP31" i="119"/>
  <c r="BP32" i="119"/>
  <c r="BR32" i="119"/>
  <c r="BP33" i="119"/>
  <c r="BR33" i="119" s="1"/>
  <c r="BP34" i="119"/>
  <c r="BR34" i="119"/>
  <c r="BP35" i="119"/>
  <c r="BP37" i="119"/>
  <c r="BR37" i="119"/>
  <c r="BP38" i="119"/>
  <c r="BR38" i="119" s="1"/>
  <c r="BP39" i="119"/>
  <c r="BR39" i="119" s="1"/>
  <c r="BP9" i="119"/>
  <c r="BP8" i="119" s="1"/>
  <c r="BP8" i="120"/>
  <c r="BP10" i="119"/>
  <c r="BR10" i="119"/>
  <c r="Z9" i="116"/>
  <c r="K8" i="115"/>
  <c r="L8" i="115"/>
  <c r="M8" i="115"/>
  <c r="N8" i="115"/>
  <c r="O8" i="115"/>
  <c r="P8" i="115"/>
  <c r="Q8" i="115"/>
  <c r="R8" i="115"/>
  <c r="S8" i="115"/>
  <c r="T8" i="115"/>
  <c r="U8" i="115"/>
  <c r="J8" i="115"/>
  <c r="AG33" i="115"/>
  <c r="AG34" i="115"/>
  <c r="AG37" i="115"/>
  <c r="AH45" i="114"/>
  <c r="AH9" i="114"/>
  <c r="AH10" i="114"/>
  <c r="AH11" i="114"/>
  <c r="AH12" i="114"/>
  <c r="AH13" i="114"/>
  <c r="AH14" i="114"/>
  <c r="AH15" i="114"/>
  <c r="AH16" i="114"/>
  <c r="AH17" i="114"/>
  <c r="AH18" i="114"/>
  <c r="AH19" i="114"/>
  <c r="AH20" i="114"/>
  <c r="AH21" i="114"/>
  <c r="AH22" i="114"/>
  <c r="AH23" i="114"/>
  <c r="AH24" i="114"/>
  <c r="AH25" i="114"/>
  <c r="AH26" i="114"/>
  <c r="AH27" i="114"/>
  <c r="AH28" i="114"/>
  <c r="AH29" i="114"/>
  <c r="AH30" i="114"/>
  <c r="AH31" i="114"/>
  <c r="AH32" i="114"/>
  <c r="AH33" i="114"/>
  <c r="AH34" i="114"/>
  <c r="AH35" i="114"/>
  <c r="AH36" i="114"/>
  <c r="AH37" i="114"/>
  <c r="AH38" i="114"/>
  <c r="AH39" i="114"/>
  <c r="AH40" i="114"/>
  <c r="AH41" i="114"/>
  <c r="AH42" i="114"/>
  <c r="AH43" i="114"/>
  <c r="AH44" i="114"/>
  <c r="F8" i="114"/>
  <c r="G8" i="114"/>
  <c r="H8" i="114"/>
  <c r="I8" i="114"/>
  <c r="J8" i="114"/>
  <c r="K8" i="114"/>
  <c r="L8" i="114"/>
  <c r="M8" i="114"/>
  <c r="N8" i="114"/>
  <c r="O8" i="114"/>
  <c r="P8" i="114"/>
  <c r="Q8" i="114"/>
  <c r="R8" i="114"/>
  <c r="S8" i="114"/>
  <c r="T8" i="114"/>
  <c r="U8" i="114"/>
  <c r="V8" i="114"/>
  <c r="W8" i="114"/>
  <c r="X8" i="114"/>
  <c r="Y8" i="114"/>
  <c r="Z8" i="114"/>
  <c r="AA8" i="114"/>
  <c r="AB8" i="114"/>
  <c r="AC8" i="114"/>
  <c r="AD8" i="114"/>
  <c r="AE8" i="114"/>
  <c r="AF8" i="114"/>
  <c r="AG8" i="114"/>
  <c r="F7" i="114"/>
  <c r="G7" i="114"/>
  <c r="H7" i="114"/>
  <c r="I7" i="114"/>
  <c r="J7" i="114"/>
  <c r="K7" i="114"/>
  <c r="L7" i="114"/>
  <c r="M7" i="114"/>
  <c r="N7" i="114"/>
  <c r="O7" i="114"/>
  <c r="P7" i="114"/>
  <c r="Q7" i="114"/>
  <c r="R7" i="114"/>
  <c r="S7" i="114"/>
  <c r="T7" i="114"/>
  <c r="U7" i="114"/>
  <c r="V7" i="114"/>
  <c r="W7" i="114"/>
  <c r="X7" i="114"/>
  <c r="Y7" i="114"/>
  <c r="Z7" i="114"/>
  <c r="AA7" i="114"/>
  <c r="AB7" i="114"/>
  <c r="AC7" i="114"/>
  <c r="AD7" i="114"/>
  <c r="AE7" i="114"/>
  <c r="AF7" i="114"/>
  <c r="AG7" i="114"/>
  <c r="AH7" i="114"/>
  <c r="E7" i="114"/>
  <c r="AE36" i="113"/>
  <c r="AK52" i="114"/>
  <c r="AE53" i="114"/>
  <c r="AI52" i="114"/>
  <c r="AJ52" i="114"/>
  <c r="AH52" i="114"/>
  <c r="AE38" i="115"/>
  <c r="AH8" i="114"/>
  <c r="G6" i="122"/>
  <c r="N6" i="122"/>
  <c r="P6" i="122"/>
  <c r="G5" i="122"/>
  <c r="N5" i="122"/>
  <c r="P5" i="122"/>
  <c r="G5" i="123"/>
  <c r="X29" i="123"/>
  <c r="X15" i="123"/>
  <c r="X30" i="122"/>
  <c r="AB30" i="122" s="1"/>
  <c r="X29" i="122"/>
  <c r="Y29" i="122" s="1"/>
  <c r="AB29" i="122" s="1"/>
  <c r="X23" i="122"/>
  <c r="AB23" i="122" s="1"/>
  <c r="X26" i="122"/>
  <c r="AB26" i="122" s="1"/>
  <c r="W26" i="122"/>
  <c r="I5" i="121"/>
  <c r="J5" i="121"/>
  <c r="K5" i="121"/>
  <c r="L5" i="121"/>
  <c r="M5" i="121"/>
  <c r="N5" i="121"/>
  <c r="O5" i="121"/>
  <c r="P5" i="121"/>
  <c r="H5" i="121"/>
  <c r="W5" i="122"/>
  <c r="V22" i="121"/>
  <c r="Z20" i="116"/>
  <c r="AG21" i="115"/>
  <c r="Z17" i="116"/>
  <c r="AB17" i="116" s="1"/>
  <c r="AG18" i="115"/>
  <c r="Z19" i="116"/>
  <c r="AG20" i="115"/>
  <c r="Z45" i="116"/>
  <c r="Z44" i="116"/>
  <c r="AG45" i="115"/>
  <c r="AI45" i="115" s="1"/>
  <c r="Y35" i="116"/>
  <c r="Z34" i="116"/>
  <c r="AG35" i="115"/>
  <c r="Z29" i="116"/>
  <c r="Z28" i="116"/>
  <c r="AG29" i="115"/>
  <c r="Z27" i="116"/>
  <c r="AG28" i="115"/>
  <c r="Z26" i="116"/>
  <c r="AG27" i="115"/>
  <c r="AG26" i="114"/>
  <c r="AG26" i="113"/>
  <c r="AI26" i="113" s="1"/>
  <c r="Z24" i="116"/>
  <c r="AG25" i="115"/>
  <c r="AF25" i="115"/>
  <c r="AF24" i="113"/>
  <c r="AG24" i="113"/>
  <c r="AI24" i="113" s="1"/>
  <c r="Z23" i="116"/>
  <c r="AG24" i="115"/>
  <c r="AG15" i="113"/>
  <c r="AI15" i="113"/>
  <c r="Z14" i="116"/>
  <c r="AG14" i="115"/>
  <c r="Z12" i="116"/>
  <c r="AB12" i="116" s="1"/>
  <c r="W12" i="116"/>
  <c r="AG13" i="115"/>
  <c r="AI13" i="115" s="1"/>
  <c r="AG11" i="114"/>
  <c r="BO11" i="120"/>
  <c r="BO12" i="120"/>
  <c r="BO13" i="120"/>
  <c r="BO14" i="120"/>
  <c r="BO15" i="120"/>
  <c r="BO16" i="120"/>
  <c r="BO17" i="120"/>
  <c r="BO18" i="120"/>
  <c r="BO19" i="120"/>
  <c r="BO20" i="120"/>
  <c r="BO22" i="120"/>
  <c r="BO23" i="120"/>
  <c r="BO24" i="120"/>
  <c r="BO25" i="120"/>
  <c r="BO26" i="120"/>
  <c r="BO27" i="120"/>
  <c r="BO28" i="120"/>
  <c r="BO30" i="120"/>
  <c r="BO31" i="120"/>
  <c r="BO32" i="120"/>
  <c r="BO33" i="120"/>
  <c r="BO34" i="120"/>
  <c r="BO35" i="120"/>
  <c r="BO37" i="120"/>
  <c r="BO38" i="120"/>
  <c r="BO39" i="120"/>
  <c r="BN11" i="120"/>
  <c r="BN12" i="120"/>
  <c r="BN7" i="120" s="1"/>
  <c r="BN13" i="120"/>
  <c r="BN14" i="120"/>
  <c r="BN15" i="120"/>
  <c r="BN16" i="120"/>
  <c r="BN17" i="120"/>
  <c r="BN18" i="120"/>
  <c r="BN19" i="120"/>
  <c r="BN20" i="120"/>
  <c r="BN22" i="120"/>
  <c r="BN23" i="120"/>
  <c r="BN24" i="120"/>
  <c r="BN25" i="120"/>
  <c r="BN26" i="120"/>
  <c r="BN27" i="120"/>
  <c r="BN28" i="120"/>
  <c r="BN30" i="120"/>
  <c r="BN31" i="120"/>
  <c r="BN32" i="120"/>
  <c r="BN33" i="120"/>
  <c r="BN34" i="120"/>
  <c r="BN35" i="120"/>
  <c r="BN37" i="120"/>
  <c r="BN38" i="120"/>
  <c r="BN39" i="120"/>
  <c r="BN9" i="120"/>
  <c r="BN8" i="120" s="1"/>
  <c r="BO36" i="119"/>
  <c r="BN36" i="119"/>
  <c r="BO27" i="119"/>
  <c r="BN26" i="119"/>
  <c r="BO9" i="120"/>
  <c r="BO7" i="120" s="1"/>
  <c r="BO8" i="120"/>
  <c r="BO11" i="119"/>
  <c r="BO12" i="119"/>
  <c r="BO8" i="119" s="1"/>
  <c r="BO13" i="119"/>
  <c r="BO14" i="119"/>
  <c r="BO15" i="119"/>
  <c r="BO16" i="119"/>
  <c r="BO17" i="119"/>
  <c r="BO18" i="119"/>
  <c r="BO19" i="119"/>
  <c r="BO20" i="119"/>
  <c r="BO21" i="119"/>
  <c r="BO22" i="119"/>
  <c r="BO23" i="119"/>
  <c r="BO24" i="119"/>
  <c r="BO25" i="119"/>
  <c r="BO28" i="119"/>
  <c r="BO29" i="119"/>
  <c r="BO30" i="119"/>
  <c r="BO31" i="119"/>
  <c r="BO32" i="119"/>
  <c r="BO33" i="119"/>
  <c r="BO34" i="119"/>
  <c r="BO35" i="119"/>
  <c r="BO37" i="119"/>
  <c r="BO38" i="119"/>
  <c r="BO39" i="119"/>
  <c r="BO9" i="119"/>
  <c r="BO7" i="119" s="1"/>
  <c r="T23" i="122"/>
  <c r="V18" i="121"/>
  <c r="W9" i="121"/>
  <c r="W5" i="121" s="1"/>
  <c r="BN11" i="119"/>
  <c r="BN12" i="119"/>
  <c r="BN13" i="119"/>
  <c r="BN14" i="119"/>
  <c r="BN15" i="119"/>
  <c r="BN16" i="119"/>
  <c r="BN17" i="119"/>
  <c r="BN18" i="119"/>
  <c r="BN19" i="119"/>
  <c r="BN20" i="119"/>
  <c r="BN21" i="119"/>
  <c r="BN22" i="119"/>
  <c r="BN23" i="119"/>
  <c r="BN24" i="119"/>
  <c r="BN25" i="119"/>
  <c r="BN27" i="119"/>
  <c r="BN28" i="119"/>
  <c r="BN29" i="119"/>
  <c r="BN30" i="119"/>
  <c r="BN31" i="119"/>
  <c r="BN32" i="119"/>
  <c r="BN33" i="119"/>
  <c r="BN34" i="119"/>
  <c r="BN35" i="119"/>
  <c r="BN37" i="119"/>
  <c r="BN38" i="119"/>
  <c r="BN39" i="119"/>
  <c r="BN9" i="119"/>
  <c r="U9" i="118"/>
  <c r="U6" i="118"/>
  <c r="AF37" i="115"/>
  <c r="Y9" i="116"/>
  <c r="O30" i="116"/>
  <c r="AG38" i="115"/>
  <c r="X28" i="116"/>
  <c r="Y27" i="116"/>
  <c r="AF28" i="115"/>
  <c r="Y26" i="116"/>
  <c r="AF27" i="115"/>
  <c r="AF26" i="114"/>
  <c r="AF26" i="113"/>
  <c r="AF26" i="115"/>
  <c r="Y23" i="116"/>
  <c r="AF24" i="115"/>
  <c r="Y20" i="116"/>
  <c r="AF21" i="115"/>
  <c r="Y19" i="116"/>
  <c r="AF20" i="115"/>
  <c r="Y17" i="116"/>
  <c r="AF18" i="115"/>
  <c r="AF15" i="113"/>
  <c r="AF7" i="113" s="1"/>
  <c r="BL36" i="120"/>
  <c r="T9" i="170"/>
  <c r="O31" i="170"/>
  <c r="T26" i="170"/>
  <c r="O26" i="170"/>
  <c r="O23" i="170"/>
  <c r="O19" i="170"/>
  <c r="T36" i="118"/>
  <c r="T9" i="118"/>
  <c r="T7" i="118" s="1"/>
  <c r="O16" i="118"/>
  <c r="O19" i="118"/>
  <c r="P19" i="118"/>
  <c r="BM33" i="120"/>
  <c r="BL33" i="120"/>
  <c r="BC10" i="120"/>
  <c r="BM36" i="119"/>
  <c r="BL36" i="119"/>
  <c r="BM26" i="119"/>
  <c r="BL26" i="119"/>
  <c r="BK26" i="119"/>
  <c r="BJ26" i="119"/>
  <c r="BI26" i="119"/>
  <c r="BH26" i="119"/>
  <c r="BG26" i="119"/>
  <c r="BF26" i="119"/>
  <c r="BE26" i="119"/>
  <c r="BD26" i="119"/>
  <c r="BC26" i="119"/>
  <c r="BB26" i="119"/>
  <c r="BA26" i="119"/>
  <c r="BJ21" i="119"/>
  <c r="BI21" i="119"/>
  <c r="BH21" i="119"/>
  <c r="BG21" i="119"/>
  <c r="BF21" i="119"/>
  <c r="BE21" i="119"/>
  <c r="BD21" i="119"/>
  <c r="BC21" i="119"/>
  <c r="BB21" i="119"/>
  <c r="BA21" i="119"/>
  <c r="BI19" i="119"/>
  <c r="BH19" i="119"/>
  <c r="BG19" i="119"/>
  <c r="BF19" i="119"/>
  <c r="BE19" i="119"/>
  <c r="BD19" i="119"/>
  <c r="BC19" i="119"/>
  <c r="BB19" i="119"/>
  <c r="BA19" i="119"/>
  <c r="BM10" i="119"/>
  <c r="BM8" i="119" s="1"/>
  <c r="BK10" i="119"/>
  <c r="BJ10" i="119"/>
  <c r="BI10" i="119"/>
  <c r="BH10" i="119"/>
  <c r="BG10" i="119"/>
  <c r="BF10" i="119"/>
  <c r="BE10" i="119"/>
  <c r="BD10" i="119"/>
  <c r="BC10" i="119"/>
  <c r="BB10" i="119"/>
  <c r="BL35" i="120"/>
  <c r="BM35" i="120"/>
  <c r="BM39" i="119"/>
  <c r="BL39" i="119"/>
  <c r="BK39" i="119"/>
  <c r="BJ39" i="119"/>
  <c r="BI39" i="119"/>
  <c r="BH39" i="119"/>
  <c r="BG39" i="119"/>
  <c r="BF39" i="119"/>
  <c r="BE39" i="119"/>
  <c r="BD39" i="119"/>
  <c r="BC39" i="119"/>
  <c r="BB39" i="119"/>
  <c r="BA39" i="119"/>
  <c r="BM38" i="119"/>
  <c r="BL38" i="119"/>
  <c r="BK38" i="119"/>
  <c r="BJ38" i="119"/>
  <c r="BI38" i="119"/>
  <c r="BH38" i="119"/>
  <c r="BG38" i="119"/>
  <c r="BF38" i="119"/>
  <c r="BE38" i="119"/>
  <c r="BD38" i="119"/>
  <c r="BC38" i="119"/>
  <c r="BB38" i="119"/>
  <c r="BA38" i="119"/>
  <c r="BM37" i="119"/>
  <c r="BL37" i="119"/>
  <c r="BK37" i="119"/>
  <c r="BJ37" i="119"/>
  <c r="BI37" i="119"/>
  <c r="BH37" i="119"/>
  <c r="BG37" i="119"/>
  <c r="BF37" i="119"/>
  <c r="BE37" i="119"/>
  <c r="BD37" i="119"/>
  <c r="BC37" i="119"/>
  <c r="BB37" i="119"/>
  <c r="BA37" i="119"/>
  <c r="BK36" i="119"/>
  <c r="BJ36" i="119"/>
  <c r="BI36" i="119"/>
  <c r="BH36" i="119"/>
  <c r="BG36" i="119"/>
  <c r="BF36" i="119"/>
  <c r="BE36" i="119"/>
  <c r="BD36" i="119"/>
  <c r="BC36" i="119"/>
  <c r="BB36" i="119"/>
  <c r="BA36" i="119"/>
  <c r="BM35" i="119"/>
  <c r="BL35" i="119"/>
  <c r="BK35" i="119"/>
  <c r="BJ35" i="119"/>
  <c r="BI35" i="119"/>
  <c r="BH35" i="119"/>
  <c r="BG35" i="119"/>
  <c r="BF35" i="119"/>
  <c r="BE35" i="119"/>
  <c r="BD35" i="119"/>
  <c r="BC35" i="119"/>
  <c r="BB35" i="119"/>
  <c r="BA35" i="119"/>
  <c r="BM34" i="119"/>
  <c r="BL34" i="119"/>
  <c r="BK34" i="119"/>
  <c r="BJ34" i="119"/>
  <c r="BI34" i="119"/>
  <c r="BH34" i="119"/>
  <c r="BG34" i="119"/>
  <c r="BF34" i="119"/>
  <c r="BE34" i="119"/>
  <c r="BD34" i="119"/>
  <c r="BC34" i="119"/>
  <c r="BB34" i="119"/>
  <c r="BA34" i="119"/>
  <c r="BM33" i="119"/>
  <c r="BL33" i="119"/>
  <c r="BK33" i="119"/>
  <c r="BJ33" i="119"/>
  <c r="BI33" i="119"/>
  <c r="BH33" i="119"/>
  <c r="BG33" i="119"/>
  <c r="BF33" i="119"/>
  <c r="BE33" i="119"/>
  <c r="BD33" i="119"/>
  <c r="BC33" i="119"/>
  <c r="BB33" i="119"/>
  <c r="BA33" i="119"/>
  <c r="BM32" i="119"/>
  <c r="BL32" i="119"/>
  <c r="BK32" i="119"/>
  <c r="BJ32" i="119"/>
  <c r="BI32" i="119"/>
  <c r="BH32" i="119"/>
  <c r="BG32" i="119"/>
  <c r="BF32" i="119"/>
  <c r="BE32" i="119"/>
  <c r="BD32" i="119"/>
  <c r="BC32" i="119"/>
  <c r="BB32" i="119"/>
  <c r="BA32" i="119"/>
  <c r="BM31" i="119"/>
  <c r="BL31" i="119"/>
  <c r="BK31" i="119"/>
  <c r="BJ31" i="119"/>
  <c r="BI31" i="119"/>
  <c r="BH31" i="119"/>
  <c r="BG31" i="119"/>
  <c r="BF31" i="119"/>
  <c r="BE31" i="119"/>
  <c r="BD31" i="119"/>
  <c r="BC31" i="119"/>
  <c r="BM30" i="119"/>
  <c r="BL30" i="119"/>
  <c r="BK30" i="119"/>
  <c r="BJ30" i="119"/>
  <c r="BI30" i="119"/>
  <c r="BH30" i="119"/>
  <c r="BG30" i="119"/>
  <c r="BF30" i="119"/>
  <c r="BE30" i="119"/>
  <c r="BD30" i="119"/>
  <c r="BC30" i="119"/>
  <c r="BB30" i="119"/>
  <c r="BA30" i="119"/>
  <c r="BM29" i="119"/>
  <c r="BL29" i="119"/>
  <c r="BK29" i="119"/>
  <c r="BJ29" i="119"/>
  <c r="BI29" i="119"/>
  <c r="BH29" i="119"/>
  <c r="BG29" i="119"/>
  <c r="BF29" i="119"/>
  <c r="BE29" i="119"/>
  <c r="BD29" i="119"/>
  <c r="BC29" i="119"/>
  <c r="BB29" i="119"/>
  <c r="BA29" i="119"/>
  <c r="BM28" i="119"/>
  <c r="BL28" i="119"/>
  <c r="BK28" i="119"/>
  <c r="BJ28" i="119"/>
  <c r="BI28" i="119"/>
  <c r="BH28" i="119"/>
  <c r="BG28" i="119"/>
  <c r="BF28" i="119"/>
  <c r="BE28" i="119"/>
  <c r="BD28" i="119"/>
  <c r="BC28" i="119"/>
  <c r="BB28" i="119"/>
  <c r="BA28" i="119"/>
  <c r="BM27" i="119"/>
  <c r="BL27" i="119"/>
  <c r="BK27" i="119"/>
  <c r="BJ27" i="119"/>
  <c r="BI27" i="119"/>
  <c r="BH27" i="119"/>
  <c r="BG27" i="119"/>
  <c r="BF27" i="119"/>
  <c r="BE27" i="119"/>
  <c r="BD27" i="119"/>
  <c r="BC27" i="119"/>
  <c r="BB27" i="119"/>
  <c r="BA27" i="119"/>
  <c r="BM25" i="119"/>
  <c r="BL25" i="119"/>
  <c r="BK25" i="119"/>
  <c r="BJ25" i="119"/>
  <c r="BI25" i="119"/>
  <c r="BH25" i="119"/>
  <c r="BG25" i="119"/>
  <c r="BF25" i="119"/>
  <c r="BE25" i="119"/>
  <c r="BD25" i="119"/>
  <c r="BC25" i="119"/>
  <c r="BB25" i="119"/>
  <c r="BA25" i="119"/>
  <c r="BM24" i="119"/>
  <c r="BL24" i="119"/>
  <c r="BK24" i="119"/>
  <c r="BJ24" i="119"/>
  <c r="BI24" i="119"/>
  <c r="BH24" i="119"/>
  <c r="BG24" i="119"/>
  <c r="BF24" i="119"/>
  <c r="BE24" i="119"/>
  <c r="BD24" i="119"/>
  <c r="BC24" i="119"/>
  <c r="BB24" i="119"/>
  <c r="BA24" i="119"/>
  <c r="BM23" i="119"/>
  <c r="BL23" i="119"/>
  <c r="BK23" i="119"/>
  <c r="BJ23" i="119"/>
  <c r="BI23" i="119"/>
  <c r="BH23" i="119"/>
  <c r="BG23" i="119"/>
  <c r="BF23" i="119"/>
  <c r="BE23" i="119"/>
  <c r="BD23" i="119"/>
  <c r="BC23" i="119"/>
  <c r="BB23" i="119"/>
  <c r="BA23" i="119"/>
  <c r="BM22" i="119"/>
  <c r="BL22" i="119"/>
  <c r="BK22" i="119"/>
  <c r="BJ22" i="119"/>
  <c r="BI22" i="119"/>
  <c r="BH22" i="119"/>
  <c r="BG22" i="119"/>
  <c r="BF22" i="119"/>
  <c r="BE22" i="119"/>
  <c r="BD22" i="119"/>
  <c r="BC22" i="119"/>
  <c r="BB22" i="119"/>
  <c r="BA22" i="119"/>
  <c r="BM21" i="119"/>
  <c r="BL21" i="119"/>
  <c r="BK21" i="119"/>
  <c r="BM20" i="119"/>
  <c r="BL20" i="119"/>
  <c r="BK20" i="119"/>
  <c r="BJ20" i="119"/>
  <c r="BI20" i="119"/>
  <c r="BH20" i="119"/>
  <c r="BG20" i="119"/>
  <c r="BF20" i="119"/>
  <c r="BE20" i="119"/>
  <c r="BD20" i="119"/>
  <c r="BC20" i="119"/>
  <c r="BB20" i="119"/>
  <c r="BA20" i="119"/>
  <c r="BM19" i="119"/>
  <c r="BL19" i="119"/>
  <c r="BK19" i="119"/>
  <c r="BJ19" i="119"/>
  <c r="BM18" i="119"/>
  <c r="BL18" i="119"/>
  <c r="BK18" i="119"/>
  <c r="BJ18" i="119"/>
  <c r="BI18" i="119"/>
  <c r="BH18" i="119"/>
  <c r="BG18" i="119"/>
  <c r="BF18" i="119"/>
  <c r="BE18" i="119"/>
  <c r="BD18" i="119"/>
  <c r="BC18" i="119"/>
  <c r="BB18" i="119"/>
  <c r="BA18" i="119"/>
  <c r="BM17" i="119"/>
  <c r="BL17" i="119"/>
  <c r="BK17" i="119"/>
  <c r="BJ17" i="119"/>
  <c r="BI17" i="119"/>
  <c r="BH17" i="119"/>
  <c r="BG17" i="119"/>
  <c r="BF17" i="119"/>
  <c r="BF7" i="119" s="1"/>
  <c r="BE17" i="119"/>
  <c r="BD17" i="119"/>
  <c r="BC17" i="119"/>
  <c r="BB17" i="119"/>
  <c r="BA17" i="119"/>
  <c r="BM16" i="119"/>
  <c r="BL16" i="119"/>
  <c r="BK16" i="119"/>
  <c r="BK7" i="119" s="1"/>
  <c r="BJ16" i="119"/>
  <c r="BI16" i="119"/>
  <c r="BH16" i="119"/>
  <c r="BG16" i="119"/>
  <c r="BF16" i="119"/>
  <c r="BE16" i="119"/>
  <c r="BD16" i="119"/>
  <c r="BC16" i="119"/>
  <c r="BB16" i="119"/>
  <c r="BA16" i="119"/>
  <c r="BM15" i="119"/>
  <c r="BL15" i="119"/>
  <c r="BK15" i="119"/>
  <c r="BJ15" i="119"/>
  <c r="BI15" i="119"/>
  <c r="BH15" i="119"/>
  <c r="BG15" i="119"/>
  <c r="BF15" i="119"/>
  <c r="BE15" i="119"/>
  <c r="BD15" i="119"/>
  <c r="BC15" i="119"/>
  <c r="BB15" i="119"/>
  <c r="BA15" i="119"/>
  <c r="BM14" i="119"/>
  <c r="BL14" i="119"/>
  <c r="BK14" i="119"/>
  <c r="BJ14" i="119"/>
  <c r="BI14" i="119"/>
  <c r="BH14" i="119"/>
  <c r="BG14" i="119"/>
  <c r="BF14" i="119"/>
  <c r="BE14" i="119"/>
  <c r="BD14" i="119"/>
  <c r="BC14" i="119"/>
  <c r="BB14" i="119"/>
  <c r="BA14" i="119"/>
  <c r="BM13" i="119"/>
  <c r="BL13" i="119"/>
  <c r="BK13" i="119"/>
  <c r="BJ13" i="119"/>
  <c r="BI13" i="119"/>
  <c r="BH13" i="119"/>
  <c r="BG13" i="119"/>
  <c r="BF13" i="119"/>
  <c r="BE13" i="119"/>
  <c r="BD13" i="119"/>
  <c r="BC13" i="119"/>
  <c r="BB13" i="119"/>
  <c r="BA13" i="119"/>
  <c r="BM12" i="119"/>
  <c r="BL12" i="119"/>
  <c r="BK12" i="119"/>
  <c r="BK8" i="119" s="1"/>
  <c r="BJ12" i="119"/>
  <c r="BI12" i="119"/>
  <c r="BH12" i="119"/>
  <c r="BG12" i="119"/>
  <c r="BG7" i="119" s="1"/>
  <c r="BF12" i="119"/>
  <c r="BE12" i="119"/>
  <c r="BD12" i="119"/>
  <c r="BD8" i="119" s="1"/>
  <c r="BC12" i="119"/>
  <c r="BB12" i="119"/>
  <c r="BA12" i="119"/>
  <c r="BM11" i="119"/>
  <c r="BL11" i="119"/>
  <c r="BK11" i="119"/>
  <c r="BJ11" i="119"/>
  <c r="BJ7" i="119" s="1"/>
  <c r="BI11" i="119"/>
  <c r="BH11" i="119"/>
  <c r="BG11" i="119"/>
  <c r="BF11" i="119"/>
  <c r="BE11" i="119"/>
  <c r="BD11" i="119"/>
  <c r="BC11" i="119"/>
  <c r="BB11" i="119"/>
  <c r="BA11" i="119"/>
  <c r="BM9" i="119"/>
  <c r="BL9" i="119"/>
  <c r="BL7" i="119" s="1"/>
  <c r="BL8" i="119"/>
  <c r="BK9" i="119"/>
  <c r="BJ9" i="119"/>
  <c r="BI9" i="119"/>
  <c r="BI8" i="119" s="1"/>
  <c r="BH9" i="119"/>
  <c r="BH8" i="119" s="1"/>
  <c r="BG9" i="119"/>
  <c r="BF9" i="119"/>
  <c r="BF8" i="119" s="1"/>
  <c r="BE9" i="119"/>
  <c r="BE7" i="119" s="1"/>
  <c r="BD9" i="119"/>
  <c r="BD7" i="119" s="1"/>
  <c r="BC9" i="119"/>
  <c r="BC7" i="119" s="1"/>
  <c r="BB9" i="119"/>
  <c r="BA9" i="119"/>
  <c r="BM7" i="119"/>
  <c r="AA32" i="115"/>
  <c r="V29" i="123"/>
  <c r="V15" i="123"/>
  <c r="V8" i="123"/>
  <c r="I18" i="122"/>
  <c r="J18" i="122"/>
  <c r="J6" i="122" s="1"/>
  <c r="K18" i="122"/>
  <c r="L18" i="122"/>
  <c r="M18" i="122"/>
  <c r="M5" i="122" s="1"/>
  <c r="O18" i="122"/>
  <c r="R18" i="122"/>
  <c r="V39" i="122"/>
  <c r="V32" i="122"/>
  <c r="V31" i="122"/>
  <c r="V30" i="122"/>
  <c r="V28" i="122"/>
  <c r="U25" i="122"/>
  <c r="V25" i="122"/>
  <c r="V17" i="122"/>
  <c r="U11" i="122"/>
  <c r="U5" i="122" s="1"/>
  <c r="V11" i="122"/>
  <c r="V10" i="122"/>
  <c r="V6" i="122" s="1"/>
  <c r="V5" i="122"/>
  <c r="U41" i="121"/>
  <c r="V34" i="121"/>
  <c r="V42" i="121"/>
  <c r="V41" i="121"/>
  <c r="V39" i="121"/>
  <c r="V38" i="121"/>
  <c r="P6" i="121"/>
  <c r="O6" i="121"/>
  <c r="N6" i="121"/>
  <c r="M6" i="121"/>
  <c r="L6" i="121"/>
  <c r="K6" i="121"/>
  <c r="J6" i="121"/>
  <c r="I6" i="121"/>
  <c r="H6" i="121"/>
  <c r="V31" i="121"/>
  <c r="V30" i="121"/>
  <c r="V25" i="121"/>
  <c r="V23" i="121"/>
  <c r="V21" i="121"/>
  <c r="V20" i="121"/>
  <c r="V17" i="121"/>
  <c r="V11" i="121"/>
  <c r="V6" i="121" s="1"/>
  <c r="R10" i="121"/>
  <c r="R5" i="121" s="1"/>
  <c r="Q10" i="121"/>
  <c r="U9" i="121"/>
  <c r="U6" i="121" s="1"/>
  <c r="V9" i="121"/>
  <c r="V5" i="121" s="1"/>
  <c r="V7" i="121"/>
  <c r="Q6" i="121"/>
  <c r="Q5" i="121"/>
  <c r="X45" i="116"/>
  <c r="W45" i="116"/>
  <c r="X44" i="116"/>
  <c r="X40" i="116"/>
  <c r="AE39" i="115"/>
  <c r="AF38" i="115"/>
  <c r="AE37" i="115"/>
  <c r="X35" i="116"/>
  <c r="X34" i="116"/>
  <c r="AE35" i="115"/>
  <c r="AE42" i="115"/>
  <c r="AE34" i="115"/>
  <c r="AE32" i="115"/>
  <c r="X29" i="116"/>
  <c r="AE30" i="115"/>
  <c r="W28" i="116"/>
  <c r="AE29" i="115"/>
  <c r="X27" i="116"/>
  <c r="W27" i="116"/>
  <c r="V27" i="116"/>
  <c r="U27" i="116"/>
  <c r="T27" i="116"/>
  <c r="S27" i="116"/>
  <c r="R27" i="116"/>
  <c r="Q27" i="116"/>
  <c r="O27" i="116"/>
  <c r="AE28" i="115"/>
  <c r="AE27" i="115"/>
  <c r="X26" i="116"/>
  <c r="W26" i="116"/>
  <c r="V26" i="116"/>
  <c r="AC27" i="115"/>
  <c r="AD27" i="115"/>
  <c r="AE26" i="114"/>
  <c r="AD26" i="114"/>
  <c r="AE26" i="113"/>
  <c r="AD26" i="113"/>
  <c r="AC26" i="113"/>
  <c r="AE26" i="115"/>
  <c r="X24" i="116"/>
  <c r="AE25" i="115"/>
  <c r="AE24" i="113"/>
  <c r="X23" i="116"/>
  <c r="AE24" i="115"/>
  <c r="X21" i="116"/>
  <c r="X19" i="116"/>
  <c r="AE20" i="115"/>
  <c r="X20" i="116"/>
  <c r="AE21" i="115"/>
  <c r="X17" i="116"/>
  <c r="AE18" i="115"/>
  <c r="AE15" i="113"/>
  <c r="X14" i="116"/>
  <c r="AE15" i="115"/>
  <c r="W13" i="116"/>
  <c r="V13" i="116"/>
  <c r="V7" i="116" s="1"/>
  <c r="U13" i="116"/>
  <c r="T13" i="116"/>
  <c r="S13" i="116"/>
  <c r="R13" i="116"/>
  <c r="Q13" i="116"/>
  <c r="P13" i="116"/>
  <c r="X13" i="116"/>
  <c r="X8" i="116" s="1"/>
  <c r="AE14" i="115"/>
  <c r="AE13" i="114"/>
  <c r="AE13" i="113"/>
  <c r="AE13" i="115"/>
  <c r="AE12" i="115"/>
  <c r="AE11" i="114"/>
  <c r="U25" i="121"/>
  <c r="U21" i="121"/>
  <c r="U23" i="121"/>
  <c r="U17" i="121"/>
  <c r="U34" i="121"/>
  <c r="U11" i="121"/>
  <c r="U8" i="121"/>
  <c r="U7" i="121"/>
  <c r="U5" i="121"/>
  <c r="U18" i="116"/>
  <c r="V18" i="116"/>
  <c r="W18" i="116"/>
  <c r="W44" i="116"/>
  <c r="W40" i="116"/>
  <c r="U40" i="116"/>
  <c r="W35" i="116"/>
  <c r="W34" i="116"/>
  <c r="W29" i="116"/>
  <c r="AA27" i="115"/>
  <c r="AB27" i="115"/>
  <c r="AC26" i="114"/>
  <c r="AB26" i="114"/>
  <c r="AA26" i="114"/>
  <c r="AB26" i="113"/>
  <c r="AA26" i="113"/>
  <c r="AD26" i="115"/>
  <c r="V21" i="116"/>
  <c r="W21" i="116"/>
  <c r="W20" i="116"/>
  <c r="AD21" i="115"/>
  <c r="W24" i="116"/>
  <c r="W23" i="116"/>
  <c r="W17" i="116"/>
  <c r="V17" i="116"/>
  <c r="W14" i="116"/>
  <c r="AD45" i="115"/>
  <c r="AD39" i="115"/>
  <c r="AD38" i="115"/>
  <c r="AD37" i="115"/>
  <c r="AD35" i="115"/>
  <c r="AD42" i="115"/>
  <c r="AD34" i="115"/>
  <c r="AD33" i="115"/>
  <c r="AD32" i="115"/>
  <c r="AD30" i="115"/>
  <c r="AD29" i="115"/>
  <c r="AD28" i="115"/>
  <c r="AD25" i="115"/>
  <c r="AD24" i="115"/>
  <c r="AD18" i="115"/>
  <c r="AD14" i="115"/>
  <c r="AC14" i="115"/>
  <c r="AD13" i="115"/>
  <c r="AD12" i="115"/>
  <c r="S9" i="118"/>
  <c r="S6" i="118" s="1"/>
  <c r="R9" i="118"/>
  <c r="AD11" i="114"/>
  <c r="AD24" i="113"/>
  <c r="AD15" i="113"/>
  <c r="V44" i="116"/>
  <c r="V40" i="116"/>
  <c r="V35" i="116"/>
  <c r="V34" i="116"/>
  <c r="V32" i="116"/>
  <c r="V29" i="116"/>
  <c r="V28" i="116"/>
  <c r="V24" i="116"/>
  <c r="V23" i="116"/>
  <c r="V20" i="116"/>
  <c r="V14" i="116"/>
  <c r="V12" i="116"/>
  <c r="AC44" i="115"/>
  <c r="AC45" i="115"/>
  <c r="AC42" i="115"/>
  <c r="AC39" i="115"/>
  <c r="AC38" i="115"/>
  <c r="AC37" i="115"/>
  <c r="AC35" i="115"/>
  <c r="AC34" i="115"/>
  <c r="AC33" i="115"/>
  <c r="AC32" i="115"/>
  <c r="AC30" i="115"/>
  <c r="AC29" i="115"/>
  <c r="AC28" i="115"/>
  <c r="AC26" i="115"/>
  <c r="AC25" i="115"/>
  <c r="AC24" i="115"/>
  <c r="AC21" i="115"/>
  <c r="AC18" i="115"/>
  <c r="AC13" i="115"/>
  <c r="AC12" i="115"/>
  <c r="AC11" i="114"/>
  <c r="AC24" i="113"/>
  <c r="AC15" i="113"/>
  <c r="AC7" i="113" s="1"/>
  <c r="R39" i="170"/>
  <c r="R24" i="170"/>
  <c r="R7" i="170" s="1"/>
  <c r="R39" i="118"/>
  <c r="R36" i="118"/>
  <c r="Q36" i="118"/>
  <c r="R32" i="118"/>
  <c r="R6" i="118" s="1"/>
  <c r="Q9" i="118"/>
  <c r="Q6" i="118"/>
  <c r="BM26" i="120"/>
  <c r="BM9" i="120"/>
  <c r="BM7" i="120" s="1"/>
  <c r="BL9" i="120"/>
  <c r="BL8" i="120" s="1"/>
  <c r="BL39" i="120"/>
  <c r="BL38" i="120"/>
  <c r="BL37" i="120"/>
  <c r="BL34" i="120"/>
  <c r="BL32" i="120"/>
  <c r="BL31" i="120"/>
  <c r="BL30" i="120"/>
  <c r="BL29" i="120"/>
  <c r="BL28" i="120"/>
  <c r="BL27" i="120"/>
  <c r="BL26" i="120"/>
  <c r="BL25" i="120"/>
  <c r="BL24" i="120"/>
  <c r="BL23" i="120"/>
  <c r="BL22" i="120"/>
  <c r="BL20" i="120"/>
  <c r="BL19" i="120"/>
  <c r="BL18" i="120"/>
  <c r="BL17" i="120"/>
  <c r="BL16" i="120"/>
  <c r="BL15" i="120"/>
  <c r="BL14" i="120"/>
  <c r="BL13" i="120"/>
  <c r="BL12" i="120"/>
  <c r="BL11" i="120"/>
  <c r="BL7" i="120" s="1"/>
  <c r="M10" i="119"/>
  <c r="M7" i="119" s="1"/>
  <c r="BL10" i="119"/>
  <c r="BN10" i="119"/>
  <c r="BN7" i="119" s="1"/>
  <c r="BO10" i="119"/>
  <c r="T29" i="123"/>
  <c r="T15" i="123"/>
  <c r="T8" i="123"/>
  <c r="T42" i="122"/>
  <c r="T34" i="122"/>
  <c r="T8" i="122"/>
  <c r="T7" i="122"/>
  <c r="T36" i="121"/>
  <c r="T38" i="121"/>
  <c r="T39" i="121"/>
  <c r="T42" i="121"/>
  <c r="T5" i="122"/>
  <c r="T6" i="122"/>
  <c r="T41" i="121"/>
  <c r="T31" i="121"/>
  <c r="T30" i="121"/>
  <c r="T25" i="121"/>
  <c r="T21" i="121"/>
  <c r="T20" i="121"/>
  <c r="T18" i="121"/>
  <c r="T23" i="121"/>
  <c r="T17" i="121"/>
  <c r="T34" i="121"/>
  <c r="T32" i="121"/>
  <c r="T15" i="121"/>
  <c r="T11" i="121"/>
  <c r="T9" i="121"/>
  <c r="T8" i="121"/>
  <c r="T7" i="121"/>
  <c r="T6" i="121" s="1"/>
  <c r="Q10" i="170"/>
  <c r="Q6" i="170" s="1"/>
  <c r="N22" i="118"/>
  <c r="BM34" i="120"/>
  <c r="BM32" i="120"/>
  <c r="BM31" i="120"/>
  <c r="BM30" i="120"/>
  <c r="BM28" i="120"/>
  <c r="BM27" i="120"/>
  <c r="BM25" i="120"/>
  <c r="BM24" i="120"/>
  <c r="BM23" i="120"/>
  <c r="BM22" i="120"/>
  <c r="BM20" i="120"/>
  <c r="BM19" i="120"/>
  <c r="BM18" i="120"/>
  <c r="BM17" i="120"/>
  <c r="BM16" i="120"/>
  <c r="BM15" i="120"/>
  <c r="BM14" i="120"/>
  <c r="BM8" i="120" s="1"/>
  <c r="BM13" i="120"/>
  <c r="BM12" i="120"/>
  <c r="BM11" i="120"/>
  <c r="AB36" i="113"/>
  <c r="AB35" i="115"/>
  <c r="AA35" i="115"/>
  <c r="Z35" i="115"/>
  <c r="Y35" i="115"/>
  <c r="X35" i="115"/>
  <c r="X8" i="115" s="1"/>
  <c r="W35" i="115"/>
  <c r="W8" i="115" s="1"/>
  <c r="V35" i="115"/>
  <c r="V9" i="115" s="1"/>
  <c r="V10" i="115"/>
  <c r="S29" i="123"/>
  <c r="S15" i="123"/>
  <c r="S8" i="123"/>
  <c r="S42" i="122"/>
  <c r="S34" i="122"/>
  <c r="S23" i="122"/>
  <c r="S6" i="122"/>
  <c r="S42" i="121"/>
  <c r="S41" i="121"/>
  <c r="S39" i="121"/>
  <c r="S38" i="121"/>
  <c r="S36" i="121"/>
  <c r="S31" i="121"/>
  <c r="S5" i="122"/>
  <c r="S30" i="121"/>
  <c r="R6" i="121"/>
  <c r="S25" i="121"/>
  <c r="S23" i="121"/>
  <c r="S21" i="121"/>
  <c r="S20" i="121"/>
  <c r="S18" i="121"/>
  <c r="S17" i="121"/>
  <c r="S34" i="121"/>
  <c r="S32" i="121"/>
  <c r="S15" i="121"/>
  <c r="S11" i="121"/>
  <c r="S9" i="121"/>
  <c r="S8" i="121"/>
  <c r="S7" i="121"/>
  <c r="S5" i="121" s="1"/>
  <c r="U26" i="116"/>
  <c r="H9" i="170"/>
  <c r="P9" i="118"/>
  <c r="O9" i="118"/>
  <c r="N9" i="118"/>
  <c r="N6" i="118" s="1"/>
  <c r="M9" i="118"/>
  <c r="M7" i="118" s="1"/>
  <c r="M6" i="118"/>
  <c r="L9" i="118"/>
  <c r="L6" i="118" s="1"/>
  <c r="K9" i="118"/>
  <c r="K6" i="118" s="1"/>
  <c r="I9" i="118"/>
  <c r="H9" i="118" s="1"/>
  <c r="G9" i="118"/>
  <c r="F9" i="118"/>
  <c r="E9" i="118"/>
  <c r="D9" i="118"/>
  <c r="BB10" i="120"/>
  <c r="BK39" i="120"/>
  <c r="BK38" i="120"/>
  <c r="BK37" i="120"/>
  <c r="BK36" i="120"/>
  <c r="BK35" i="120"/>
  <c r="BK34" i="120"/>
  <c r="BK33" i="120"/>
  <c r="BK32" i="120"/>
  <c r="BK31" i="120"/>
  <c r="BK30" i="120"/>
  <c r="BK29" i="120"/>
  <c r="BK28" i="120"/>
  <c r="BK27" i="120"/>
  <c r="BK26" i="120"/>
  <c r="BK25" i="120"/>
  <c r="BK24" i="120"/>
  <c r="BK23" i="120"/>
  <c r="BK22" i="120"/>
  <c r="BK20" i="120"/>
  <c r="BK19" i="120"/>
  <c r="BK18" i="120"/>
  <c r="BK17" i="120"/>
  <c r="BK16" i="120"/>
  <c r="BK15" i="120"/>
  <c r="BK14" i="120"/>
  <c r="BK13" i="120"/>
  <c r="BK12" i="120"/>
  <c r="BK11" i="120"/>
  <c r="BK7" i="120" s="1"/>
  <c r="BK9" i="120"/>
  <c r="BJ19" i="120"/>
  <c r="AB45" i="114"/>
  <c r="U44" i="116"/>
  <c r="AB45" i="115"/>
  <c r="AB43" i="114"/>
  <c r="AB44" i="113"/>
  <c r="U41" i="116"/>
  <c r="AB42" i="115"/>
  <c r="AB41" i="114"/>
  <c r="AB41" i="113"/>
  <c r="AB39" i="115"/>
  <c r="AA39" i="115"/>
  <c r="Z39" i="115"/>
  <c r="Y39" i="115"/>
  <c r="X39" i="115"/>
  <c r="AB38" i="115"/>
  <c r="AA38" i="115"/>
  <c r="Z38" i="115"/>
  <c r="T36" i="116"/>
  <c r="U36" i="116"/>
  <c r="AB37" i="115"/>
  <c r="AB36" i="114"/>
  <c r="U35" i="116"/>
  <c r="U34" i="116"/>
  <c r="AB34" i="114"/>
  <c r="AB34" i="113"/>
  <c r="AB34" i="115"/>
  <c r="AB33" i="114"/>
  <c r="AB33" i="113"/>
  <c r="U32" i="116"/>
  <c r="AB33" i="115"/>
  <c r="AB32" i="114"/>
  <c r="AB32" i="113"/>
  <c r="U29" i="116"/>
  <c r="AB30" i="115"/>
  <c r="AB29" i="115"/>
  <c r="U28" i="116"/>
  <c r="AB28" i="115"/>
  <c r="AB27" i="114"/>
  <c r="AB27" i="113"/>
  <c r="U24" i="116"/>
  <c r="U25" i="116"/>
  <c r="T25" i="116"/>
  <c r="S25" i="116"/>
  <c r="AB26" i="115"/>
  <c r="AA26" i="115"/>
  <c r="Z26" i="115"/>
  <c r="AB25" i="113"/>
  <c r="AA25" i="115"/>
  <c r="AB25" i="115"/>
  <c r="AB24" i="113"/>
  <c r="AA24" i="113"/>
  <c r="Z24" i="113"/>
  <c r="Y24" i="113"/>
  <c r="X24" i="113"/>
  <c r="W24" i="113"/>
  <c r="V24" i="113"/>
  <c r="U24" i="113"/>
  <c r="U23" i="116"/>
  <c r="AB24" i="115"/>
  <c r="AB23" i="114"/>
  <c r="AB23" i="113"/>
  <c r="U21" i="116"/>
  <c r="T20" i="116"/>
  <c r="T7" i="116" s="1"/>
  <c r="S20" i="116"/>
  <c r="U20" i="116"/>
  <c r="AB21" i="115"/>
  <c r="U17" i="116"/>
  <c r="T17" i="116"/>
  <c r="AB18" i="115"/>
  <c r="AA18" i="115"/>
  <c r="U16" i="116"/>
  <c r="AB15" i="113"/>
  <c r="AA15" i="113"/>
  <c r="AA7" i="113" s="1"/>
  <c r="Z15" i="113"/>
  <c r="Z7" i="113" s="1"/>
  <c r="Y15" i="113"/>
  <c r="Y7" i="113" s="1"/>
  <c r="X15" i="113"/>
  <c r="W15" i="113"/>
  <c r="W7" i="113" s="1"/>
  <c r="V15" i="113"/>
  <c r="V7" i="113" s="1"/>
  <c r="U14" i="116"/>
  <c r="U8" i="116" s="1"/>
  <c r="AB14" i="115"/>
  <c r="AB13" i="115"/>
  <c r="AB11" i="114"/>
  <c r="AA11" i="114"/>
  <c r="AB12" i="115"/>
  <c r="Q8" i="123"/>
  <c r="F34" i="122"/>
  <c r="F6" i="122"/>
  <c r="R39" i="122"/>
  <c r="R42" i="122"/>
  <c r="R23" i="122"/>
  <c r="R34" i="122"/>
  <c r="R8" i="122"/>
  <c r="R6" i="122" s="1"/>
  <c r="Q8" i="122"/>
  <c r="O18" i="170"/>
  <c r="O42" i="170"/>
  <c r="O40" i="170"/>
  <c r="O35" i="170"/>
  <c r="O33" i="170"/>
  <c r="O32" i="170"/>
  <c r="O29" i="170"/>
  <c r="O28" i="170"/>
  <c r="O27" i="170"/>
  <c r="O22" i="170"/>
  <c r="O21" i="170"/>
  <c r="O20" i="170"/>
  <c r="O17" i="170"/>
  <c r="O16" i="170"/>
  <c r="O15" i="170"/>
  <c r="O14" i="170"/>
  <c r="O13" i="170"/>
  <c r="O12" i="170"/>
  <c r="O10" i="170"/>
  <c r="O8" i="170"/>
  <c r="P35" i="118"/>
  <c r="P33" i="118"/>
  <c r="O32" i="118"/>
  <c r="P32" i="118"/>
  <c r="O29" i="118"/>
  <c r="P28" i="118"/>
  <c r="P27" i="118"/>
  <c r="P26" i="118"/>
  <c r="O26" i="118"/>
  <c r="P24" i="118"/>
  <c r="P14" i="118"/>
  <c r="P13" i="118"/>
  <c r="P8" i="118"/>
  <c r="O8" i="118"/>
  <c r="O7" i="118" s="1"/>
  <c r="O33" i="118"/>
  <c r="O28" i="118"/>
  <c r="O27" i="118"/>
  <c r="O25" i="118"/>
  <c r="O24" i="118"/>
  <c r="O23" i="118"/>
  <c r="O21" i="118"/>
  <c r="O20" i="118"/>
  <c r="O17" i="118"/>
  <c r="O15" i="118"/>
  <c r="O14" i="118"/>
  <c r="O13" i="118"/>
  <c r="O12" i="118"/>
  <c r="BI25" i="120"/>
  <c r="BA19" i="120"/>
  <c r="BB19" i="120"/>
  <c r="BC19" i="120"/>
  <c r="BD19" i="120"/>
  <c r="BE19" i="120"/>
  <c r="BF19" i="120"/>
  <c r="BG19" i="120"/>
  <c r="BH19" i="120"/>
  <c r="BI19" i="120"/>
  <c r="BJ39" i="120"/>
  <c r="BJ38" i="120"/>
  <c r="BJ37" i="120"/>
  <c r="BJ36" i="120"/>
  <c r="BJ35" i="120"/>
  <c r="BJ34" i="120"/>
  <c r="BJ33" i="120"/>
  <c r="BJ32" i="120"/>
  <c r="BJ31" i="120"/>
  <c r="BJ30" i="120"/>
  <c r="BJ29" i="120"/>
  <c r="BJ28" i="120"/>
  <c r="BJ27" i="120"/>
  <c r="BJ26" i="120"/>
  <c r="BJ25" i="120"/>
  <c r="BJ24" i="120"/>
  <c r="BJ23" i="120"/>
  <c r="BJ22" i="120"/>
  <c r="BJ20" i="120"/>
  <c r="BJ18" i="120"/>
  <c r="BJ17" i="120"/>
  <c r="BJ16" i="120"/>
  <c r="BJ15" i="120"/>
  <c r="BJ14" i="120"/>
  <c r="BJ13" i="120"/>
  <c r="BJ12" i="120"/>
  <c r="BJ11" i="120"/>
  <c r="BJ9" i="120"/>
  <c r="BJ7" i="120" s="1"/>
  <c r="BI39" i="120"/>
  <c r="BI38" i="120"/>
  <c r="BI37" i="120"/>
  <c r="BI36" i="120"/>
  <c r="BI35" i="120"/>
  <c r="BI34" i="120"/>
  <c r="BI33" i="120"/>
  <c r="BI32" i="120"/>
  <c r="BI31" i="120"/>
  <c r="BI30" i="120"/>
  <c r="BI29" i="120"/>
  <c r="BI28" i="120"/>
  <c r="BI27" i="120"/>
  <c r="BI26" i="120"/>
  <c r="BI24" i="120"/>
  <c r="BI23" i="120"/>
  <c r="BI22" i="120"/>
  <c r="BI20" i="120"/>
  <c r="BI18" i="120"/>
  <c r="BI17" i="120"/>
  <c r="BI16" i="120"/>
  <c r="BI15" i="120"/>
  <c r="BI14" i="120"/>
  <c r="BI13" i="120"/>
  <c r="BI12" i="120"/>
  <c r="BI11" i="120"/>
  <c r="AA9" i="120"/>
  <c r="BI9" i="120"/>
  <c r="T35" i="116"/>
  <c r="T34" i="116"/>
  <c r="T28" i="116"/>
  <c r="T26" i="116"/>
  <c r="S26" i="116"/>
  <c r="R26" i="116"/>
  <c r="T21" i="116"/>
  <c r="G24" i="115"/>
  <c r="F24" i="115"/>
  <c r="AA42" i="115"/>
  <c r="AA37" i="115"/>
  <c r="Z27" i="115"/>
  <c r="Z8" i="115" s="1"/>
  <c r="Y27" i="115"/>
  <c r="Y8" i="115" s="1"/>
  <c r="AA31" i="115"/>
  <c r="U9" i="115"/>
  <c r="J9" i="115"/>
  <c r="K9" i="115"/>
  <c r="L9" i="115"/>
  <c r="M9" i="115"/>
  <c r="N9" i="115"/>
  <c r="O9" i="115"/>
  <c r="P9" i="115"/>
  <c r="Q9" i="115"/>
  <c r="R9" i="115"/>
  <c r="S9" i="115"/>
  <c r="T9" i="115"/>
  <c r="AA45" i="114"/>
  <c r="AA41" i="114"/>
  <c r="AA36" i="114"/>
  <c r="Y32" i="114"/>
  <c r="AA27" i="114"/>
  <c r="Y26" i="114"/>
  <c r="AA23" i="114"/>
  <c r="G26" i="114"/>
  <c r="F26" i="114"/>
  <c r="I22" i="114"/>
  <c r="H22" i="114"/>
  <c r="G22" i="114"/>
  <c r="F22" i="114"/>
  <c r="G11" i="114"/>
  <c r="F11" i="114"/>
  <c r="AA42" i="113"/>
  <c r="Q13" i="122"/>
  <c r="Q6" i="122" s="1"/>
  <c r="Q5" i="122"/>
  <c r="S30" i="116"/>
  <c r="BH39" i="120"/>
  <c r="BH38" i="120"/>
  <c r="BH37" i="120"/>
  <c r="BH36" i="120"/>
  <c r="BH35" i="120"/>
  <c r="BH34" i="120"/>
  <c r="BH33" i="120"/>
  <c r="BH32" i="120"/>
  <c r="BH31" i="120"/>
  <c r="BH30" i="120"/>
  <c r="BH29" i="120"/>
  <c r="BH28" i="120"/>
  <c r="BH27" i="120"/>
  <c r="BH26" i="120"/>
  <c r="BH25" i="120"/>
  <c r="BH24" i="120"/>
  <c r="BH23" i="120"/>
  <c r="BH22" i="120"/>
  <c r="BH20" i="120"/>
  <c r="BH18" i="120"/>
  <c r="BH17" i="120"/>
  <c r="BH16" i="120"/>
  <c r="BH15" i="120"/>
  <c r="BH14" i="120"/>
  <c r="BH13" i="120"/>
  <c r="BH12" i="120"/>
  <c r="BH11" i="120"/>
  <c r="BH9" i="120"/>
  <c r="BH8" i="120" s="1"/>
  <c r="BA21" i="120"/>
  <c r="N9" i="125"/>
  <c r="N35" i="118"/>
  <c r="N7" i="118" s="1"/>
  <c r="N33" i="118"/>
  <c r="N32" i="118"/>
  <c r="N31" i="118"/>
  <c r="S44" i="116"/>
  <c r="S42" i="116"/>
  <c r="S41" i="116"/>
  <c r="S38" i="116"/>
  <c r="S19" i="116"/>
  <c r="S36" i="116"/>
  <c r="R36" i="116"/>
  <c r="S35" i="116"/>
  <c r="S34" i="116"/>
  <c r="S32" i="116"/>
  <c r="S29" i="116"/>
  <c r="S28" i="116"/>
  <c r="S24" i="116"/>
  <c r="S23" i="116"/>
  <c r="S21" i="116"/>
  <c r="S18" i="116"/>
  <c r="R18" i="116"/>
  <c r="R20" i="116"/>
  <c r="R21" i="116"/>
  <c r="R23" i="116"/>
  <c r="R24" i="116"/>
  <c r="R28" i="116"/>
  <c r="R29" i="116"/>
  <c r="R30" i="116"/>
  <c r="R31" i="116"/>
  <c r="R32" i="116"/>
  <c r="R34" i="116"/>
  <c r="R35" i="116"/>
  <c r="R19" i="116"/>
  <c r="R38" i="116"/>
  <c r="R41" i="116"/>
  <c r="R44" i="116"/>
  <c r="S17" i="116"/>
  <c r="R17" i="116"/>
  <c r="P17" i="116"/>
  <c r="P7" i="116" s="1"/>
  <c r="O17" i="116"/>
  <c r="N17" i="116"/>
  <c r="R15" i="116"/>
  <c r="R12" i="116"/>
  <c r="Z45" i="115"/>
  <c r="Z42" i="115"/>
  <c r="Y42" i="115"/>
  <c r="Y45" i="115"/>
  <c r="Z42" i="113"/>
  <c r="O42" i="123"/>
  <c r="N42" i="123"/>
  <c r="L42" i="123"/>
  <c r="L39" i="123"/>
  <c r="L32" i="123"/>
  <c r="L30" i="123"/>
  <c r="O29" i="123"/>
  <c r="N29" i="123"/>
  <c r="M29" i="123"/>
  <c r="L29" i="123"/>
  <c r="L28" i="123"/>
  <c r="O26" i="123"/>
  <c r="N26" i="123"/>
  <c r="M26" i="123"/>
  <c r="L26" i="123"/>
  <c r="N23" i="123"/>
  <c r="M23" i="123"/>
  <c r="L23" i="123"/>
  <c r="L22" i="123"/>
  <c r="O21" i="123"/>
  <c r="N21" i="123"/>
  <c r="M21" i="123"/>
  <c r="L21" i="123"/>
  <c r="O18" i="123"/>
  <c r="N18" i="123"/>
  <c r="M18" i="123"/>
  <c r="L18" i="123"/>
  <c r="N16" i="123"/>
  <c r="L16" i="123"/>
  <c r="O15" i="123"/>
  <c r="N15" i="123"/>
  <c r="M15" i="123"/>
  <c r="L15" i="123"/>
  <c r="N14" i="123"/>
  <c r="M14" i="123"/>
  <c r="L14" i="123"/>
  <c r="L11" i="123"/>
  <c r="L9" i="123"/>
  <c r="O8" i="123"/>
  <c r="N8" i="123"/>
  <c r="M8" i="123"/>
  <c r="L8" i="123"/>
  <c r="L7" i="123"/>
  <c r="G6" i="123"/>
  <c r="O42" i="122"/>
  <c r="L42" i="122"/>
  <c r="K42" i="122"/>
  <c r="J42" i="122"/>
  <c r="I42" i="122"/>
  <c r="O34" i="122"/>
  <c r="M34" i="122"/>
  <c r="L34" i="122"/>
  <c r="K34" i="122"/>
  <c r="J34" i="122"/>
  <c r="I34" i="122"/>
  <c r="O31" i="122"/>
  <c r="M31" i="122"/>
  <c r="L31" i="122"/>
  <c r="K31" i="122"/>
  <c r="J31" i="122"/>
  <c r="I31" i="122"/>
  <c r="O29" i="122"/>
  <c r="O28" i="122"/>
  <c r="M28" i="122"/>
  <c r="L28" i="122"/>
  <c r="K28" i="122"/>
  <c r="J28" i="122"/>
  <c r="I28" i="122"/>
  <c r="H28" i="122"/>
  <c r="O26" i="122"/>
  <c r="M26" i="122"/>
  <c r="L26" i="122"/>
  <c r="K26" i="122"/>
  <c r="J26" i="122"/>
  <c r="I26" i="122"/>
  <c r="O23" i="122"/>
  <c r="M23" i="122"/>
  <c r="L23" i="122"/>
  <c r="K23" i="122"/>
  <c r="J23" i="122"/>
  <c r="I23" i="122"/>
  <c r="M14" i="122"/>
  <c r="L14" i="122"/>
  <c r="K14" i="122"/>
  <c r="J14" i="122"/>
  <c r="I11" i="122"/>
  <c r="I6" i="122" s="1"/>
  <c r="I5" i="122"/>
  <c r="O9" i="122"/>
  <c r="M9" i="122"/>
  <c r="L9" i="122"/>
  <c r="K9" i="122"/>
  <c r="O8" i="122"/>
  <c r="O6" i="122" s="1"/>
  <c r="M8" i="122"/>
  <c r="M6" i="122" s="1"/>
  <c r="L8" i="122"/>
  <c r="L5" i="122" s="1"/>
  <c r="K8" i="122"/>
  <c r="K6" i="122" s="1"/>
  <c r="J8" i="122"/>
  <c r="J5" i="122" s="1"/>
  <c r="L35" i="173"/>
  <c r="M16" i="125"/>
  <c r="L16" i="125"/>
  <c r="K16" i="125"/>
  <c r="J16" i="125"/>
  <c r="H16" i="125"/>
  <c r="G16" i="125"/>
  <c r="F16" i="125"/>
  <c r="E16" i="125"/>
  <c r="D16" i="125"/>
  <c r="C16" i="125"/>
  <c r="N14" i="125"/>
  <c r="N16" i="125" s="1"/>
  <c r="I14" i="125"/>
  <c r="N12" i="125"/>
  <c r="N11" i="125"/>
  <c r="N10" i="125"/>
  <c r="N7" i="125"/>
  <c r="BG39" i="120"/>
  <c r="BF39" i="120"/>
  <c r="BE39" i="120"/>
  <c r="BD39" i="120"/>
  <c r="BC39" i="120"/>
  <c r="BB39" i="120"/>
  <c r="BA39" i="120"/>
  <c r="BG38" i="120"/>
  <c r="BF38" i="120"/>
  <c r="BE38" i="120"/>
  <c r="BD38" i="120"/>
  <c r="BC38" i="120"/>
  <c r="BB38" i="120"/>
  <c r="BA38" i="120"/>
  <c r="BG37" i="120"/>
  <c r="BF37" i="120"/>
  <c r="BE37" i="120"/>
  <c r="BD37" i="120"/>
  <c r="BC37" i="120"/>
  <c r="BB37" i="120"/>
  <c r="BA37" i="120"/>
  <c r="BG36" i="120"/>
  <c r="BF36" i="120"/>
  <c r="BE36" i="120"/>
  <c r="BD36" i="120"/>
  <c r="BC36" i="120"/>
  <c r="BB36" i="120"/>
  <c r="BA36" i="120"/>
  <c r="BG35" i="120"/>
  <c r="BF35" i="120"/>
  <c r="BE35" i="120"/>
  <c r="BD35" i="120"/>
  <c r="BC35" i="120"/>
  <c r="BB35" i="120"/>
  <c r="BA35" i="120"/>
  <c r="BG34" i="120"/>
  <c r="BF34" i="120"/>
  <c r="BE34" i="120"/>
  <c r="BD34" i="120"/>
  <c r="BC34" i="120"/>
  <c r="BB34" i="120"/>
  <c r="BA34" i="120"/>
  <c r="BG33" i="120"/>
  <c r="BF33" i="120"/>
  <c r="BE33" i="120"/>
  <c r="BD33" i="120"/>
  <c r="BC33" i="120"/>
  <c r="BB33" i="120"/>
  <c r="BA33" i="120"/>
  <c r="BG32" i="120"/>
  <c r="BF32" i="120"/>
  <c r="BE32" i="120"/>
  <c r="BD32" i="120"/>
  <c r="BC32" i="120"/>
  <c r="BB32" i="120"/>
  <c r="BA32" i="120"/>
  <c r="BG31" i="120"/>
  <c r="BF31" i="120"/>
  <c r="BE31" i="120"/>
  <c r="BD31" i="120"/>
  <c r="BC31" i="120"/>
  <c r="BG30" i="120"/>
  <c r="BF30" i="120"/>
  <c r="BE30" i="120"/>
  <c r="BD30" i="120"/>
  <c r="BC30" i="120"/>
  <c r="BB30" i="120"/>
  <c r="BA30" i="120"/>
  <c r="BG29" i="120"/>
  <c r="BF29" i="120"/>
  <c r="BE29" i="120"/>
  <c r="BD29" i="120"/>
  <c r="BC29" i="120"/>
  <c r="BB29" i="120"/>
  <c r="BA29" i="120"/>
  <c r="BG28" i="120"/>
  <c r="BF28" i="120"/>
  <c r="BE28" i="120"/>
  <c r="BD28" i="120"/>
  <c r="BC28" i="120"/>
  <c r="BB28" i="120"/>
  <c r="BA28" i="120"/>
  <c r="BG27" i="120"/>
  <c r="BF27" i="120"/>
  <c r="BE27" i="120"/>
  <c r="BD27" i="120"/>
  <c r="BC27" i="120"/>
  <c r="BB27" i="120"/>
  <c r="BA27" i="120"/>
  <c r="BG26" i="120"/>
  <c r="BF26" i="120"/>
  <c r="BE26" i="120"/>
  <c r="BD26" i="120"/>
  <c r="BC26" i="120"/>
  <c r="BB26" i="120"/>
  <c r="BA26" i="120"/>
  <c r="BG25" i="120"/>
  <c r="BF25" i="120"/>
  <c r="BE25" i="120"/>
  <c r="BG24" i="120"/>
  <c r="BF24" i="120"/>
  <c r="BE24" i="120"/>
  <c r="BD24" i="120"/>
  <c r="BC24" i="120"/>
  <c r="BB24" i="120"/>
  <c r="BA24" i="120"/>
  <c r="BG23" i="120"/>
  <c r="BF23" i="120"/>
  <c r="BE23" i="120"/>
  <c r="BD23" i="120"/>
  <c r="BC23" i="120"/>
  <c r="BB23" i="120"/>
  <c r="BA23" i="120"/>
  <c r="BG22" i="120"/>
  <c r="BF22" i="120"/>
  <c r="BE22" i="120"/>
  <c r="BD22" i="120"/>
  <c r="BC22" i="120"/>
  <c r="BB22" i="120"/>
  <c r="BA22" i="120"/>
  <c r="BG20" i="120"/>
  <c r="BF20" i="120"/>
  <c r="BE20" i="120"/>
  <c r="BD20" i="120"/>
  <c r="BC20" i="120"/>
  <c r="BB20" i="120"/>
  <c r="BA20" i="120"/>
  <c r="BG18" i="120"/>
  <c r="BF18" i="120"/>
  <c r="BE18" i="120"/>
  <c r="BD18" i="120"/>
  <c r="BC18" i="120"/>
  <c r="BB18" i="120"/>
  <c r="BA18" i="120"/>
  <c r="BG17" i="120"/>
  <c r="BF17" i="120"/>
  <c r="BE17" i="120"/>
  <c r="BD17" i="120"/>
  <c r="BC17" i="120"/>
  <c r="BB17" i="120"/>
  <c r="BA17" i="120"/>
  <c r="BG16" i="120"/>
  <c r="BF16" i="120"/>
  <c r="BE16" i="120"/>
  <c r="BD16" i="120"/>
  <c r="BC16" i="120"/>
  <c r="BB16" i="120"/>
  <c r="BA16" i="120"/>
  <c r="BG15" i="120"/>
  <c r="BF15" i="120"/>
  <c r="BE15" i="120"/>
  <c r="BD15" i="120"/>
  <c r="BC15" i="120"/>
  <c r="BB15" i="120"/>
  <c r="BA15" i="120"/>
  <c r="BG14" i="120"/>
  <c r="BF14" i="120"/>
  <c r="BE14" i="120"/>
  <c r="BD14" i="120"/>
  <c r="BC14" i="120"/>
  <c r="BB14" i="120"/>
  <c r="BA14" i="120"/>
  <c r="BG13" i="120"/>
  <c r="BF13" i="120"/>
  <c r="BE13" i="120"/>
  <c r="BD13" i="120"/>
  <c r="BC13" i="120"/>
  <c r="BB13" i="120"/>
  <c r="BA13" i="120"/>
  <c r="BG12" i="120"/>
  <c r="BG7" i="120" s="1"/>
  <c r="BF12" i="120"/>
  <c r="BE12" i="120"/>
  <c r="BD12" i="120"/>
  <c r="BD8" i="120" s="1"/>
  <c r="BC12" i="120"/>
  <c r="BB12" i="120"/>
  <c r="BA12" i="120"/>
  <c r="BG11" i="120"/>
  <c r="BF11" i="120"/>
  <c r="BE11" i="120"/>
  <c r="BD11" i="120"/>
  <c r="BC11" i="120"/>
  <c r="BB11" i="120"/>
  <c r="BA11" i="120"/>
  <c r="BG9" i="120"/>
  <c r="BF9" i="120"/>
  <c r="BF8" i="120" s="1"/>
  <c r="BE9" i="120"/>
  <c r="BE7" i="120"/>
  <c r="BD9" i="120"/>
  <c r="BC9" i="120"/>
  <c r="BC8" i="120" s="1"/>
  <c r="BC7" i="120"/>
  <c r="BB9" i="120"/>
  <c r="BA9" i="120"/>
  <c r="Q44" i="116"/>
  <c r="P44" i="116"/>
  <c r="O44" i="116"/>
  <c r="N44" i="116"/>
  <c r="M44" i="116"/>
  <c r="Q38" i="116"/>
  <c r="Q19" i="116"/>
  <c r="O19" i="116"/>
  <c r="Q36" i="116"/>
  <c r="O36" i="116"/>
  <c r="N36" i="116"/>
  <c r="Q35" i="116"/>
  <c r="O35" i="116"/>
  <c r="N35" i="116"/>
  <c r="M35" i="116"/>
  <c r="L35" i="116"/>
  <c r="K35" i="116"/>
  <c r="J35" i="116"/>
  <c r="I35" i="116"/>
  <c r="H35" i="116"/>
  <c r="G35" i="116"/>
  <c r="F35" i="116"/>
  <c r="E35" i="116"/>
  <c r="D35" i="116"/>
  <c r="C35" i="116"/>
  <c r="Q34" i="116"/>
  <c r="O34" i="116"/>
  <c r="N34" i="116"/>
  <c r="M34" i="116"/>
  <c r="L34" i="116"/>
  <c r="K34" i="116"/>
  <c r="J34" i="116"/>
  <c r="I34" i="116"/>
  <c r="H34" i="116"/>
  <c r="G34" i="116"/>
  <c r="F34" i="116"/>
  <c r="E34" i="116"/>
  <c r="D34" i="116"/>
  <c r="C34" i="116"/>
  <c r="Q32" i="116"/>
  <c r="O32" i="116"/>
  <c r="N32" i="116"/>
  <c r="M32" i="116"/>
  <c r="L32" i="116"/>
  <c r="K32" i="116"/>
  <c r="J32" i="116"/>
  <c r="Q31" i="116"/>
  <c r="O31" i="116"/>
  <c r="N31" i="116"/>
  <c r="M31" i="116"/>
  <c r="L31" i="116"/>
  <c r="K31" i="116"/>
  <c r="J31" i="116"/>
  <c r="I31" i="116"/>
  <c r="H31" i="116"/>
  <c r="G31" i="116"/>
  <c r="F31" i="116"/>
  <c r="E31" i="116"/>
  <c r="D31" i="116"/>
  <c r="C31" i="116"/>
  <c r="Q30" i="116"/>
  <c r="N30" i="116"/>
  <c r="Q29" i="116"/>
  <c r="O29" i="116"/>
  <c r="N29" i="116"/>
  <c r="M29" i="116"/>
  <c r="Q28" i="116"/>
  <c r="O28" i="116"/>
  <c r="N28" i="116"/>
  <c r="M28" i="116"/>
  <c r="L28" i="116"/>
  <c r="K28" i="116"/>
  <c r="J28" i="116"/>
  <c r="I28" i="116"/>
  <c r="H28" i="116"/>
  <c r="G28" i="116"/>
  <c r="F28" i="116"/>
  <c r="E28" i="116"/>
  <c r="D28" i="116"/>
  <c r="C28" i="116"/>
  <c r="N27" i="116"/>
  <c r="M27" i="116"/>
  <c r="L27" i="116"/>
  <c r="K27" i="116"/>
  <c r="J27" i="116"/>
  <c r="I27" i="116"/>
  <c r="H27" i="116"/>
  <c r="G27" i="116"/>
  <c r="F27" i="116"/>
  <c r="E27" i="116"/>
  <c r="D27" i="116"/>
  <c r="C27" i="116"/>
  <c r="Q26" i="116"/>
  <c r="N26" i="116"/>
  <c r="M26" i="116"/>
  <c r="L26" i="116"/>
  <c r="Q25" i="116"/>
  <c r="Q24" i="116"/>
  <c r="O24" i="116"/>
  <c r="N24" i="116"/>
  <c r="M24" i="116"/>
  <c r="L24" i="116"/>
  <c r="K24" i="116"/>
  <c r="J24" i="116"/>
  <c r="I24" i="116"/>
  <c r="H24" i="116"/>
  <c r="G24" i="116"/>
  <c r="F24" i="116"/>
  <c r="E24" i="116"/>
  <c r="D24" i="116"/>
  <c r="C24" i="116"/>
  <c r="Q23" i="116"/>
  <c r="O23" i="116"/>
  <c r="Q22" i="116"/>
  <c r="O22" i="116"/>
  <c r="N22" i="116"/>
  <c r="M22" i="116"/>
  <c r="L22" i="116"/>
  <c r="Q21" i="116"/>
  <c r="Q20" i="116"/>
  <c r="O20" i="116"/>
  <c r="N20" i="116"/>
  <c r="M20" i="116"/>
  <c r="L20" i="116"/>
  <c r="K20" i="116"/>
  <c r="J20" i="116"/>
  <c r="I20" i="116"/>
  <c r="H20" i="116"/>
  <c r="G20" i="116"/>
  <c r="F20" i="116"/>
  <c r="E20" i="116"/>
  <c r="D20" i="116"/>
  <c r="C20" i="116"/>
  <c r="Q18" i="116"/>
  <c r="O18" i="116"/>
  <c r="N18" i="116"/>
  <c r="M18" i="116"/>
  <c r="L18" i="116"/>
  <c r="K18" i="116"/>
  <c r="J18" i="116"/>
  <c r="I18" i="116"/>
  <c r="H18" i="116"/>
  <c r="G18" i="116"/>
  <c r="F18" i="116"/>
  <c r="E18" i="116"/>
  <c r="D18" i="116"/>
  <c r="C18" i="116"/>
  <c r="Q17" i="116"/>
  <c r="M17" i="116"/>
  <c r="L17" i="116"/>
  <c r="K17" i="116"/>
  <c r="J17" i="116"/>
  <c r="I17" i="116"/>
  <c r="Q14" i="116"/>
  <c r="O13" i="116"/>
  <c r="N13" i="116"/>
  <c r="M13" i="116"/>
  <c r="M8" i="116" s="1"/>
  <c r="L13" i="116"/>
  <c r="L8" i="116" s="1"/>
  <c r="K13" i="116"/>
  <c r="J13" i="116"/>
  <c r="I13" i="116"/>
  <c r="H13" i="116"/>
  <c r="H7" i="116" s="1"/>
  <c r="G13" i="116"/>
  <c r="F13" i="116"/>
  <c r="E13" i="116"/>
  <c r="D13" i="116"/>
  <c r="C13" i="116"/>
  <c r="Q12" i="116"/>
  <c r="O12" i="116"/>
  <c r="N12" i="116"/>
  <c r="M12" i="116"/>
  <c r="Q10" i="116"/>
  <c r="X44" i="115"/>
  <c r="X46" i="115"/>
  <c r="X45" i="115"/>
  <c r="W45" i="115"/>
  <c r="V45" i="115"/>
  <c r="U45" i="115"/>
  <c r="T45" i="115"/>
  <c r="X43" i="115"/>
  <c r="T43" i="115"/>
  <c r="R43" i="115"/>
  <c r="Q43" i="115"/>
  <c r="P43" i="115"/>
  <c r="O43" i="115"/>
  <c r="N43" i="115"/>
  <c r="M43" i="115"/>
  <c r="L43" i="115"/>
  <c r="K43" i="115"/>
  <c r="J43" i="115"/>
  <c r="I43" i="115"/>
  <c r="H43" i="115"/>
  <c r="G43" i="115"/>
  <c r="F43" i="115"/>
  <c r="E43" i="115"/>
  <c r="X42" i="115"/>
  <c r="W42" i="115"/>
  <c r="V42" i="115"/>
  <c r="U42" i="115"/>
  <c r="T42" i="115"/>
  <c r="S42" i="115"/>
  <c r="R42" i="115"/>
  <c r="Q42" i="115"/>
  <c r="P42" i="115"/>
  <c r="O42" i="115"/>
  <c r="N42" i="115"/>
  <c r="M42" i="115"/>
  <c r="L42" i="115"/>
  <c r="K42" i="115"/>
  <c r="J42" i="115"/>
  <c r="I42" i="115"/>
  <c r="H42" i="115"/>
  <c r="G42" i="115"/>
  <c r="W39" i="115"/>
  <c r="V39" i="115"/>
  <c r="U39" i="115"/>
  <c r="T39" i="115"/>
  <c r="S39" i="115"/>
  <c r="R39" i="115"/>
  <c r="Y45" i="114"/>
  <c r="X45" i="114"/>
  <c r="W45" i="114"/>
  <c r="V45" i="114"/>
  <c r="U45" i="114"/>
  <c r="T45" i="114"/>
  <c r="S45" i="114"/>
  <c r="R45" i="114"/>
  <c r="Q45" i="114"/>
  <c r="P45" i="114"/>
  <c r="O45" i="114"/>
  <c r="X44" i="114"/>
  <c r="Y41" i="114"/>
  <c r="X41" i="114"/>
  <c r="W41" i="114"/>
  <c r="V41" i="114"/>
  <c r="U41" i="114"/>
  <c r="T41" i="114"/>
  <c r="S41" i="114"/>
  <c r="R41" i="114"/>
  <c r="Y39" i="114"/>
  <c r="X39" i="114"/>
  <c r="W39" i="114"/>
  <c r="V39" i="114"/>
  <c r="Y36" i="114"/>
  <c r="X36" i="114"/>
  <c r="W36" i="114"/>
  <c r="V36" i="114"/>
  <c r="U36" i="114"/>
  <c r="T36" i="114"/>
  <c r="S36" i="114"/>
  <c r="R36" i="114"/>
  <c r="Q36" i="114"/>
  <c r="P36" i="114"/>
  <c r="O36" i="114"/>
  <c r="N36" i="114"/>
  <c r="M36" i="114"/>
  <c r="L36" i="114"/>
  <c r="K36" i="114"/>
  <c r="J36" i="114"/>
  <c r="I36" i="114"/>
  <c r="X35" i="114"/>
  <c r="Y34" i="114"/>
  <c r="X34" i="114"/>
  <c r="Y33" i="114"/>
  <c r="X33" i="114"/>
  <c r="X31" i="114"/>
  <c r="V31" i="114"/>
  <c r="U31" i="114"/>
  <c r="T31" i="114"/>
  <c r="S31" i="114"/>
  <c r="R31" i="114"/>
  <c r="Q31" i="114"/>
  <c r="P31" i="114"/>
  <c r="O31" i="114"/>
  <c r="N31" i="114"/>
  <c r="M31" i="114"/>
  <c r="L31" i="114"/>
  <c r="K31" i="114"/>
  <c r="J31" i="114"/>
  <c r="I31" i="114"/>
  <c r="H31" i="114"/>
  <c r="G31" i="114"/>
  <c r="F31" i="114"/>
  <c r="E31" i="114"/>
  <c r="X30" i="114"/>
  <c r="Y28" i="114"/>
  <c r="Y27" i="114"/>
  <c r="X26" i="114"/>
  <c r="W26" i="114"/>
  <c r="V26" i="114"/>
  <c r="U26" i="114"/>
  <c r="T26" i="114"/>
  <c r="P26" i="114"/>
  <c r="O26" i="114"/>
  <c r="N26" i="114"/>
  <c r="M26" i="114"/>
  <c r="Y25" i="114"/>
  <c r="X24" i="114"/>
  <c r="Y23" i="114"/>
  <c r="X23" i="114"/>
  <c r="W23" i="114"/>
  <c r="V23" i="114"/>
  <c r="U23" i="114"/>
  <c r="T23" i="114"/>
  <c r="S23" i="114"/>
  <c r="R23" i="114"/>
  <c r="Q23" i="114"/>
  <c r="P23" i="114"/>
  <c r="O23" i="114"/>
  <c r="N23" i="114"/>
  <c r="M23" i="114"/>
  <c r="L23" i="114"/>
  <c r="K23" i="114"/>
  <c r="J23" i="114"/>
  <c r="X21" i="114"/>
  <c r="Y15" i="114"/>
  <c r="X15" i="114"/>
  <c r="Y13" i="114"/>
  <c r="Y12" i="114"/>
  <c r="X12" i="114"/>
  <c r="Y11" i="114"/>
  <c r="X11" i="114"/>
  <c r="W11" i="114"/>
  <c r="V11" i="114"/>
  <c r="U11" i="114"/>
  <c r="T11" i="114"/>
  <c r="S11" i="114"/>
  <c r="R11" i="114"/>
  <c r="Q11" i="114"/>
  <c r="P11" i="114"/>
  <c r="O11" i="114"/>
  <c r="N11" i="114"/>
  <c r="M11" i="114"/>
  <c r="L11" i="114"/>
  <c r="K11" i="114"/>
  <c r="J11" i="114"/>
  <c r="I11" i="114"/>
  <c r="H10" i="114"/>
  <c r="G10" i="114"/>
  <c r="F10" i="114"/>
  <c r="E10" i="114"/>
  <c r="X43" i="113"/>
  <c r="X45" i="113"/>
  <c r="Y41" i="113"/>
  <c r="X41" i="113"/>
  <c r="X38" i="113"/>
  <c r="W38" i="113"/>
  <c r="V38" i="113"/>
  <c r="U36" i="113"/>
  <c r="T36" i="113"/>
  <c r="S36" i="113"/>
  <c r="R36" i="113"/>
  <c r="Q36" i="113"/>
  <c r="P36" i="113"/>
  <c r="O36" i="113"/>
  <c r="N36" i="113"/>
  <c r="M36" i="113"/>
  <c r="U26" i="113"/>
  <c r="T26" i="113"/>
  <c r="S26" i="113"/>
  <c r="R26" i="113"/>
  <c r="Q26" i="113"/>
  <c r="P26" i="113"/>
  <c r="O26" i="113"/>
  <c r="N26" i="113"/>
  <c r="N8" i="113" s="1"/>
  <c r="M26" i="113"/>
  <c r="L26" i="113"/>
  <c r="T24" i="113"/>
  <c r="U15" i="113"/>
  <c r="U7" i="113" s="1"/>
  <c r="T15" i="113"/>
  <c r="T7" i="113" s="1"/>
  <c r="S15" i="113"/>
  <c r="S7" i="113" s="1"/>
  <c r="R15" i="113"/>
  <c r="Q15" i="113"/>
  <c r="Q7" i="113" s="1"/>
  <c r="P15" i="113"/>
  <c r="P7" i="113" s="1"/>
  <c r="O15" i="113"/>
  <c r="O7" i="113" s="1"/>
  <c r="N15" i="113"/>
  <c r="M15" i="113"/>
  <c r="M7" i="113" s="1"/>
  <c r="L15" i="113"/>
  <c r="L8" i="113" s="1"/>
  <c r="K15" i="113"/>
  <c r="K7" i="113"/>
  <c r="J15" i="113"/>
  <c r="J8" i="113" s="1"/>
  <c r="I15" i="113"/>
  <c r="H15" i="113"/>
  <c r="H7" i="113" s="1"/>
  <c r="G15" i="113"/>
  <c r="G8" i="113" s="1"/>
  <c r="F15" i="113"/>
  <c r="F7" i="113" s="1"/>
  <c r="E15" i="113"/>
  <c r="E7" i="113" s="1"/>
  <c r="I7" i="116"/>
  <c r="I16" i="125"/>
  <c r="K8" i="113"/>
  <c r="H8" i="113"/>
  <c r="L7" i="113"/>
  <c r="I8" i="113"/>
  <c r="I7" i="113"/>
  <c r="F8" i="113"/>
  <c r="H5" i="122"/>
  <c r="H6" i="122"/>
  <c r="E8" i="114"/>
  <c r="H23" i="114"/>
  <c r="F23" i="114"/>
  <c r="I23" i="114"/>
  <c r="G23" i="114"/>
  <c r="I8" i="116"/>
  <c r="Z9" i="115"/>
  <c r="G8" i="126"/>
  <c r="BC8" i="119"/>
  <c r="BE8" i="120"/>
  <c r="O5" i="122"/>
  <c r="W6" i="122"/>
  <c r="L7" i="118"/>
  <c r="Q7" i="170"/>
  <c r="T6" i="118"/>
  <c r="Q7" i="118"/>
  <c r="U7" i="118"/>
  <c r="BI7" i="120"/>
  <c r="BG8" i="120"/>
  <c r="BK8" i="120"/>
  <c r="BR9" i="119"/>
  <c r="BI7" i="119"/>
  <c r="BJ8" i="119"/>
  <c r="W9" i="115" l="1"/>
  <c r="AI33" i="115"/>
  <c r="AD8" i="115"/>
  <c r="AI35" i="115"/>
  <c r="AI37" i="115"/>
  <c r="AI14" i="115"/>
  <c r="AI25" i="115"/>
  <c r="AI26" i="115"/>
  <c r="AE8" i="115"/>
  <c r="AB8" i="115"/>
  <c r="AA8" i="115"/>
  <c r="AB9" i="115"/>
  <c r="AG9" i="115"/>
  <c r="AI21" i="115"/>
  <c r="AI24" i="115"/>
  <c r="AI29" i="115"/>
  <c r="AI34" i="115"/>
  <c r="X9" i="115"/>
  <c r="AD9" i="115"/>
  <c r="AC8" i="115"/>
  <c r="AE9" i="115"/>
  <c r="AG8" i="115"/>
  <c r="AF9" i="115"/>
  <c r="AI20" i="115"/>
  <c r="AI28" i="115"/>
  <c r="AH8" i="115"/>
  <c r="AI42" i="115"/>
  <c r="AI38" i="115"/>
  <c r="AI18" i="115"/>
  <c r="AI27" i="115"/>
  <c r="K5" i="122"/>
  <c r="L6" i="122"/>
  <c r="X5" i="122"/>
  <c r="X6" i="122"/>
  <c r="AB6" i="122" s="1"/>
  <c r="R5" i="122"/>
  <c r="Y6" i="122"/>
  <c r="U6" i="122"/>
  <c r="Y5" i="122"/>
  <c r="W6" i="121"/>
  <c r="AB8" i="121"/>
  <c r="Y5" i="121"/>
  <c r="AB5" i="121" s="1"/>
  <c r="Y6" i="121"/>
  <c r="AB6" i="121" s="1"/>
  <c r="S6" i="121"/>
  <c r="T5" i="121"/>
  <c r="O7" i="170"/>
  <c r="S24" i="170"/>
  <c r="R6" i="170"/>
  <c r="X25" i="170"/>
  <c r="O6" i="170"/>
  <c r="X15" i="170"/>
  <c r="T24" i="170"/>
  <c r="X9" i="170"/>
  <c r="P6" i="118"/>
  <c r="R7" i="118"/>
  <c r="X35" i="118"/>
  <c r="O6" i="118"/>
  <c r="X26" i="118"/>
  <c r="K7" i="118"/>
  <c r="V6" i="118"/>
  <c r="X10" i="118"/>
  <c r="X17" i="118"/>
  <c r="X19" i="118"/>
  <c r="X23" i="118"/>
  <c r="X33" i="118"/>
  <c r="H6" i="118"/>
  <c r="H7" i="118"/>
  <c r="W6" i="118"/>
  <c r="X6" i="118" s="1"/>
  <c r="X9" i="118"/>
  <c r="W7" i="118"/>
  <c r="X7" i="118" s="1"/>
  <c r="P7" i="118"/>
  <c r="I7" i="118"/>
  <c r="I6" i="118"/>
  <c r="S7" i="118"/>
  <c r="BD7" i="120"/>
  <c r="BQ7" i="120"/>
  <c r="BR7" i="120" s="1"/>
  <c r="BF7" i="120"/>
  <c r="BH7" i="120"/>
  <c r="BR9" i="120"/>
  <c r="BG8" i="119"/>
  <c r="BN8" i="119"/>
  <c r="BH7" i="119"/>
  <c r="BQ7" i="119"/>
  <c r="BR7" i="119" s="1"/>
  <c r="BE8" i="119"/>
  <c r="BP7" i="119"/>
  <c r="M8" i="119"/>
  <c r="R8" i="119"/>
  <c r="AA8" i="116"/>
  <c r="H8" i="116"/>
  <c r="T8" i="116"/>
  <c r="S7" i="116"/>
  <c r="AB9" i="116"/>
  <c r="AB44" i="116"/>
  <c r="M7" i="116"/>
  <c r="Q8" i="116"/>
  <c r="J8" i="116"/>
  <c r="N8" i="116"/>
  <c r="L7" i="116"/>
  <c r="K7" i="116"/>
  <c r="O8" i="116"/>
  <c r="P8" i="116"/>
  <c r="S8" i="116"/>
  <c r="U7" i="116"/>
  <c r="W7" i="116"/>
  <c r="AB34" i="116"/>
  <c r="AB19" i="116"/>
  <c r="AB27" i="116"/>
  <c r="Z7" i="116"/>
  <c r="X7" i="116"/>
  <c r="AB45" i="116"/>
  <c r="Q7" i="116"/>
  <c r="R7" i="116"/>
  <c r="V8" i="116"/>
  <c r="Y7" i="116"/>
  <c r="Z8" i="116"/>
  <c r="AB14" i="116"/>
  <c r="J7" i="116"/>
  <c r="N7" i="116"/>
  <c r="R8" i="116"/>
  <c r="Y8" i="116"/>
  <c r="K8" i="116"/>
  <c r="O7" i="116"/>
  <c r="W8" i="116"/>
  <c r="AA7" i="116"/>
  <c r="AB7" i="116" s="1"/>
  <c r="AI8" i="115"/>
  <c r="Y9" i="115"/>
  <c r="AA9" i="115"/>
  <c r="AC9" i="115"/>
  <c r="AI11" i="115"/>
  <c r="V8" i="115"/>
  <c r="AF8" i="115"/>
  <c r="AH9" i="115"/>
  <c r="I8" i="175"/>
  <c r="I7" i="175"/>
  <c r="AI7" i="175"/>
  <c r="L8" i="175"/>
  <c r="J8" i="175"/>
  <c r="S7" i="175"/>
  <c r="T7" i="175"/>
  <c r="O8" i="175"/>
  <c r="W7" i="175"/>
  <c r="AF8" i="175"/>
  <c r="AH8" i="175"/>
  <c r="X8" i="175"/>
  <c r="V8" i="175"/>
  <c r="K7" i="175"/>
  <c r="M8" i="175"/>
  <c r="F7" i="175"/>
  <c r="G8" i="175"/>
  <c r="AI10" i="175"/>
  <c r="Y7" i="175"/>
  <c r="AG8" i="175"/>
  <c r="M8" i="113"/>
  <c r="N7" i="113"/>
  <c r="R7" i="113"/>
  <c r="AG7" i="113"/>
  <c r="AI7" i="113" s="1"/>
  <c r="X7" i="113"/>
  <c r="AB8" i="113"/>
  <c r="AE7" i="113"/>
  <c r="AD7" i="113"/>
  <c r="X8" i="113"/>
  <c r="P8" i="113"/>
  <c r="AB7" i="113"/>
  <c r="G7" i="113"/>
  <c r="O8" i="113"/>
  <c r="AE8" i="113"/>
  <c r="AA8" i="113"/>
  <c r="W8" i="113"/>
  <c r="S8" i="113"/>
  <c r="AF8" i="113"/>
  <c r="E8" i="113"/>
  <c r="AH8" i="113"/>
  <c r="AI8" i="113" s="1"/>
  <c r="AD8" i="113"/>
  <c r="Z8" i="113"/>
  <c r="V8" i="113"/>
  <c r="R8" i="113"/>
  <c r="T8" i="113"/>
  <c r="J7" i="113"/>
  <c r="AG8" i="113"/>
  <c r="AC8" i="113"/>
  <c r="Y8" i="113"/>
  <c r="U8" i="113"/>
  <c r="Q8" i="113"/>
  <c r="AK29" i="112"/>
  <c r="AK25" i="112"/>
  <c r="AK21" i="112"/>
  <c r="AK17" i="112"/>
  <c r="AK41" i="112"/>
  <c r="AK37" i="112"/>
  <c r="AK33" i="112"/>
  <c r="AK6" i="112"/>
  <c r="AK5" i="112"/>
  <c r="AI9" i="115" l="1"/>
  <c r="AB5" i="122"/>
  <c r="S6" i="170"/>
  <c r="S7" i="170"/>
  <c r="U24" i="170"/>
  <c r="V24" i="170"/>
  <c r="T7" i="170"/>
  <c r="T6" i="170"/>
  <c r="AB8" i="116"/>
  <c r="AI8" i="175"/>
  <c r="V6" i="170" l="1"/>
  <c r="V7" i="170"/>
  <c r="U7" i="170"/>
  <c r="U6" i="170"/>
  <c r="W24" i="170"/>
  <c r="X24" i="170" l="1"/>
  <c r="W7" i="170"/>
  <c r="X7" i="170" s="1"/>
  <c r="W6" i="170"/>
  <c r="X6" i="170" s="1"/>
</calcChain>
</file>

<file path=xl/sharedStrings.xml><?xml version="1.0" encoding="utf-8"?>
<sst xmlns="http://schemas.openxmlformats.org/spreadsheetml/2006/main" count="2331" uniqueCount="366">
  <si>
    <t>MK</t>
  </si>
  <si>
    <t>change</t>
  </si>
  <si>
    <t>thousand</t>
  </si>
  <si>
    <t>Light commercial vehicles</t>
  </si>
  <si>
    <t>Commercial Vehicles</t>
  </si>
  <si>
    <t>Heavy Commercial Vehicles</t>
  </si>
  <si>
    <t>&lt; 3.5t</t>
  </si>
  <si>
    <t>&gt; 3,5t &amp; &lt; 16t</t>
  </si>
  <si>
    <t>&gt; 16t</t>
  </si>
  <si>
    <t>Number of passenger cars per 1000 inhabitants</t>
  </si>
  <si>
    <t>Stock of vehicles</t>
  </si>
  <si>
    <t>Road : Buses and Coaches</t>
  </si>
  <si>
    <t>Total fleet controlled</t>
  </si>
  <si>
    <t>Number</t>
  </si>
  <si>
    <t>Europe*</t>
  </si>
  <si>
    <t>North America</t>
  </si>
  <si>
    <t>Latin America</t>
  </si>
  <si>
    <t>Asia/Oceania</t>
  </si>
  <si>
    <t>Africa</t>
  </si>
  <si>
    <t>Unknown</t>
  </si>
  <si>
    <t>(ships of 300 gt and over)</t>
  </si>
  <si>
    <t>Bulk carriers</t>
  </si>
  <si>
    <t>General cargo</t>
  </si>
  <si>
    <t>(ships of 1000 gt and over)</t>
  </si>
  <si>
    <t xml:space="preserve">Passenger aircraft </t>
  </si>
  <si>
    <t>50 seats or less</t>
  </si>
  <si>
    <t>51 to 150 seats</t>
  </si>
  <si>
    <t>151 to 250 seats</t>
  </si>
  <si>
    <t>251 seats and more</t>
  </si>
  <si>
    <t>Freight / Cargo</t>
  </si>
  <si>
    <t>Quick-change convertible</t>
  </si>
  <si>
    <t xml:space="preserve">Special purpose / Ambulance </t>
  </si>
  <si>
    <t>Business / Corporate / Executive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</si>
  <si>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</si>
  <si>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</si>
  <si>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</si>
  <si>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</si>
  <si>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</si>
  <si>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</si>
  <si>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</si>
  <si>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</si>
  <si>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</si>
  <si>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</si>
  <si>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</si>
  <si>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</si>
  <si>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</si>
  <si>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</si>
  <si>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</si>
  <si>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</si>
  <si>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</si>
  <si>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</si>
  <si>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</si>
  <si>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</si>
  <si>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</si>
  <si>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</si>
  <si>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</si>
  <si>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</si>
  <si>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</si>
  <si>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</si>
  <si>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</si>
  <si>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</si>
  <si>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</si>
  <si>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</si>
  <si>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</si>
  <si>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</si>
  <si>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-</t>
  </si>
  <si>
    <t>HR</t>
  </si>
  <si>
    <t>World</t>
  </si>
  <si>
    <t>Total</t>
  </si>
  <si>
    <t>More than 30 000 small private planes not included.</t>
  </si>
  <si>
    <t>(1)</t>
  </si>
  <si>
    <t xml:space="preserve">  </t>
  </si>
  <si>
    <t>LI</t>
  </si>
  <si>
    <t xml:space="preserve">   of which: </t>
  </si>
  <si>
    <t>Reefer</t>
  </si>
  <si>
    <t>Ro-Ro: vehicles roll on to embark, vehicles roll off to disembark.</t>
  </si>
  <si>
    <t>Liquid gas tankers</t>
  </si>
  <si>
    <t>Ore/ bulk / oil carriers</t>
  </si>
  <si>
    <t>Container ships</t>
  </si>
  <si>
    <t>Reefer: refrigerated ships.</t>
  </si>
  <si>
    <t>New vehicle registrations</t>
  </si>
  <si>
    <t>Road : Motorcycles</t>
  </si>
  <si>
    <t>Road : Mopeds</t>
  </si>
  <si>
    <t>New vehicle deliveries</t>
  </si>
  <si>
    <t>On 1st January:</t>
  </si>
  <si>
    <t>Total controlled fleet by world region</t>
  </si>
  <si>
    <t>World region</t>
  </si>
  <si>
    <t>Share of EU in Total and of Foreign Flag in EU</t>
  </si>
  <si>
    <t>Light buses and coaches</t>
  </si>
  <si>
    <t>Buses and coaches</t>
  </si>
  <si>
    <t>Heavy buses and coaches</t>
  </si>
  <si>
    <t>&lt;3.5t</t>
  </si>
  <si>
    <t>%</t>
  </si>
  <si>
    <t>Data relate to main railways (UIC members)</t>
  </si>
  <si>
    <t>(passenger / cargo)</t>
  </si>
  <si>
    <t>mtow</t>
  </si>
  <si>
    <t>Multi-role</t>
  </si>
  <si>
    <r>
      <t>mtow</t>
    </r>
    <r>
      <rPr>
        <sz val="8"/>
        <rFont val="Arial"/>
        <family val="2"/>
      </rPr>
      <t>: maximum take-off weight</t>
    </r>
  </si>
  <si>
    <t>Total fleet</t>
  </si>
  <si>
    <t>2007*</t>
  </si>
  <si>
    <t>Stock of registered vehicles</t>
  </si>
  <si>
    <t>In this table blank means none.</t>
  </si>
  <si>
    <t>EUROPEAN UNION</t>
  </si>
  <si>
    <t>European Commission</t>
  </si>
  <si>
    <t>Means of Transport</t>
  </si>
  <si>
    <r>
      <t xml:space="preserve">in co-operation with </t>
    </r>
    <r>
      <rPr>
        <b/>
        <sz val="10"/>
        <rFont val="Arial"/>
        <family val="2"/>
      </rPr>
      <t>Eurostat</t>
    </r>
  </si>
  <si>
    <r>
      <t>For transport of goods and passengers: fleet by type of ship and country of domicile</t>
    </r>
    <r>
      <rPr>
        <sz val="10"/>
        <rFont val="Arial"/>
        <family val="2"/>
      </rPr>
      <t xml:space="preserve">, numbers and deadweight </t>
    </r>
  </si>
  <si>
    <t>Tankers</t>
  </si>
  <si>
    <t>Passenger and passenger cargo</t>
  </si>
  <si>
    <t>Cargo passenger and Ro-Ro passenger ships</t>
  </si>
  <si>
    <t>2008*</t>
  </si>
  <si>
    <t>(1) figures included in other categories</t>
  </si>
  <si>
    <t>Road : Motorisation</t>
  </si>
  <si>
    <t>Directorate-General for Mobility and Transport</t>
  </si>
  <si>
    <t>TRANSPORT IN FIGURES</t>
  </si>
  <si>
    <t>Part 2  :  TRANSPORT</t>
  </si>
  <si>
    <t>Chapter 2.6  :</t>
  </si>
  <si>
    <t>2.6.1</t>
  </si>
  <si>
    <t>2.6.2</t>
  </si>
  <si>
    <t>2.6.3</t>
  </si>
  <si>
    <t>2.6.4</t>
  </si>
  <si>
    <t>2.6.5</t>
  </si>
  <si>
    <t>2.6.6</t>
  </si>
  <si>
    <t>2.6.7</t>
  </si>
  <si>
    <t>2.6.8</t>
  </si>
  <si>
    <t>2.6.9</t>
  </si>
  <si>
    <t>2.6.10</t>
  </si>
  <si>
    <t>2.6.11</t>
  </si>
  <si>
    <t>2.6.12a</t>
  </si>
  <si>
    <t>2.6.12b</t>
  </si>
  <si>
    <t>2.6.13</t>
  </si>
  <si>
    <t>2.6.14</t>
  </si>
  <si>
    <t>2.6.15</t>
  </si>
  <si>
    <t>2.6.16</t>
  </si>
  <si>
    <t>2.6.17</t>
  </si>
  <si>
    <t>Taxis are usually included.</t>
  </si>
  <si>
    <t>Only ships of 1000 gt and over</t>
  </si>
  <si>
    <r>
      <t>For transport of goods and passengers: passenger and passenger / cargo ships by registered flag</t>
    </r>
    <r>
      <rPr>
        <sz val="10"/>
        <rFont val="Arial"/>
        <family val="2"/>
      </rPr>
      <t>, numbers and gross tons</t>
    </r>
  </si>
  <si>
    <r>
      <t>Cruise ships by registered flag</t>
    </r>
    <r>
      <rPr>
        <sz val="10"/>
        <rFont val="Arial"/>
        <family val="2"/>
      </rPr>
      <t>, numbers and gross tons</t>
    </r>
  </si>
  <si>
    <t xml:space="preserve">Stock of coaches, railcars and trailers  </t>
  </si>
  <si>
    <t>2009*</t>
  </si>
  <si>
    <r>
      <t>Source</t>
    </r>
    <r>
      <rPr>
        <sz val="8"/>
        <rFont val="Arial"/>
        <family val="2"/>
      </rPr>
      <t>: tables 2.6.2 and 1.5</t>
    </r>
  </si>
  <si>
    <r>
      <t>Notes:</t>
    </r>
    <r>
      <rPr>
        <b/>
        <sz val="8"/>
        <rFont val="Arial"/>
        <family val="2"/>
      </rPr>
      <t/>
    </r>
  </si>
  <si>
    <r>
      <t xml:space="preserve">Stock at end of year, except for </t>
    </r>
    <r>
      <rPr>
        <b/>
        <sz val="8"/>
        <rFont val="Arial"/>
        <family val="2"/>
      </rPr>
      <t>BE:</t>
    </r>
    <r>
      <rPr>
        <sz val="8"/>
        <rFont val="Arial"/>
        <family val="2"/>
      </rPr>
      <t xml:space="preserve"> 1 August, </t>
    </r>
    <r>
      <rPr>
        <b/>
        <sz val="8"/>
        <rFont val="Arial"/>
        <family val="2"/>
      </rPr>
      <t>CH:</t>
    </r>
    <r>
      <rPr>
        <sz val="8"/>
        <rFont val="Arial"/>
        <family val="2"/>
      </rPr>
      <t xml:space="preserve"> 30 September, </t>
    </r>
    <r>
      <rPr>
        <b/>
        <sz val="8"/>
        <rFont val="Arial"/>
        <family val="2"/>
      </rPr>
      <t>LI:</t>
    </r>
    <r>
      <rPr>
        <sz val="8"/>
        <rFont val="Arial"/>
        <family val="2"/>
      </rPr>
      <t xml:space="preserve"> 1 July.</t>
    </r>
    <r>
      <rPr>
        <b/>
        <sz val="8"/>
        <rFont val="Arial"/>
        <family val="2"/>
      </rPr>
      <t/>
    </r>
  </si>
  <si>
    <r>
      <t>As a rule, data include heavy and light goods vehicles, lorries and road tractors; due to varying concepts of such vehicles, data are not fully comparable between countries.</t>
    </r>
    <r>
      <rPr>
        <b/>
        <sz val="8"/>
        <rFont val="Arial"/>
        <family val="2"/>
      </rPr>
      <t/>
    </r>
  </si>
  <si>
    <r>
      <t>National vehicle stock data do not always include all powered two-wheelers and are therefore not fully comparable between countries.</t>
    </r>
    <r>
      <rPr>
        <b/>
        <sz val="8"/>
        <rFont val="Arial"/>
        <family val="2"/>
      </rPr>
      <t/>
    </r>
  </si>
  <si>
    <r>
      <t>Tricycles and quads are sometimes included in the data.</t>
    </r>
    <r>
      <rPr>
        <b/>
        <sz val="8"/>
        <rFont val="Arial"/>
        <family val="2"/>
      </rPr>
      <t/>
    </r>
  </si>
  <si>
    <r>
      <t>dwt</t>
    </r>
    <r>
      <rPr>
        <sz val="8"/>
        <rFont val="Arial"/>
        <family val="2"/>
      </rPr>
      <t xml:space="preserve"> (million)</t>
    </r>
  </si>
  <si>
    <r>
      <t>Source</t>
    </r>
    <r>
      <rPr>
        <sz val="8"/>
        <rFont val="Arial"/>
        <family val="2"/>
      </rPr>
      <t>: Institute for Shipping Economics and Logistics, Bremen</t>
    </r>
  </si>
  <si>
    <r>
      <t>Special purpose / Ambulance</t>
    </r>
    <r>
      <rPr>
        <sz val="8"/>
        <rFont val="Arial"/>
        <family val="2"/>
      </rPr>
      <t>: contains data about Hospital / Ambulance / Medevac and Special Role / Operations / Mission aircraft.</t>
    </r>
  </si>
  <si>
    <t xml:space="preserve">Passenger (not Ro-Ro) </t>
  </si>
  <si>
    <t>Road: Goods vehicles</t>
  </si>
  <si>
    <t>2010*</t>
  </si>
  <si>
    <t>Eurostat</t>
  </si>
  <si>
    <t>ESTAT</t>
  </si>
  <si>
    <r>
      <t>National flag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</si>
  <si>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  <r>
      <rPr>
        <sz val="8"/>
        <rFont val="Arial"/>
        <family val="2"/>
      </rPr>
      <t xml:space="preserve"> including international registers like NIS and DIS. Including vessels registered at territorial dependencies.</t>
    </r>
  </si>
  <si>
    <r>
      <t xml:space="preserve">Foreign flag         </t>
    </r>
    <r>
      <rPr>
        <sz val="8"/>
        <rFont val="Arial"/>
        <family val="2"/>
      </rPr>
      <t>(including other EU)</t>
    </r>
  </si>
  <si>
    <t>2011*</t>
  </si>
  <si>
    <t xml:space="preserve">% of foreign flag in total fleet </t>
  </si>
  <si>
    <t>RS</t>
  </si>
  <si>
    <t>ME</t>
  </si>
  <si>
    <r>
      <t xml:space="preserve">Stock at end of year, except for </t>
    </r>
    <r>
      <rPr>
        <b/>
        <sz val="8"/>
        <rFont val="Arial"/>
        <family val="2"/>
      </rPr>
      <t>BE:</t>
    </r>
    <r>
      <rPr>
        <sz val="8"/>
        <rFont val="Arial"/>
        <family val="2"/>
      </rPr>
      <t xml:space="preserve"> 1 August (1 July in 2012), </t>
    </r>
    <r>
      <rPr>
        <b/>
        <sz val="8"/>
        <rFont val="Arial"/>
        <family val="2"/>
      </rPr>
      <t>CH:</t>
    </r>
    <r>
      <rPr>
        <sz val="8"/>
        <rFont val="Arial"/>
        <family val="2"/>
      </rPr>
      <t xml:space="preserve"> 30 September, </t>
    </r>
    <r>
      <rPr>
        <b/>
        <sz val="8"/>
        <rFont val="Arial"/>
        <family val="2"/>
      </rPr>
      <t>LI:</t>
    </r>
    <r>
      <rPr>
        <sz val="8"/>
        <rFont val="Arial"/>
        <family val="2"/>
      </rPr>
      <t xml:space="preserve"> 1 July.</t>
    </r>
  </si>
  <si>
    <r>
      <rPr>
        <b/>
        <sz val="8"/>
        <rFont val="Arial"/>
        <family val="2"/>
      </rPr>
      <t>HR:</t>
    </r>
    <r>
      <rPr>
        <sz val="8"/>
        <rFont val="Arial"/>
        <family val="2"/>
      </rPr>
      <t xml:space="preserve"> from 2009 light vans are included in passenger cars and no longer in Goods Vehicles</t>
    </r>
  </si>
  <si>
    <r>
      <t xml:space="preserve">Stock at end of year, except for </t>
    </r>
    <r>
      <rPr>
        <b/>
        <sz val="8"/>
        <rFont val="Arial"/>
        <family val="2"/>
      </rPr>
      <t>CH:</t>
    </r>
    <r>
      <rPr>
        <sz val="8"/>
        <rFont val="Arial"/>
        <family val="2"/>
      </rPr>
      <t xml:space="preserve"> 30 September, </t>
    </r>
    <r>
      <rPr>
        <b/>
        <sz val="8"/>
        <rFont val="Arial"/>
        <family val="2"/>
      </rPr>
      <t>LI:</t>
    </r>
    <r>
      <rPr>
        <sz val="8"/>
        <rFont val="Arial"/>
        <family val="2"/>
      </rPr>
      <t xml:space="preserve"> 1 July.</t>
    </r>
    <r>
      <rPr>
        <b/>
        <sz val="8"/>
        <rFont val="Arial"/>
        <family val="2"/>
      </rPr>
      <t/>
    </r>
  </si>
  <si>
    <r>
      <t xml:space="preserve">***: </t>
    </r>
    <r>
      <rPr>
        <sz val="8"/>
        <rFont val="Arial"/>
        <family val="2"/>
      </rPr>
      <t>foreign flag share includes ships registered by EU countries in other EU countries</t>
    </r>
  </si>
  <si>
    <t>2012*</t>
  </si>
  <si>
    <t>AL</t>
  </si>
  <si>
    <t>EU-28</t>
  </si>
  <si>
    <t xml:space="preserve">New vehicle registrations </t>
  </si>
  <si>
    <t>under 
100 000lbs</t>
  </si>
  <si>
    <t>over 
100 000lbs</t>
  </si>
  <si>
    <t>2013*</t>
  </si>
  <si>
    <r>
      <t>Source:</t>
    </r>
    <r>
      <rPr>
        <sz val="8"/>
        <rFont val="Arial"/>
        <family val="2"/>
      </rPr>
      <t xml:space="preserve"> ISL, up to 2011 based on quarterly updates from IHS Fairplay, since 2012 on Clarkson Research Services Limited (CRSL)</t>
    </r>
  </si>
  <si>
    <t>Crude oil and oil product tankers</t>
  </si>
  <si>
    <t>Oil / chemical tankers</t>
  </si>
  <si>
    <t>Conventional cargo</t>
  </si>
  <si>
    <t>Special cargo (*)</t>
  </si>
  <si>
    <t>Pure car carriers</t>
  </si>
  <si>
    <t>Ro-Ro cargo</t>
  </si>
  <si>
    <t>(*) Including open hatch carriers.</t>
  </si>
  <si>
    <r>
      <rPr>
        <b/>
        <sz val="8"/>
        <rFont val="Arial"/>
        <family val="2"/>
      </rPr>
      <t>EE,  FR:</t>
    </r>
    <r>
      <rPr>
        <sz val="8"/>
        <rFont val="Arial"/>
        <family val="2"/>
      </rPr>
      <t xml:space="preserve"> include special purpose vehicles.</t>
    </r>
  </si>
  <si>
    <r>
      <t>Source</t>
    </r>
    <r>
      <rPr>
        <sz val="8"/>
        <rFont val="Arial"/>
        <family val="2"/>
      </rPr>
      <t>: ISL, based on updates from Clarkson Research Services Limited (CRSL)</t>
    </r>
  </si>
  <si>
    <t>(**) No deadweight figure is given for cruise ships, since dwt is a measure of the weight admissible in the vessel.</t>
  </si>
  <si>
    <t>2014*</t>
  </si>
  <si>
    <r>
      <t>RO</t>
    </r>
    <r>
      <rPr>
        <b/>
        <sz val="8"/>
        <rFont val="Calibri"/>
        <family val="2"/>
      </rPr>
      <t>¹</t>
    </r>
  </si>
  <si>
    <r>
      <rPr>
        <b/>
        <sz val="8"/>
        <rFont val="Arial"/>
        <family val="2"/>
      </rPr>
      <t>CY:</t>
    </r>
    <r>
      <rPr>
        <sz val="8"/>
        <rFont val="Arial"/>
        <family val="2"/>
      </rPr>
      <t xml:space="preserve"> vehicle classification corresponds to "light", "heavy" and "road tractors" goods conveyance vehicles.</t>
    </r>
  </si>
  <si>
    <r>
      <t>CS:</t>
    </r>
    <r>
      <rPr>
        <sz val="8"/>
        <rFont val="Arial"/>
        <family val="2"/>
      </rPr>
      <t xml:space="preserve"> 1970: 4 998; 1990: 6 010</t>
    </r>
  </si>
  <si>
    <t>2015*</t>
  </si>
  <si>
    <r>
      <t>Source</t>
    </r>
    <r>
      <rPr>
        <sz val="8"/>
        <rFont val="Arial"/>
        <family val="2"/>
      </rPr>
      <t xml:space="preserve">:  Union Internationale des Chemins de Fer, Eurostat, national statistics (own estimates in </t>
    </r>
    <r>
      <rPr>
        <i/>
        <sz val="8"/>
        <rFont val="Arial"/>
        <family val="2"/>
      </rPr>
      <t>italics</t>
    </r>
    <r>
      <rPr>
        <sz val="8"/>
        <rFont val="Arial"/>
        <family val="2"/>
      </rPr>
      <t>)</t>
    </r>
  </si>
  <si>
    <t>Data relates to main railway undertakings. Values on this table consider the declared values of locomotives (diesel + electric) and railcars (diesel + electric) and in some cases multiple units.</t>
  </si>
  <si>
    <r>
      <t>CS:</t>
    </r>
    <r>
      <rPr>
        <sz val="8"/>
        <rFont val="Arial"/>
        <family val="2"/>
      </rPr>
      <t xml:space="preserve"> 1970=10 145   1990=8 597</t>
    </r>
  </si>
  <si>
    <t>2016*</t>
  </si>
  <si>
    <t>(2)</t>
  </si>
  <si>
    <r>
      <t xml:space="preserve">(1) Data included under "Light commercial vehicles"; (2) The split in </t>
    </r>
    <r>
      <rPr>
        <b/>
        <sz val="8"/>
        <rFont val="Arial"/>
        <family val="2"/>
      </rPr>
      <t xml:space="preserve">UK </t>
    </r>
    <r>
      <rPr>
        <sz val="8"/>
        <rFont val="Arial"/>
        <family val="2"/>
      </rPr>
      <t>corresponds to Light Goods Vehicles and Heavy Goods Vehicles with no further separation.</t>
    </r>
  </si>
  <si>
    <t xml:space="preserve"> (1)</t>
  </si>
  <si>
    <r>
      <t>Source</t>
    </r>
    <r>
      <rPr>
        <sz val="8"/>
        <rFont val="Arial"/>
        <family val="2"/>
      </rPr>
      <t>: Flightglobal</t>
    </r>
  </si>
  <si>
    <t>Ships of 1 000 gt and over</t>
  </si>
  <si>
    <t>(ships of 1 000 gt and over)</t>
  </si>
  <si>
    <t>2017*</t>
  </si>
  <si>
    <r>
      <rPr>
        <b/>
        <sz val="8"/>
        <rFont val="Arial"/>
        <family val="2"/>
      </rPr>
      <t xml:space="preserve">(*) SI: </t>
    </r>
    <r>
      <rPr>
        <sz val="8"/>
        <rFont val="Arial"/>
        <family val="2"/>
      </rPr>
      <t xml:space="preserve">data not comparable between 2016 and 2017 due  to break in time series: since May 2017 obligatory registration of mopeds with the maximum speed of 25 km/h </t>
    </r>
  </si>
  <si>
    <t>Source 2018</t>
  </si>
  <si>
    <t>Source 2017</t>
  </si>
  <si>
    <t>Source 2016</t>
  </si>
  <si>
    <t>Km parcourus par les vehicules Belges (mobilit.fgov.be), pag 13</t>
  </si>
  <si>
    <t>Km parcourus par les vehicules Belges (mobilit.fgov.be), pag 16</t>
  </si>
  <si>
    <t>Joana Iltchevska</t>
  </si>
  <si>
    <t>Galina vasileva</t>
  </si>
  <si>
    <t>DK Stat</t>
  </si>
  <si>
    <t>KBA.de Bestand am 1.st Januar 2017 nach Fahrzeugklassen</t>
  </si>
  <si>
    <t>KBA.de Bestand am 1.st Januar 2016 nach Fahrzeugklassen</t>
  </si>
  <si>
    <t>KBA.de Bestand am 1.st Januar 2015 nach Fahrzeugklassen</t>
  </si>
  <si>
    <t>EE STAT</t>
  </si>
  <si>
    <t>IE Transport Omnibus</t>
  </si>
  <si>
    <t>EL Stat</t>
  </si>
  <si>
    <t>ministerio fomento -  estadisticas - anuario estadistico 2016 - trafico</t>
  </si>
  <si>
    <t>ministerio fomento -  estadisticas - anuario estadistico 2014 - trafico</t>
  </si>
  <si>
    <t>Statistiques developpement durables</t>
  </si>
  <si>
    <t>CCFA estimates</t>
  </si>
  <si>
    <t>HR statistical yearbook</t>
  </si>
  <si>
    <t>CNIT tab V.3.1.1</t>
  </si>
  <si>
    <t>CY Stat, Transport Statistics 2016 (licensed)</t>
  </si>
  <si>
    <t>LV Stat</t>
  </si>
  <si>
    <t>LV STAT</t>
  </si>
  <si>
    <t>LT STAT</t>
  </si>
  <si>
    <t xml:space="preserve">MT Transport yearbook </t>
  </si>
  <si>
    <t>NL Stat</t>
  </si>
  <si>
    <t>AT Stat</t>
  </si>
  <si>
    <t>Antonio cavaco (quadro 60)</t>
  </si>
  <si>
    <t>Eurostat regional statistics - transport</t>
  </si>
  <si>
    <t>AL STAT (discontinued?)</t>
  </si>
  <si>
    <t>AL STAT</t>
  </si>
  <si>
    <t>ME STAT, Statistical yearbook</t>
  </si>
  <si>
    <t>ME STAT</t>
  </si>
  <si>
    <t>Makstat database</t>
  </si>
  <si>
    <t>RS Stat yearbook</t>
  </si>
  <si>
    <t>NO Stat</t>
  </si>
  <si>
    <t>Km parcourus par les vehicules Belges (mobilit.fgov.be), pag 12</t>
  </si>
  <si>
    <t>CZ Transport yearbook 2016, values from tables 4.2.1 and 4.2.5</t>
  </si>
  <si>
    <t>CZ Transport yearbook 2015, values from tables 4.2.4 and 4.2.5</t>
  </si>
  <si>
    <t>CZ Transport yearbook 2014, values from tables 4.2.4 and 4.2.5</t>
  </si>
  <si>
    <t>Irish bullettin of vehicle and driver stat - section 1 table 1 large public service vehicles</t>
  </si>
  <si>
    <t>CCFA estimates - revised</t>
  </si>
  <si>
    <t>CY STAT - licensed vehicles!</t>
  </si>
  <si>
    <t>CY STAT - weird number - explained by statistics CY</t>
  </si>
  <si>
    <t>LV STAT, statistical yearbook</t>
  </si>
  <si>
    <t>Lu stat</t>
  </si>
  <si>
    <t>LU stat</t>
  </si>
  <si>
    <t xml:space="preserve">Hu Stat Dissemination database </t>
  </si>
  <si>
    <t>PL Stat</t>
  </si>
  <si>
    <t>ESTAT (revised until 2010)</t>
  </si>
  <si>
    <t>Eurostat regional statistics</t>
  </si>
  <si>
    <t>FI stat</t>
  </si>
  <si>
    <t>FI Stat</t>
  </si>
  <si>
    <t>FI STAT</t>
  </si>
  <si>
    <t>Trafikanalys - Fordon (table BU2)</t>
  </si>
  <si>
    <t>UK Stat (tax type, United Kingdom)</t>
  </si>
  <si>
    <t>UK Stat + NI Stat (tax type)</t>
  </si>
  <si>
    <t>MK Stat Yearbook</t>
  </si>
  <si>
    <t>IS STAT</t>
  </si>
  <si>
    <t>CH Stat</t>
  </si>
  <si>
    <t>CZ Transport yearbook 2016, values from tables 4.2.1 and 4.2.5: busses+troleybuses</t>
  </si>
  <si>
    <t>dk stat, https://www.statbank.dk/BIL12</t>
  </si>
  <si>
    <t>ok, national sources, same figure as ESTAT</t>
  </si>
  <si>
    <t>estim</t>
  </si>
  <si>
    <t>estat</t>
  </si>
  <si>
    <t>EU-27</t>
  </si>
  <si>
    <t>2018*</t>
  </si>
  <si>
    <t>BE: 2009 data (UIC)</t>
  </si>
  <si>
    <t>be estim</t>
  </si>
  <si>
    <t>change 17/18</t>
  </si>
  <si>
    <t>Uk stat, table veh0103</t>
  </si>
  <si>
    <t xml:space="preserve">estat </t>
  </si>
  <si>
    <r>
      <t>Source</t>
    </r>
    <r>
      <rPr>
        <sz val="8"/>
        <rFont val="Arial"/>
        <family val="2"/>
      </rPr>
      <t xml:space="preserve">: Association des Constructeurs Européens d'Automobiles (ACEA), Eurostat, national sources (BG, CY, MT, PL, UK), </t>
    </r>
    <r>
      <rPr>
        <i/>
        <sz val="8"/>
        <rFont val="Arial"/>
        <family val="2"/>
      </rPr>
      <t>estimates (in italics)</t>
    </r>
  </si>
  <si>
    <t>**: EU-27 since 2012</t>
  </si>
  <si>
    <t>of which:  EU-27**</t>
  </si>
  <si>
    <t>World Total</t>
  </si>
  <si>
    <t>EU-27** control of total</t>
  </si>
  <si>
    <t>EU-27** : Foreign flag share ***</t>
  </si>
  <si>
    <t>https://appsso.eurostat.ec.europa.eu/nui/show.do?dataset=road_eqs_carage&amp;lang=en</t>
  </si>
  <si>
    <t>CNIT</t>
  </si>
  <si>
    <t>AL stat</t>
  </si>
  <si>
    <r>
      <rPr>
        <sz val="8"/>
        <color indexed="8"/>
        <rFont val="Arial"/>
        <family val="2"/>
      </rPr>
      <t>Data include buses, coaches, minibuses and sometimes also trolleybuses (BG:incudes troleybusses).</t>
    </r>
    <r>
      <rPr>
        <b/>
        <sz val="8"/>
        <rFont val="Arial"/>
        <family val="2"/>
      </rPr>
      <t/>
    </r>
  </si>
  <si>
    <t>https://appsso.eurostat.ec.europa.eu/nui/show.do?dataset=tran_r_vehst&amp;lang=en</t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</si>
  <si>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Eurostat [road_eqs_carage, tran_r_vehst], national statistics, United Nations Economic Commission for Europe,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</si>
  <si>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 xml:space="preserve">: Eurostat [road_eqs_carage, tran_r_vehst], national statistics, United Nations Economic Commission for Europe,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</si>
  <si>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  Union Internationale des Chemins de Fer, Eurostat [rail_eq_pa_nty], national statistics, estimates</t>
    </r>
    <r>
      <rPr>
        <i/>
        <sz val="8"/>
        <rFont val="Arial"/>
        <family val="2"/>
      </rPr>
      <t xml:space="preserve"> (in italics)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</si>
  <si>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former GDR</t>
    </r>
    <r>
      <rPr>
        <sz val="8"/>
        <rFont val="Arial"/>
        <family val="2"/>
      </rPr>
      <t>: 1970=</t>
    </r>
    <r>
      <rPr>
        <i/>
        <sz val="8"/>
        <rFont val="Arial"/>
        <family val="2"/>
      </rPr>
      <t>10 000</t>
    </r>
    <r>
      <rPr>
        <sz val="8"/>
        <rFont val="Arial"/>
        <family val="2"/>
      </rPr>
      <t>,  1980=10 761,  1990=9 635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</si>
  <si>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Eurostat [road_eqs_busveh], national statistics, United Nations Economic Commission for Europe, estimates </t>
    </r>
    <r>
      <rPr>
        <i/>
        <sz val="8"/>
        <rFont val="Arial"/>
        <family val="2"/>
      </rPr>
      <t>(in italics)</t>
    </r>
  </si>
  <si>
    <r>
      <t>Data include buses, coaches, minibuses and sometimes also trolleybuses (BG:incudes troleybusses).</t>
    </r>
    <r>
      <rPr>
        <b/>
        <sz val="8"/>
        <rFont val="Arial"/>
        <family val="2"/>
      </rPr>
      <t/>
    </r>
  </si>
  <si>
    <t>Road : Buses and coaches</t>
  </si>
  <si>
    <r>
      <t xml:space="preserve">Break in time series due to inclusion of mopeds from 2001 in </t>
    </r>
    <r>
      <rPr>
        <b/>
        <sz val="8"/>
        <rFont val="Arial"/>
        <family val="2"/>
      </rPr>
      <t>ES</t>
    </r>
    <r>
      <rPr>
        <sz val="8"/>
        <rFont val="Arial"/>
        <family val="2"/>
      </rPr>
      <t xml:space="preserve">, from 2002 in </t>
    </r>
    <r>
      <rPr>
        <b/>
        <sz val="8"/>
        <rFont val="Arial"/>
        <family val="2"/>
      </rPr>
      <t xml:space="preserve">SI </t>
    </r>
    <r>
      <rPr>
        <sz val="8"/>
        <rFont val="Arial"/>
        <family val="2"/>
      </rPr>
      <t xml:space="preserve">and </t>
    </r>
    <r>
      <rPr>
        <b/>
        <sz val="8"/>
        <rFont val="Arial"/>
        <family val="2"/>
      </rPr>
      <t>HR</t>
    </r>
    <r>
      <rPr>
        <sz val="8"/>
        <rFont val="Arial"/>
        <family val="2"/>
      </rPr>
      <t xml:space="preserve">, from 2004 in </t>
    </r>
    <r>
      <rPr>
        <b/>
        <sz val="8"/>
        <rFont val="Arial"/>
        <family val="2"/>
      </rPr>
      <t>LV</t>
    </r>
    <r>
      <rPr>
        <sz val="8"/>
        <rFont val="Arial"/>
        <family val="2"/>
      </rPr>
      <t xml:space="preserve">, from 2005 in </t>
    </r>
    <r>
      <rPr>
        <b/>
        <sz val="8"/>
        <rFont val="Arial"/>
        <family val="2"/>
      </rPr>
      <t>PL</t>
    </r>
    <r>
      <rPr>
        <sz val="8"/>
        <rFont val="Arial"/>
        <family val="2"/>
      </rPr>
      <t xml:space="preserve">, from 2007 in </t>
    </r>
    <r>
      <rPr>
        <b/>
        <sz val="8"/>
        <rFont val="Arial"/>
        <family val="2"/>
      </rPr>
      <t xml:space="preserve">LT, </t>
    </r>
    <r>
      <rPr>
        <sz val="8"/>
        <rFont val="Arial"/>
        <family val="2"/>
      </rPr>
      <t xml:space="preserve">from 2009 </t>
    </r>
    <r>
      <rPr>
        <b/>
        <sz val="8"/>
        <rFont val="Arial"/>
        <family val="2"/>
      </rPr>
      <t xml:space="preserve">in SK, </t>
    </r>
    <r>
      <rPr>
        <sz val="8"/>
        <rFont val="Arial"/>
        <family val="2"/>
      </rPr>
      <t xml:space="preserve">from 2011 in </t>
    </r>
    <r>
      <rPr>
        <b/>
        <sz val="8"/>
        <rFont val="Arial"/>
        <family val="2"/>
      </rPr>
      <t xml:space="preserve">EE, </t>
    </r>
    <r>
      <rPr>
        <sz val="8"/>
        <rFont val="Arial"/>
        <family val="2"/>
      </rPr>
      <t>from 2017 in</t>
    </r>
    <r>
      <rPr>
        <b/>
        <sz val="8"/>
        <rFont val="Arial"/>
        <family val="2"/>
      </rPr>
      <t xml:space="preserve"> BE. </t>
    </r>
  </si>
  <si>
    <t>dwt (million)</t>
  </si>
  <si>
    <r>
      <t>*:</t>
    </r>
    <r>
      <rPr>
        <sz val="8"/>
        <rFont val="Arial"/>
        <family val="2"/>
      </rPr>
      <t xml:space="preserve"> In this table Europe includes EU-27, EFTA, UK, Monaco, Gibraltar, Andorra, Turkey, Western Balkan countries, Russia, Ukraine and Moldova;</t>
    </r>
  </si>
  <si>
    <r>
      <t xml:space="preserve">dwt </t>
    </r>
    <r>
      <rPr>
        <sz val="8"/>
        <rFont val="Arial"/>
        <family val="2"/>
      </rPr>
      <t>(thousand)</t>
    </r>
  </si>
  <si>
    <r>
      <t xml:space="preserve">gt </t>
    </r>
    <r>
      <rPr>
        <sz val="8"/>
        <rFont val="Arial"/>
        <family val="2"/>
      </rPr>
      <t>(thousand)</t>
    </r>
  </si>
  <si>
    <r>
      <t>DE:</t>
    </r>
    <r>
      <rPr>
        <b/>
        <sz val="8"/>
        <rFont val="Arial"/>
        <family val="2"/>
      </rPr>
      <t xml:space="preserve"> includes former GDR:  </t>
    </r>
    <r>
      <rPr>
        <sz val="8"/>
        <rFont val="Arial"/>
        <family val="2"/>
      </rPr>
      <t xml:space="preserve">: 1970 = 5 </t>
    </r>
    <r>
      <rPr>
        <i/>
        <sz val="8"/>
        <rFont val="Arial"/>
        <family val="2"/>
      </rPr>
      <t>000</t>
    </r>
    <r>
      <rPr>
        <sz val="8"/>
        <rFont val="Arial"/>
        <family val="2"/>
      </rPr>
      <t>; 1980 = 4 506; 1990 = 6 331</t>
    </r>
  </si>
  <si>
    <t>Road : Passenger cars</t>
  </si>
  <si>
    <t xml:space="preserve">    Road : Goods vehicles</t>
  </si>
  <si>
    <t>Road : Powered two-wheelers</t>
  </si>
  <si>
    <t>Sea : EU merchant fleet</t>
  </si>
  <si>
    <t>Sea : World merchant fleet</t>
  </si>
  <si>
    <t>Air : passenger aircraft</t>
  </si>
  <si>
    <t>Number of civil aircraft in service</t>
  </si>
  <si>
    <t>Air : Freight, special, business aircraft</t>
  </si>
  <si>
    <t>Rail : Locomotives and railcars</t>
  </si>
  <si>
    <t>Rail : Passenger transport vehicles</t>
  </si>
  <si>
    <t>Rail : Goods transport wagons</t>
  </si>
  <si>
    <r>
      <t>*</t>
    </r>
    <r>
      <rPr>
        <sz val="8"/>
        <rFont val="Arial"/>
        <family val="2"/>
      </rPr>
      <t>: not including private-owners' vehicles; not fully comparable with data of previous years.</t>
    </r>
  </si>
  <si>
    <r>
      <t>DE:</t>
    </r>
    <r>
      <rPr>
        <sz val="8"/>
        <rFont val="Arial"/>
        <family val="2"/>
      </rPr>
      <t xml:space="preserve"> includes former GDR: 1970=137 984;  1980=142 202;  1990=163 158 </t>
    </r>
  </si>
  <si>
    <t>Road: Passenger cars : stock of vehicles</t>
  </si>
  <si>
    <t>Road: Buses and coaches : stock of vehicles</t>
  </si>
  <si>
    <t>Road: Goods vehicles : stock of vehicles</t>
  </si>
  <si>
    <t>Road: Powered two-wheelers : stock of vehicles</t>
  </si>
  <si>
    <t>Road: Passenger cars : new vehicle registrations</t>
  </si>
  <si>
    <t>Road: Goods vehicles : new vehicle registrations</t>
  </si>
  <si>
    <t>Road: Motorcycles : new vehicle registrations</t>
  </si>
  <si>
    <t>Road: Mopeds : new vehicle deliveries</t>
  </si>
  <si>
    <t>Road: Buses and Coaches : new vehicle registrations</t>
  </si>
  <si>
    <t>Sea:  EU merchant fleet</t>
  </si>
  <si>
    <t>Sea:  World merchant fleet by World region</t>
  </si>
  <si>
    <t>Sea:  World merchant fleet by type of ship</t>
  </si>
  <si>
    <t>Air:   Passenger aircraft : number in service</t>
  </si>
  <si>
    <t>Air:   Freight, special,  business aircraft : number in service</t>
  </si>
  <si>
    <t>Rail: Locomotives and railcars : stock of vehicles</t>
  </si>
  <si>
    <t>Rail: Goods transport wagons : stock of vehicles</t>
  </si>
  <si>
    <t>NB:</t>
  </si>
  <si>
    <r>
      <t xml:space="preserve">NB: </t>
    </r>
    <r>
      <rPr>
        <sz val="8"/>
        <rFont val="Arial"/>
        <family val="2"/>
      </rPr>
      <t>Passenger car stock at end of year n divided by the population on 1 January of year n+1</t>
    </r>
  </si>
  <si>
    <t xml:space="preserve">NB: </t>
  </si>
  <si>
    <r>
      <t>NB:</t>
    </r>
    <r>
      <rPr>
        <sz val="8"/>
        <rFont val="Arial"/>
        <family val="2"/>
      </rPr>
      <t xml:space="preserve"> </t>
    </r>
  </si>
  <si>
    <r>
      <t>Source</t>
    </r>
    <r>
      <rPr>
        <sz val="8"/>
        <rFont val="Arial"/>
        <family val="2"/>
      </rPr>
      <t>: Association des Constructeurs Européens d'Automobiles (ACEA), national sources (BG, CY, MT, UK)</t>
    </r>
  </si>
  <si>
    <t>On 31 December 2020</t>
  </si>
  <si>
    <t>2021</t>
  </si>
  <si>
    <r>
      <t>Source</t>
    </r>
    <r>
      <rPr>
        <sz val="8"/>
        <rFont val="Arial"/>
        <family val="2"/>
      </rPr>
      <t xml:space="preserve">: Association des Constructeurs Européens d'Automobiles (ACEA), national sources (CY, MT,ME,MK,TK), estimates </t>
    </r>
    <r>
      <rPr>
        <i/>
        <sz val="8"/>
        <rFont val="Arial"/>
        <family val="2"/>
      </rPr>
      <t xml:space="preserve">(italics); </t>
    </r>
    <r>
      <rPr>
        <sz val="8"/>
        <rFont val="Arial"/>
        <family val="2"/>
      </rPr>
      <t>European Alternative Fuel Observatory (data on zero emission vehicles)</t>
    </r>
  </si>
  <si>
    <r>
      <t xml:space="preserve">* </t>
    </r>
    <r>
      <rPr>
        <sz val="8"/>
        <rFont val="Arial"/>
        <family val="2"/>
      </rPr>
      <t>Zero emission vehicles include battery electric vehicles and hidrogen vehicles;</t>
    </r>
  </si>
  <si>
    <t>MT: including e-bycicles</t>
  </si>
  <si>
    <r>
      <t>Source</t>
    </r>
    <r>
      <rPr>
        <sz val="8"/>
        <rFont val="Arial"/>
        <family val="2"/>
      </rPr>
      <t xml:space="preserve">: Eurostat [road_eqs_carage, tran_r_vehst], national statistics (IE, FI, UK, ME, AL, RS, IS), estimates </t>
    </r>
    <r>
      <rPr>
        <i/>
        <sz val="8"/>
        <rFont val="Arial"/>
        <family val="2"/>
      </rPr>
      <t>(in italics)</t>
    </r>
  </si>
  <si>
    <t xml:space="preserve">% Zero emission vehicles* </t>
  </si>
  <si>
    <r>
      <rPr>
        <b/>
        <sz val="8"/>
        <rFont val="Arial"/>
        <family val="2"/>
      </rPr>
      <t>FR</t>
    </r>
    <r>
      <rPr>
        <sz val="8"/>
        <rFont val="Arial"/>
        <family val="2"/>
      </rPr>
      <t>:  Data revision since 2012, due to new methodology developed in 2020; data until 2012 included private cars &lt; 15 years old;</t>
    </r>
  </si>
  <si>
    <r>
      <rPr>
        <b/>
        <sz val="8"/>
        <rFont val="Arial"/>
        <family val="2"/>
      </rPr>
      <t>HR:</t>
    </r>
    <r>
      <rPr>
        <sz val="8"/>
        <rFont val="Arial"/>
        <family val="2"/>
      </rPr>
      <t xml:space="preserve"> from 2009 light vans are included in passenger cars and no longer in goods vehicles</t>
    </r>
  </si>
  <si>
    <t>Road: Motorisation : number of passenger cars per 1000 inhabitants</t>
  </si>
  <si>
    <t>Rail: Passenger transport vehicles: stocks of coaches, railcars and trailers</t>
  </si>
  <si>
    <t>Zero emission vehicles* in thousands</t>
  </si>
  <si>
    <t>On January 1st, 2020</t>
  </si>
  <si>
    <r>
      <t>Source</t>
    </r>
    <r>
      <rPr>
        <sz val="8"/>
        <rFont val="Arial"/>
        <family val="2"/>
      </rPr>
      <t xml:space="preserve">:  Union Internationale des Chemins de Fer, Eurostat [rail_eq_locon], UNECE (ME),  </t>
    </r>
    <r>
      <rPr>
        <i/>
        <sz val="8"/>
        <rFont val="Arial"/>
        <family val="2"/>
      </rPr>
      <t xml:space="preserve">estimates (in italics); </t>
    </r>
  </si>
  <si>
    <t>2019*</t>
  </si>
  <si>
    <t>SE: Since 2010 national figures are used.</t>
  </si>
  <si>
    <r>
      <rPr>
        <b/>
        <sz val="8"/>
        <rFont val="Arial"/>
        <family val="2"/>
      </rPr>
      <t>EL, FI, NO:</t>
    </r>
    <r>
      <rPr>
        <sz val="8"/>
        <rFont val="Arial"/>
        <family val="2"/>
      </rPr>
      <t xml:space="preserve"> figures in italics refer to value of previous year; </t>
    </r>
    <r>
      <rPr>
        <b/>
        <sz val="8"/>
        <rFont val="Arial"/>
        <family val="2"/>
      </rPr>
      <t xml:space="preserve">BE: </t>
    </r>
    <r>
      <rPr>
        <sz val="8"/>
        <rFont val="Arial"/>
        <family val="2"/>
      </rPr>
      <t xml:space="preserve">2013 data; </t>
    </r>
    <r>
      <rPr>
        <b/>
        <sz val="8"/>
        <rFont val="Arial"/>
        <family val="2"/>
      </rPr>
      <t>UK</t>
    </r>
    <r>
      <rPr>
        <sz val="8"/>
        <rFont val="Arial"/>
        <family val="2"/>
      </rPr>
      <t>: 2014 data</t>
    </r>
  </si>
  <si>
    <r>
      <rPr>
        <b/>
        <sz val="8"/>
        <rFont val="Arial"/>
        <family val="2"/>
      </rPr>
      <t>LV, RO, FI, MK, NO:</t>
    </r>
    <r>
      <rPr>
        <sz val="8"/>
        <rFont val="Arial"/>
        <family val="2"/>
      </rPr>
      <t xml:space="preserve"> figures in italics refer to value of previous year;</t>
    </r>
    <r>
      <rPr>
        <b/>
        <sz val="8"/>
        <rFont val="Arial"/>
        <family val="2"/>
      </rPr>
      <t xml:space="preserve"> BE</t>
    </r>
    <r>
      <rPr>
        <sz val="8"/>
        <rFont val="Arial"/>
        <family val="2"/>
      </rPr>
      <t xml:space="preserve">: 2017 data; </t>
    </r>
    <r>
      <rPr>
        <b/>
        <sz val="8"/>
        <rFont val="Arial"/>
        <family val="2"/>
      </rPr>
      <t>UK</t>
    </r>
    <r>
      <rPr>
        <sz val="8"/>
        <rFont val="Arial"/>
        <family val="2"/>
      </rPr>
      <t>: 2014 data;</t>
    </r>
  </si>
  <si>
    <t xml:space="preserve">FI, RS: figures in italics refer to value of previous year; BE: 2009 data; EL, IE, MK: 2017 data, </t>
  </si>
  <si>
    <t>CY (2)</t>
  </si>
  <si>
    <t>(2) The high increase is caused by the renewal of the vehicle fleet of one of the major urban transport companies in Cyprus;</t>
  </si>
  <si>
    <r>
      <t xml:space="preserve">Source: </t>
    </r>
    <r>
      <rPr>
        <sz val="8"/>
        <rFont val="Arial"/>
        <family val="2"/>
      </rPr>
      <t>Association des Constructeurs Européens de Motocycles (ACEM), Eurostat (MK, TR, NO), national sources (BG, CY, MT, RO), SE),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</si>
  <si>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 xml:space="preserve">: Association des Constructeurs Européens de Motocycles (ACEM), Eurostat (MT), national sources (BG, CY, RO, CH), estimates </t>
    </r>
    <r>
      <rPr>
        <i/>
        <sz val="8"/>
        <rFont val="Arial"/>
        <family val="2"/>
      </rPr>
      <t>(in italics)</t>
    </r>
    <r>
      <rPr>
        <sz val="8"/>
        <rFont val="Arial"/>
        <family val="2"/>
      </rPr>
      <t xml:space="preserve">. Official statistics on mopeds are often unavailable, therefore data and estimates should be considered as indicative. </t>
    </r>
  </si>
  <si>
    <r>
      <t>Source:</t>
    </r>
    <r>
      <rPr>
        <sz val="8"/>
        <rFont val="Arial"/>
        <family val="2"/>
      </rPr>
      <t xml:space="preserve"> Eurostat [road_eqs_carage, tran_r_vehst], national statistics, Association des Constructeurs Européens de Motocycles (ACEM) for </t>
    </r>
    <r>
      <rPr>
        <b/>
        <sz val="8"/>
        <rFont val="Arial"/>
        <family val="2"/>
      </rPr>
      <t>FR</t>
    </r>
    <r>
      <rPr>
        <sz val="8"/>
        <rFont val="Arial"/>
        <family val="2"/>
      </rPr>
      <t xml:space="preserve"> (2017 data).</t>
    </r>
  </si>
  <si>
    <t>Up to December 2020 (**)</t>
  </si>
  <si>
    <t>(1) Data for Romania refers to sales (APIA). For registrations, see ACAROM figures at www.acea.be</t>
  </si>
  <si>
    <t>2020 figures are provisional.</t>
  </si>
  <si>
    <t>change 
18/19 %</t>
  </si>
  <si>
    <t>change 18/19</t>
  </si>
  <si>
    <t>Change 19/20 (%)</t>
  </si>
  <si>
    <t>19/20 (in %)</t>
  </si>
  <si>
    <t>change 18/19
%</t>
  </si>
  <si>
    <t>Change 18/19</t>
  </si>
  <si>
    <t>change (total)
19/20 (%)</t>
  </si>
  <si>
    <t>change 18/19 %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</si>
</sst>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164" formatCode="#,##0.0"/>
    <numFmt numFmtId="165" formatCode="#,##0.000"/>
    <numFmt numFmtId="166" formatCode="0.0"/>
    <numFmt numFmtId="167" formatCode="#\ ##0"/>
    <numFmt numFmtId="168" formatCode="0.000"/>
    <numFmt numFmtId="169" formatCode="0.0%"/>
    <numFmt numFmtId="170" formatCode="#,##0.0\ \ "/>
    <numFmt numFmtId="171" formatCode="#,###,##0"/>
    <numFmt numFmtId="172" formatCode="0.0\ \ \ "/>
    <numFmt numFmtId="173" formatCode="0.00\ "/>
    <numFmt numFmtId="174" formatCode="#,##0\ "/>
    <numFmt numFmtId="175" formatCode="##0\ "/>
    <numFmt numFmtId="176" formatCode="dd\.mm\.yy"/>
    <numFmt numFmtId="177" formatCode="_-* #,##0.00\ _F_t_-;\-* #,##0.00\ _F_t_-;_-* &quot;-&quot;??\ _F_t_-;_-@_-"/>
    <numFmt numFmtId="178" formatCode="#\ ##0.0"/>
    <numFmt numFmtId="179" formatCode="#\ ###\ ###\ ###\ ##0"/>
    <numFmt numFmtId="180" formatCode="#\ ##0.000"/>
    <numFmt numFmtId="181" formatCode="#\ ###\ ##0"/>
    <numFmt numFmtId="182" formatCode="########\ ##0.0"/>
    <numFmt numFmtId="183" formatCode="\(##\);\(##\)"/>
    <numFmt numFmtId="184" formatCode="##############\ ##0.0"/>
    <numFmt numFmtId="185" formatCode="####\ ##0.0"/>
    <numFmt numFmtId="186" formatCode="_-* #,##0.00\ _k_r_-;\-* #,##0.00\ _k_r_-;_-* &quot;-&quot;??\ _k_r_-;_-@_-"/>
    <numFmt numFmtId="187" formatCode="######\ ##0.0"/>
  </numFmts>
  <fonts count="9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name val="Times"/>
      <family val="1"/>
    </font>
    <font>
      <b/>
      <sz val="10"/>
      <name val="Times"/>
      <family val="1"/>
    </font>
    <font>
      <b/>
      <sz val="8"/>
      <name val="Times"/>
      <family val="1"/>
    </font>
    <font>
      <b/>
      <sz val="10"/>
      <name val="Times"/>
      <family val="1"/>
    </font>
    <font>
      <b/>
      <i/>
      <sz val="10"/>
      <name val="Times"/>
      <family val="1"/>
    </font>
    <font>
      <sz val="8"/>
      <name val="Times"/>
      <family val="1"/>
    </font>
    <font>
      <i/>
      <sz val="8"/>
      <name val="Times"/>
      <family val="1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0"/>
      <name val="Times New Roman CE"/>
      <charset val="238"/>
    </font>
    <font>
      <sz val="11"/>
      <name val="Arial"/>
      <family val="2"/>
    </font>
    <font>
      <b/>
      <vertAlign val="superscript"/>
      <sz val="8"/>
      <name val="Arial"/>
      <family val="2"/>
    </font>
    <font>
      <sz val="10"/>
      <color indexed="8"/>
      <name val="Arial"/>
      <family val="2"/>
    </font>
    <font>
      <b/>
      <sz val="6"/>
      <color indexed="18"/>
      <name val="Arial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37"/>
      <name val="Arial"/>
      <family val="2"/>
    </font>
    <font>
      <b/>
      <sz val="12"/>
      <color indexed="8"/>
      <name val="Arial"/>
      <family val="2"/>
    </font>
    <font>
      <b/>
      <i/>
      <sz val="12"/>
      <color indexed="10"/>
      <name val="Arial"/>
      <family val="2"/>
    </font>
    <font>
      <b/>
      <u/>
      <sz val="10"/>
      <color indexed="9"/>
      <name val="Arial"/>
      <family val="2"/>
    </font>
    <font>
      <b/>
      <i/>
      <sz val="10"/>
      <color indexed="1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i/>
      <sz val="8"/>
      <color indexed="38"/>
      <name val="Arial"/>
      <family val="2"/>
    </font>
    <font>
      <sz val="10"/>
      <color indexed="56"/>
      <name val="Arial"/>
      <family val="2"/>
    </font>
    <font>
      <b/>
      <vertAlign val="superscript"/>
      <sz val="12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56"/>
      <name val="Arial"/>
      <family val="2"/>
    </font>
    <font>
      <i/>
      <sz val="8"/>
      <color indexed="57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i/>
      <sz val="8"/>
      <color indexed="3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8"/>
      <name val="Calibri"/>
      <family val="2"/>
    </font>
    <font>
      <u/>
      <sz val="10"/>
      <color indexed="36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0"/>
      <color rgb="FF00000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  <scheme val="minor"/>
    </font>
    <font>
      <sz val="9.5"/>
      <color rgb="FF000000"/>
      <name val="Albany AMT"/>
    </font>
    <font>
      <sz val="10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333333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fgColor indexed="9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gray0625">
        <fgColor indexed="9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9"/>
      </patternFill>
    </fill>
    <fill>
      <patternFill patternType="lightGray">
        <fgColor indexed="13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light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47"/>
      </top>
      <bottom style="thin">
        <color indexed="47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37">
    <xf numFmtId="0" fontId="0" fillId="0" borderId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66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56" fillId="3" borderId="0" applyNumberFormat="0" applyBorder="0" applyAlignment="0" applyProtection="0"/>
    <xf numFmtId="0" fontId="67" fillId="42" borderId="0" applyNumberFormat="0" applyBorder="0" applyAlignment="0" applyProtection="0"/>
    <xf numFmtId="0" fontId="56" fillId="4" borderId="0" applyNumberFormat="0" applyBorder="0" applyAlignment="0" applyProtection="0"/>
    <xf numFmtId="0" fontId="67" fillId="43" borderId="0" applyNumberFormat="0" applyBorder="0" applyAlignment="0" applyProtection="0"/>
    <xf numFmtId="0" fontId="56" fillId="5" borderId="0" applyNumberFormat="0" applyBorder="0" applyAlignment="0" applyProtection="0"/>
    <xf numFmtId="0" fontId="67" fillId="44" borderId="0" applyNumberFormat="0" applyBorder="0" applyAlignment="0" applyProtection="0"/>
    <xf numFmtId="0" fontId="56" fillId="6" borderId="0" applyNumberFormat="0" applyBorder="0" applyAlignment="0" applyProtection="0"/>
    <xf numFmtId="0" fontId="67" fillId="45" borderId="0" applyNumberFormat="0" applyBorder="0" applyAlignment="0" applyProtection="0"/>
    <xf numFmtId="0" fontId="56" fillId="2" borderId="0" applyNumberFormat="0" applyBorder="0" applyAlignment="0" applyProtection="0"/>
    <xf numFmtId="0" fontId="67" fillId="46" borderId="0" applyNumberFormat="0" applyBorder="0" applyAlignment="0" applyProtection="0"/>
    <xf numFmtId="0" fontId="56" fillId="7" borderId="0" applyNumberFormat="0" applyBorder="0" applyAlignment="0" applyProtection="0"/>
    <xf numFmtId="0" fontId="68" fillId="47" borderId="0" applyNumberFormat="0" applyBorder="0" applyAlignment="0" applyProtection="0"/>
    <xf numFmtId="0" fontId="69" fillId="48" borderId="48" applyNumberFormat="0" applyAlignment="0" applyProtection="0"/>
    <xf numFmtId="0" fontId="1" fillId="8" borderId="0">
      <protection locked="0"/>
    </xf>
    <xf numFmtId="0" fontId="70" fillId="49" borderId="49" applyNumberFormat="0" applyAlignment="0" applyProtection="0"/>
    <xf numFmtId="49" fontId="1" fillId="9" borderId="1">
      <alignment vertical="top" wrapText="1"/>
    </xf>
    <xf numFmtId="0" fontId="1" fillId="10" borderId="2">
      <alignment horizontal="center" vertical="center"/>
      <protection locked="0"/>
    </xf>
    <xf numFmtId="177" fontId="34" fillId="0" borderId="0" applyFont="0" applyFill="0" applyBorder="0" applyAlignment="0" applyProtection="0"/>
    <xf numFmtId="186" fontId="1" fillId="0" borderId="0" applyFont="0" applyFill="0" applyBorder="0" applyAlignment="0" applyProtection="0"/>
    <xf numFmtId="49" fontId="47" fillId="0" borderId="0">
      <alignment vertical="top" wrapText="1"/>
    </xf>
    <xf numFmtId="171" fontId="37" fillId="11" borderId="0" applyNumberFormat="0" applyBorder="0">
      <protection locked="0"/>
    </xf>
    <xf numFmtId="3" fontId="50" fillId="0" borderId="1">
      <alignment horizontal="right" vertical="top"/>
    </xf>
    <xf numFmtId="164" fontId="50" fillId="0" borderId="3"/>
    <xf numFmtId="164" fontId="53" fillId="0" borderId="3"/>
    <xf numFmtId="0" fontId="10" fillId="12" borderId="4">
      <alignment horizontal="centerContinuous" vertical="top" wrapText="1"/>
    </xf>
    <xf numFmtId="0" fontId="54" fillId="0" borderId="0">
      <alignment horizontal="left" vertical="top"/>
    </xf>
    <xf numFmtId="0" fontId="71" fillId="0" borderId="0" applyNumberFormat="0" applyFill="0" applyBorder="0" applyAlignment="0" applyProtection="0"/>
    <xf numFmtId="0" fontId="1" fillId="13" borderId="0">
      <protection locked="0"/>
    </xf>
    <xf numFmtId="0" fontId="10" fillId="10" borderId="0">
      <alignment vertical="center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10" fillId="0" borderId="0">
      <protection locked="0"/>
    </xf>
    <xf numFmtId="0" fontId="72" fillId="50" borderId="0" applyNumberFormat="0" applyBorder="0" applyAlignment="0" applyProtection="0"/>
    <xf numFmtId="0" fontId="3" fillId="0" borderId="0">
      <protection locked="0"/>
    </xf>
    <xf numFmtId="0" fontId="73" fillId="0" borderId="50" applyNumberFormat="0" applyFill="0" applyAlignment="0" applyProtection="0"/>
    <xf numFmtId="0" fontId="74" fillId="0" borderId="51" applyNumberFormat="0" applyFill="0" applyAlignment="0" applyProtection="0"/>
    <xf numFmtId="0" fontId="75" fillId="0" borderId="52" applyNumberFormat="0" applyFill="0" applyAlignment="0" applyProtection="0"/>
    <xf numFmtId="0" fontId="75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171" fontId="38" fillId="14" borderId="0" applyNumberFormat="0" applyBorder="0">
      <alignment horizontal="left"/>
      <protection locked="0"/>
    </xf>
    <xf numFmtId="0" fontId="77" fillId="51" borderId="48" applyNumberFormat="0" applyAlignment="0" applyProtection="0"/>
    <xf numFmtId="171" fontId="37" fillId="15" borderId="0" applyNumberFormat="0" applyBorder="0">
      <alignment horizontal="right"/>
      <protection locked="0"/>
    </xf>
    <xf numFmtId="171" fontId="78" fillId="52" borderId="0" applyNumberFormat="0" applyBorder="0">
      <alignment horizontal="right"/>
      <protection locked="0"/>
    </xf>
    <xf numFmtId="0" fontId="48" fillId="0" borderId="0"/>
    <xf numFmtId="0" fontId="79" fillId="0" borderId="53" applyNumberFormat="0" applyFill="0" applyAlignment="0" applyProtection="0"/>
    <xf numFmtId="171" fontId="39" fillId="15" borderId="0" applyNumberFormat="0" applyBorder="0">
      <alignment horizontal="right"/>
      <protection locked="0"/>
    </xf>
    <xf numFmtId="171" fontId="40" fillId="15" borderId="0" applyNumberFormat="0" applyBorder="0">
      <alignment horizontal="right"/>
      <protection locked="0"/>
    </xf>
    <xf numFmtId="0" fontId="80" fillId="53" borderId="0" applyNumberFormat="0" applyBorder="0" applyAlignment="0" applyProtection="0"/>
    <xf numFmtId="0" fontId="81" fillId="0" borderId="0"/>
    <xf numFmtId="0" fontId="82" fillId="0" borderId="0"/>
    <xf numFmtId="0" fontId="65" fillId="0" borderId="0"/>
    <xf numFmtId="0" fontId="66" fillId="0" borderId="0"/>
    <xf numFmtId="0" fontId="32" fillId="0" borderId="0"/>
    <xf numFmtId="0" fontId="1" fillId="0" borderId="0"/>
    <xf numFmtId="0" fontId="47" fillId="0" borderId="0"/>
    <xf numFmtId="0" fontId="1" fillId="0" borderId="0" applyFill="0"/>
    <xf numFmtId="0" fontId="59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1" fillId="0" borderId="0" applyNumberFormat="0"/>
    <xf numFmtId="0" fontId="33" fillId="0" borderId="0"/>
    <xf numFmtId="0" fontId="83" fillId="0" borderId="0"/>
    <xf numFmtId="0" fontId="34" fillId="0" borderId="0"/>
    <xf numFmtId="0" fontId="35" fillId="0" borderId="0"/>
    <xf numFmtId="0" fontId="32" fillId="0" borderId="0"/>
    <xf numFmtId="0" fontId="37" fillId="0" borderId="0"/>
    <xf numFmtId="0" fontId="1" fillId="0" borderId="0">
      <protection locked="0"/>
    </xf>
    <xf numFmtId="0" fontId="4" fillId="0" borderId="0"/>
    <xf numFmtId="0" fontId="1" fillId="0" borderId="0"/>
    <xf numFmtId="0" fontId="52" fillId="0" borderId="0">
      <alignment vertical="top"/>
    </xf>
    <xf numFmtId="0" fontId="1" fillId="54" borderId="54" applyNumberFormat="0" applyFont="0" applyAlignment="0" applyProtection="0"/>
    <xf numFmtId="0" fontId="66" fillId="54" borderId="54" applyNumberFormat="0" applyFont="0" applyAlignment="0" applyProtection="0"/>
    <xf numFmtId="0" fontId="11" fillId="0" borderId="0"/>
    <xf numFmtId="183" fontId="51" fillId="0" borderId="0">
      <alignment horizontal="right"/>
    </xf>
    <xf numFmtId="0" fontId="84" fillId="48" borderId="55" applyNumberFormat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0" fontId="62" fillId="0" borderId="0" applyNumberFormat="0" applyFill="0" applyBorder="0" applyAlignment="0" applyProtection="0"/>
    <xf numFmtId="0" fontId="1" fillId="10" borderId="5">
      <alignment vertical="center"/>
      <protection locked="0"/>
    </xf>
    <xf numFmtId="0" fontId="49" fillId="0" borderId="0">
      <alignment vertical="top" wrapText="1"/>
    </xf>
    <xf numFmtId="0" fontId="57" fillId="0" borderId="0">
      <alignment vertical="top" wrapText="1"/>
    </xf>
    <xf numFmtId="0" fontId="6" fillId="0" borderId="0"/>
    <xf numFmtId="0" fontId="1" fillId="8" borderId="0">
      <protection locked="0"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71" fontId="41" fillId="17" borderId="0" applyNumberFormat="0" applyBorder="0">
      <alignment horizontal="center"/>
      <protection locked="0"/>
    </xf>
    <xf numFmtId="171" fontId="15" fillId="15" borderId="0" applyNumberFormat="0" applyBorder="0">
      <alignment horizontal="left"/>
      <protection locked="0"/>
    </xf>
    <xf numFmtId="171" fontId="78" fillId="52" borderId="0" applyNumberFormat="0" applyBorder="0">
      <alignment horizontal="left"/>
      <protection locked="0"/>
    </xf>
    <xf numFmtId="171" fontId="42" fillId="11" borderId="0" applyNumberFormat="0" applyBorder="0">
      <alignment horizontal="center"/>
      <protection locked="0"/>
    </xf>
    <xf numFmtId="171" fontId="42" fillId="15" borderId="0" applyNumberFormat="0" applyBorder="0">
      <alignment horizontal="left"/>
      <protection locked="0"/>
    </xf>
    <xf numFmtId="0" fontId="14" fillId="11" borderId="0" applyNumberFormat="0" applyBorder="0">
      <protection locked="0"/>
    </xf>
    <xf numFmtId="171" fontId="14" fillId="11" borderId="0" applyNumberFormat="0" applyBorder="0">
      <protection locked="0"/>
    </xf>
    <xf numFmtId="171" fontId="15" fillId="16" borderId="0" applyNumberFormat="0" applyBorder="0">
      <alignment horizontal="left"/>
      <protection locked="0"/>
    </xf>
    <xf numFmtId="171" fontId="78" fillId="52" borderId="0" applyNumberFormat="0" applyBorder="0">
      <alignment horizontal="left"/>
      <protection locked="0"/>
    </xf>
    <xf numFmtId="171" fontId="43" fillId="11" borderId="0" applyNumberFormat="0" applyBorder="0">
      <protection locked="0"/>
    </xf>
    <xf numFmtId="0" fontId="86" fillId="0" borderId="56" applyNumberFormat="0" applyFill="0" applyAlignment="0" applyProtection="0"/>
    <xf numFmtId="171" fontId="15" fillId="18" borderId="0" applyNumberFormat="0" applyBorder="0">
      <alignment horizontal="right"/>
      <protection locked="0"/>
    </xf>
    <xf numFmtId="171" fontId="55" fillId="18" borderId="0" applyNumberFormat="0" applyBorder="0">
      <protection locked="0"/>
    </xf>
    <xf numFmtId="171" fontId="15" fillId="18" borderId="0" applyNumberFormat="0" applyBorder="0">
      <protection locked="0"/>
    </xf>
    <xf numFmtId="0" fontId="15" fillId="14" borderId="0" applyNumberFormat="0" applyBorder="0">
      <protection locked="0"/>
    </xf>
    <xf numFmtId="171" fontId="44" fillId="19" borderId="0" applyNumberFormat="0" applyBorder="0">
      <protection locked="0"/>
    </xf>
    <xf numFmtId="171" fontId="45" fillId="19" borderId="0" applyNumberFormat="0" applyBorder="0">
      <protection locked="0"/>
    </xf>
    <xf numFmtId="171" fontId="15" fillId="15" borderId="0" applyNumberFormat="0" applyBorder="0">
      <protection locked="0"/>
    </xf>
    <xf numFmtId="171" fontId="15" fillId="15" borderId="0" applyNumberFormat="0" applyBorder="0">
      <protection locked="0"/>
    </xf>
    <xf numFmtId="171" fontId="15" fillId="15" borderId="0" applyNumberFormat="0" applyBorder="0">
      <protection locked="0"/>
    </xf>
    <xf numFmtId="171" fontId="15" fillId="14" borderId="0" applyNumberFormat="0" applyBorder="0">
      <protection locked="0"/>
    </xf>
    <xf numFmtId="171" fontId="46" fillId="20" borderId="0" applyNumberFormat="0" applyBorder="0">
      <protection locked="0"/>
    </xf>
    <xf numFmtId="186" fontId="1" fillId="0" borderId="0" applyFon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87" fillId="0" borderId="0" applyNumberFormat="0" applyFill="0" applyBorder="0" applyAlignment="0" applyProtection="0"/>
  </cellStyleXfs>
  <cellXfs count="1152">
    <xf numFmtId="0" fontId="0" fillId="0" borderId="0" xfId="0"/>
    <xf numFmtId="0" fontId="0" fillId="0" borderId="0" xfId="0" applyBorder="1"/>
    <xf numFmtId="0" fontId="4" fillId="0" borderId="0" xfId="0" applyFont="1" applyBorder="1"/>
    <xf numFmtId="0" fontId="4" fillId="0" borderId="0" xfId="0" applyFont="1"/>
    <xf numFmtId="0" fontId="0" fillId="0" borderId="0" xfId="0" applyFill="1" applyBorder="1"/>
    <xf numFmtId="0" fontId="0" fillId="0" borderId="0" xfId="0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/>
    <xf numFmtId="0" fontId="6" fillId="0" borderId="0" xfId="0" applyFont="1" applyBorder="1"/>
    <xf numFmtId="0" fontId="7" fillId="0" borderId="0" xfId="0" quotePrefix="1" applyFont="1" applyAlignment="1">
      <alignment horizontal="right" vertical="top"/>
    </xf>
    <xf numFmtId="0" fontId="7" fillId="0" borderId="0" xfId="0" quotePrefix="1" applyFont="1" applyBorder="1" applyAlignment="1">
      <alignment horizontal="right" vertical="top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Fill="1" applyBorder="1"/>
    <xf numFmtId="0" fontId="4" fillId="0" borderId="0" xfId="0" applyFont="1" applyFill="1"/>
    <xf numFmtId="0" fontId="9" fillId="0" borderId="0" xfId="0" applyFont="1"/>
    <xf numFmtId="9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right" vertical="top"/>
    </xf>
    <xf numFmtId="0" fontId="9" fillId="0" borderId="0" xfId="0" applyFont="1" applyBorder="1" applyAlignment="1">
      <alignment vertical="top"/>
    </xf>
    <xf numFmtId="9" fontId="7" fillId="0" borderId="0" xfId="0" quotePrefix="1" applyNumberFormat="1" applyFont="1" applyAlignment="1">
      <alignment horizontal="right" vertical="top"/>
    </xf>
    <xf numFmtId="0" fontId="4" fillId="0" borderId="0" xfId="0" applyFont="1" applyBorder="1" applyAlignment="1"/>
    <xf numFmtId="0" fontId="4" fillId="0" borderId="8" xfId="0" applyFont="1" applyBorder="1" applyAlignment="1">
      <alignment horizontal="right" vertical="center"/>
    </xf>
    <xf numFmtId="1" fontId="16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Border="1" applyAlignment="1" applyProtection="1">
      <alignment horizontal="right" vertical="center"/>
    </xf>
    <xf numFmtId="166" fontId="4" fillId="0" borderId="0" xfId="0" applyNumberFormat="1" applyFont="1"/>
    <xf numFmtId="0" fontId="0" fillId="0" borderId="0" xfId="0" applyAlignment="1">
      <alignment vertical="top"/>
    </xf>
    <xf numFmtId="1" fontId="5" fillId="21" borderId="9" xfId="0" applyNumberFormat="1" applyFont="1" applyFill="1" applyBorder="1" applyAlignment="1">
      <alignment horizontal="center" vertical="center"/>
    </xf>
    <xf numFmtId="1" fontId="5" fillId="21" borderId="8" xfId="0" applyNumberFormat="1" applyFont="1" applyFill="1" applyBorder="1" applyAlignment="1">
      <alignment horizontal="center" vertical="center"/>
    </xf>
    <xf numFmtId="1" fontId="5" fillId="21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16" fillId="22" borderId="6" xfId="0" applyFont="1" applyFill="1" applyBorder="1" applyAlignment="1">
      <alignment horizontal="center" vertical="center" wrapText="1"/>
    </xf>
    <xf numFmtId="0" fontId="16" fillId="22" borderId="7" xfId="0" applyFont="1" applyFill="1" applyBorder="1" applyAlignment="1">
      <alignment horizontal="center" vertical="center" wrapText="1"/>
    </xf>
    <xf numFmtId="0" fontId="5" fillId="22" borderId="6" xfId="0" applyFont="1" applyFill="1" applyBorder="1" applyAlignment="1">
      <alignment horizontal="center"/>
    </xf>
    <xf numFmtId="0" fontId="5" fillId="22" borderId="2" xfId="0" applyFont="1" applyFill="1" applyBorder="1" applyAlignment="1">
      <alignment horizontal="center" vertical="center"/>
    </xf>
    <xf numFmtId="0" fontId="5" fillId="22" borderId="6" xfId="0" applyFont="1" applyFill="1" applyBorder="1" applyAlignment="1">
      <alignment horizontal="center" vertical="center"/>
    </xf>
    <xf numFmtId="1" fontId="5" fillId="21" borderId="11" xfId="0" applyNumberFormat="1" applyFont="1" applyFill="1" applyBorder="1" applyAlignment="1">
      <alignment horizontal="center" vertical="center"/>
    </xf>
    <xf numFmtId="1" fontId="5" fillId="21" borderId="5" xfId="0" applyNumberFormat="1" applyFont="1" applyFill="1" applyBorder="1" applyAlignment="1">
      <alignment horizontal="center" vertical="center"/>
    </xf>
    <xf numFmtId="1" fontId="5" fillId="21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22" borderId="0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5" fillId="22" borderId="13" xfId="0" applyFont="1" applyFill="1" applyBorder="1" applyAlignment="1">
      <alignment horizontal="center" vertical="center"/>
    </xf>
    <xf numFmtId="0" fontId="5" fillId="22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1" fontId="5" fillId="22" borderId="15" xfId="0" applyNumberFormat="1" applyFont="1" applyFill="1" applyBorder="1" applyAlignment="1">
      <alignment horizontal="right" vertical="center"/>
    </xf>
    <xf numFmtId="171" fontId="5" fillId="22" borderId="16" xfId="0" applyNumberFormat="1" applyFont="1" applyFill="1" applyBorder="1" applyAlignment="1">
      <alignment horizontal="right" vertical="center"/>
    </xf>
    <xf numFmtId="171" fontId="4" fillId="0" borderId="15" xfId="0" applyNumberFormat="1" applyFont="1" applyFill="1" applyBorder="1" applyAlignment="1">
      <alignment vertical="center"/>
    </xf>
    <xf numFmtId="171" fontId="4" fillId="0" borderId="16" xfId="0" applyNumberFormat="1" applyFont="1" applyFill="1" applyBorder="1" applyAlignment="1">
      <alignment vertical="center"/>
    </xf>
    <xf numFmtId="171" fontId="4" fillId="22" borderId="17" xfId="0" applyNumberFormat="1" applyFont="1" applyFill="1" applyBorder="1" applyAlignment="1">
      <alignment vertical="center"/>
    </xf>
    <xf numFmtId="171" fontId="4" fillId="22" borderId="0" xfId="0" applyNumberFormat="1" applyFont="1" applyFill="1" applyBorder="1" applyAlignment="1">
      <alignment vertical="center"/>
    </xf>
    <xf numFmtId="171" fontId="4" fillId="0" borderId="17" xfId="0" quotePrefix="1" applyNumberFormat="1" applyFont="1" applyFill="1" applyBorder="1" applyAlignment="1">
      <alignment horizontal="right" vertical="center"/>
    </xf>
    <xf numFmtId="171" fontId="4" fillId="0" borderId="0" xfId="0" quotePrefix="1" applyNumberFormat="1" applyFont="1" applyFill="1" applyBorder="1" applyAlignment="1">
      <alignment horizontal="right" vertical="center"/>
    </xf>
    <xf numFmtId="171" fontId="4" fillId="0" borderId="0" xfId="0" applyNumberFormat="1" applyFont="1" applyFill="1" applyBorder="1" applyAlignment="1">
      <alignment vertical="center"/>
    </xf>
    <xf numFmtId="171" fontId="4" fillId="0" borderId="17" xfId="0" applyNumberFormat="1" applyFont="1" applyFill="1" applyBorder="1" applyAlignment="1">
      <alignment vertical="center"/>
    </xf>
    <xf numFmtId="171" fontId="4" fillId="0" borderId="0" xfId="0" applyNumberFormat="1" applyFont="1" applyFill="1" applyBorder="1" applyAlignment="1">
      <alignment horizontal="right" vertical="center"/>
    </xf>
    <xf numFmtId="171" fontId="4" fillId="0" borderId="17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top" wrapText="1"/>
    </xf>
    <xf numFmtId="0" fontId="1" fillId="0" borderId="0" xfId="0" applyFont="1"/>
    <xf numFmtId="0" fontId="0" fillId="0" borderId="0" xfId="0" applyAlignment="1">
      <alignment vertical="center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 wrapText="1"/>
    </xf>
    <xf numFmtId="1" fontId="5" fillId="21" borderId="0" xfId="0" applyNumberFormat="1" applyFont="1" applyFill="1" applyBorder="1" applyAlignment="1">
      <alignment horizontal="center" vertical="center"/>
    </xf>
    <xf numFmtId="1" fontId="5" fillId="21" borderId="15" xfId="0" applyNumberFormat="1" applyFont="1" applyFill="1" applyBorder="1" applyAlignment="1">
      <alignment horizontal="center"/>
    </xf>
    <xf numFmtId="1" fontId="5" fillId="21" borderId="16" xfId="0" applyNumberFormat="1" applyFont="1" applyFill="1" applyBorder="1" applyAlignment="1">
      <alignment horizontal="center"/>
    </xf>
    <xf numFmtId="175" fontId="13" fillId="22" borderId="1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top"/>
    </xf>
    <xf numFmtId="174" fontId="4" fillId="22" borderId="14" xfId="0" applyNumberFormat="1" applyFont="1" applyFill="1" applyBorder="1" applyAlignment="1">
      <alignment horizontal="right" vertical="center"/>
    </xf>
    <xf numFmtId="0" fontId="4" fillId="21" borderId="9" xfId="0" applyFont="1" applyFill="1" applyBorder="1" applyAlignment="1">
      <alignment horizontal="center" vertical="top" wrapText="1"/>
    </xf>
    <xf numFmtId="0" fontId="4" fillId="21" borderId="10" xfId="0" applyFont="1" applyFill="1" applyBorder="1" applyAlignment="1">
      <alignment horizontal="center" vertical="top" wrapText="1"/>
    </xf>
    <xf numFmtId="0" fontId="4" fillId="21" borderId="7" xfId="0" applyFont="1" applyFill="1" applyBorder="1" applyAlignment="1">
      <alignment horizontal="center" vertical="top" wrapText="1"/>
    </xf>
    <xf numFmtId="0" fontId="4" fillId="21" borderId="14" xfId="0" applyFont="1" applyFill="1" applyBorder="1" applyAlignment="1">
      <alignment horizontal="center" vertical="top" wrapText="1"/>
    </xf>
    <xf numFmtId="0" fontId="4" fillId="21" borderId="2" xfId="0" applyFont="1" applyFill="1" applyBorder="1" applyAlignment="1">
      <alignment horizontal="center" vertical="top" wrapText="1"/>
    </xf>
    <xf numFmtId="0" fontId="4" fillId="21" borderId="17" xfId="0" applyFont="1" applyFill="1" applyBorder="1" applyAlignment="1">
      <alignment horizontal="center" vertical="top" wrapText="1"/>
    </xf>
    <xf numFmtId="0" fontId="17" fillId="0" borderId="0" xfId="0" quotePrefix="1" applyFont="1" applyAlignment="1">
      <alignment horizontal="left"/>
    </xf>
    <xf numFmtId="0" fontId="0" fillId="0" borderId="14" xfId="0" applyFill="1" applyBorder="1"/>
    <xf numFmtId="0" fontId="0" fillId="0" borderId="10" xfId="0" applyFill="1" applyBorder="1"/>
    <xf numFmtId="1" fontId="5" fillId="21" borderId="6" xfId="0" applyNumberFormat="1" applyFont="1" applyFill="1" applyBorder="1" applyAlignment="1">
      <alignment horizontal="center"/>
    </xf>
    <xf numFmtId="1" fontId="5" fillId="21" borderId="2" xfId="0" applyNumberFormat="1" applyFont="1" applyFill="1" applyBorder="1" applyAlignment="1">
      <alignment horizontal="center" vertical="center"/>
    </xf>
    <xf numFmtId="1" fontId="5" fillId="21" borderId="4" xfId="0" applyNumberFormat="1" applyFont="1" applyFill="1" applyBorder="1" applyAlignment="1">
      <alignment horizontal="center" vertical="center"/>
    </xf>
    <xf numFmtId="175" fontId="13" fillId="22" borderId="6" xfId="0" applyNumberFormat="1" applyFont="1" applyFill="1" applyBorder="1" applyAlignment="1">
      <alignment horizontal="right" vertical="center"/>
    </xf>
    <xf numFmtId="0" fontId="20" fillId="0" borderId="0" xfId="0" applyFont="1"/>
    <xf numFmtId="0" fontId="2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/>
    <xf numFmtId="17" fontId="3" fillId="0" borderId="0" xfId="0" quotePrefix="1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49" fontId="2" fillId="0" borderId="0" xfId="0" applyNumberFormat="1" applyFont="1" applyAlignment="1">
      <alignment horizontal="left" vertical="center"/>
    </xf>
    <xf numFmtId="172" fontId="2" fillId="0" borderId="0" xfId="0" quotePrefix="1" applyNumberFormat="1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" fillId="0" borderId="0" xfId="0" quotePrefix="1" applyFont="1" applyAlignment="1">
      <alignment horizontal="left" vertical="center"/>
    </xf>
    <xf numFmtId="173" fontId="2" fillId="0" borderId="0" xfId="0" quotePrefix="1" applyNumberFormat="1" applyFont="1" applyAlignment="1">
      <alignment horizontal="left"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0" fontId="26" fillId="0" borderId="0" xfId="0" applyFont="1"/>
    <xf numFmtId="169" fontId="4" fillId="0" borderId="0" xfId="0" applyNumberFormat="1" applyFont="1"/>
    <xf numFmtId="174" fontId="4" fillId="0" borderId="14" xfId="0" applyNumberFormat="1" applyFont="1" applyFill="1" applyBorder="1" applyAlignment="1">
      <alignment horizontal="right" vertical="center"/>
    </xf>
    <xf numFmtId="166" fontId="4" fillId="0" borderId="16" xfId="0" applyNumberFormat="1" applyFont="1" applyFill="1" applyBorder="1" applyAlignment="1">
      <alignment horizontal="right" vertical="center"/>
    </xf>
    <xf numFmtId="166" fontId="4" fillId="22" borderId="0" xfId="0" applyNumberFormat="1" applyFont="1" applyFill="1" applyBorder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6" fontId="4" fillId="0" borderId="8" xfId="0" applyNumberFormat="1" applyFont="1" applyFill="1" applyBorder="1" applyAlignment="1">
      <alignment horizontal="right" vertical="center"/>
    </xf>
    <xf numFmtId="1" fontId="5" fillId="21" borderId="17" xfId="0" applyNumberFormat="1" applyFont="1" applyFill="1" applyBorder="1" applyAlignment="1">
      <alignment horizontal="center" vertical="center"/>
    </xf>
    <xf numFmtId="166" fontId="4" fillId="0" borderId="15" xfId="0" applyNumberFormat="1" applyFont="1" applyFill="1" applyBorder="1" applyAlignment="1">
      <alignment horizontal="right" vertical="center"/>
    </xf>
    <xf numFmtId="166" fontId="4" fillId="22" borderId="17" xfId="0" applyNumberFormat="1" applyFont="1" applyFill="1" applyBorder="1" applyAlignment="1">
      <alignment horizontal="right" vertical="center"/>
    </xf>
    <xf numFmtId="166" fontId="4" fillId="0" borderId="17" xfId="0" applyNumberFormat="1" applyFont="1" applyFill="1" applyBorder="1" applyAlignment="1">
      <alignment horizontal="right" vertical="center"/>
    </xf>
    <xf numFmtId="0" fontId="9" fillId="0" borderId="0" xfId="0" applyFont="1" applyBorder="1"/>
    <xf numFmtId="166" fontId="9" fillId="0" borderId="0" xfId="0" applyNumberFormat="1" applyFont="1"/>
    <xf numFmtId="166" fontId="0" fillId="0" borderId="0" xfId="0" applyNumberFormat="1"/>
    <xf numFmtId="166" fontId="7" fillId="0" borderId="0" xfId="0" quotePrefix="1" applyNumberFormat="1" applyFont="1" applyAlignment="1">
      <alignment horizontal="right" vertical="top"/>
    </xf>
    <xf numFmtId="166" fontId="4" fillId="0" borderId="0" xfId="0" applyNumberFormat="1" applyFont="1" applyFill="1" applyBorder="1"/>
    <xf numFmtId="166" fontId="4" fillId="0" borderId="0" xfId="0" applyNumberFormat="1" applyFont="1" applyBorder="1" applyAlignment="1">
      <alignment horizontal="right" vertical="top"/>
    </xf>
    <xf numFmtId="175" fontId="13" fillId="22" borderId="15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175" fontId="4" fillId="0" borderId="6" xfId="0" applyNumberFormat="1" applyFont="1" applyFill="1" applyBorder="1" applyAlignment="1">
      <alignment horizontal="right" vertical="center"/>
    </xf>
    <xf numFmtId="175" fontId="4" fillId="0" borderId="15" xfId="0" applyNumberFormat="1" applyFont="1" applyFill="1" applyBorder="1" applyAlignment="1">
      <alignment horizontal="right" vertical="center"/>
    </xf>
    <xf numFmtId="175" fontId="4" fillId="0" borderId="16" xfId="0" applyNumberFormat="1" applyFont="1" applyFill="1" applyBorder="1" applyAlignment="1">
      <alignment horizontal="right" vertical="center"/>
    </xf>
    <xf numFmtId="175" fontId="4" fillId="22" borderId="2" xfId="0" applyNumberFormat="1" applyFont="1" applyFill="1" applyBorder="1" applyAlignment="1">
      <alignment horizontal="right" vertical="center"/>
    </xf>
    <xf numFmtId="175" fontId="4" fillId="22" borderId="17" xfId="0" applyNumberFormat="1" applyFont="1" applyFill="1" applyBorder="1" applyAlignment="1">
      <alignment horizontal="right" vertical="center"/>
    </xf>
    <xf numFmtId="175" fontId="4" fillId="22" borderId="0" xfId="0" applyNumberFormat="1" applyFont="1" applyFill="1" applyBorder="1" applyAlignment="1">
      <alignment horizontal="right" vertical="center"/>
    </xf>
    <xf numFmtId="175" fontId="4" fillId="0" borderId="2" xfId="0" applyNumberFormat="1" applyFont="1" applyFill="1" applyBorder="1" applyAlignment="1">
      <alignment horizontal="right" vertical="center"/>
    </xf>
    <xf numFmtId="175" fontId="4" fillId="0" borderId="17" xfId="0" applyNumberFormat="1" applyFont="1" applyFill="1" applyBorder="1" applyAlignment="1">
      <alignment horizontal="right" vertical="center"/>
    </xf>
    <xf numFmtId="175" fontId="4" fillId="0" borderId="0" xfId="0" applyNumberFormat="1" applyFont="1" applyFill="1" applyBorder="1" applyAlignment="1">
      <alignment horizontal="right" vertical="center"/>
    </xf>
    <xf numFmtId="175" fontId="4" fillId="0" borderId="7" xfId="0" applyNumberFormat="1" applyFont="1" applyFill="1" applyBorder="1" applyAlignment="1">
      <alignment horizontal="right" vertical="center"/>
    </xf>
    <xf numFmtId="175" fontId="4" fillId="0" borderId="9" xfId="0" applyNumberFormat="1" applyFont="1" applyFill="1" applyBorder="1" applyAlignment="1">
      <alignment horizontal="right" vertical="center"/>
    </xf>
    <xf numFmtId="175" fontId="4" fillId="0" borderId="8" xfId="0" applyNumberFormat="1" applyFont="1" applyFill="1" applyBorder="1" applyAlignment="1">
      <alignment horizontal="right" vertical="center"/>
    </xf>
    <xf numFmtId="0" fontId="5" fillId="0" borderId="0" xfId="0" applyFont="1" applyBorder="1" applyAlignment="1"/>
    <xf numFmtId="0" fontId="7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9" fontId="9" fillId="0" borderId="0" xfId="0" applyNumberFormat="1" applyFont="1" applyAlignment="1">
      <alignment horizontal="center"/>
    </xf>
    <xf numFmtId="0" fontId="16" fillId="21" borderId="13" xfId="0" applyFont="1" applyFill="1" applyBorder="1" applyAlignment="1">
      <alignment horizontal="center" wrapText="1"/>
    </xf>
    <xf numFmtId="0" fontId="5" fillId="21" borderId="14" xfId="0" applyFont="1" applyFill="1" applyBorder="1" applyAlignment="1">
      <alignment horizontal="center" vertical="top"/>
    </xf>
    <xf numFmtId="0" fontId="5" fillId="55" borderId="6" xfId="0" applyFont="1" applyFill="1" applyBorder="1" applyAlignment="1">
      <alignment horizontal="center" vertical="center"/>
    </xf>
    <xf numFmtId="0" fontId="5" fillId="55" borderId="2" xfId="0" applyFont="1" applyFill="1" applyBorder="1" applyAlignment="1">
      <alignment horizontal="center" vertical="center"/>
    </xf>
    <xf numFmtId="0" fontId="5" fillId="55" borderId="7" xfId="0" applyFont="1" applyFill="1" applyBorder="1" applyAlignment="1">
      <alignment horizontal="center" vertical="center"/>
    </xf>
    <xf numFmtId="167" fontId="4" fillId="0" borderId="2" xfId="0" applyNumberFormat="1" applyFont="1" applyFill="1" applyBorder="1" applyAlignment="1">
      <alignment horizontal="right" vertical="center"/>
    </xf>
    <xf numFmtId="167" fontId="4" fillId="55" borderId="2" xfId="0" applyNumberFormat="1" applyFont="1" applyFill="1" applyBorder="1" applyAlignment="1">
      <alignment horizontal="right" vertical="center"/>
    </xf>
    <xf numFmtId="0" fontId="5" fillId="0" borderId="0" xfId="0" applyFont="1" applyBorder="1"/>
    <xf numFmtId="2" fontId="4" fillId="0" borderId="2" xfId="0" applyNumberFormat="1" applyFont="1" applyFill="1" applyBorder="1" applyAlignment="1">
      <alignment horizontal="right" vertical="center"/>
    </xf>
    <xf numFmtId="2" fontId="4" fillId="55" borderId="2" xfId="0" applyNumberFormat="1" applyFont="1" applyFill="1" applyBorder="1" applyAlignment="1">
      <alignment horizontal="right" vertical="center"/>
    </xf>
    <xf numFmtId="2" fontId="4" fillId="0" borderId="7" xfId="0" applyNumberFormat="1" applyFont="1" applyFill="1" applyBorder="1" applyAlignment="1">
      <alignment horizontal="right" vertical="center"/>
    </xf>
    <xf numFmtId="0" fontId="5" fillId="21" borderId="7" xfId="0" applyFont="1" applyFill="1" applyBorder="1" applyAlignment="1">
      <alignment horizontal="center" vertical="center"/>
    </xf>
    <xf numFmtId="166" fontId="4" fillId="55" borderId="0" xfId="0" applyNumberFormat="1" applyFont="1" applyFill="1" applyBorder="1" applyAlignment="1">
      <alignment horizontal="right" vertical="center"/>
    </xf>
    <xf numFmtId="166" fontId="12" fillId="55" borderId="0" xfId="0" applyNumberFormat="1" applyFont="1" applyFill="1" applyBorder="1" applyAlignment="1">
      <alignment horizontal="right" vertical="center"/>
    </xf>
    <xf numFmtId="166" fontId="4" fillId="55" borderId="14" xfId="0" applyNumberFormat="1" applyFont="1" applyFill="1" applyBorder="1" applyAlignment="1">
      <alignment horizontal="right" vertical="center"/>
    </xf>
    <xf numFmtId="166" fontId="4" fillId="0" borderId="14" xfId="0" applyNumberFormat="1" applyFont="1" applyFill="1" applyBorder="1" applyAlignment="1">
      <alignment horizontal="right" vertical="center"/>
    </xf>
    <xf numFmtId="1" fontId="28" fillId="0" borderId="0" xfId="0" applyNumberFormat="1" applyFont="1" applyFill="1" applyBorder="1" applyAlignment="1">
      <alignment horizontal="center" vertical="center"/>
    </xf>
    <xf numFmtId="166" fontId="5" fillId="22" borderId="15" xfId="0" applyNumberFormat="1" applyFont="1" applyFill="1" applyBorder="1" applyAlignment="1">
      <alignment horizontal="right" vertical="center"/>
    </xf>
    <xf numFmtId="0" fontId="28" fillId="22" borderId="2" xfId="0" applyFont="1" applyFill="1" applyBorder="1" applyAlignment="1">
      <alignment horizontal="center" vertical="center"/>
    </xf>
    <xf numFmtId="0" fontId="28" fillId="22" borderId="14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right" vertical="center"/>
    </xf>
    <xf numFmtId="0" fontId="28" fillId="0" borderId="10" xfId="0" applyFont="1" applyFill="1" applyBorder="1" applyAlignment="1">
      <alignment horizontal="center" vertical="center"/>
    </xf>
    <xf numFmtId="1" fontId="28" fillId="21" borderId="9" xfId="0" applyNumberFormat="1" applyFont="1" applyFill="1" applyBorder="1" applyAlignment="1">
      <alignment horizontal="center" vertical="center"/>
    </xf>
    <xf numFmtId="1" fontId="28" fillId="21" borderId="8" xfId="0" applyNumberFormat="1" applyFont="1" applyFill="1" applyBorder="1" applyAlignment="1">
      <alignment horizontal="center" vertical="center"/>
    </xf>
    <xf numFmtId="1" fontId="28" fillId="21" borderId="10" xfId="0" applyNumberFormat="1" applyFont="1" applyFill="1" applyBorder="1" applyAlignment="1">
      <alignment horizontal="center" vertical="center"/>
    </xf>
    <xf numFmtId="3" fontId="5" fillId="22" borderId="0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21" borderId="0" xfId="0" applyFont="1" applyFill="1" applyBorder="1" applyAlignment="1">
      <alignment horizontal="center" vertical="center" wrapText="1"/>
    </xf>
    <xf numFmtId="0" fontId="5" fillId="21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0" fillId="0" borderId="0" xfId="0" quotePrefix="1" applyFont="1" applyAlignment="1">
      <alignment horizontal="right" vertical="top"/>
    </xf>
    <xf numFmtId="0" fontId="27" fillId="0" borderId="0" xfId="0" applyFont="1" applyBorder="1" applyAlignment="1">
      <alignment horizontal="right" vertical="top"/>
    </xf>
    <xf numFmtId="165" fontId="4" fillId="0" borderId="15" xfId="0" applyNumberFormat="1" applyFont="1" applyFill="1" applyBorder="1" applyAlignment="1">
      <alignment horizontal="right" vertical="center"/>
    </xf>
    <xf numFmtId="165" fontId="4" fillId="22" borderId="17" xfId="0" applyNumberFormat="1" applyFont="1" applyFill="1" applyBorder="1" applyAlignment="1">
      <alignment horizontal="right" vertical="center"/>
    </xf>
    <xf numFmtId="165" fontId="4" fillId="0" borderId="17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4" fillId="0" borderId="9" xfId="0" applyNumberFormat="1" applyFont="1" applyFill="1" applyBorder="1" applyAlignment="1">
      <alignment horizontal="right" vertical="center"/>
    </xf>
    <xf numFmtId="0" fontId="31" fillId="0" borderId="0" xfId="0" applyFont="1" applyAlignment="1">
      <alignment horizontal="center"/>
    </xf>
    <xf numFmtId="0" fontId="16" fillId="21" borderId="12" xfId="0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 vertical="center"/>
    </xf>
    <xf numFmtId="165" fontId="5" fillId="22" borderId="15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 textRotation="90"/>
    </xf>
    <xf numFmtId="0" fontId="5" fillId="0" borderId="0" xfId="0" applyFont="1" applyBorder="1" applyAlignment="1">
      <alignment horizontal="left" vertical="center" wrapText="1"/>
    </xf>
    <xf numFmtId="0" fontId="5" fillId="55" borderId="2" xfId="0" applyFont="1" applyFill="1" applyBorder="1" applyAlignment="1">
      <alignment horizontal="center"/>
    </xf>
    <xf numFmtId="0" fontId="5" fillId="56" borderId="2" xfId="0" applyFont="1" applyFill="1" applyBorder="1" applyAlignment="1">
      <alignment horizontal="center"/>
    </xf>
    <xf numFmtId="0" fontId="5" fillId="55" borderId="7" xfId="0" applyFont="1" applyFill="1" applyBorder="1" applyAlignment="1">
      <alignment horizontal="center"/>
    </xf>
    <xf numFmtId="0" fontId="4" fillId="21" borderId="17" xfId="0" applyFont="1" applyFill="1" applyBorder="1" applyAlignment="1">
      <alignment horizontal="left" vertical="center"/>
    </xf>
    <xf numFmtId="0" fontId="5" fillId="21" borderId="17" xfId="0" applyFont="1" applyFill="1" applyBorder="1" applyAlignment="1">
      <alignment horizontal="center" vertical="center"/>
    </xf>
    <xf numFmtId="0" fontId="5" fillId="21" borderId="0" xfId="0" applyFont="1" applyFill="1" applyBorder="1" applyAlignment="1">
      <alignment horizontal="center" vertical="center"/>
    </xf>
    <xf numFmtId="0" fontId="5" fillId="21" borderId="14" xfId="0" applyFont="1" applyFill="1" applyBorder="1" applyAlignment="1">
      <alignment horizontal="center" vertical="center"/>
    </xf>
    <xf numFmtId="0" fontId="5" fillId="21" borderId="7" xfId="0" applyFont="1" applyFill="1" applyBorder="1" applyAlignment="1">
      <alignment horizontal="center" vertical="top" wrapText="1"/>
    </xf>
    <xf numFmtId="0" fontId="5" fillId="22" borderId="6" xfId="0" applyFont="1" applyFill="1" applyBorder="1" applyAlignment="1">
      <alignment horizontal="left" vertical="center"/>
    </xf>
    <xf numFmtId="168" fontId="4" fillId="0" borderId="15" xfId="0" applyNumberFormat="1" applyFont="1" applyFill="1" applyBorder="1" applyAlignment="1">
      <alignment horizontal="right" vertical="center"/>
    </xf>
    <xf numFmtId="168" fontId="4" fillId="0" borderId="16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168" fontId="4" fillId="22" borderId="17" xfId="0" applyNumberFormat="1" applyFont="1" applyFill="1" applyBorder="1" applyAlignment="1">
      <alignment horizontal="right" vertical="center"/>
    </xf>
    <xf numFmtId="168" fontId="4" fillId="22" borderId="0" xfId="0" applyNumberFormat="1" applyFont="1" applyFill="1" applyBorder="1" applyAlignment="1">
      <alignment vertical="center"/>
    </xf>
    <xf numFmtId="168" fontId="4" fillId="22" borderId="14" xfId="0" applyNumberFormat="1" applyFont="1" applyFill="1" applyBorder="1" applyAlignment="1">
      <alignment vertical="center"/>
    </xf>
    <xf numFmtId="0" fontId="5" fillId="22" borderId="2" xfId="0" applyFont="1" applyFill="1" applyBorder="1" applyAlignment="1">
      <alignment horizontal="left" vertical="center"/>
    </xf>
    <xf numFmtId="168" fontId="4" fillId="0" borderId="17" xfId="0" applyNumberFormat="1" applyFont="1" applyFill="1" applyBorder="1" applyAlignment="1">
      <alignment horizontal="right" vertical="center"/>
    </xf>
    <xf numFmtId="168" fontId="4" fillId="0" borderId="0" xfId="0" applyNumberFormat="1" applyFont="1" applyBorder="1" applyAlignment="1">
      <alignment vertical="center"/>
    </xf>
    <xf numFmtId="168" fontId="4" fillId="0" borderId="0" xfId="0" applyNumberFormat="1" applyFont="1" applyFill="1" applyBorder="1" applyAlignment="1">
      <alignment vertical="center"/>
    </xf>
    <xf numFmtId="168" fontId="4" fillId="0" borderId="14" xfId="0" applyNumberFormat="1" applyFont="1" applyBorder="1" applyAlignment="1">
      <alignment vertical="center"/>
    </xf>
    <xf numFmtId="168" fontId="4" fillId="0" borderId="17" xfId="0" applyNumberFormat="1" applyFont="1" applyBorder="1" applyAlignment="1">
      <alignment vertical="center"/>
    </xf>
    <xf numFmtId="165" fontId="5" fillId="22" borderId="12" xfId="0" applyNumberFormat="1" applyFont="1" applyFill="1" applyBorder="1" applyAlignment="1">
      <alignment horizontal="right" vertical="center"/>
    </xf>
    <xf numFmtId="0" fontId="5" fillId="21" borderId="6" xfId="0" applyFont="1" applyFill="1" applyBorder="1" applyAlignment="1">
      <alignment horizontal="center" vertical="center" wrapText="1"/>
    </xf>
    <xf numFmtId="169" fontId="4" fillId="0" borderId="15" xfId="0" applyNumberFormat="1" applyFont="1" applyFill="1" applyBorder="1" applyAlignment="1">
      <alignment horizontal="center" vertical="center"/>
    </xf>
    <xf numFmtId="169" fontId="4" fillId="0" borderId="16" xfId="0" applyNumberFormat="1" applyFont="1" applyFill="1" applyBorder="1" applyAlignment="1">
      <alignment horizontal="center" vertical="center"/>
    </xf>
    <xf numFmtId="169" fontId="4" fillId="0" borderId="16" xfId="0" applyNumberFormat="1" applyFont="1" applyFill="1" applyBorder="1" applyAlignment="1">
      <alignment horizontal="right" vertical="center"/>
    </xf>
    <xf numFmtId="169" fontId="4" fillId="0" borderId="13" xfId="0" applyNumberFormat="1" applyFont="1" applyFill="1" applyBorder="1" applyAlignment="1">
      <alignment horizontal="center" vertical="center"/>
    </xf>
    <xf numFmtId="169" fontId="4" fillId="0" borderId="9" xfId="0" applyNumberFormat="1" applyFont="1" applyFill="1" applyBorder="1" applyAlignment="1">
      <alignment horizontal="center" vertical="center"/>
    </xf>
    <xf numFmtId="169" fontId="4" fillId="0" borderId="8" xfId="0" applyNumberFormat="1" applyFont="1" applyFill="1" applyBorder="1" applyAlignment="1">
      <alignment horizontal="center" vertical="center"/>
    </xf>
    <xf numFmtId="168" fontId="0" fillId="0" borderId="0" xfId="0" applyNumberFormat="1"/>
    <xf numFmtId="0" fontId="4" fillId="21" borderId="6" xfId="0" applyFont="1" applyFill="1" applyBorder="1" applyAlignment="1">
      <alignment horizontal="left" vertical="top" wrapText="1"/>
    </xf>
    <xf numFmtId="0" fontId="5" fillId="21" borderId="10" xfId="0" applyFont="1" applyFill="1" applyBorder="1" applyAlignment="1">
      <alignment horizontal="center" vertical="top" wrapText="1"/>
    </xf>
    <xf numFmtId="0" fontId="5" fillId="22" borderId="4" xfId="0" applyFont="1" applyFill="1" applyBorder="1" applyAlignment="1">
      <alignment horizontal="left" vertical="center" wrapText="1"/>
    </xf>
    <xf numFmtId="3" fontId="5" fillId="22" borderId="5" xfId="0" applyNumberFormat="1" applyFont="1" applyFill="1" applyBorder="1" applyAlignment="1">
      <alignment horizontal="right" vertical="center"/>
    </xf>
    <xf numFmtId="9" fontId="4" fillId="22" borderId="12" xfId="0" applyNumberFormat="1" applyFont="1" applyFill="1" applyBorder="1" applyAlignment="1">
      <alignment horizontal="right" vertical="center" wrapText="1"/>
    </xf>
    <xf numFmtId="0" fontId="5" fillId="22" borderId="2" xfId="0" applyFont="1" applyFill="1" applyBorder="1" applyAlignment="1">
      <alignment horizontal="left" vertical="center" wrapText="1"/>
    </xf>
    <xf numFmtId="9" fontId="4" fillId="22" borderId="13" xfId="0" applyNumberFormat="1" applyFont="1" applyFill="1" applyBorder="1" applyAlignment="1">
      <alignment horizontal="right" vertical="center" wrapText="1"/>
    </xf>
    <xf numFmtId="9" fontId="4" fillId="22" borderId="14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center" wrapText="1"/>
    </xf>
    <xf numFmtId="9" fontId="4" fillId="0" borderId="14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/>
    </xf>
    <xf numFmtId="9" fontId="4" fillId="0" borderId="14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 wrapText="1"/>
    </xf>
    <xf numFmtId="0" fontId="5" fillId="22" borderId="6" xfId="0" applyFont="1" applyFill="1" applyBorder="1" applyAlignment="1">
      <alignment horizontal="left" vertical="center" wrapText="1"/>
    </xf>
    <xf numFmtId="3" fontId="4" fillId="22" borderId="16" xfId="0" applyNumberFormat="1" applyFont="1" applyFill="1" applyBorder="1" applyAlignment="1">
      <alignment horizontal="right" vertical="center"/>
    </xf>
    <xf numFmtId="9" fontId="4" fillId="22" borderId="13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left" vertical="center" wrapText="1"/>
    </xf>
    <xf numFmtId="9" fontId="4" fillId="0" borderId="10" xfId="0" applyNumberFormat="1" applyFont="1" applyFill="1" applyBorder="1" applyAlignment="1">
      <alignment horizontal="right" vertical="center"/>
    </xf>
    <xf numFmtId="3" fontId="4" fillId="22" borderId="5" xfId="0" applyNumberFormat="1" applyFont="1" applyFill="1" applyBorder="1" applyAlignment="1">
      <alignment horizontal="right" vertical="center"/>
    </xf>
    <xf numFmtId="9" fontId="4" fillId="22" borderId="12" xfId="0" applyNumberFormat="1" applyFont="1" applyFill="1" applyBorder="1" applyAlignment="1">
      <alignment horizontal="right" vertical="center"/>
    </xf>
    <xf numFmtId="9" fontId="4" fillId="22" borderId="14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3" fontId="4" fillId="0" borderId="16" xfId="0" applyNumberFormat="1" applyFont="1" applyFill="1" applyBorder="1" applyAlignment="1">
      <alignment horizontal="right" vertical="center"/>
    </xf>
    <xf numFmtId="9" fontId="4" fillId="0" borderId="16" xfId="0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right" vertical="center"/>
    </xf>
    <xf numFmtId="9" fontId="4" fillId="0" borderId="1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/>
    <xf numFmtId="0" fontId="7" fillId="0" borderId="0" xfId="0" quotePrefix="1" applyFont="1" applyFill="1" applyBorder="1" applyAlignment="1">
      <alignment horizontal="right" vertical="top"/>
    </xf>
    <xf numFmtId="0" fontId="5" fillId="21" borderId="18" xfId="0" applyFont="1" applyFill="1" applyBorder="1" applyAlignment="1">
      <alignment horizontal="center" vertical="center" wrapText="1"/>
    </xf>
    <xf numFmtId="0" fontId="5" fillId="21" borderId="19" xfId="0" applyFont="1" applyFill="1" applyBorder="1" applyAlignment="1">
      <alignment horizontal="center" vertical="center" wrapText="1"/>
    </xf>
    <xf numFmtId="0" fontId="5" fillId="21" borderId="20" xfId="0" applyFont="1" applyFill="1" applyBorder="1" applyAlignment="1">
      <alignment horizontal="center" vertical="center" wrapText="1"/>
    </xf>
    <xf numFmtId="174" fontId="5" fillId="22" borderId="13" xfId="0" applyNumberFormat="1" applyFont="1" applyFill="1" applyBorder="1" applyAlignment="1">
      <alignment horizontal="right" vertical="center"/>
    </xf>
    <xf numFmtId="174" fontId="4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/>
    </xf>
    <xf numFmtId="0" fontId="5" fillId="21" borderId="6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top"/>
    </xf>
    <xf numFmtId="166" fontId="5" fillId="22" borderId="2" xfId="0" applyNumberFormat="1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/>
    </xf>
    <xf numFmtId="166" fontId="4" fillId="55" borderId="21" xfId="0" applyNumberFormat="1" applyFont="1" applyFill="1" applyBorder="1" applyAlignment="1">
      <alignment horizontal="right" vertical="center"/>
    </xf>
    <xf numFmtId="166" fontId="4" fillId="0" borderId="21" xfId="0" applyNumberFormat="1" applyFont="1" applyFill="1" applyBorder="1" applyAlignment="1">
      <alignment horizontal="right" vertical="center"/>
    </xf>
    <xf numFmtId="166" fontId="5" fillId="0" borderId="7" xfId="0" applyNumberFormat="1" applyFont="1" applyFill="1" applyBorder="1" applyAlignment="1">
      <alignment horizontal="center" vertical="center"/>
    </xf>
    <xf numFmtId="166" fontId="4" fillId="55" borderId="8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top" wrapText="1"/>
    </xf>
    <xf numFmtId="1" fontId="5" fillId="21" borderId="16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5" fillId="0" borderId="0" xfId="0" applyFont="1" applyBorder="1" applyAlignment="1">
      <alignment vertical="top"/>
    </xf>
    <xf numFmtId="9" fontId="7" fillId="0" borderId="0" xfId="0" quotePrefix="1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5" fillId="21" borderId="0" xfId="0" applyFont="1" applyFill="1" applyBorder="1" applyAlignment="1">
      <alignment horizontal="center" vertical="top"/>
    </xf>
    <xf numFmtId="0" fontId="5" fillId="21" borderId="10" xfId="0" applyFont="1" applyFill="1" applyBorder="1" applyAlignment="1">
      <alignment horizontal="center" vertical="top"/>
    </xf>
    <xf numFmtId="0" fontId="5" fillId="21" borderId="8" xfId="0" applyFont="1" applyFill="1" applyBorder="1" applyAlignment="1">
      <alignment horizontal="center" vertical="top"/>
    </xf>
    <xf numFmtId="3" fontId="4" fillId="0" borderId="0" xfId="0" applyNumberFormat="1" applyFont="1"/>
    <xf numFmtId="175" fontId="4" fillId="0" borderId="22" xfId="0" applyNumberFormat="1" applyFont="1" applyFill="1" applyBorder="1" applyAlignment="1">
      <alignment horizontal="right" vertical="center"/>
    </xf>
    <xf numFmtId="164" fontId="4" fillId="0" borderId="0" xfId="0" applyNumberFormat="1" applyFont="1"/>
    <xf numFmtId="0" fontId="32" fillId="0" borderId="0" xfId="75"/>
    <xf numFmtId="0" fontId="1" fillId="0" borderId="0" xfId="75" applyNumberFormat="1" applyFont="1" applyFill="1" applyBorder="1" applyAlignment="1"/>
    <xf numFmtId="176" fontId="1" fillId="0" borderId="0" xfId="75" applyNumberFormat="1" applyFont="1" applyFill="1" applyBorder="1" applyAlignment="1"/>
    <xf numFmtId="166" fontId="4" fillId="55" borderId="22" xfId="0" applyNumberFormat="1" applyFont="1" applyFill="1" applyBorder="1" applyAlignment="1">
      <alignment horizontal="right" vertical="center"/>
    </xf>
    <xf numFmtId="174" fontId="4" fillId="0" borderId="0" xfId="0" applyNumberFormat="1" applyFont="1" applyBorder="1"/>
    <xf numFmtId="0" fontId="4" fillId="0" borderId="0" xfId="0" applyFont="1" applyFill="1" applyAlignment="1">
      <alignment horizontal="center"/>
    </xf>
    <xf numFmtId="166" fontId="12" fillId="0" borderId="0" xfId="0" applyNumberFormat="1" applyFont="1" applyFill="1" applyBorder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 wrapText="1"/>
    </xf>
    <xf numFmtId="166" fontId="5" fillId="55" borderId="2" xfId="0" applyNumberFormat="1" applyFont="1" applyFill="1" applyBorder="1" applyAlignment="1">
      <alignment horizontal="center" vertical="center"/>
    </xf>
    <xf numFmtId="166" fontId="12" fillId="55" borderId="21" xfId="0" applyNumberFormat="1" applyFont="1" applyFill="1" applyBorder="1" applyAlignment="1">
      <alignment horizontal="right" vertical="center"/>
    </xf>
    <xf numFmtId="3" fontId="4" fillId="0" borderId="0" xfId="0" applyNumberFormat="1" applyFont="1" applyBorder="1"/>
    <xf numFmtId="0" fontId="5" fillId="55" borderId="14" xfId="0" applyFont="1" applyFill="1" applyBorder="1" applyAlignment="1">
      <alignment horizontal="center" vertical="center"/>
    </xf>
    <xf numFmtId="0" fontId="5" fillId="55" borderId="10" xfId="0" applyFont="1" applyFill="1" applyBorder="1" applyAlignment="1">
      <alignment horizontal="center" vertical="center"/>
    </xf>
    <xf numFmtId="0" fontId="28" fillId="55" borderId="2" xfId="0" applyFont="1" applyFill="1" applyBorder="1" applyAlignment="1">
      <alignment horizontal="center" vertical="center"/>
    </xf>
    <xf numFmtId="166" fontId="4" fillId="55" borderId="17" xfId="0" applyNumberFormat="1" applyFont="1" applyFill="1" applyBorder="1" applyAlignment="1">
      <alignment horizontal="right" vertical="center"/>
    </xf>
    <xf numFmtId="0" fontId="28" fillId="55" borderId="14" xfId="0" applyFont="1" applyFill="1" applyBorder="1" applyAlignment="1">
      <alignment horizontal="center" vertical="center"/>
    </xf>
    <xf numFmtId="166" fontId="4" fillId="55" borderId="9" xfId="0" applyNumberFormat="1" applyFont="1" applyFill="1" applyBorder="1" applyAlignment="1">
      <alignment horizontal="right" vertical="center"/>
    </xf>
    <xf numFmtId="165" fontId="4" fillId="55" borderId="17" xfId="0" applyNumberFormat="1" applyFont="1" applyFill="1" applyBorder="1" applyAlignment="1">
      <alignment horizontal="right" vertical="center"/>
    </xf>
    <xf numFmtId="165" fontId="4" fillId="55" borderId="9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/>
    </xf>
    <xf numFmtId="168" fontId="4" fillId="22" borderId="22" xfId="0" applyNumberFormat="1" applyFont="1" applyFill="1" applyBorder="1" applyAlignment="1">
      <alignment vertical="center"/>
    </xf>
    <xf numFmtId="169" fontId="4" fillId="0" borderId="23" xfId="0" applyNumberFormat="1" applyFont="1" applyFill="1" applyBorder="1" applyAlignment="1">
      <alignment horizontal="right" vertical="center"/>
    </xf>
    <xf numFmtId="174" fontId="4" fillId="55" borderId="14" xfId="0" applyNumberFormat="1" applyFont="1" applyFill="1" applyBorder="1" applyAlignment="1">
      <alignment horizontal="right" vertical="center"/>
    </xf>
    <xf numFmtId="174" fontId="4" fillId="55" borderId="10" xfId="0" applyNumberFormat="1" applyFont="1" applyFill="1" applyBorder="1" applyAlignment="1">
      <alignment horizontal="right" vertical="center"/>
    </xf>
    <xf numFmtId="175" fontId="4" fillId="55" borderId="2" xfId="0" applyNumberFormat="1" applyFont="1" applyFill="1" applyBorder="1" applyAlignment="1">
      <alignment horizontal="right" vertical="center"/>
    </xf>
    <xf numFmtId="175" fontId="4" fillId="55" borderId="17" xfId="0" applyNumberFormat="1" applyFont="1" applyFill="1" applyBorder="1" applyAlignment="1">
      <alignment horizontal="right" vertical="center"/>
    </xf>
    <xf numFmtId="175" fontId="4" fillId="55" borderId="0" xfId="0" applyNumberFormat="1" applyFont="1" applyFill="1" applyBorder="1" applyAlignment="1">
      <alignment horizontal="right" vertical="center"/>
    </xf>
    <xf numFmtId="175" fontId="4" fillId="55" borderId="22" xfId="0" applyNumberFormat="1" applyFont="1" applyFill="1" applyBorder="1" applyAlignment="1">
      <alignment horizontal="right" vertical="center"/>
    </xf>
    <xf numFmtId="175" fontId="12" fillId="55" borderId="0" xfId="0" applyNumberFormat="1" applyFont="1" applyFill="1" applyBorder="1" applyAlignment="1">
      <alignment horizontal="right" vertical="center"/>
    </xf>
    <xf numFmtId="175" fontId="12" fillId="55" borderId="17" xfId="0" applyNumberFormat="1" applyFont="1" applyFill="1" applyBorder="1" applyAlignment="1">
      <alignment horizontal="right" vertical="center"/>
    </xf>
    <xf numFmtId="175" fontId="4" fillId="55" borderId="7" xfId="0" applyNumberFormat="1" applyFont="1" applyFill="1" applyBorder="1" applyAlignment="1">
      <alignment horizontal="right" vertical="center"/>
    </xf>
    <xf numFmtId="175" fontId="4" fillId="55" borderId="9" xfId="0" applyNumberFormat="1" applyFont="1" applyFill="1" applyBorder="1" applyAlignment="1">
      <alignment horizontal="right" vertical="center"/>
    </xf>
    <xf numFmtId="175" fontId="4" fillId="55" borderId="8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top"/>
    </xf>
    <xf numFmtId="1" fontId="5" fillId="21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1" fontId="4" fillId="55" borderId="17" xfId="0" applyNumberFormat="1" applyFont="1" applyFill="1" applyBorder="1" applyAlignment="1">
      <alignment vertical="center"/>
    </xf>
    <xf numFmtId="171" fontId="4" fillId="55" borderId="0" xfId="0" applyNumberFormat="1" applyFont="1" applyFill="1" applyBorder="1" applyAlignment="1">
      <alignment vertical="center"/>
    </xf>
    <xf numFmtId="171" fontId="4" fillId="55" borderId="17" xfId="0" quotePrefix="1" applyNumberFormat="1" applyFont="1" applyFill="1" applyBorder="1" applyAlignment="1">
      <alignment horizontal="right" vertical="center"/>
    </xf>
    <xf numFmtId="171" fontId="4" fillId="55" borderId="0" xfId="0" quotePrefix="1" applyNumberFormat="1" applyFont="1" applyFill="1" applyBorder="1" applyAlignment="1">
      <alignment horizontal="right" vertical="center"/>
    </xf>
    <xf numFmtId="171" fontId="4" fillId="55" borderId="0" xfId="0" applyNumberFormat="1" applyFont="1" applyFill="1" applyBorder="1" applyAlignment="1">
      <alignment horizontal="right" vertical="center"/>
    </xf>
    <xf numFmtId="171" fontId="4" fillId="55" borderId="17" xfId="0" applyNumberFormat="1" applyFont="1" applyFill="1" applyBorder="1" applyAlignment="1">
      <alignment horizontal="right" vertical="center"/>
    </xf>
    <xf numFmtId="167" fontId="4" fillId="0" borderId="7" xfId="0" applyNumberFormat="1" applyFont="1" applyFill="1" applyBorder="1" applyAlignment="1">
      <alignment horizontal="right" vertical="center"/>
    </xf>
    <xf numFmtId="167" fontId="4" fillId="55" borderId="6" xfId="0" applyNumberFormat="1" applyFont="1" applyFill="1" applyBorder="1" applyAlignment="1">
      <alignment horizontal="right" vertical="center"/>
    </xf>
    <xf numFmtId="166" fontId="4" fillId="0" borderId="14" xfId="0" applyNumberFormat="1" applyFont="1" applyFill="1" applyBorder="1" applyAlignment="1">
      <alignment horizontal="right" vertical="center" wrapText="1"/>
    </xf>
    <xf numFmtId="2" fontId="4" fillId="55" borderId="6" xfId="0" applyNumberFormat="1" applyFont="1" applyFill="1" applyBorder="1" applyAlignment="1">
      <alignment horizontal="right" vertical="center"/>
    </xf>
    <xf numFmtId="166" fontId="4" fillId="55" borderId="16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left" wrapText="1"/>
    </xf>
    <xf numFmtId="0" fontId="5" fillId="55" borderId="13" xfId="0" applyFont="1" applyFill="1" applyBorder="1" applyAlignment="1">
      <alignment horizontal="center" vertical="center"/>
    </xf>
    <xf numFmtId="166" fontId="4" fillId="0" borderId="23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55" borderId="0" xfId="0" applyNumberFormat="1" applyFont="1" applyFill="1" applyBorder="1" applyAlignment="1">
      <alignment horizontal="right" vertical="center"/>
    </xf>
    <xf numFmtId="167" fontId="4" fillId="55" borderId="21" xfId="0" applyNumberFormat="1" applyFont="1" applyFill="1" applyBorder="1" applyAlignment="1">
      <alignment horizontal="right" vertical="center"/>
    </xf>
    <xf numFmtId="167" fontId="4" fillId="0" borderId="21" xfId="0" applyNumberFormat="1" applyFont="1" applyFill="1" applyBorder="1" applyAlignment="1">
      <alignment horizontal="right" vertical="center"/>
    </xf>
    <xf numFmtId="167" fontId="12" fillId="0" borderId="0" xfId="0" applyNumberFormat="1" applyFont="1" applyFill="1" applyBorder="1" applyAlignment="1">
      <alignment horizontal="right" vertical="center"/>
    </xf>
    <xf numFmtId="167" fontId="4" fillId="55" borderId="22" xfId="0" applyNumberFormat="1" applyFont="1" applyFill="1" applyBorder="1" applyAlignment="1">
      <alignment horizontal="right" vertical="center"/>
    </xf>
    <xf numFmtId="167" fontId="12" fillId="55" borderId="0" xfId="0" applyNumberFormat="1" applyFont="1" applyFill="1" applyBorder="1" applyAlignment="1">
      <alignment horizontal="right" vertical="center"/>
    </xf>
    <xf numFmtId="167" fontId="4" fillId="55" borderId="14" xfId="0" applyNumberFormat="1" applyFont="1" applyFill="1" applyBorder="1" applyAlignment="1">
      <alignment horizontal="right" vertical="center"/>
    </xf>
    <xf numFmtId="167" fontId="4" fillId="0" borderId="14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 wrapText="1"/>
    </xf>
    <xf numFmtId="167" fontId="4" fillId="55" borderId="8" xfId="0" applyNumberFormat="1" applyFont="1" applyFill="1" applyBorder="1" applyAlignment="1">
      <alignment horizontal="right" vertical="center"/>
    </xf>
    <xf numFmtId="167" fontId="4" fillId="0" borderId="16" xfId="0" applyNumberFormat="1" applyFont="1" applyFill="1" applyBorder="1" applyAlignment="1">
      <alignment horizontal="right" vertical="center"/>
    </xf>
    <xf numFmtId="167" fontId="4" fillId="0" borderId="8" xfId="0" applyNumberFormat="1" applyFont="1" applyFill="1" applyBorder="1" applyAlignment="1">
      <alignment horizontal="right" vertical="center"/>
    </xf>
    <xf numFmtId="167" fontId="4" fillId="0" borderId="10" xfId="0" applyNumberFormat="1" applyFont="1" applyFill="1" applyBorder="1" applyAlignment="1">
      <alignment horizontal="right" vertical="center"/>
    </xf>
    <xf numFmtId="167" fontId="4" fillId="55" borderId="16" xfId="0" applyNumberFormat="1" applyFont="1" applyFill="1" applyBorder="1" applyAlignment="1">
      <alignment horizontal="right" vertical="center"/>
    </xf>
    <xf numFmtId="178" fontId="5" fillId="22" borderId="16" xfId="0" applyNumberFormat="1" applyFont="1" applyFill="1" applyBorder="1" applyAlignment="1">
      <alignment horizontal="right" vertical="center"/>
    </xf>
    <xf numFmtId="178" fontId="13" fillId="22" borderId="16" xfId="0" applyNumberFormat="1" applyFont="1" applyFill="1" applyBorder="1" applyAlignment="1">
      <alignment horizontal="right" vertical="center"/>
    </xf>
    <xf numFmtId="178" fontId="4" fillId="0" borderId="16" xfId="0" applyNumberFormat="1" applyFont="1" applyFill="1" applyBorder="1" applyAlignment="1">
      <alignment horizontal="right" vertical="center"/>
    </xf>
    <xf numFmtId="178" fontId="4" fillId="0" borderId="23" xfId="0" applyNumberFormat="1" applyFont="1" applyFill="1" applyBorder="1" applyAlignment="1">
      <alignment horizontal="right" vertical="center"/>
    </xf>
    <xf numFmtId="178" fontId="4" fillId="22" borderId="17" xfId="0" applyNumberFormat="1" applyFont="1" applyFill="1" applyBorder="1" applyAlignment="1">
      <alignment horizontal="right" vertical="center"/>
    </xf>
    <xf numFmtId="178" fontId="4" fillId="22" borderId="0" xfId="0" applyNumberFormat="1" applyFont="1" applyFill="1" applyBorder="1" applyAlignment="1">
      <alignment horizontal="right" vertical="center"/>
    </xf>
    <xf numFmtId="178" fontId="4" fillId="22" borderId="21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 vertical="center"/>
    </xf>
    <xf numFmtId="178" fontId="4" fillId="0" borderId="21" xfId="0" applyNumberFormat="1" applyFont="1" applyFill="1" applyBorder="1" applyAlignment="1">
      <alignment horizontal="right" vertical="center"/>
    </xf>
    <xf numFmtId="178" fontId="4" fillId="0" borderId="22" xfId="0" applyNumberFormat="1" applyFont="1" applyFill="1" applyBorder="1" applyAlignment="1">
      <alignment horizontal="right" vertical="center"/>
    </xf>
    <xf numFmtId="178" fontId="4" fillId="0" borderId="14" xfId="0" applyNumberFormat="1" applyFont="1" applyFill="1" applyBorder="1" applyAlignment="1">
      <alignment horizontal="right" vertical="center"/>
    </xf>
    <xf numFmtId="178" fontId="4" fillId="22" borderId="22" xfId="0" applyNumberFormat="1" applyFont="1" applyFill="1" applyBorder="1" applyAlignment="1">
      <alignment horizontal="right" vertical="center"/>
    </xf>
    <xf numFmtId="178" fontId="4" fillId="55" borderId="17" xfId="0" applyNumberFormat="1" applyFont="1" applyFill="1" applyBorder="1" applyAlignment="1">
      <alignment horizontal="right" vertical="center"/>
    </xf>
    <xf numFmtId="178" fontId="4" fillId="55" borderId="0" xfId="0" applyNumberFormat="1" applyFont="1" applyFill="1" applyBorder="1" applyAlignment="1">
      <alignment horizontal="right" vertical="center"/>
    </xf>
    <xf numFmtId="178" fontId="4" fillId="55" borderId="22" xfId="0" applyNumberFormat="1" applyFont="1" applyFill="1" applyBorder="1" applyAlignment="1">
      <alignment horizontal="right" vertical="center"/>
    </xf>
    <xf numFmtId="178" fontId="12" fillId="0" borderId="0" xfId="0" applyNumberFormat="1" applyFont="1" applyFill="1" applyBorder="1" applyAlignment="1">
      <alignment horizontal="right" vertical="center"/>
    </xf>
    <xf numFmtId="178" fontId="4" fillId="55" borderId="21" xfId="0" applyNumberFormat="1" applyFont="1" applyFill="1" applyBorder="1" applyAlignment="1">
      <alignment horizontal="right" vertical="center"/>
    </xf>
    <xf numFmtId="178" fontId="12" fillId="55" borderId="0" xfId="0" applyNumberFormat="1" applyFont="1" applyFill="1" applyBorder="1" applyAlignment="1">
      <alignment horizontal="right" vertical="center"/>
    </xf>
    <xf numFmtId="178" fontId="4" fillId="55" borderId="9" xfId="0" applyNumberFormat="1" applyFont="1" applyFill="1" applyBorder="1" applyAlignment="1">
      <alignment horizontal="right" vertical="center"/>
    </xf>
    <xf numFmtId="178" fontId="4" fillId="55" borderId="8" xfId="0" applyNumberFormat="1" applyFont="1" applyFill="1" applyBorder="1" applyAlignment="1">
      <alignment horizontal="right" vertical="center"/>
    </xf>
    <xf numFmtId="178" fontId="4" fillId="0" borderId="15" xfId="0" applyNumberFormat="1" applyFont="1" applyFill="1" applyBorder="1" applyAlignment="1">
      <alignment horizontal="right" vertical="center"/>
    </xf>
    <xf numFmtId="178" fontId="4" fillId="0" borderId="9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178" fontId="4" fillId="55" borderId="16" xfId="0" applyNumberFormat="1" applyFont="1" applyFill="1" applyBorder="1" applyAlignment="1">
      <alignment horizontal="right" vertical="center"/>
    </xf>
    <xf numFmtId="178" fontId="5" fillId="22" borderId="15" xfId="0" applyNumberFormat="1" applyFont="1" applyFill="1" applyBorder="1" applyAlignment="1">
      <alignment horizontal="center" vertical="center"/>
    </xf>
    <xf numFmtId="178" fontId="5" fillId="22" borderId="16" xfId="0" applyNumberFormat="1" applyFont="1" applyFill="1" applyBorder="1" applyAlignment="1">
      <alignment horizontal="center" vertical="center"/>
    </xf>
    <xf numFmtId="178" fontId="13" fillId="22" borderId="0" xfId="0" applyNumberFormat="1" applyFont="1" applyFill="1" applyBorder="1" applyAlignment="1">
      <alignment horizontal="right" vertical="center"/>
    </xf>
    <xf numFmtId="178" fontId="4" fillId="22" borderId="14" xfId="0" applyNumberFormat="1" applyFont="1" applyFill="1" applyBorder="1" applyAlignment="1">
      <alignment horizontal="right" vertical="center"/>
    </xf>
    <xf numFmtId="178" fontId="12" fillId="55" borderId="17" xfId="0" applyNumberFormat="1" applyFont="1" applyFill="1" applyBorder="1" applyAlignment="1">
      <alignment horizontal="right" vertical="center"/>
    </xf>
    <xf numFmtId="166" fontId="27" fillId="0" borderId="9" xfId="0" applyNumberFormat="1" applyFont="1" applyFill="1" applyBorder="1" applyAlignment="1">
      <alignment horizontal="right" vertical="center"/>
    </xf>
    <xf numFmtId="166" fontId="27" fillId="0" borderId="8" xfId="0" applyNumberFormat="1" applyFont="1" applyFill="1" applyBorder="1" applyAlignment="1">
      <alignment horizontal="right" vertical="center"/>
    </xf>
    <xf numFmtId="178" fontId="4" fillId="55" borderId="14" xfId="0" applyNumberFormat="1" applyFont="1" applyFill="1" applyBorder="1" applyAlignment="1">
      <alignment horizontal="right" vertical="center"/>
    </xf>
    <xf numFmtId="178" fontId="4" fillId="55" borderId="10" xfId="0" applyNumberFormat="1" applyFont="1" applyFill="1" applyBorder="1" applyAlignment="1">
      <alignment horizontal="right" vertical="center"/>
    </xf>
    <xf numFmtId="178" fontId="27" fillId="0" borderId="8" xfId="0" applyNumberFormat="1" applyFont="1" applyFill="1" applyBorder="1" applyAlignment="1">
      <alignment horizontal="right" vertical="center"/>
    </xf>
    <xf numFmtId="178" fontId="4" fillId="0" borderId="10" xfId="0" applyNumberFormat="1" applyFont="1" applyFill="1" applyBorder="1" applyAlignment="1">
      <alignment horizontal="right" vertical="center"/>
    </xf>
    <xf numFmtId="165" fontId="4" fillId="55" borderId="15" xfId="0" applyNumberFormat="1" applyFont="1" applyFill="1" applyBorder="1" applyAlignment="1">
      <alignment horizontal="right" vertical="center"/>
    </xf>
    <xf numFmtId="167" fontId="13" fillId="22" borderId="16" xfId="0" applyNumberFormat="1" applyFont="1" applyFill="1" applyBorder="1" applyAlignment="1">
      <alignment horizontal="right" vertical="center"/>
    </xf>
    <xf numFmtId="167" fontId="5" fillId="22" borderId="16" xfId="0" applyNumberFormat="1" applyFont="1" applyFill="1" applyBorder="1" applyAlignment="1">
      <alignment horizontal="right" vertical="center"/>
    </xf>
    <xf numFmtId="167" fontId="19" fillId="0" borderId="0" xfId="125" applyNumberFormat="1" applyFont="1" applyFill="1" applyBorder="1" applyAlignment="1">
      <alignment vertical="center"/>
      <protection locked="0"/>
    </xf>
    <xf numFmtId="167" fontId="19" fillId="0" borderId="16" xfId="125" applyNumberFormat="1" applyFont="1" applyFill="1" applyBorder="1" applyAlignment="1">
      <alignment vertical="center"/>
      <protection locked="0"/>
    </xf>
    <xf numFmtId="167" fontId="19" fillId="0" borderId="17" xfId="125" applyNumberFormat="1" applyFont="1" applyFill="1" applyBorder="1" applyAlignment="1">
      <alignment vertical="center"/>
      <protection locked="0"/>
    </xf>
    <xf numFmtId="167" fontId="19" fillId="22" borderId="0" xfId="125" applyNumberFormat="1" applyFont="1" applyFill="1" applyBorder="1" applyAlignment="1">
      <alignment vertical="center"/>
      <protection locked="0"/>
    </xf>
    <xf numFmtId="167" fontId="19" fillId="22" borderId="14" xfId="125" applyNumberFormat="1" applyFont="1" applyFill="1" applyBorder="1" applyAlignment="1">
      <alignment vertical="center"/>
      <protection locked="0"/>
    </xf>
    <xf numFmtId="167" fontId="19" fillId="22" borderId="17" xfId="125" applyNumberFormat="1" applyFont="1" applyFill="1" applyBorder="1" applyAlignment="1">
      <alignment horizontal="center" vertical="center"/>
      <protection locked="0"/>
    </xf>
    <xf numFmtId="167" fontId="19" fillId="22" borderId="0" xfId="125" applyNumberFormat="1" applyFont="1" applyFill="1" applyBorder="1" applyAlignment="1">
      <alignment horizontal="center" vertical="center"/>
      <protection locked="0"/>
    </xf>
    <xf numFmtId="167" fontId="19" fillId="0" borderId="14" xfId="125" applyNumberFormat="1" applyFont="1" applyFill="1" applyBorder="1" applyAlignment="1">
      <alignment vertical="center"/>
      <protection locked="0"/>
    </xf>
    <xf numFmtId="167" fontId="19" fillId="22" borderId="17" xfId="125" applyNumberFormat="1" applyFont="1" applyFill="1" applyBorder="1" applyAlignment="1">
      <alignment vertical="center"/>
      <protection locked="0"/>
    </xf>
    <xf numFmtId="167" fontId="19" fillId="0" borderId="22" xfId="125" applyNumberFormat="1" applyFont="1" applyFill="1" applyBorder="1" applyAlignment="1">
      <alignment vertical="center"/>
      <protection locked="0"/>
    </xf>
    <xf numFmtId="167" fontId="19" fillId="0" borderId="17" xfId="125" applyNumberFormat="1" applyFont="1" applyFill="1" applyBorder="1" applyAlignment="1">
      <alignment horizontal="center" vertical="center"/>
      <protection locked="0"/>
    </xf>
    <xf numFmtId="167" fontId="19" fillId="0" borderId="0" xfId="125" applyNumberFormat="1" applyFont="1" applyFill="1" applyBorder="1" applyAlignment="1">
      <alignment horizontal="center" vertical="center"/>
      <protection locked="0"/>
    </xf>
    <xf numFmtId="167" fontId="19" fillId="0" borderId="0" xfId="125" quotePrefix="1" applyNumberFormat="1" applyFont="1" applyFill="1" applyBorder="1" applyAlignment="1">
      <alignment horizontal="center" vertical="center"/>
      <protection locked="0"/>
    </xf>
    <xf numFmtId="167" fontId="19" fillId="0" borderId="0" xfId="125" quotePrefix="1" applyNumberFormat="1" applyFont="1" applyFill="1" applyBorder="1" applyAlignment="1">
      <alignment horizontal="right" vertical="center"/>
      <protection locked="0"/>
    </xf>
    <xf numFmtId="167" fontId="19" fillId="0" borderId="14" xfId="125" quotePrefix="1" applyNumberFormat="1" applyFont="1" applyFill="1" applyBorder="1" applyAlignment="1">
      <alignment horizontal="right" vertical="center"/>
      <protection locked="0"/>
    </xf>
    <xf numFmtId="167" fontId="19" fillId="0" borderId="0" xfId="125" applyNumberFormat="1" applyFont="1" applyFill="1" applyBorder="1" applyAlignment="1">
      <alignment horizontal="right" vertical="center"/>
      <protection locked="0"/>
    </xf>
    <xf numFmtId="167" fontId="19" fillId="0" borderId="14" xfId="125" applyNumberFormat="1" applyFont="1" applyFill="1" applyBorder="1" applyAlignment="1">
      <alignment horizontal="right" vertical="center"/>
      <protection locked="0"/>
    </xf>
    <xf numFmtId="167" fontId="19" fillId="55" borderId="0" xfId="125" applyNumberFormat="1" applyFont="1" applyFill="1" applyBorder="1" applyAlignment="1">
      <alignment vertical="center"/>
      <protection locked="0"/>
    </xf>
    <xf numFmtId="167" fontId="19" fillId="55" borderId="14" xfId="125" applyNumberFormat="1" applyFont="1" applyFill="1" applyBorder="1" applyAlignment="1">
      <alignment vertical="center"/>
      <protection locked="0"/>
    </xf>
    <xf numFmtId="167" fontId="19" fillId="55" borderId="17" xfId="125" applyNumberFormat="1" applyFont="1" applyFill="1" applyBorder="1" applyAlignment="1">
      <alignment vertical="center"/>
      <protection locked="0"/>
    </xf>
    <xf numFmtId="167" fontId="19" fillId="55" borderId="0" xfId="125" quotePrefix="1" applyNumberFormat="1" applyFont="1" applyFill="1" applyBorder="1" applyAlignment="1">
      <alignment horizontal="center" vertical="center"/>
      <protection locked="0"/>
    </xf>
    <xf numFmtId="167" fontId="19" fillId="55" borderId="8" xfId="125" applyNumberFormat="1" applyFont="1" applyFill="1" applyBorder="1" applyAlignment="1">
      <alignment vertical="center"/>
      <protection locked="0"/>
    </xf>
    <xf numFmtId="167" fontId="19" fillId="55" borderId="9" xfId="125" applyNumberFormat="1" applyFont="1" applyFill="1" applyBorder="1" applyAlignment="1">
      <alignment vertical="center"/>
      <protection locked="0"/>
    </xf>
    <xf numFmtId="167" fontId="19" fillId="0" borderId="8" xfId="125" applyNumberFormat="1" applyFont="1" applyFill="1" applyBorder="1" applyAlignment="1">
      <alignment vertical="center"/>
      <protection locked="0"/>
    </xf>
    <xf numFmtId="167" fontId="19" fillId="0" borderId="10" xfId="125" applyNumberFormat="1" applyFont="1" applyFill="1" applyBorder="1" applyAlignment="1">
      <alignment vertical="center"/>
      <protection locked="0"/>
    </xf>
    <xf numFmtId="167" fontId="19" fillId="0" borderId="9" xfId="125" applyNumberFormat="1" applyFont="1" applyFill="1" applyBorder="1" applyAlignment="1">
      <alignment vertical="center"/>
      <protection locked="0"/>
    </xf>
    <xf numFmtId="167" fontId="5" fillId="22" borderId="15" xfId="0" applyNumberFormat="1" applyFont="1" applyFill="1" applyBorder="1" applyAlignment="1">
      <alignment horizontal="right" vertical="center"/>
    </xf>
    <xf numFmtId="167" fontId="4" fillId="0" borderId="17" xfId="0" applyNumberFormat="1" applyFont="1" applyFill="1" applyBorder="1" applyAlignment="1">
      <alignment horizontal="right" vertical="center"/>
    </xf>
    <xf numFmtId="167" fontId="4" fillId="22" borderId="17" xfId="0" applyNumberFormat="1" applyFont="1" applyFill="1" applyBorder="1" applyAlignment="1">
      <alignment horizontal="right" vertical="center"/>
    </xf>
    <xf numFmtId="167" fontId="19" fillId="0" borderId="17" xfId="125" quotePrefix="1" applyNumberFormat="1" applyFont="1" applyFill="1" applyBorder="1" applyAlignment="1">
      <alignment horizontal="center" vertical="center"/>
      <protection locked="0"/>
    </xf>
    <xf numFmtId="167" fontId="4" fillId="55" borderId="17" xfId="0" applyNumberFormat="1" applyFont="1" applyFill="1" applyBorder="1" applyAlignment="1">
      <alignment horizontal="right" vertical="center"/>
    </xf>
    <xf numFmtId="167" fontId="4" fillId="55" borderId="9" xfId="0" applyNumberFormat="1" applyFont="1" applyFill="1" applyBorder="1" applyAlignment="1">
      <alignment horizontal="right" vertical="center"/>
    </xf>
    <xf numFmtId="167" fontId="4" fillId="0" borderId="17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7" fontId="4" fillId="55" borderId="17" xfId="0" applyNumberFormat="1" applyFont="1" applyFill="1" applyBorder="1" applyAlignment="1">
      <alignment vertical="center"/>
    </xf>
    <xf numFmtId="167" fontId="4" fillId="55" borderId="0" xfId="0" applyNumberFormat="1" applyFont="1" applyFill="1" applyBorder="1" applyAlignment="1">
      <alignment vertical="center"/>
    </xf>
    <xf numFmtId="167" fontId="4" fillId="0" borderId="9" xfId="0" applyNumberFormat="1" applyFont="1" applyFill="1" applyBorder="1" applyAlignment="1">
      <alignment vertical="center"/>
    </xf>
    <xf numFmtId="167" fontId="4" fillId="0" borderId="8" xfId="0" applyNumberFormat="1" applyFont="1" applyFill="1" applyBorder="1" applyAlignment="1">
      <alignment vertical="center"/>
    </xf>
    <xf numFmtId="178" fontId="13" fillId="22" borderId="15" xfId="0" applyNumberFormat="1" applyFont="1" applyFill="1" applyBorder="1" applyAlignment="1">
      <alignment horizontal="right" vertical="center"/>
    </xf>
    <xf numFmtId="179" fontId="29" fillId="0" borderId="17" xfId="0" applyNumberFormat="1" applyFont="1" applyFill="1" applyBorder="1" applyAlignment="1">
      <alignment vertical="center"/>
    </xf>
    <xf numFmtId="179" fontId="29" fillId="0" borderId="0" xfId="0" applyNumberFormat="1" applyFont="1" applyFill="1" applyBorder="1" applyAlignment="1">
      <alignment vertical="center"/>
    </xf>
    <xf numFmtId="179" fontId="19" fillId="0" borderId="0" xfId="125" applyNumberFormat="1" applyFont="1" applyFill="1" applyBorder="1" applyAlignment="1">
      <alignment vertical="center"/>
      <protection locked="0"/>
    </xf>
    <xf numFmtId="179" fontId="29" fillId="22" borderId="17" xfId="0" applyNumberFormat="1" applyFont="1" applyFill="1" applyBorder="1" applyAlignment="1">
      <alignment vertical="center"/>
    </xf>
    <xf numFmtId="179" fontId="29" fillId="22" borderId="0" xfId="0" applyNumberFormat="1" applyFont="1" applyFill="1" applyBorder="1" applyAlignment="1">
      <alignment vertical="center"/>
    </xf>
    <xf numFmtId="179" fontId="19" fillId="22" borderId="0" xfId="125" applyNumberFormat="1" applyFont="1" applyFill="1" applyBorder="1" applyAlignment="1">
      <alignment vertical="center"/>
      <protection locked="0"/>
    </xf>
    <xf numFmtId="179" fontId="19" fillId="0" borderId="22" xfId="125" applyNumberFormat="1" applyFont="1" applyFill="1" applyBorder="1" applyAlignment="1">
      <alignment vertical="center"/>
      <protection locked="0"/>
    </xf>
    <xf numFmtId="179" fontId="29" fillId="55" borderId="17" xfId="0" applyNumberFormat="1" applyFont="1" applyFill="1" applyBorder="1" applyAlignment="1">
      <alignment vertical="center"/>
    </xf>
    <xf numFmtId="179" fontId="29" fillId="55" borderId="0" xfId="0" applyNumberFormat="1" applyFont="1" applyFill="1" applyBorder="1" applyAlignment="1">
      <alignment vertical="center"/>
    </xf>
    <xf numFmtId="179" fontId="19" fillId="55" borderId="0" xfId="125" applyNumberFormat="1" applyFont="1" applyFill="1" applyBorder="1" applyAlignment="1">
      <alignment vertical="center"/>
      <protection locked="0"/>
    </xf>
    <xf numFmtId="179" fontId="29" fillId="0" borderId="9" xfId="0" applyNumberFormat="1" applyFont="1" applyFill="1" applyBorder="1" applyAlignment="1">
      <alignment vertical="center"/>
    </xf>
    <xf numFmtId="179" fontId="29" fillId="0" borderId="8" xfId="0" applyNumberFormat="1" applyFont="1" applyFill="1" applyBorder="1" applyAlignment="1">
      <alignment vertical="center"/>
    </xf>
    <xf numFmtId="179" fontId="19" fillId="0" borderId="8" xfId="125" applyNumberFormat="1" applyFont="1" applyFill="1" applyBorder="1" applyAlignment="1">
      <alignment vertical="center"/>
      <protection locked="0"/>
    </xf>
    <xf numFmtId="0" fontId="0" fillId="0" borderId="0" xfId="0" applyAlignment="1">
      <alignment wrapText="1"/>
    </xf>
    <xf numFmtId="167" fontId="12" fillId="0" borderId="0" xfId="0" applyNumberFormat="1" applyFont="1" applyFill="1" applyBorder="1" applyAlignment="1">
      <alignment vertical="center"/>
    </xf>
    <xf numFmtId="167" fontId="4" fillId="0" borderId="17" xfId="0" quotePrefix="1" applyNumberFormat="1" applyFont="1" applyFill="1" applyBorder="1" applyAlignment="1">
      <alignment horizontal="right" vertical="center"/>
    </xf>
    <xf numFmtId="167" fontId="4" fillId="0" borderId="0" xfId="0" quotePrefix="1" applyNumberFormat="1" applyFont="1" applyFill="1" applyBorder="1" applyAlignment="1">
      <alignment horizontal="right" vertical="center"/>
    </xf>
    <xf numFmtId="167" fontId="4" fillId="0" borderId="22" xfId="0" applyNumberFormat="1" applyFont="1" applyFill="1" applyBorder="1" applyAlignment="1">
      <alignment vertical="center"/>
    </xf>
    <xf numFmtId="167" fontId="12" fillId="0" borderId="17" xfId="0" applyNumberFormat="1" applyFont="1" applyFill="1" applyBorder="1" applyAlignment="1">
      <alignment vertical="center"/>
    </xf>
    <xf numFmtId="167" fontId="4" fillId="0" borderId="21" xfId="0" applyNumberFormat="1" applyFont="1" applyFill="1" applyBorder="1" applyAlignment="1">
      <alignment vertical="center"/>
    </xf>
    <xf numFmtId="167" fontId="12" fillId="22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/>
    <xf numFmtId="167" fontId="12" fillId="0" borderId="0" xfId="0" applyNumberFormat="1" applyFont="1" applyFill="1" applyBorder="1"/>
    <xf numFmtId="167" fontId="4" fillId="55" borderId="21" xfId="0" applyNumberFormat="1" applyFont="1" applyFill="1" applyBorder="1" applyAlignment="1">
      <alignment vertical="center"/>
    </xf>
    <xf numFmtId="167" fontId="12" fillId="55" borderId="0" xfId="0" applyNumberFormat="1" applyFont="1" applyFill="1" applyBorder="1" applyAlignment="1">
      <alignment vertical="center"/>
    </xf>
    <xf numFmtId="167" fontId="4" fillId="55" borderId="17" xfId="0" quotePrefix="1" applyNumberFormat="1" applyFont="1" applyFill="1" applyBorder="1" applyAlignment="1">
      <alignment horizontal="right" vertical="center"/>
    </xf>
    <xf numFmtId="167" fontId="4" fillId="55" borderId="0" xfId="0" quotePrefix="1" applyNumberFormat="1" applyFont="1" applyFill="1" applyBorder="1" applyAlignment="1">
      <alignment horizontal="right" vertical="center"/>
    </xf>
    <xf numFmtId="167" fontId="4" fillId="55" borderId="9" xfId="0" applyNumberFormat="1" applyFont="1" applyFill="1" applyBorder="1" applyAlignment="1">
      <alignment vertical="center"/>
    </xf>
    <xf numFmtId="167" fontId="4" fillId="55" borderId="8" xfId="0" applyNumberFormat="1" applyFont="1" applyFill="1" applyBorder="1" applyAlignment="1">
      <alignment vertical="center"/>
    </xf>
    <xf numFmtId="167" fontId="4" fillId="55" borderId="24" xfId="0" applyNumberFormat="1" applyFont="1" applyFill="1" applyBorder="1" applyAlignment="1">
      <alignment vertical="center"/>
    </xf>
    <xf numFmtId="167" fontId="4" fillId="0" borderId="9" xfId="0" applyNumberFormat="1" applyFont="1" applyFill="1" applyBorder="1" applyAlignment="1">
      <alignment horizontal="right" vertical="center"/>
    </xf>
    <xf numFmtId="167" fontId="13" fillId="22" borderId="13" xfId="0" applyNumberFormat="1" applyFont="1" applyFill="1" applyBorder="1" applyAlignment="1">
      <alignment horizontal="right" vertical="center"/>
    </xf>
    <xf numFmtId="167" fontId="12" fillId="0" borderId="14" xfId="0" applyNumberFormat="1" applyFont="1" applyFill="1" applyBorder="1" applyAlignment="1">
      <alignment vertical="center"/>
    </xf>
    <xf numFmtId="167" fontId="4" fillId="22" borderId="14" xfId="0" applyNumberFormat="1" applyFont="1" applyFill="1" applyBorder="1" applyAlignment="1">
      <alignment vertical="center"/>
    </xf>
    <xf numFmtId="167" fontId="4" fillId="0" borderId="14" xfId="0" applyNumberFormat="1" applyFont="1" applyFill="1" applyBorder="1" applyAlignment="1">
      <alignment vertical="center"/>
    </xf>
    <xf numFmtId="167" fontId="12" fillId="22" borderId="14" xfId="0" applyNumberFormat="1" applyFont="1" applyFill="1" applyBorder="1" applyAlignment="1">
      <alignment vertical="center"/>
    </xf>
    <xf numFmtId="167" fontId="4" fillId="55" borderId="14" xfId="0" applyNumberFormat="1" applyFont="1" applyFill="1" applyBorder="1" applyAlignment="1">
      <alignment vertical="center"/>
    </xf>
    <xf numFmtId="167" fontId="4" fillId="55" borderId="10" xfId="0" applyNumberFormat="1" applyFont="1" applyFill="1" applyBorder="1" applyAlignment="1">
      <alignment vertical="center"/>
    </xf>
    <xf numFmtId="167" fontId="4" fillId="0" borderId="10" xfId="0" applyNumberFormat="1" applyFont="1" applyFill="1" applyBorder="1" applyAlignment="1">
      <alignment vertical="center"/>
    </xf>
    <xf numFmtId="167" fontId="4" fillId="0" borderId="15" xfId="0" applyNumberFormat="1" applyFont="1" applyFill="1" applyBorder="1" applyAlignment="1">
      <alignment vertical="center"/>
    </xf>
    <xf numFmtId="167" fontId="4" fillId="0" borderId="16" xfId="0" applyNumberFormat="1" applyFont="1" applyFill="1" applyBorder="1" applyAlignment="1">
      <alignment vertical="center"/>
    </xf>
    <xf numFmtId="167" fontId="12" fillId="0" borderId="16" xfId="0" applyNumberFormat="1" applyFont="1" applyFill="1" applyBorder="1" applyAlignment="1">
      <alignment vertical="center"/>
    </xf>
    <xf numFmtId="167" fontId="4" fillId="0" borderId="13" xfId="0" applyNumberFormat="1" applyFont="1" applyFill="1" applyBorder="1" applyAlignment="1">
      <alignment vertical="center"/>
    </xf>
    <xf numFmtId="167" fontId="4" fillId="0" borderId="14" xfId="0" quotePrefix="1" applyNumberFormat="1" applyFont="1" applyFill="1" applyBorder="1" applyAlignment="1">
      <alignment horizontal="right" vertical="center"/>
    </xf>
    <xf numFmtId="167" fontId="12" fillId="55" borderId="14" xfId="0" applyNumberFormat="1" applyFont="1" applyFill="1" applyBorder="1" applyAlignment="1">
      <alignment vertical="center"/>
    </xf>
    <xf numFmtId="167" fontId="4" fillId="55" borderId="14" xfId="0" quotePrefix="1" applyNumberFormat="1" applyFont="1" applyFill="1" applyBorder="1" applyAlignment="1">
      <alignment horizontal="right" vertical="center"/>
    </xf>
    <xf numFmtId="167" fontId="4" fillId="0" borderId="25" xfId="0" applyNumberFormat="1" applyFont="1" applyFill="1" applyBorder="1" applyAlignment="1">
      <alignment vertical="center"/>
    </xf>
    <xf numFmtId="167" fontId="4" fillId="55" borderId="8" xfId="0" applyNumberFormat="1" applyFont="1" applyFill="1" applyBorder="1" applyAlignment="1">
      <alignment horizontal="center"/>
    </xf>
    <xf numFmtId="167" fontId="4" fillId="55" borderId="26" xfId="0" applyNumberFormat="1" applyFont="1" applyFill="1" applyBorder="1" applyAlignment="1">
      <alignment horizontal="center"/>
    </xf>
    <xf numFmtId="167" fontId="5" fillId="55" borderId="27" xfId="0" applyNumberFormat="1" applyFont="1" applyFill="1" applyBorder="1" applyAlignment="1">
      <alignment horizontal="center" vertical="center"/>
    </xf>
    <xf numFmtId="167" fontId="12" fillId="55" borderId="8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 vertical="center"/>
    </xf>
    <xf numFmtId="167" fontId="4" fillId="0" borderId="28" xfId="0" applyNumberFormat="1" applyFont="1" applyFill="1" applyBorder="1" applyAlignment="1">
      <alignment horizontal="right" vertical="center"/>
    </xf>
    <xf numFmtId="171" fontId="4" fillId="55" borderId="15" xfId="0" quotePrefix="1" applyNumberFormat="1" applyFont="1" applyFill="1" applyBorder="1" applyAlignment="1">
      <alignment horizontal="right" vertical="center"/>
    </xf>
    <xf numFmtId="171" fontId="4" fillId="55" borderId="16" xfId="0" quotePrefix="1" applyNumberFormat="1" applyFont="1" applyFill="1" applyBorder="1" applyAlignment="1">
      <alignment horizontal="right" vertical="center"/>
    </xf>
    <xf numFmtId="167" fontId="12" fillId="0" borderId="13" xfId="0" applyNumberFormat="1" applyFont="1" applyFill="1" applyBorder="1" applyAlignment="1">
      <alignment vertical="center"/>
    </xf>
    <xf numFmtId="167" fontId="4" fillId="22" borderId="25" xfId="0" applyNumberFormat="1" applyFont="1" applyFill="1" applyBorder="1" applyAlignment="1">
      <alignment vertical="center"/>
    </xf>
    <xf numFmtId="167" fontId="12" fillId="22" borderId="14" xfId="0" applyNumberFormat="1" applyFont="1" applyFill="1" applyBorder="1" applyAlignment="1">
      <alignment horizontal="right" vertical="center"/>
    </xf>
    <xf numFmtId="167" fontId="4" fillId="55" borderId="25" xfId="0" applyNumberFormat="1" applyFont="1" applyFill="1" applyBorder="1" applyAlignment="1">
      <alignment vertical="center"/>
    </xf>
    <xf numFmtId="167" fontId="4" fillId="55" borderId="16" xfId="0" quotePrefix="1" applyNumberFormat="1" applyFont="1" applyFill="1" applyBorder="1" applyAlignment="1">
      <alignment horizontal="right" vertical="center"/>
    </xf>
    <xf numFmtId="167" fontId="4" fillId="55" borderId="13" xfId="0" quotePrefix="1" applyNumberFormat="1" applyFont="1" applyFill="1" applyBorder="1" applyAlignment="1">
      <alignment horizontal="right" vertical="center"/>
    </xf>
    <xf numFmtId="167" fontId="4" fillId="55" borderId="16" xfId="0" quotePrefix="1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/>
    </xf>
    <xf numFmtId="180" fontId="5" fillId="22" borderId="11" xfId="0" applyNumberFormat="1" applyFont="1" applyFill="1" applyBorder="1" applyAlignment="1">
      <alignment horizontal="right" vertical="center"/>
    </xf>
    <xf numFmtId="180" fontId="5" fillId="22" borderId="5" xfId="0" applyNumberFormat="1" applyFont="1" applyFill="1" applyBorder="1" applyAlignment="1">
      <alignment horizontal="right" vertical="center"/>
    </xf>
    <xf numFmtId="181" fontId="5" fillId="22" borderId="29" xfId="0" applyNumberFormat="1" applyFont="1" applyFill="1" applyBorder="1" applyAlignment="1">
      <alignment horizontal="right" vertical="center"/>
    </xf>
    <xf numFmtId="181" fontId="5" fillId="22" borderId="5" xfId="0" applyNumberFormat="1" applyFont="1" applyFill="1" applyBorder="1" applyAlignment="1">
      <alignment horizontal="right" vertical="center"/>
    </xf>
    <xf numFmtId="181" fontId="5" fillId="22" borderId="17" xfId="0" applyNumberFormat="1" applyFont="1" applyFill="1" applyBorder="1" applyAlignment="1">
      <alignment horizontal="right" vertical="center"/>
    </xf>
    <xf numFmtId="181" fontId="5" fillId="22" borderId="30" xfId="0" applyNumberFormat="1" applyFont="1" applyFill="1" applyBorder="1" applyAlignment="1">
      <alignment horizontal="right" vertical="center"/>
    </xf>
    <xf numFmtId="181" fontId="5" fillId="22" borderId="0" xfId="0" applyNumberFormat="1" applyFont="1" applyFill="1" applyBorder="1" applyAlignment="1">
      <alignment horizontal="right" vertical="center"/>
    </xf>
    <xf numFmtId="181" fontId="4" fillId="0" borderId="17" xfId="0" applyNumberFormat="1" applyFont="1" applyFill="1" applyBorder="1" applyAlignment="1">
      <alignment horizontal="right" vertical="center"/>
    </xf>
    <xf numFmtId="181" fontId="4" fillId="0" borderId="30" xfId="0" applyNumberFormat="1" applyFont="1" applyFill="1" applyBorder="1" applyAlignment="1">
      <alignment horizontal="right" vertical="center"/>
    </xf>
    <xf numFmtId="181" fontId="4" fillId="0" borderId="31" xfId="0" applyNumberFormat="1" applyFont="1" applyFill="1" applyBorder="1" applyAlignment="1">
      <alignment horizontal="right" vertical="center"/>
    </xf>
    <xf numFmtId="181" fontId="4" fillId="22" borderId="32" xfId="0" applyNumberFormat="1" applyFont="1" applyFill="1" applyBorder="1" applyAlignment="1">
      <alignment horizontal="right" vertical="center"/>
    </xf>
    <xf numFmtId="181" fontId="4" fillId="0" borderId="9" xfId="0" applyNumberFormat="1" applyFont="1" applyFill="1" applyBorder="1" applyAlignment="1">
      <alignment horizontal="right" vertical="center"/>
    </xf>
    <xf numFmtId="181" fontId="4" fillId="0" borderId="33" xfId="0" applyNumberFormat="1" applyFont="1" applyFill="1" applyBorder="1" applyAlignment="1">
      <alignment horizontal="right" vertical="center"/>
    </xf>
    <xf numFmtId="181" fontId="4" fillId="0" borderId="34" xfId="0" applyNumberFormat="1" applyFont="1" applyFill="1" applyBorder="1" applyAlignment="1">
      <alignment horizontal="right" vertical="center"/>
    </xf>
    <xf numFmtId="181" fontId="4" fillId="22" borderId="29" xfId="0" applyNumberFormat="1" applyFont="1" applyFill="1" applyBorder="1" applyAlignment="1">
      <alignment horizontal="right" vertical="center"/>
    </xf>
    <xf numFmtId="181" fontId="4" fillId="22" borderId="30" xfId="0" applyNumberFormat="1" applyFont="1" applyFill="1" applyBorder="1" applyAlignment="1">
      <alignment horizontal="right" vertical="center"/>
    </xf>
    <xf numFmtId="181" fontId="5" fillId="22" borderId="29" xfId="0" applyNumberFormat="1" applyFont="1" applyFill="1" applyBorder="1" applyAlignment="1">
      <alignment horizontal="center" vertical="center"/>
    </xf>
    <xf numFmtId="181" fontId="5" fillId="22" borderId="30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12" fillId="0" borderId="0" xfId="0" applyNumberFormat="1" applyFont="1" applyFill="1" applyBorder="1" applyAlignment="1">
      <alignment horizontal="right" vertical="center"/>
    </xf>
    <xf numFmtId="181" fontId="4" fillId="22" borderId="16" xfId="0" applyNumberFormat="1" applyFont="1" applyFill="1" applyBorder="1" applyAlignment="1">
      <alignment horizontal="right" vertical="center"/>
    </xf>
    <xf numFmtId="181" fontId="4" fillId="0" borderId="8" xfId="0" applyNumberFormat="1" applyFont="1" applyFill="1" applyBorder="1" applyAlignment="1">
      <alignment horizontal="right" vertical="center"/>
    </xf>
    <xf numFmtId="181" fontId="4" fillId="22" borderId="5" xfId="0" applyNumberFormat="1" applyFont="1" applyFill="1" applyBorder="1" applyAlignment="1">
      <alignment horizontal="right" vertical="center"/>
    </xf>
    <xf numFmtId="181" fontId="4" fillId="22" borderId="0" xfId="0" applyNumberFormat="1" applyFont="1" applyFill="1" applyBorder="1" applyAlignment="1">
      <alignment horizontal="right" vertical="center"/>
    </xf>
    <xf numFmtId="167" fontId="4" fillId="55" borderId="16" xfId="0" applyNumberFormat="1" applyFont="1" applyFill="1" applyBorder="1" applyAlignment="1">
      <alignment horizontal="right" vertical="center"/>
    </xf>
    <xf numFmtId="166" fontId="4" fillId="55" borderId="16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182" fontId="4" fillId="55" borderId="0" xfId="0" applyNumberFormat="1" applyFont="1" applyFill="1" applyBorder="1" applyAlignment="1">
      <alignment horizontal="right" vertical="center"/>
    </xf>
    <xf numFmtId="167" fontId="4" fillId="0" borderId="22" xfId="0" applyNumberFormat="1" applyFont="1" applyFill="1" applyBorder="1" applyAlignment="1">
      <alignment horizontal="right" vertical="center"/>
    </xf>
    <xf numFmtId="164" fontId="4" fillId="55" borderId="2" xfId="0" applyNumberFormat="1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>
      <alignment horizontal="right" vertical="center"/>
    </xf>
    <xf numFmtId="1" fontId="5" fillId="21" borderId="4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67" fontId="4" fillId="22" borderId="22" xfId="0" applyNumberFormat="1" applyFont="1" applyFill="1" applyBorder="1" applyAlignment="1">
      <alignment vertical="center"/>
    </xf>
    <xf numFmtId="167" fontId="12" fillId="55" borderId="0" xfId="0" quotePrefix="1" applyNumberFormat="1" applyFont="1" applyFill="1" applyBorder="1" applyAlignment="1">
      <alignment horizontal="right" vertical="center"/>
    </xf>
    <xf numFmtId="167" fontId="12" fillId="55" borderId="14" xfId="0" quotePrefix="1" applyNumberFormat="1" applyFont="1" applyFill="1" applyBorder="1" applyAlignment="1">
      <alignment horizontal="right" vertical="center"/>
    </xf>
    <xf numFmtId="0" fontId="76" fillId="0" borderId="0" xfId="59"/>
    <xf numFmtId="166" fontId="4" fillId="0" borderId="22" xfId="0" applyNumberFormat="1" applyFont="1" applyFill="1" applyBorder="1" applyAlignment="1">
      <alignment horizontal="right" vertical="center"/>
    </xf>
    <xf numFmtId="167" fontId="19" fillId="0" borderId="21" xfId="125" applyNumberFormat="1" applyFont="1" applyFill="1" applyBorder="1" applyAlignment="1">
      <alignment vertical="center"/>
      <protection locked="0"/>
    </xf>
    <xf numFmtId="166" fontId="4" fillId="55" borderId="14" xfId="0" applyNumberFormat="1" applyFont="1" applyFill="1" applyBorder="1" applyAlignment="1">
      <alignment horizontal="right" vertical="center" wrapText="1"/>
    </xf>
    <xf numFmtId="3" fontId="4" fillId="0" borderId="35" xfId="0" applyNumberFormat="1" applyFont="1" applyFill="1" applyBorder="1" applyAlignment="1"/>
    <xf numFmtId="187" fontId="4" fillId="55" borderId="0" xfId="0" applyNumberFormat="1" applyFont="1" applyFill="1" applyBorder="1" applyAlignment="1">
      <alignment horizontal="right" vertical="center"/>
    </xf>
    <xf numFmtId="185" fontId="4" fillId="55" borderId="0" xfId="0" applyNumberFormat="1" applyFont="1" applyFill="1" applyBorder="1" applyAlignment="1">
      <alignment horizontal="right" vertical="center"/>
    </xf>
    <xf numFmtId="167" fontId="4" fillId="55" borderId="22" xfId="0" applyNumberFormat="1" applyFont="1" applyFill="1" applyBorder="1" applyAlignment="1">
      <alignment vertical="center"/>
    </xf>
    <xf numFmtId="167" fontId="12" fillId="55" borderId="10" xfId="0" applyNumberFormat="1" applyFont="1" applyFill="1" applyBorder="1" applyAlignment="1">
      <alignment vertical="center"/>
    </xf>
    <xf numFmtId="1" fontId="5" fillId="21" borderId="13" xfId="0" applyNumberFormat="1" applyFont="1" applyFill="1" applyBorder="1" applyAlignment="1">
      <alignment horizontal="center"/>
    </xf>
    <xf numFmtId="166" fontId="4" fillId="55" borderId="0" xfId="0" applyNumberFormat="1" applyFont="1" applyFill="1" applyBorder="1" applyAlignment="1">
      <alignment horizontal="right" vertical="center" wrapText="1"/>
    </xf>
    <xf numFmtId="0" fontId="5" fillId="55" borderId="4" xfId="0" applyFont="1" applyFill="1" applyBorder="1" applyAlignment="1">
      <alignment horizontal="center" vertical="center"/>
    </xf>
    <xf numFmtId="167" fontId="5" fillId="55" borderId="4" xfId="0" applyNumberFormat="1" applyFont="1" applyFill="1" applyBorder="1" applyAlignment="1">
      <alignment horizontal="right"/>
    </xf>
    <xf numFmtId="167" fontId="13" fillId="55" borderId="5" xfId="0" applyNumberFormat="1" applyFont="1" applyFill="1" applyBorder="1" applyAlignment="1">
      <alignment horizontal="right"/>
    </xf>
    <xf numFmtId="166" fontId="5" fillId="55" borderId="4" xfId="0" applyNumberFormat="1" applyFont="1" applyFill="1" applyBorder="1" applyAlignment="1">
      <alignment horizontal="right"/>
    </xf>
    <xf numFmtId="166" fontId="5" fillId="22" borderId="4" xfId="0" applyNumberFormat="1" applyFont="1" applyFill="1" applyBorder="1" applyAlignment="1">
      <alignment horizontal="center" vertical="center"/>
    </xf>
    <xf numFmtId="166" fontId="5" fillId="55" borderId="11" xfId="0" applyNumberFormat="1" applyFont="1" applyFill="1" applyBorder="1" applyAlignment="1">
      <alignment horizontal="right"/>
    </xf>
    <xf numFmtId="166" fontId="13" fillId="55" borderId="5" xfId="0" applyNumberFormat="1" applyFont="1" applyFill="1" applyBorder="1" applyAlignment="1">
      <alignment horizontal="right"/>
    </xf>
    <xf numFmtId="178" fontId="4" fillId="55" borderId="16" xfId="0" applyNumberFormat="1" applyFont="1" applyFill="1" applyBorder="1" applyAlignment="1">
      <alignment horizontal="right" vertical="center"/>
    </xf>
    <xf numFmtId="178" fontId="5" fillId="22" borderId="36" xfId="0" applyNumberFormat="1" applyFont="1" applyFill="1" applyBorder="1" applyAlignment="1">
      <alignment horizontal="right" vertical="center"/>
    </xf>
    <xf numFmtId="167" fontId="5" fillId="22" borderId="11" xfId="0" applyNumberFormat="1" applyFont="1" applyFill="1" applyBorder="1" applyAlignment="1">
      <alignment horizontal="right" vertical="center"/>
    </xf>
    <xf numFmtId="167" fontId="5" fillId="22" borderId="5" xfId="0" applyNumberFormat="1" applyFont="1" applyFill="1" applyBorder="1" applyAlignment="1">
      <alignment horizontal="right" vertical="center"/>
    </xf>
    <xf numFmtId="167" fontId="13" fillId="22" borderId="5" xfId="0" applyNumberFormat="1" applyFont="1" applyFill="1" applyBorder="1" applyAlignment="1">
      <alignment horizontal="right" vertical="center"/>
    </xf>
    <xf numFmtId="167" fontId="5" fillId="22" borderId="37" xfId="0" applyNumberFormat="1" applyFont="1" applyFill="1" applyBorder="1" applyAlignment="1">
      <alignment horizontal="right" vertical="center"/>
    </xf>
    <xf numFmtId="167" fontId="13" fillId="22" borderId="12" xfId="0" applyNumberFormat="1" applyFont="1" applyFill="1" applyBorder="1" applyAlignment="1">
      <alignment horizontal="right" vertical="center"/>
    </xf>
    <xf numFmtId="0" fontId="5" fillId="22" borderId="12" xfId="0" applyFont="1" applyFill="1" applyBorder="1" applyAlignment="1">
      <alignment horizontal="center" vertical="center"/>
    </xf>
    <xf numFmtId="0" fontId="88" fillId="0" borderId="0" xfId="0" applyFont="1" applyAlignment="1">
      <alignment vertical="center" wrapText="1"/>
    </xf>
    <xf numFmtId="167" fontId="4" fillId="0" borderId="22" xfId="0" applyNumberFormat="1" applyFont="1" applyFill="1" applyBorder="1"/>
    <xf numFmtId="167" fontId="5" fillId="22" borderId="36" xfId="0" applyNumberFormat="1" applyFont="1" applyFill="1" applyBorder="1" applyAlignment="1">
      <alignment horizontal="right" vertical="center"/>
    </xf>
    <xf numFmtId="0" fontId="63" fillId="0" borderId="0" xfId="0" applyNumberFormat="1" applyFont="1" applyFill="1" applyBorder="1" applyAlignment="1"/>
    <xf numFmtId="176" fontId="63" fillId="0" borderId="0" xfId="0" applyNumberFormat="1" applyFont="1" applyFill="1" applyBorder="1" applyAlignment="1"/>
    <xf numFmtId="0" fontId="5" fillId="0" borderId="0" xfId="0" applyFont="1" applyBorder="1" applyAlignment="1">
      <alignment wrapText="1"/>
    </xf>
    <xf numFmtId="179" fontId="13" fillId="22" borderId="11" xfId="0" applyNumberFormat="1" applyFont="1" applyFill="1" applyBorder="1" applyAlignment="1">
      <alignment horizontal="right" vertical="center"/>
    </xf>
    <xf numFmtId="179" fontId="13" fillId="22" borderId="5" xfId="0" applyNumberFormat="1" applyFont="1" applyFill="1" applyBorder="1" applyAlignment="1">
      <alignment horizontal="right" vertical="center"/>
    </xf>
    <xf numFmtId="179" fontId="5" fillId="22" borderId="5" xfId="0" applyNumberFormat="1" applyFont="1" applyFill="1" applyBorder="1" applyAlignment="1">
      <alignment horizontal="right" vertical="center"/>
    </xf>
    <xf numFmtId="167" fontId="13" fillId="22" borderId="11" xfId="0" applyNumberFormat="1" applyFont="1" applyFill="1" applyBorder="1" applyAlignment="1">
      <alignment horizontal="right" vertical="center"/>
    </xf>
    <xf numFmtId="167" fontId="19" fillId="0" borderId="17" xfId="125" applyNumberFormat="1" applyFont="1" applyFill="1" applyBorder="1" applyAlignment="1">
      <alignment horizontal="right" vertical="center"/>
      <protection locked="0"/>
    </xf>
    <xf numFmtId="167" fontId="19" fillId="55" borderId="38" xfId="125" applyNumberFormat="1" applyFont="1" applyFill="1" applyBorder="1" applyAlignment="1">
      <alignment vertical="center"/>
      <protection locked="0"/>
    </xf>
    <xf numFmtId="167" fontId="19" fillId="55" borderId="17" xfId="125" applyNumberFormat="1" applyFont="1" applyFill="1" applyBorder="1" applyAlignment="1">
      <alignment horizontal="right" vertical="center"/>
      <protection locked="0"/>
    </xf>
    <xf numFmtId="167" fontId="19" fillId="55" borderId="0" xfId="125" applyNumberFormat="1" applyFont="1" applyFill="1" applyBorder="1" applyAlignment="1">
      <alignment horizontal="right" vertical="center"/>
      <protection locked="0"/>
    </xf>
    <xf numFmtId="167" fontId="19" fillId="55" borderId="17" xfId="125" quotePrefix="1" applyNumberFormat="1" applyFont="1" applyFill="1" applyBorder="1" applyAlignment="1">
      <alignment horizontal="right" vertical="center"/>
      <protection locked="0"/>
    </xf>
    <xf numFmtId="167" fontId="19" fillId="55" borderId="0" xfId="125" quotePrefix="1" applyNumberFormat="1" applyFont="1" applyFill="1" applyBorder="1" applyAlignment="1">
      <alignment horizontal="right" vertical="center"/>
      <protection locked="0"/>
    </xf>
    <xf numFmtId="167" fontId="19" fillId="0" borderId="9" xfId="125" applyNumberFormat="1" applyFont="1" applyFill="1" applyBorder="1" applyAlignment="1">
      <alignment horizontal="right" vertical="center"/>
      <protection locked="0"/>
    </xf>
    <xf numFmtId="167" fontId="19" fillId="0" borderId="8" xfId="125" applyNumberFormat="1" applyFont="1" applyFill="1" applyBorder="1" applyAlignment="1">
      <alignment horizontal="right" vertical="center"/>
      <protection locked="0"/>
    </xf>
    <xf numFmtId="167" fontId="19" fillId="0" borderId="10" xfId="125" applyNumberFormat="1" applyFont="1" applyFill="1" applyBorder="1" applyAlignment="1">
      <alignment horizontal="right" vertical="center"/>
      <protection locked="0"/>
    </xf>
    <xf numFmtId="167" fontId="5" fillId="22" borderId="12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167" fontId="64" fillId="55" borderId="0" xfId="125" applyNumberFormat="1" applyFont="1" applyFill="1" applyBorder="1" applyAlignment="1">
      <alignment vertical="center"/>
      <protection locked="0"/>
    </xf>
    <xf numFmtId="167" fontId="19" fillId="55" borderId="8" xfId="125" applyNumberFormat="1" applyFont="1" applyFill="1" applyBorder="1" applyAlignment="1">
      <alignment horizontal="center" vertical="center"/>
      <protection locked="0"/>
    </xf>
    <xf numFmtId="169" fontId="4" fillId="0" borderId="39" xfId="0" applyNumberFormat="1" applyFont="1" applyFill="1" applyBorder="1" applyAlignment="1">
      <alignment horizontal="center" vertical="center"/>
    </xf>
    <xf numFmtId="169" fontId="4" fillId="0" borderId="39" xfId="0" applyNumberFormat="1" applyFont="1" applyFill="1" applyBorder="1" applyAlignment="1">
      <alignment horizontal="right" vertical="center"/>
    </xf>
    <xf numFmtId="169" fontId="4" fillId="0" borderId="40" xfId="0" applyNumberFormat="1" applyFont="1" applyFill="1" applyBorder="1" applyAlignment="1">
      <alignment horizontal="right" vertical="center"/>
    </xf>
    <xf numFmtId="169" fontId="4" fillId="0" borderId="4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5" fillId="21" borderId="13" xfId="0" applyFont="1" applyFill="1" applyBorder="1" applyAlignment="1">
      <alignment horizontal="center" vertical="center" wrapText="1"/>
    </xf>
    <xf numFmtId="178" fontId="4" fillId="0" borderId="42" xfId="0" applyNumberFormat="1" applyFont="1" applyFill="1" applyBorder="1" applyAlignment="1">
      <alignment horizontal="right" vertical="center"/>
    </xf>
    <xf numFmtId="0" fontId="5" fillId="56" borderId="2" xfId="0" applyFont="1" applyFill="1" applyBorder="1" applyAlignment="1">
      <alignment horizontal="center" vertical="center"/>
    </xf>
    <xf numFmtId="166" fontId="5" fillId="55" borderId="4" xfId="0" applyNumberFormat="1" applyFont="1" applyFill="1" applyBorder="1" applyAlignment="1">
      <alignment horizontal="center"/>
    </xf>
    <xf numFmtId="178" fontId="12" fillId="22" borderId="14" xfId="0" applyNumberFormat="1" applyFont="1" applyFill="1" applyBorder="1" applyAlignment="1">
      <alignment horizontal="right" vertical="center"/>
    </xf>
    <xf numFmtId="0" fontId="16" fillId="21" borderId="4" xfId="0" applyFont="1" applyFill="1" applyBorder="1" applyAlignment="1">
      <alignment horizontal="center" vertical="center" wrapText="1"/>
    </xf>
    <xf numFmtId="164" fontId="5" fillId="22" borderId="4" xfId="0" applyNumberFormat="1" applyFont="1" applyFill="1" applyBorder="1" applyAlignment="1">
      <alignment horizontal="center" vertical="center"/>
    </xf>
    <xf numFmtId="164" fontId="5" fillId="22" borderId="4" xfId="0" applyNumberFormat="1" applyFont="1" applyFill="1" applyBorder="1" applyAlignment="1">
      <alignment horizontal="center"/>
    </xf>
    <xf numFmtId="1" fontId="28" fillId="21" borderId="0" xfId="0" applyNumberFormat="1" applyFont="1" applyFill="1" applyBorder="1" applyAlignment="1">
      <alignment horizontal="center" vertical="center"/>
    </xf>
    <xf numFmtId="178" fontId="5" fillId="22" borderId="13" xfId="0" applyNumberFormat="1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Fill="1" applyBorder="1"/>
    <xf numFmtId="179" fontId="19" fillId="0" borderId="16" xfId="125" applyNumberFormat="1" applyFont="1" applyFill="1" applyBorder="1" applyAlignment="1">
      <alignment vertical="center"/>
      <protection locked="0"/>
    </xf>
    <xf numFmtId="0" fontId="5" fillId="21" borderId="16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0" fontId="4" fillId="0" borderId="2" xfId="0" applyFont="1" applyBorder="1" applyAlignment="1"/>
    <xf numFmtId="0" fontId="4" fillId="0" borderId="8" xfId="0" applyFont="1" applyBorder="1"/>
    <xf numFmtId="0" fontId="0" fillId="0" borderId="16" xfId="0" applyBorder="1"/>
    <xf numFmtId="167" fontId="19" fillId="0" borderId="13" xfId="125" applyNumberFormat="1" applyFont="1" applyFill="1" applyBorder="1" applyAlignment="1">
      <alignment vertical="center"/>
      <protection locked="0"/>
    </xf>
    <xf numFmtId="0" fontId="0" fillId="0" borderId="0" xfId="0" applyAlignment="1">
      <alignment horizontal="center" vertical="top"/>
    </xf>
    <xf numFmtId="179" fontId="0" fillId="0" borderId="0" xfId="0" applyNumberFormat="1"/>
    <xf numFmtId="49" fontId="19" fillId="55" borderId="0" xfId="125" quotePrefix="1" applyNumberFormat="1" applyFont="1" applyFill="1" applyBorder="1" applyAlignment="1">
      <alignment horizontal="center" vertical="center"/>
      <protection locked="0"/>
    </xf>
    <xf numFmtId="49" fontId="19" fillId="22" borderId="17" xfId="125" applyNumberFormat="1" applyFont="1" applyFill="1" applyBorder="1" applyAlignment="1">
      <alignment horizontal="center" vertical="center"/>
      <protection locked="0"/>
    </xf>
    <xf numFmtId="49" fontId="19" fillId="22" borderId="0" xfId="125" applyNumberFormat="1" applyFont="1" applyFill="1" applyBorder="1" applyAlignment="1">
      <alignment horizontal="center" vertical="center"/>
      <protection locked="0"/>
    </xf>
    <xf numFmtId="49" fontId="19" fillId="55" borderId="0" xfId="125" applyNumberFormat="1" applyFont="1" applyFill="1" applyBorder="1" applyAlignment="1">
      <alignment horizontal="center" vertical="center"/>
      <protection locked="0"/>
    </xf>
    <xf numFmtId="166" fontId="5" fillId="55" borderId="4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21" borderId="0" xfId="0" quotePrefix="1" applyFont="1" applyFill="1" applyBorder="1" applyAlignment="1">
      <alignment horizontal="center" vertical="center" wrapText="1"/>
    </xf>
    <xf numFmtId="167" fontId="19" fillId="55" borderId="0" xfId="125" applyNumberFormat="1" applyFont="1" applyFill="1" applyBorder="1" applyAlignment="1">
      <alignment horizontal="center" vertical="center"/>
      <protection locked="0"/>
    </xf>
    <xf numFmtId="167" fontId="5" fillId="22" borderId="43" xfId="0" applyNumberFormat="1" applyFont="1" applyFill="1" applyBorder="1" applyAlignment="1">
      <alignment horizontal="right" vertical="center"/>
    </xf>
    <xf numFmtId="167" fontId="13" fillId="22" borderId="44" xfId="0" applyNumberFormat="1" applyFont="1" applyFill="1" applyBorder="1" applyAlignment="1">
      <alignment horizontal="right" vertical="center"/>
    </xf>
    <xf numFmtId="166" fontId="5" fillId="0" borderId="0" xfId="0" applyNumberFormat="1" applyFont="1" applyAlignment="1">
      <alignment horizontal="center"/>
    </xf>
    <xf numFmtId="164" fontId="4" fillId="55" borderId="4" xfId="0" applyNumberFormat="1" applyFont="1" applyFill="1" applyBorder="1" applyAlignment="1">
      <alignment horizontal="right" vertical="center"/>
    </xf>
    <xf numFmtId="166" fontId="12" fillId="55" borderId="5" xfId="0" applyNumberFormat="1" applyFont="1" applyFill="1" applyBorder="1" applyAlignment="1">
      <alignment horizontal="right" vertical="center"/>
    </xf>
    <xf numFmtId="166" fontId="12" fillId="55" borderId="37" xfId="0" applyNumberFormat="1" applyFont="1" applyFill="1" applyBorder="1" applyAlignment="1">
      <alignment horizontal="right" vertical="center"/>
    </xf>
    <xf numFmtId="166" fontId="4" fillId="55" borderId="5" xfId="0" applyNumberFormat="1" applyFont="1" applyFill="1" applyBorder="1" applyAlignment="1">
      <alignment horizontal="right" vertical="center"/>
    </xf>
    <xf numFmtId="166" fontId="4" fillId="55" borderId="12" xfId="0" applyNumberFormat="1" applyFont="1" applyFill="1" applyBorder="1" applyAlignment="1">
      <alignment horizontal="right" vertical="center"/>
    </xf>
    <xf numFmtId="166" fontId="5" fillId="21" borderId="6" xfId="0" applyNumberFormat="1" applyFont="1" applyFill="1" applyBorder="1" applyAlignment="1">
      <alignment horizontal="center" vertical="center" wrapText="1"/>
    </xf>
    <xf numFmtId="166" fontId="5" fillId="21" borderId="10" xfId="0" applyNumberFormat="1" applyFont="1" applyFill="1" applyBorder="1" applyAlignment="1">
      <alignment horizontal="center" vertical="top"/>
    </xf>
    <xf numFmtId="0" fontId="28" fillId="55" borderId="4" xfId="0" applyFont="1" applyFill="1" applyBorder="1" applyAlignment="1">
      <alignment horizontal="center" vertical="center"/>
    </xf>
    <xf numFmtId="179" fontId="29" fillId="55" borderId="11" xfId="0" applyNumberFormat="1" applyFont="1" applyFill="1" applyBorder="1" applyAlignment="1">
      <alignment vertical="center"/>
    </xf>
    <xf numFmtId="179" fontId="29" fillId="55" borderId="5" xfId="0" applyNumberFormat="1" applyFont="1" applyFill="1" applyBorder="1" applyAlignment="1">
      <alignment vertical="center"/>
    </xf>
    <xf numFmtId="179" fontId="19" fillId="55" borderId="5" xfId="125" applyNumberFormat="1" applyFont="1" applyFill="1" applyBorder="1" applyAlignment="1">
      <alignment vertical="center"/>
      <protection locked="0"/>
    </xf>
    <xf numFmtId="179" fontId="19" fillId="55" borderId="36" xfId="125" applyNumberFormat="1" applyFont="1" applyFill="1" applyBorder="1" applyAlignment="1">
      <alignment vertical="center"/>
      <protection locked="0"/>
    </xf>
    <xf numFmtId="167" fontId="19" fillId="55" borderId="11" xfId="125" applyNumberFormat="1" applyFont="1" applyFill="1" applyBorder="1" applyAlignment="1">
      <alignment vertical="center"/>
      <protection locked="0"/>
    </xf>
    <xf numFmtId="167" fontId="19" fillId="55" borderId="5" xfId="125" applyNumberFormat="1" applyFont="1" applyFill="1" applyBorder="1" applyAlignment="1">
      <alignment vertical="center"/>
      <protection locked="0"/>
    </xf>
    <xf numFmtId="167" fontId="19" fillId="55" borderId="36" xfId="125" applyNumberFormat="1" applyFont="1" applyFill="1" applyBorder="1" applyAlignment="1">
      <alignment vertical="center"/>
      <protection locked="0"/>
    </xf>
    <xf numFmtId="167" fontId="19" fillId="55" borderId="36" xfId="125" quotePrefix="1" applyNumberFormat="1" applyFont="1" applyFill="1" applyBorder="1" applyAlignment="1">
      <alignment horizontal="center" vertical="center"/>
      <protection locked="0"/>
    </xf>
    <xf numFmtId="167" fontId="19" fillId="55" borderId="5" xfId="125" quotePrefix="1" applyNumberFormat="1" applyFont="1" applyFill="1" applyBorder="1" applyAlignment="1">
      <alignment horizontal="center" vertical="center"/>
      <protection locked="0"/>
    </xf>
    <xf numFmtId="167" fontId="19" fillId="55" borderId="11" xfId="125" applyNumberFormat="1" applyFont="1" applyFill="1" applyBorder="1" applyAlignment="1">
      <alignment horizontal="right" vertical="center"/>
      <protection locked="0"/>
    </xf>
    <xf numFmtId="167" fontId="19" fillId="55" borderId="5" xfId="125" applyNumberFormat="1" applyFont="1" applyFill="1" applyBorder="1" applyAlignment="1">
      <alignment horizontal="right" vertical="center"/>
      <protection locked="0"/>
    </xf>
    <xf numFmtId="178" fontId="4" fillId="0" borderId="13" xfId="0" applyNumberFormat="1" applyFont="1" applyFill="1" applyBorder="1" applyAlignment="1">
      <alignment horizontal="right" vertical="center"/>
    </xf>
    <xf numFmtId="178" fontId="13" fillId="22" borderId="5" xfId="0" applyNumberFormat="1" applyFont="1" applyFill="1" applyBorder="1" applyAlignment="1">
      <alignment horizontal="right" vertical="center"/>
    </xf>
    <xf numFmtId="178" fontId="13" fillId="22" borderId="12" xfId="0" applyNumberFormat="1" applyFont="1" applyFill="1" applyBorder="1" applyAlignment="1">
      <alignment horizontal="right" vertical="center"/>
    </xf>
    <xf numFmtId="0" fontId="0" fillId="0" borderId="14" xfId="0" applyBorder="1"/>
    <xf numFmtId="166" fontId="4" fillId="0" borderId="9" xfId="0" applyNumberFormat="1" applyFont="1" applyFill="1" applyBorder="1" applyAlignment="1">
      <alignment horizontal="right" vertical="center"/>
    </xf>
    <xf numFmtId="0" fontId="5" fillId="22" borderId="4" xfId="0" applyFont="1" applyFill="1" applyBorder="1" applyAlignment="1">
      <alignment horizontal="center"/>
    </xf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167" fontId="5" fillId="55" borderId="5" xfId="0" applyNumberFormat="1" applyFont="1" applyFill="1" applyBorder="1" applyAlignment="1">
      <alignment horizontal="right"/>
    </xf>
    <xf numFmtId="0" fontId="5" fillId="55" borderId="4" xfId="0" applyFont="1" applyFill="1" applyBorder="1" applyAlignment="1">
      <alignment horizontal="center"/>
    </xf>
    <xf numFmtId="181" fontId="12" fillId="0" borderId="3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1" fontId="5" fillId="21" borderId="6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66" fontId="12" fillId="0" borderId="14" xfId="0" applyNumberFormat="1" applyFont="1" applyFill="1" applyBorder="1" applyAlignment="1">
      <alignment horizontal="right" vertical="center"/>
    </xf>
    <xf numFmtId="166" fontId="13" fillId="55" borderId="5" xfId="0" applyNumberFormat="1" applyFont="1" applyFill="1" applyBorder="1" applyAlignment="1">
      <alignment horizontal="right"/>
    </xf>
    <xf numFmtId="166" fontId="4" fillId="55" borderId="5" xfId="0" applyNumberFormat="1" applyFont="1" applyFill="1" applyBorder="1" applyAlignment="1">
      <alignment horizontal="right" vertical="center"/>
    </xf>
    <xf numFmtId="169" fontId="5" fillId="0" borderId="2" xfId="0" applyNumberFormat="1" applyFont="1" applyFill="1" applyBorder="1" applyAlignment="1">
      <alignment horizontal="center" vertical="center"/>
    </xf>
    <xf numFmtId="169" fontId="5" fillId="22" borderId="2" xfId="0" applyNumberFormat="1" applyFont="1" applyFill="1" applyBorder="1" applyAlignment="1">
      <alignment horizontal="center" vertical="center"/>
    </xf>
    <xf numFmtId="166" fontId="5" fillId="0" borderId="6" xfId="0" applyNumberFormat="1" applyFont="1" applyFill="1" applyBorder="1" applyAlignment="1">
      <alignment horizontal="center" vertical="center"/>
    </xf>
    <xf numFmtId="167" fontId="12" fillId="0" borderId="8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/>
    </xf>
    <xf numFmtId="171" fontId="4" fillId="55" borderId="11" xfId="0" applyNumberFormat="1" applyFont="1" applyFill="1" applyBorder="1" applyAlignment="1">
      <alignment vertical="center"/>
    </xf>
    <xf numFmtId="171" fontId="4" fillId="55" borderId="5" xfId="0" applyNumberFormat="1" applyFont="1" applyFill="1" applyBorder="1" applyAlignment="1">
      <alignment vertical="center"/>
    </xf>
    <xf numFmtId="167" fontId="4" fillId="55" borderId="5" xfId="0" applyNumberFormat="1" applyFont="1" applyFill="1" applyBorder="1" applyAlignment="1">
      <alignment vertical="center"/>
    </xf>
    <xf numFmtId="167" fontId="12" fillId="55" borderId="5" xfId="0" applyNumberFormat="1" applyFont="1" applyFill="1" applyBorder="1" applyAlignment="1">
      <alignment vertical="center"/>
    </xf>
    <xf numFmtId="167" fontId="4" fillId="55" borderId="5" xfId="0" applyNumberFormat="1" applyFont="1" applyFill="1" applyBorder="1" applyAlignment="1">
      <alignment horizontal="right" vertical="center"/>
    </xf>
    <xf numFmtId="167" fontId="4" fillId="55" borderId="12" xfId="0" applyNumberFormat="1" applyFont="1" applyFill="1" applyBorder="1" applyAlignment="1">
      <alignment horizontal="right" vertical="center"/>
    </xf>
    <xf numFmtId="0" fontId="5" fillId="55" borderId="12" xfId="0" applyFont="1" applyFill="1" applyBorder="1" applyAlignment="1">
      <alignment horizontal="center" vertical="center"/>
    </xf>
    <xf numFmtId="0" fontId="16" fillId="21" borderId="6" xfId="0" applyFont="1" applyFill="1" applyBorder="1" applyAlignment="1">
      <alignment horizontal="center" vertical="center" wrapText="1"/>
    </xf>
    <xf numFmtId="176" fontId="10" fillId="0" borderId="0" xfId="75" applyNumberFormat="1" applyFont="1" applyFill="1" applyBorder="1" applyAlignment="1">
      <alignment horizontal="center" vertical="center"/>
    </xf>
    <xf numFmtId="178" fontId="4" fillId="55" borderId="12" xfId="0" applyNumberFormat="1" applyFont="1" applyFill="1" applyBorder="1" applyAlignment="1">
      <alignment horizontal="right" vertical="center"/>
    </xf>
    <xf numFmtId="181" fontId="5" fillId="22" borderId="11" xfId="0" applyNumberFormat="1" applyFont="1" applyFill="1" applyBorder="1" applyAlignment="1">
      <alignment horizontal="right" vertical="center"/>
    </xf>
    <xf numFmtId="181" fontId="5" fillId="22" borderId="15" xfId="0" applyNumberFormat="1" applyFont="1" applyFill="1" applyBorder="1" applyAlignment="1">
      <alignment horizontal="right" vertical="center"/>
    </xf>
    <xf numFmtId="181" fontId="5" fillId="22" borderId="45" xfId="0" applyNumberFormat="1" applyFont="1" applyFill="1" applyBorder="1" applyAlignment="1">
      <alignment horizontal="right" vertical="center"/>
    </xf>
    <xf numFmtId="181" fontId="5" fillId="22" borderId="16" xfId="0" applyNumberFormat="1" applyFont="1" applyFill="1" applyBorder="1" applyAlignment="1">
      <alignment horizontal="right" vertical="center"/>
    </xf>
    <xf numFmtId="181" fontId="5" fillId="22" borderId="46" xfId="0" applyNumberFormat="1" applyFont="1" applyFill="1" applyBorder="1" applyAlignment="1">
      <alignment horizontal="right" vertical="center"/>
    </xf>
    <xf numFmtId="181" fontId="12" fillId="0" borderId="17" xfId="0" applyNumberFormat="1" applyFont="1" applyFill="1" applyBorder="1" applyAlignment="1">
      <alignment horizontal="right" vertical="center"/>
    </xf>
    <xf numFmtId="181" fontId="12" fillId="0" borderId="34" xfId="0" applyNumberFormat="1" applyFont="1" applyFill="1" applyBorder="1" applyAlignment="1">
      <alignment horizontal="right" vertical="center"/>
    </xf>
    <xf numFmtId="167" fontId="89" fillId="22" borderId="15" xfId="0" applyNumberFormat="1" applyFont="1" applyFill="1" applyBorder="1" applyAlignment="1">
      <alignment horizontal="right" vertical="center"/>
    </xf>
    <xf numFmtId="167" fontId="90" fillId="22" borderId="16" xfId="0" applyNumberFormat="1" applyFont="1" applyFill="1" applyBorder="1" applyAlignment="1">
      <alignment horizontal="right" vertical="center"/>
    </xf>
    <xf numFmtId="167" fontId="89" fillId="22" borderId="16" xfId="0" applyNumberFormat="1" applyFont="1" applyFill="1" applyBorder="1" applyAlignment="1">
      <alignment horizontal="right" vertical="center"/>
    </xf>
    <xf numFmtId="3" fontId="90" fillId="22" borderId="0" xfId="0" applyNumberFormat="1" applyFont="1" applyFill="1" applyBorder="1" applyAlignment="1">
      <alignment horizontal="right" vertical="center"/>
    </xf>
    <xf numFmtId="0" fontId="90" fillId="22" borderId="16" xfId="0" applyFont="1" applyFill="1" applyBorder="1" applyAlignment="1">
      <alignment horizontal="right" vertical="center"/>
    </xf>
    <xf numFmtId="9" fontId="90" fillId="22" borderId="13" xfId="0" applyNumberFormat="1" applyFont="1" applyFill="1" applyBorder="1" applyAlignment="1">
      <alignment horizontal="right" vertical="center"/>
    </xf>
    <xf numFmtId="167" fontId="90" fillId="0" borderId="17" xfId="0" applyNumberFormat="1" applyFont="1" applyFill="1" applyBorder="1" applyAlignment="1">
      <alignment horizontal="right" vertical="center"/>
    </xf>
    <xf numFmtId="167" fontId="90" fillId="0" borderId="30" xfId="0" applyNumberFormat="1" applyFont="1" applyFill="1" applyBorder="1" applyAlignment="1">
      <alignment horizontal="right" vertical="center"/>
    </xf>
    <xf numFmtId="167" fontId="90" fillId="0" borderId="31" xfId="0" applyNumberFormat="1" applyFont="1" applyFill="1" applyBorder="1" applyAlignment="1">
      <alignment horizontal="right" vertical="center"/>
    </xf>
    <xf numFmtId="3" fontId="90" fillId="0" borderId="0" xfId="0" applyNumberFormat="1" applyFont="1" applyFill="1" applyBorder="1" applyAlignment="1">
      <alignment horizontal="right" vertical="center"/>
    </xf>
    <xf numFmtId="167" fontId="90" fillId="0" borderId="0" xfId="0" applyNumberFormat="1" applyFont="1" applyFill="1" applyBorder="1" applyAlignment="1">
      <alignment horizontal="right" vertical="center"/>
    </xf>
    <xf numFmtId="0" fontId="90" fillId="0" borderId="0" xfId="0" applyFont="1" applyFill="1" applyBorder="1" applyAlignment="1">
      <alignment horizontal="right" vertical="center"/>
    </xf>
    <xf numFmtId="9" fontId="90" fillId="0" borderId="14" xfId="0" applyNumberFormat="1" applyFont="1" applyFill="1" applyBorder="1" applyAlignment="1">
      <alignment horizontal="right" vertical="center"/>
    </xf>
    <xf numFmtId="167" fontId="90" fillId="0" borderId="9" xfId="0" applyNumberFormat="1" applyFont="1" applyFill="1" applyBorder="1" applyAlignment="1">
      <alignment horizontal="right" vertical="center"/>
    </xf>
    <xf numFmtId="167" fontId="90" fillId="0" borderId="33" xfId="0" applyNumberFormat="1" applyFont="1" applyFill="1" applyBorder="1" applyAlignment="1">
      <alignment horizontal="right" vertical="center"/>
    </xf>
    <xf numFmtId="167" fontId="90" fillId="0" borderId="34" xfId="0" applyNumberFormat="1" applyFont="1" applyFill="1" applyBorder="1" applyAlignment="1">
      <alignment horizontal="right" vertical="center"/>
    </xf>
    <xf numFmtId="3" fontId="90" fillId="0" borderId="8" xfId="0" applyNumberFormat="1" applyFont="1" applyFill="1" applyBorder="1" applyAlignment="1">
      <alignment horizontal="right" vertical="center"/>
    </xf>
    <xf numFmtId="9" fontId="90" fillId="0" borderId="10" xfId="0" applyNumberFormat="1" applyFont="1" applyFill="1" applyBorder="1" applyAlignment="1">
      <alignment horizontal="right" vertical="center" wrapText="1"/>
    </xf>
    <xf numFmtId="167" fontId="90" fillId="0" borderId="8" xfId="0" applyNumberFormat="1" applyFont="1" applyFill="1" applyBorder="1" applyAlignment="1">
      <alignment horizontal="right" vertical="center"/>
    </xf>
    <xf numFmtId="0" fontId="90" fillId="0" borderId="8" xfId="0" applyFont="1" applyFill="1" applyBorder="1" applyAlignment="1">
      <alignment horizontal="right" vertical="center"/>
    </xf>
    <xf numFmtId="178" fontId="5" fillId="22" borderId="5" xfId="0" applyNumberFormat="1" applyFont="1" applyFill="1" applyBorder="1" applyAlignment="1">
      <alignment horizontal="right" vertical="center"/>
    </xf>
    <xf numFmtId="166" fontId="5" fillId="22" borderId="16" xfId="0" applyNumberFormat="1" applyFont="1" applyFill="1" applyBorder="1" applyAlignment="1">
      <alignment horizontal="right" vertical="center"/>
    </xf>
    <xf numFmtId="166" fontId="5" fillId="22" borderId="5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vertical="center"/>
    </xf>
    <xf numFmtId="0" fontId="9" fillId="0" borderId="8" xfId="0" applyFont="1" applyBorder="1"/>
    <xf numFmtId="167" fontId="4" fillId="55" borderId="4" xfId="0" applyNumberFormat="1" applyFont="1" applyFill="1" applyBorder="1" applyAlignment="1">
      <alignment horizontal="right" vertical="center"/>
    </xf>
    <xf numFmtId="3" fontId="89" fillId="0" borderId="9" xfId="0" applyNumberFormat="1" applyFont="1" applyFill="1" applyBorder="1" applyAlignment="1">
      <alignment horizontal="right" vertical="center"/>
    </xf>
    <xf numFmtId="3" fontId="89" fillId="0" borderId="33" xfId="0" applyNumberFormat="1" applyFont="1" applyFill="1" applyBorder="1" applyAlignment="1">
      <alignment horizontal="right" vertical="center"/>
    </xf>
    <xf numFmtId="3" fontId="89" fillId="0" borderId="34" xfId="0" applyNumberFormat="1" applyFont="1" applyFill="1" applyBorder="1" applyAlignment="1">
      <alignment horizontal="right" vertical="center"/>
    </xf>
    <xf numFmtId="167" fontId="89" fillId="0" borderId="9" xfId="0" applyNumberFormat="1" applyFont="1" applyFill="1" applyBorder="1" applyAlignment="1">
      <alignment horizontal="right" vertical="center"/>
    </xf>
    <xf numFmtId="0" fontId="89" fillId="0" borderId="8" xfId="0" applyFont="1" applyFill="1" applyBorder="1" applyAlignment="1">
      <alignment horizontal="right" vertical="center"/>
    </xf>
    <xf numFmtId="167" fontId="89" fillId="0" borderId="46" xfId="0" applyNumberFormat="1" applyFont="1" applyFill="1" applyBorder="1" applyAlignment="1">
      <alignment horizontal="right" vertical="center"/>
    </xf>
    <xf numFmtId="9" fontId="90" fillId="0" borderId="10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167" fontId="4" fillId="56" borderId="2" xfId="0" applyNumberFormat="1" applyFont="1" applyFill="1" applyBorder="1" applyAlignment="1">
      <alignment horizontal="right" vertical="center"/>
    </xf>
    <xf numFmtId="167" fontId="4" fillId="56" borderId="0" xfId="0" applyNumberFormat="1" applyFont="1" applyFill="1" applyBorder="1" applyAlignment="1">
      <alignment horizontal="right" vertical="center"/>
    </xf>
    <xf numFmtId="0" fontId="5" fillId="56" borderId="7" xfId="0" applyFont="1" applyFill="1" applyBorder="1" applyAlignment="1">
      <alignment horizontal="center" vertical="center"/>
    </xf>
    <xf numFmtId="166" fontId="12" fillId="55" borderId="5" xfId="0" applyNumberFormat="1" applyFont="1" applyFill="1" applyBorder="1" applyAlignment="1">
      <alignment horizontal="right" vertical="center"/>
    </xf>
    <xf numFmtId="0" fontId="32" fillId="0" borderId="0" xfId="75" applyBorder="1"/>
    <xf numFmtId="178" fontId="4" fillId="56" borderId="0" xfId="0" applyNumberFormat="1" applyFont="1" applyFill="1" applyBorder="1" applyAlignment="1">
      <alignment horizontal="right" vertical="center"/>
    </xf>
    <xf numFmtId="178" fontId="4" fillId="56" borderId="14" xfId="0" applyNumberFormat="1" applyFont="1" applyFill="1" applyBorder="1" applyAlignment="1">
      <alignment horizontal="right" vertical="center"/>
    </xf>
    <xf numFmtId="0" fontId="5" fillId="56" borderId="14" xfId="0" applyFont="1" applyFill="1" applyBorder="1" applyAlignment="1">
      <alignment horizontal="center" vertical="center"/>
    </xf>
    <xf numFmtId="167" fontId="64" fillId="22" borderId="0" xfId="125" applyNumberFormat="1" applyFont="1" applyFill="1" applyBorder="1" applyAlignment="1">
      <alignment horizontal="right" vertical="center"/>
      <protection locked="0"/>
    </xf>
    <xf numFmtId="3" fontId="4" fillId="21" borderId="9" xfId="0" applyNumberFormat="1" applyFont="1" applyFill="1" applyBorder="1" applyAlignment="1">
      <alignment horizontal="center" vertical="center"/>
    </xf>
    <xf numFmtId="0" fontId="4" fillId="21" borderId="9" xfId="0" applyFont="1" applyFill="1" applyBorder="1" applyAlignment="1">
      <alignment horizontal="center" vertical="center"/>
    </xf>
    <xf numFmtId="167" fontId="5" fillId="55" borderId="0" xfId="0" applyNumberFormat="1" applyFont="1" applyFill="1" applyBorder="1" applyAlignment="1">
      <alignment horizontal="center" vertical="center"/>
    </xf>
    <xf numFmtId="167" fontId="4" fillId="56" borderId="17" xfId="0" applyNumberFormat="1" applyFont="1" applyFill="1" applyBorder="1" applyAlignment="1">
      <alignment horizontal="right" vertical="center"/>
    </xf>
    <xf numFmtId="167" fontId="4" fillId="56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/>
    </xf>
    <xf numFmtId="178" fontId="13" fillId="22" borderId="13" xfId="0" applyNumberFormat="1" applyFont="1" applyFill="1" applyBorder="1" applyAlignment="1">
      <alignment horizontal="right" vertical="center"/>
    </xf>
    <xf numFmtId="167" fontId="19" fillId="56" borderId="0" xfId="125" applyNumberFormat="1" applyFont="1" applyFill="1" applyBorder="1" applyAlignment="1">
      <alignment vertical="center"/>
      <protection locked="0"/>
    </xf>
    <xf numFmtId="169" fontId="5" fillId="22" borderId="4" xfId="0" applyNumberFormat="1" applyFont="1" applyFill="1" applyBorder="1" applyAlignment="1">
      <alignment horizontal="center" vertical="center"/>
    </xf>
    <xf numFmtId="169" fontId="5" fillId="22" borderId="12" xfId="0" applyNumberFormat="1" applyFont="1" applyFill="1" applyBorder="1" applyAlignment="1">
      <alignment horizontal="center" vertical="center"/>
    </xf>
    <xf numFmtId="166" fontId="5" fillId="22" borderId="6" xfId="0" applyNumberFormat="1" applyFont="1" applyFill="1" applyBorder="1" applyAlignment="1">
      <alignment horizontal="center" vertical="center"/>
    </xf>
    <xf numFmtId="167" fontId="4" fillId="55" borderId="13" xfId="0" applyNumberFormat="1" applyFont="1" applyFill="1" applyBorder="1" applyAlignment="1">
      <alignment horizontal="right" vertical="center"/>
    </xf>
    <xf numFmtId="167" fontId="12" fillId="0" borderId="14" xfId="0" quotePrefix="1" applyNumberFormat="1" applyFont="1" applyFill="1" applyBorder="1" applyAlignment="1">
      <alignment horizontal="right" vertical="center"/>
    </xf>
    <xf numFmtId="169" fontId="5" fillId="55" borderId="2" xfId="0" applyNumberFormat="1" applyFont="1" applyFill="1" applyBorder="1" applyAlignment="1">
      <alignment horizontal="center" vertical="center"/>
    </xf>
    <xf numFmtId="169" fontId="5" fillId="0" borderId="7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0" fontId="0" fillId="0" borderId="0" xfId="0" applyFill="1"/>
    <xf numFmtId="0" fontId="4" fillId="0" borderId="2" xfId="0" applyFont="1" applyFill="1" applyBorder="1" applyAlignment="1"/>
    <xf numFmtId="1" fontId="4" fillId="0" borderId="0" xfId="0" applyNumberFormat="1" applyFont="1" applyFill="1" applyBorder="1" applyAlignment="1">
      <alignment horizontal="right" vertical="center" wrapText="1"/>
    </xf>
    <xf numFmtId="1" fontId="4" fillId="55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8" xfId="0" applyNumberFormat="1" applyFont="1" applyFill="1" applyBorder="1" applyAlignment="1">
      <alignment horizontal="right" vertical="center"/>
    </xf>
    <xf numFmtId="1" fontId="4" fillId="56" borderId="0" xfId="0" applyNumberFormat="1" applyFont="1" applyFill="1" applyBorder="1" applyAlignment="1">
      <alignment horizontal="right" vertical="center"/>
    </xf>
    <xf numFmtId="166" fontId="4" fillId="0" borderId="42" xfId="0" applyNumberFormat="1" applyFont="1" applyFill="1" applyBorder="1" applyAlignment="1">
      <alignment horizontal="right" vertical="center"/>
    </xf>
    <xf numFmtId="1" fontId="9" fillId="0" borderId="0" xfId="0" applyNumberFormat="1" applyFont="1" applyBorder="1" applyAlignment="1">
      <alignment vertical="top" wrapText="1"/>
    </xf>
    <xf numFmtId="1" fontId="9" fillId="0" borderId="0" xfId="0" applyNumberFormat="1" applyFont="1" applyBorder="1"/>
    <xf numFmtId="1" fontId="9" fillId="0" borderId="0" xfId="0" applyNumberFormat="1" applyFont="1"/>
    <xf numFmtId="1" fontId="4" fillId="0" borderId="0" xfId="0" applyNumberFormat="1" applyFont="1"/>
    <xf numFmtId="1" fontId="4" fillId="0" borderId="0" xfId="0" applyNumberFormat="1" applyFont="1" applyBorder="1"/>
    <xf numFmtId="1" fontId="5" fillId="0" borderId="0" xfId="0" applyNumberFormat="1" applyFont="1" applyAlignment="1">
      <alignment horizontal="center"/>
    </xf>
    <xf numFmtId="1" fontId="7" fillId="0" borderId="0" xfId="0" quotePrefix="1" applyNumberFormat="1" applyFont="1" applyBorder="1" applyAlignment="1">
      <alignment horizontal="right" vertical="top"/>
    </xf>
    <xf numFmtId="1" fontId="0" fillId="0" borderId="0" xfId="0" applyNumberFormat="1" applyFill="1" applyBorder="1"/>
    <xf numFmtId="1" fontId="5" fillId="0" borderId="0" xfId="0" applyNumberFormat="1" applyFont="1" applyBorder="1"/>
    <xf numFmtId="1" fontId="4" fillId="0" borderId="0" xfId="0" applyNumberFormat="1" applyFont="1" applyFill="1" applyBorder="1"/>
    <xf numFmtId="1" fontId="4" fillId="0" borderId="8" xfId="0" applyNumberFormat="1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right" vertical="center"/>
    </xf>
    <xf numFmtId="1" fontId="0" fillId="0" borderId="14" xfId="0" applyNumberFormat="1" applyFill="1" applyBorder="1"/>
    <xf numFmtId="1" fontId="16" fillId="21" borderId="6" xfId="0" applyNumberFormat="1" applyFont="1" applyFill="1" applyBorder="1" applyAlignment="1">
      <alignment horizontal="center" wrapText="1"/>
    </xf>
    <xf numFmtId="1" fontId="0" fillId="0" borderId="10" xfId="0" applyNumberFormat="1" applyFill="1" applyBorder="1"/>
    <xf numFmtId="1" fontId="5" fillId="21" borderId="7" xfId="0" applyNumberFormat="1" applyFont="1" applyFill="1" applyBorder="1" applyAlignment="1">
      <alignment horizontal="center" vertical="center"/>
    </xf>
    <xf numFmtId="1" fontId="5" fillId="22" borderId="6" xfId="0" applyNumberFormat="1" applyFont="1" applyFill="1" applyBorder="1" applyAlignment="1">
      <alignment horizontal="center" vertical="center"/>
    </xf>
    <xf numFmtId="1" fontId="5" fillId="22" borderId="15" xfId="0" quotePrefix="1" applyNumberFormat="1" applyFont="1" applyFill="1" applyBorder="1" applyAlignment="1">
      <alignment horizontal="right" vertical="center"/>
    </xf>
    <xf numFmtId="1" fontId="5" fillId="22" borderId="6" xfId="0" quotePrefix="1" applyNumberFormat="1" applyFont="1" applyFill="1" applyBorder="1" applyAlignment="1">
      <alignment horizontal="right" vertical="center"/>
    </xf>
    <xf numFmtId="1" fontId="5" fillId="22" borderId="16" xfId="0" quotePrefix="1" applyNumberFormat="1" applyFont="1" applyFill="1" applyBorder="1" applyAlignment="1">
      <alignment horizontal="right" vertical="center"/>
    </xf>
    <xf numFmtId="1" fontId="5" fillId="22" borderId="16" xfId="0" applyNumberFormat="1" applyFont="1" applyFill="1" applyBorder="1" applyAlignment="1">
      <alignment horizontal="right" vertical="center"/>
    </xf>
    <xf numFmtId="1" fontId="13" fillId="22" borderId="16" xfId="0" applyNumberFormat="1" applyFont="1" applyFill="1" applyBorder="1" applyAlignment="1">
      <alignment horizontal="right" vertical="center"/>
    </xf>
    <xf numFmtId="1" fontId="5" fillId="0" borderId="6" xfId="0" applyNumberFormat="1" applyFont="1" applyFill="1" applyBorder="1" applyAlignment="1">
      <alignment horizontal="center" vertical="center"/>
    </xf>
    <xf numFmtId="1" fontId="4" fillId="0" borderId="15" xfId="0" quotePrefix="1" applyNumberFormat="1" applyFont="1" applyFill="1" applyBorder="1" applyAlignment="1">
      <alignment horizontal="right" vertical="center"/>
    </xf>
    <xf numFmtId="1" fontId="4" fillId="0" borderId="6" xfId="0" quotePrefix="1" applyNumberFormat="1" applyFont="1" applyFill="1" applyBorder="1" applyAlignment="1">
      <alignment horizontal="right" vertical="center"/>
    </xf>
    <xf numFmtId="1" fontId="4" fillId="0" borderId="16" xfId="0" quotePrefix="1" applyNumberFormat="1" applyFont="1" applyFill="1" applyBorder="1" applyAlignment="1">
      <alignment horizontal="right" vertical="center"/>
    </xf>
    <xf numFmtId="1" fontId="4" fillId="0" borderId="16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right" vertical="center"/>
    </xf>
    <xf numFmtId="1" fontId="5" fillId="22" borderId="2" xfId="0" applyNumberFormat="1" applyFont="1" applyFill="1" applyBorder="1" applyAlignment="1">
      <alignment horizontal="center" vertical="center"/>
    </xf>
    <xf numFmtId="1" fontId="4" fillId="22" borderId="17" xfId="0" applyNumberFormat="1" applyFont="1" applyFill="1" applyBorder="1" applyAlignment="1">
      <alignment horizontal="right" vertical="center"/>
    </xf>
    <xf numFmtId="1" fontId="4" fillId="22" borderId="2" xfId="0" applyNumberFormat="1" applyFont="1" applyFill="1" applyBorder="1" applyAlignment="1">
      <alignment horizontal="right" vertical="center"/>
    </xf>
    <xf numFmtId="1" fontId="4" fillId="22" borderId="21" xfId="0" applyNumberFormat="1" applyFont="1" applyFill="1" applyBorder="1" applyAlignment="1">
      <alignment horizontal="right" vertical="center"/>
    </xf>
    <xf numFmtId="1" fontId="4" fillId="0" borderId="17" xfId="0" quotePrefix="1" applyNumberFormat="1" applyFont="1" applyFill="1" applyBorder="1" applyAlignment="1">
      <alignment horizontal="right" vertical="center"/>
    </xf>
    <xf numFmtId="1" fontId="4" fillId="0" borderId="2" xfId="0" quotePrefix="1" applyNumberFormat="1" applyFont="1" applyFill="1" applyBorder="1" applyAlignment="1">
      <alignment horizontal="right" vertical="center"/>
    </xf>
    <xf numFmtId="1" fontId="4" fillId="0" borderId="0" xfId="0" quotePrefix="1" applyNumberFormat="1" applyFont="1" applyFill="1" applyBorder="1" applyAlignment="1">
      <alignment horizontal="right" vertical="center"/>
    </xf>
    <xf numFmtId="1" fontId="4" fillId="0" borderId="0" xfId="0" applyNumberFormat="1" applyFont="1" applyBorder="1" applyAlignment="1">
      <alignment vertical="top" wrapText="1"/>
    </xf>
    <xf numFmtId="1" fontId="4" fillId="0" borderId="17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horizontal="right" vertical="center"/>
    </xf>
    <xf numFmtId="1" fontId="4" fillId="0" borderId="21" xfId="0" applyNumberFormat="1" applyFont="1" applyFill="1" applyBorder="1" applyAlignment="1">
      <alignment horizontal="right" vertical="center"/>
    </xf>
    <xf numFmtId="1" fontId="4" fillId="0" borderId="22" xfId="0" applyNumberFormat="1" applyFont="1" applyFill="1" applyBorder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1" fontId="4" fillId="22" borderId="22" xfId="0" applyNumberFormat="1" applyFont="1" applyFill="1" applyBorder="1" applyAlignment="1">
      <alignment horizontal="right" vertical="center"/>
    </xf>
    <xf numFmtId="1" fontId="5" fillId="55" borderId="2" xfId="0" applyNumberFormat="1" applyFont="1" applyFill="1" applyBorder="1" applyAlignment="1">
      <alignment horizontal="center" vertical="center"/>
    </xf>
    <xf numFmtId="1" fontId="4" fillId="55" borderId="17" xfId="0" applyNumberFormat="1" applyFont="1" applyFill="1" applyBorder="1" applyAlignment="1">
      <alignment horizontal="right" vertical="center"/>
    </xf>
    <xf numFmtId="1" fontId="4" fillId="55" borderId="2" xfId="0" applyNumberFormat="1" applyFont="1" applyFill="1" applyBorder="1" applyAlignment="1">
      <alignment horizontal="right" vertical="center"/>
    </xf>
    <xf numFmtId="1" fontId="4" fillId="55" borderId="22" xfId="0" applyNumberFormat="1" applyFont="1" applyFill="1" applyBorder="1" applyAlignment="1">
      <alignment horizontal="right" vertical="center"/>
    </xf>
    <xf numFmtId="1" fontId="4" fillId="0" borderId="22" xfId="0" applyNumberFormat="1" applyFont="1" applyBorder="1"/>
    <xf numFmtId="1" fontId="4" fillId="55" borderId="21" xfId="0" applyNumberFormat="1" applyFont="1" applyFill="1" applyBorder="1" applyAlignment="1">
      <alignment horizontal="right" vertical="center"/>
    </xf>
    <xf numFmtId="1" fontId="12" fillId="55" borderId="0" xfId="0" applyNumberFormat="1" applyFont="1" applyFill="1" applyBorder="1" applyAlignment="1">
      <alignment horizontal="right" vertical="center"/>
    </xf>
    <xf numFmtId="1" fontId="5" fillId="0" borderId="7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right" vertical="center"/>
    </xf>
    <xf numFmtId="1" fontId="4" fillId="0" borderId="7" xfId="0" applyNumberFormat="1" applyFont="1" applyFill="1" applyBorder="1" applyAlignment="1">
      <alignment horizontal="right" vertical="center"/>
    </xf>
    <xf numFmtId="1" fontId="5" fillId="55" borderId="7" xfId="0" applyNumberFormat="1" applyFont="1" applyFill="1" applyBorder="1" applyAlignment="1">
      <alignment horizontal="center" vertical="center"/>
    </xf>
    <xf numFmtId="1" fontId="4" fillId="55" borderId="9" xfId="0" applyNumberFormat="1" applyFont="1" applyFill="1" applyBorder="1" applyAlignment="1">
      <alignment horizontal="right" vertical="center"/>
    </xf>
    <xf numFmtId="1" fontId="4" fillId="55" borderId="7" xfId="0" applyNumberFormat="1" applyFont="1" applyFill="1" applyBorder="1" applyAlignment="1">
      <alignment horizontal="right" vertical="center"/>
    </xf>
    <xf numFmtId="1" fontId="4" fillId="55" borderId="8" xfId="0" applyNumberFormat="1" applyFont="1" applyFill="1" applyBorder="1" applyAlignment="1">
      <alignment horizontal="right" vertical="center"/>
    </xf>
    <xf numFmtId="1" fontId="4" fillId="55" borderId="24" xfId="0" applyNumberFormat="1" applyFont="1" applyFill="1" applyBorder="1" applyAlignment="1">
      <alignment horizontal="right" vertical="center"/>
    </xf>
    <xf numFmtId="1" fontId="5" fillId="55" borderId="6" xfId="0" applyNumberFormat="1" applyFont="1" applyFill="1" applyBorder="1" applyAlignment="1">
      <alignment horizontal="center" vertical="center"/>
    </xf>
    <xf numFmtId="1" fontId="4" fillId="55" borderId="15" xfId="0" applyNumberFormat="1" applyFont="1" applyFill="1" applyBorder="1" applyAlignment="1">
      <alignment horizontal="right" vertical="center"/>
    </xf>
    <xf numFmtId="1" fontId="4" fillId="55" borderId="6" xfId="0" applyNumberFormat="1" applyFont="1" applyFill="1" applyBorder="1" applyAlignment="1">
      <alignment horizontal="right" vertical="center"/>
    </xf>
    <xf numFmtId="1" fontId="4" fillId="55" borderId="16" xfId="0" applyNumberFormat="1" applyFont="1" applyFill="1" applyBorder="1" applyAlignment="1">
      <alignment horizontal="right" vertical="center"/>
    </xf>
    <xf numFmtId="1" fontId="4" fillId="55" borderId="16" xfId="0" applyNumberFormat="1" applyFont="1" applyFill="1" applyBorder="1" applyAlignment="1">
      <alignment horizontal="right" vertical="center"/>
    </xf>
    <xf numFmtId="1" fontId="4" fillId="0" borderId="35" xfId="0" applyNumberFormat="1" applyFont="1" applyFill="1" applyBorder="1" applyAlignment="1"/>
    <xf numFmtId="1" fontId="4" fillId="0" borderId="13" xfId="0" applyNumberFormat="1" applyFont="1" applyFill="1" applyBorder="1" applyAlignment="1">
      <alignment horizontal="right" vertical="center"/>
    </xf>
    <xf numFmtId="166" fontId="4" fillId="0" borderId="0" xfId="0" applyNumberFormat="1" applyFont="1" applyBorder="1"/>
    <xf numFmtId="166" fontId="4" fillId="55" borderId="10" xfId="0" applyNumberFormat="1" applyFont="1" applyFill="1" applyBorder="1" applyAlignment="1">
      <alignment horizontal="right" vertical="center"/>
    </xf>
    <xf numFmtId="166" fontId="4" fillId="55" borderId="13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67" fontId="5" fillId="22" borderId="11" xfId="0" applyNumberFormat="1" applyFont="1" applyFill="1" applyBorder="1" applyAlignment="1">
      <alignment horizontal="center"/>
    </xf>
    <xf numFmtId="174" fontId="5" fillId="22" borderId="12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74" fontId="4" fillId="0" borderId="14" xfId="0" applyNumberFormat="1" applyFont="1" applyFill="1" applyBorder="1" applyAlignment="1">
      <alignment horizontal="center"/>
    </xf>
    <xf numFmtId="167" fontId="5" fillId="22" borderId="0" xfId="0" applyNumberFormat="1" applyFont="1" applyFill="1" applyBorder="1" applyAlignment="1">
      <alignment horizontal="center"/>
    </xf>
    <xf numFmtId="174" fontId="4" fillId="22" borderId="14" xfId="0" applyNumberFormat="1" applyFont="1" applyFill="1" applyBorder="1" applyAlignment="1">
      <alignment horizontal="center"/>
    </xf>
    <xf numFmtId="174" fontId="4" fillId="55" borderId="14" xfId="0" applyNumberFormat="1" applyFont="1" applyFill="1" applyBorder="1" applyAlignment="1">
      <alignment horizontal="center"/>
    </xf>
    <xf numFmtId="167" fontId="5" fillId="0" borderId="8" xfId="0" applyNumberFormat="1" applyFont="1" applyFill="1" applyBorder="1" applyAlignment="1">
      <alignment horizontal="center"/>
    </xf>
    <xf numFmtId="174" fontId="4" fillId="0" borderId="10" xfId="0" applyNumberFormat="1" applyFont="1" applyFill="1" applyBorder="1" applyAlignment="1">
      <alignment horizontal="center"/>
    </xf>
    <xf numFmtId="167" fontId="5" fillId="22" borderId="9" xfId="0" applyNumberFormat="1" applyFont="1" applyFill="1" applyBorder="1" applyAlignment="1">
      <alignment horizontal="center"/>
    </xf>
    <xf numFmtId="174" fontId="4" fillId="55" borderId="10" xfId="0" applyNumberFormat="1" applyFont="1" applyFill="1" applyBorder="1" applyAlignment="1">
      <alignment horizontal="center"/>
    </xf>
    <xf numFmtId="167" fontId="5" fillId="55" borderId="0" xfId="0" applyNumberFormat="1" applyFont="1" applyFill="1" applyBorder="1" applyAlignment="1">
      <alignment horizontal="center"/>
    </xf>
    <xf numFmtId="167" fontId="5" fillId="0" borderId="9" xfId="0" applyNumberFormat="1" applyFont="1" applyFill="1" applyBorder="1" applyAlignment="1">
      <alignment horizontal="center"/>
    </xf>
    <xf numFmtId="167" fontId="5" fillId="56" borderId="0" xfId="0" applyNumberFormat="1" applyFont="1" applyFill="1" applyBorder="1" applyAlignment="1">
      <alignment horizontal="center"/>
    </xf>
    <xf numFmtId="174" fontId="4" fillId="56" borderId="14" xfId="0" applyNumberFormat="1" applyFont="1" applyFill="1" applyBorder="1" applyAlignment="1">
      <alignment horizontal="center"/>
    </xf>
    <xf numFmtId="167" fontId="5" fillId="22" borderId="15" xfId="0" applyNumberFormat="1" applyFont="1" applyFill="1" applyBorder="1" applyAlignment="1">
      <alignment horizontal="center"/>
    </xf>
    <xf numFmtId="167" fontId="4" fillId="0" borderId="15" xfId="0" applyNumberFormat="1" applyFont="1" applyFill="1" applyBorder="1" applyAlignment="1">
      <alignment horizontal="center"/>
    </xf>
    <xf numFmtId="167" fontId="4" fillId="0" borderId="16" xfId="0" applyNumberFormat="1" applyFont="1" applyFill="1" applyBorder="1" applyAlignment="1">
      <alignment horizontal="center"/>
    </xf>
    <xf numFmtId="167" fontId="4" fillId="0" borderId="13" xfId="0" applyNumberFormat="1" applyFont="1" applyFill="1" applyBorder="1" applyAlignment="1">
      <alignment horizontal="center"/>
    </xf>
    <xf numFmtId="167" fontId="4" fillId="22" borderId="17" xfId="0" applyNumberFormat="1" applyFont="1" applyFill="1" applyBorder="1" applyAlignment="1">
      <alignment horizontal="center"/>
    </xf>
    <xf numFmtId="167" fontId="4" fillId="55" borderId="0" xfId="0" applyNumberFormat="1" applyFont="1" applyFill="1" applyBorder="1" applyAlignment="1">
      <alignment horizontal="center"/>
    </xf>
    <xf numFmtId="167" fontId="4" fillId="55" borderId="14" xfId="0" applyNumberFormat="1" applyFont="1" applyFill="1" applyBorder="1" applyAlignment="1">
      <alignment horizontal="center"/>
    </xf>
    <xf numFmtId="167" fontId="4" fillId="0" borderId="17" xfId="0" applyNumberFormat="1" applyFont="1" applyFill="1" applyBorder="1" applyAlignment="1">
      <alignment horizontal="center"/>
    </xf>
    <xf numFmtId="167" fontId="4" fillId="0" borderId="14" xfId="0" applyNumberFormat="1" applyFont="1" applyFill="1" applyBorder="1" applyAlignment="1">
      <alignment horizontal="center"/>
    </xf>
    <xf numFmtId="167" fontId="4" fillId="55" borderId="17" xfId="0" applyNumberFormat="1" applyFont="1" applyFill="1" applyBorder="1" applyAlignment="1">
      <alignment horizontal="center"/>
    </xf>
    <xf numFmtId="167" fontId="4" fillId="0" borderId="9" xfId="0" applyNumberFormat="1" applyFont="1" applyFill="1" applyBorder="1" applyAlignment="1">
      <alignment horizontal="center"/>
    </xf>
    <xf numFmtId="167" fontId="4" fillId="0" borderId="8" xfId="0" applyNumberFormat="1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167" fontId="4" fillId="55" borderId="9" xfId="0" applyNumberFormat="1" applyFont="1" applyFill="1" applyBorder="1" applyAlignment="1">
      <alignment horizontal="center"/>
    </xf>
    <xf numFmtId="167" fontId="4" fillId="55" borderId="10" xfId="0" applyNumberFormat="1" applyFont="1" applyFill="1" applyBorder="1" applyAlignment="1">
      <alignment horizontal="center"/>
    </xf>
    <xf numFmtId="167" fontId="4" fillId="56" borderId="17" xfId="0" applyNumberFormat="1" applyFont="1" applyFill="1" applyBorder="1" applyAlignment="1">
      <alignment horizontal="center"/>
    </xf>
    <xf numFmtId="167" fontId="4" fillId="56" borderId="0" xfId="0" applyNumberFormat="1" applyFont="1" applyFill="1" applyBorder="1" applyAlignment="1">
      <alignment horizontal="center"/>
    </xf>
    <xf numFmtId="167" fontId="4" fillId="56" borderId="14" xfId="0" applyNumberFormat="1" applyFont="1" applyFill="1" applyBorder="1" applyAlignment="1">
      <alignment horizontal="center"/>
    </xf>
    <xf numFmtId="167" fontId="5" fillId="22" borderId="16" xfId="0" applyNumberFormat="1" applyFont="1" applyFill="1" applyBorder="1" applyAlignment="1">
      <alignment horizontal="center" vertical="center"/>
    </xf>
    <xf numFmtId="167" fontId="4" fillId="0" borderId="16" xfId="0" applyNumberFormat="1" applyFont="1" applyFill="1" applyBorder="1" applyAlignment="1">
      <alignment horizontal="center" vertical="center"/>
    </xf>
    <xf numFmtId="167" fontId="4" fillId="22" borderId="17" xfId="0" applyNumberFormat="1" applyFont="1" applyFill="1" applyBorder="1" applyAlignment="1">
      <alignment horizontal="center" vertical="center"/>
    </xf>
    <xf numFmtId="167" fontId="4" fillId="55" borderId="0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 vertical="center"/>
    </xf>
    <xf numFmtId="167" fontId="4" fillId="0" borderId="17" xfId="0" applyNumberFormat="1" applyFont="1" applyFill="1" applyBorder="1" applyAlignment="1">
      <alignment horizontal="center" vertical="center"/>
    </xf>
    <xf numFmtId="167" fontId="4" fillId="0" borderId="8" xfId="0" applyNumberFormat="1" applyFont="1" applyFill="1" applyBorder="1" applyAlignment="1">
      <alignment horizontal="center" vertical="center"/>
    </xf>
    <xf numFmtId="167" fontId="4" fillId="55" borderId="9" xfId="0" applyNumberFormat="1" applyFont="1" applyFill="1" applyBorder="1" applyAlignment="1">
      <alignment horizontal="center" vertical="center"/>
    </xf>
    <xf numFmtId="167" fontId="4" fillId="55" borderId="8" xfId="0" applyNumberFormat="1" applyFont="1" applyFill="1" applyBorder="1" applyAlignment="1">
      <alignment horizontal="center" vertical="center"/>
    </xf>
    <xf numFmtId="167" fontId="4" fillId="55" borderId="5" xfId="0" applyNumberFormat="1" applyFont="1" applyFill="1" applyBorder="1" applyAlignment="1">
      <alignment horizontal="center" vertical="center"/>
    </xf>
    <xf numFmtId="167" fontId="4" fillId="55" borderId="17" xfId="0" applyNumberFormat="1" applyFont="1" applyFill="1" applyBorder="1" applyAlignment="1">
      <alignment horizontal="center" vertical="center"/>
    </xf>
    <xf numFmtId="167" fontId="4" fillId="0" borderId="9" xfId="0" applyNumberFormat="1" applyFont="1" applyFill="1" applyBorder="1" applyAlignment="1">
      <alignment horizontal="center" vertical="center"/>
    </xf>
    <xf numFmtId="166" fontId="5" fillId="56" borderId="2" xfId="0" applyNumberFormat="1" applyFont="1" applyFill="1" applyBorder="1" applyAlignment="1">
      <alignment horizontal="center" vertical="center"/>
    </xf>
    <xf numFmtId="166" fontId="5" fillId="56" borderId="7" xfId="0" applyNumberFormat="1" applyFont="1" applyFill="1" applyBorder="1" applyAlignment="1">
      <alignment horizontal="center" vertical="center"/>
    </xf>
    <xf numFmtId="166" fontId="5" fillId="55" borderId="7" xfId="0" applyNumberFormat="1" applyFont="1" applyFill="1" applyBorder="1" applyAlignment="1">
      <alignment horizontal="center" vertical="center"/>
    </xf>
    <xf numFmtId="179" fontId="90" fillId="22" borderId="0" xfId="125" applyNumberFormat="1" applyFont="1" applyFill="1" applyBorder="1" applyAlignment="1">
      <alignment vertical="center"/>
      <protection locked="0"/>
    </xf>
    <xf numFmtId="166" fontId="5" fillId="0" borderId="14" xfId="0" applyNumberFormat="1" applyFont="1" applyFill="1" applyBorder="1" applyAlignment="1">
      <alignment horizontal="center" vertical="center"/>
    </xf>
    <xf numFmtId="166" fontId="5" fillId="22" borderId="14" xfId="0" applyNumberFormat="1" applyFont="1" applyFill="1" applyBorder="1" applyAlignment="1">
      <alignment horizontal="center" vertical="center"/>
    </xf>
    <xf numFmtId="167" fontId="4" fillId="0" borderId="14" xfId="0" applyNumberFormat="1" applyFont="1" applyFill="1" applyBorder="1"/>
    <xf numFmtId="178" fontId="5" fillId="22" borderId="13" xfId="0" applyNumberFormat="1" applyFont="1" applyFill="1" applyBorder="1" applyAlignment="1">
      <alignment horizontal="right" vertical="center"/>
    </xf>
    <xf numFmtId="166" fontId="4" fillId="55" borderId="11" xfId="0" applyNumberFormat="1" applyFont="1" applyFill="1" applyBorder="1" applyAlignment="1">
      <alignment horizontal="right" vertical="center"/>
    </xf>
    <xf numFmtId="0" fontId="89" fillId="55" borderId="14" xfId="0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vertical="center"/>
    </xf>
    <xf numFmtId="1" fontId="4" fillId="22" borderId="0" xfId="0" applyNumberFormat="1" applyFont="1" applyFill="1" applyBorder="1" applyAlignment="1">
      <alignment vertical="center"/>
    </xf>
    <xf numFmtId="1" fontId="4" fillId="22" borderId="11" xfId="0" applyNumberFormat="1" applyFont="1" applyFill="1" applyBorder="1" applyAlignment="1">
      <alignment vertical="center"/>
    </xf>
    <xf numFmtId="1" fontId="4" fillId="22" borderId="5" xfId="0" applyNumberFormat="1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vertical="center"/>
    </xf>
    <xf numFmtId="1" fontId="4" fillId="22" borderId="36" xfId="0" applyNumberFormat="1" applyFont="1" applyFill="1" applyBorder="1" applyAlignment="1">
      <alignment vertical="center"/>
    </xf>
    <xf numFmtId="1" fontId="4" fillId="22" borderId="22" xfId="0" applyNumberFormat="1" applyFont="1" applyFill="1" applyBorder="1" applyAlignment="1">
      <alignment vertical="center"/>
    </xf>
    <xf numFmtId="1" fontId="4" fillId="22" borderId="21" xfId="0" applyNumberFormat="1" applyFont="1" applyFill="1" applyBorder="1" applyAlignment="1">
      <alignment vertical="center"/>
    </xf>
    <xf numFmtId="1" fontId="4" fillId="22" borderId="47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9" fontId="5" fillId="22" borderId="13" xfId="10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9" fontId="5" fillId="55" borderId="6" xfId="0" applyNumberFormat="1" applyFont="1" applyFill="1" applyBorder="1" applyAlignment="1">
      <alignment horizontal="center" vertical="center"/>
    </xf>
    <xf numFmtId="169" fontId="5" fillId="0" borderId="6" xfId="0" applyNumberFormat="1" applyFont="1" applyFill="1" applyBorder="1" applyAlignment="1">
      <alignment horizontal="center" vertical="center"/>
    </xf>
    <xf numFmtId="175" fontId="5" fillId="22" borderId="16" xfId="0" applyNumberFormat="1" applyFont="1" applyFill="1" applyBorder="1" applyAlignment="1">
      <alignment horizontal="right" vertical="center"/>
    </xf>
    <xf numFmtId="166" fontId="4" fillId="55" borderId="47" xfId="0" applyNumberFormat="1" applyFont="1" applyFill="1" applyBorder="1" applyAlignment="1">
      <alignment horizontal="right" vertical="center"/>
    </xf>
    <xf numFmtId="178" fontId="5" fillId="22" borderId="4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166" fontId="4" fillId="0" borderId="13" xfId="0" applyNumberFormat="1" applyFont="1" applyFill="1" applyBorder="1" applyAlignment="1">
      <alignment horizontal="right" vertical="center"/>
    </xf>
    <xf numFmtId="166" fontId="5" fillId="55" borderId="6" xfId="0" applyNumberFormat="1" applyFont="1" applyFill="1" applyBorder="1" applyAlignment="1">
      <alignment horizontal="center" vertical="center"/>
    </xf>
    <xf numFmtId="178" fontId="5" fillId="22" borderId="12" xfId="0" applyNumberFormat="1" applyFont="1" applyFill="1" applyBorder="1" applyAlignment="1">
      <alignment horizontal="right" vertical="center"/>
    </xf>
    <xf numFmtId="49" fontId="19" fillId="55" borderId="17" xfId="125" quotePrefix="1" applyNumberFormat="1" applyFont="1" applyFill="1" applyBorder="1" applyAlignment="1">
      <alignment horizontal="center" vertical="center"/>
      <protection locked="0"/>
    </xf>
    <xf numFmtId="49" fontId="19" fillId="55" borderId="5" xfId="125" quotePrefix="1" applyNumberFormat="1" applyFont="1" applyFill="1" applyBorder="1" applyAlignment="1">
      <alignment horizontal="center" vertical="center"/>
      <protection locked="0"/>
    </xf>
    <xf numFmtId="1" fontId="28" fillId="21" borderId="14" xfId="0" applyNumberFormat="1" applyFont="1" applyFill="1" applyBorder="1" applyAlignment="1">
      <alignment horizontal="center" vertical="center"/>
    </xf>
    <xf numFmtId="0" fontId="5" fillId="21" borderId="14" xfId="0" quotePrefix="1" applyFont="1" applyFill="1" applyBorder="1" applyAlignment="1">
      <alignment horizontal="center" vertical="center" wrapText="1"/>
    </xf>
    <xf numFmtId="49" fontId="19" fillId="55" borderId="14" xfId="125" quotePrefix="1" applyNumberFormat="1" applyFont="1" applyFill="1" applyBorder="1" applyAlignment="1">
      <alignment horizontal="center" vertical="center"/>
      <protection locked="0"/>
    </xf>
    <xf numFmtId="167" fontId="19" fillId="55" borderId="12" xfId="125" applyNumberFormat="1" applyFont="1" applyFill="1" applyBorder="1" applyAlignment="1">
      <alignment vertical="center"/>
      <protection locked="0"/>
    </xf>
    <xf numFmtId="49" fontId="19" fillId="0" borderId="17" xfId="125" applyNumberFormat="1" applyFont="1" applyFill="1" applyBorder="1" applyAlignment="1">
      <alignment horizontal="center" vertical="center"/>
      <protection locked="0"/>
    </xf>
    <xf numFmtId="49" fontId="19" fillId="0" borderId="0" xfId="125" applyNumberFormat="1" applyFont="1" applyFill="1" applyBorder="1" applyAlignment="1">
      <alignment horizontal="center" vertical="center"/>
      <protection locked="0"/>
    </xf>
    <xf numFmtId="49" fontId="19" fillId="0" borderId="0" xfId="125" quotePrefix="1" applyNumberFormat="1" applyFont="1" applyFill="1" applyBorder="1" applyAlignment="1">
      <alignment horizontal="center" vertical="center"/>
      <protection locked="0"/>
    </xf>
    <xf numFmtId="167" fontId="19" fillId="22" borderId="8" xfId="125" applyNumberFormat="1" applyFont="1" applyFill="1" applyBorder="1" applyAlignment="1">
      <alignment horizontal="right" vertical="center"/>
      <protection locked="0"/>
    </xf>
    <xf numFmtId="167" fontId="19" fillId="55" borderId="14" xfId="125" applyNumberFormat="1" applyFont="1" applyFill="1" applyBorder="1" applyAlignment="1">
      <alignment horizontal="right" vertical="center"/>
      <protection locked="0"/>
    </xf>
    <xf numFmtId="167" fontId="19" fillId="0" borderId="13" xfId="125" applyNumberFormat="1" applyFont="1" applyFill="1" applyBorder="1" applyAlignment="1">
      <alignment horizontal="right" vertical="center"/>
      <protection locked="0"/>
    </xf>
    <xf numFmtId="166" fontId="5" fillId="22" borderId="5" xfId="0" applyNumberFormat="1" applyFont="1" applyFill="1" applyBorder="1" applyAlignment="1">
      <alignment horizontal="center"/>
    </xf>
    <xf numFmtId="179" fontId="5" fillId="22" borderId="12" xfId="0" applyNumberFormat="1" applyFont="1" applyFill="1" applyBorder="1" applyAlignment="1">
      <alignment horizontal="right" vertical="center"/>
    </xf>
    <xf numFmtId="166" fontId="28" fillId="22" borderId="4" xfId="0" applyNumberFormat="1" applyFont="1" applyFill="1" applyBorder="1" applyAlignment="1">
      <alignment horizontal="center"/>
    </xf>
    <xf numFmtId="167" fontId="19" fillId="55" borderId="16" xfId="125" applyNumberFormat="1" applyFont="1" applyFill="1" applyBorder="1" applyAlignment="1">
      <alignment vertical="center"/>
      <protection locked="0"/>
    </xf>
    <xf numFmtId="169" fontId="5" fillId="0" borderId="14" xfId="0" applyNumberFormat="1" applyFont="1" applyFill="1" applyBorder="1" applyAlignment="1">
      <alignment horizontal="center" vertical="center"/>
    </xf>
    <xf numFmtId="169" fontId="5" fillId="0" borderId="10" xfId="0" applyNumberFormat="1" applyFont="1" applyFill="1" applyBorder="1" applyAlignment="1">
      <alignment horizontal="center" vertical="center"/>
    </xf>
    <xf numFmtId="169" fontId="5" fillId="0" borderId="13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178" fontId="4" fillId="55" borderId="5" xfId="0" applyNumberFormat="1" applyFont="1" applyFill="1" applyBorder="1" applyAlignment="1">
      <alignment horizontal="right" vertical="center"/>
    </xf>
    <xf numFmtId="178" fontId="4" fillId="0" borderId="38" xfId="0" applyNumberFormat="1" applyFont="1" applyFill="1" applyBorder="1" applyAlignment="1">
      <alignment horizontal="right" vertical="center"/>
    </xf>
    <xf numFmtId="0" fontId="1" fillId="0" borderId="0" xfId="0" applyFont="1" applyAlignment="1"/>
    <xf numFmtId="164" fontId="5" fillId="22" borderId="6" xfId="0" applyNumberFormat="1" applyFont="1" applyFill="1" applyBorder="1" applyAlignment="1">
      <alignment horizontal="center"/>
    </xf>
    <xf numFmtId="166" fontId="5" fillId="0" borderId="13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67" fontId="4" fillId="22" borderId="0" xfId="0" applyNumberFormat="1" applyFont="1" applyFill="1" applyBorder="1" applyAlignment="1">
      <alignment vertical="center"/>
    </xf>
    <xf numFmtId="166" fontId="5" fillId="22" borderId="13" xfId="0" applyNumberFormat="1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166" fontId="5" fillId="55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wrapText="1"/>
    </xf>
    <xf numFmtId="0" fontId="5" fillId="21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167" fontId="12" fillId="55" borderId="16" xfId="0" quotePrefix="1" applyNumberFormat="1" applyFont="1" applyFill="1" applyBorder="1" applyAlignment="1">
      <alignment horizontal="right" vertical="center"/>
    </xf>
    <xf numFmtId="167" fontId="4" fillId="55" borderId="36" xfId="0" applyNumberFormat="1" applyFont="1" applyFill="1" applyBorder="1" applyAlignment="1">
      <alignment horizontal="right" vertical="center"/>
    </xf>
    <xf numFmtId="166" fontId="5" fillId="56" borderId="6" xfId="0" applyNumberFormat="1" applyFont="1" applyFill="1" applyBorder="1" applyAlignment="1">
      <alignment horizontal="center" vertical="center"/>
    </xf>
    <xf numFmtId="1" fontId="5" fillId="22" borderId="5" xfId="0" applyNumberFormat="1" applyFont="1" applyFill="1" applyBorder="1" applyAlignment="1">
      <alignment horizontal="right" vertical="center"/>
    </xf>
    <xf numFmtId="1" fontId="5" fillId="22" borderId="12" xfId="0" applyNumberFormat="1" applyFont="1" applyFill="1" applyBorder="1" applyAlignment="1">
      <alignment horizontal="right" vertical="center"/>
    </xf>
    <xf numFmtId="169" fontId="5" fillId="22" borderId="14" xfId="0" applyNumberFormat="1" applyFont="1" applyFill="1" applyBorder="1" applyAlignment="1">
      <alignment horizontal="center" vertical="center"/>
    </xf>
    <xf numFmtId="0" fontId="4" fillId="21" borderId="8" xfId="0" applyFont="1" applyFill="1" applyBorder="1" applyAlignment="1">
      <alignment horizontal="center" vertical="center"/>
    </xf>
    <xf numFmtId="3" fontId="4" fillId="21" borderId="7" xfId="0" applyNumberFormat="1" applyFont="1" applyFill="1" applyBorder="1" applyAlignment="1">
      <alignment horizontal="center" vertical="center"/>
    </xf>
    <xf numFmtId="2" fontId="0" fillId="0" borderId="0" xfId="0" applyNumberFormat="1"/>
    <xf numFmtId="169" fontId="4" fillId="0" borderId="57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169" fontId="5" fillId="55" borderId="14" xfId="0" applyNumberFormat="1" applyFont="1" applyFill="1" applyBorder="1" applyAlignment="1">
      <alignment horizontal="center" vertical="center"/>
    </xf>
    <xf numFmtId="169" fontId="5" fillId="55" borderId="10" xfId="0" applyNumberFormat="1" applyFont="1" applyFill="1" applyBorder="1" applyAlignment="1">
      <alignment horizontal="center" vertical="center"/>
    </xf>
    <xf numFmtId="167" fontId="4" fillId="0" borderId="2" xfId="0" quotePrefix="1" applyNumberFormat="1" applyFont="1" applyFill="1" applyBorder="1" applyAlignment="1">
      <alignment horizontal="center" vertical="center"/>
    </xf>
    <xf numFmtId="167" fontId="12" fillId="55" borderId="2" xfId="0" quotePrefix="1" applyNumberFormat="1" applyFont="1" applyFill="1" applyBorder="1" applyAlignment="1">
      <alignment horizontal="center" vertical="center"/>
    </xf>
    <xf numFmtId="167" fontId="12" fillId="55" borderId="6" xfId="0" quotePrefix="1" applyNumberFormat="1" applyFont="1" applyFill="1" applyBorder="1" applyAlignment="1">
      <alignment horizontal="center" vertical="center"/>
    </xf>
    <xf numFmtId="167" fontId="12" fillId="55" borderId="13" xfId="0" quotePrefix="1" applyNumberFormat="1" applyFont="1" applyFill="1" applyBorder="1" applyAlignment="1">
      <alignment horizontal="right" vertical="center"/>
    </xf>
    <xf numFmtId="167" fontId="4" fillId="0" borderId="13" xfId="0" quotePrefix="1" applyNumberFormat="1" applyFont="1" applyFill="1" applyBorder="1" applyAlignment="1">
      <alignment horizontal="right" vertical="center"/>
    </xf>
    <xf numFmtId="167" fontId="12" fillId="0" borderId="14" xfId="0" applyNumberFormat="1" applyFont="1" applyFill="1" applyBorder="1" applyAlignment="1">
      <alignment horizontal="right" vertical="center"/>
    </xf>
    <xf numFmtId="167" fontId="4" fillId="55" borderId="2" xfId="0" quotePrefix="1" applyNumberFormat="1" applyFont="1" applyFill="1" applyBorder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 wrapText="1"/>
    </xf>
    <xf numFmtId="167" fontId="12" fillId="22" borderId="0" xfId="0" applyNumberFormat="1" applyFont="1" applyFill="1" applyBorder="1" applyAlignment="1">
      <alignment horizontal="right" vertical="center"/>
    </xf>
    <xf numFmtId="167" fontId="12" fillId="55" borderId="38" xfId="0" applyNumberFormat="1" applyFont="1" applyFill="1" applyBorder="1" applyAlignment="1">
      <alignment vertical="center"/>
    </xf>
    <xf numFmtId="169" fontId="4" fillId="56" borderId="0" xfId="0" applyNumberFormat="1" applyFont="1" applyFill="1" applyBorder="1" applyAlignment="1">
      <alignment horizontal="right" vertical="center"/>
    </xf>
    <xf numFmtId="169" fontId="4" fillId="56" borderId="17" xfId="0" applyNumberFormat="1" applyFont="1" applyFill="1" applyBorder="1" applyAlignment="1">
      <alignment horizontal="center" vertical="center"/>
    </xf>
    <xf numFmtId="169" fontId="4" fillId="56" borderId="0" xfId="0" applyNumberFormat="1" applyFont="1" applyFill="1" applyBorder="1" applyAlignment="1">
      <alignment horizontal="center" vertical="center"/>
    </xf>
    <xf numFmtId="167" fontId="5" fillId="55" borderId="11" xfId="0" applyNumberFormat="1" applyFont="1" applyFill="1" applyBorder="1" applyAlignment="1">
      <alignment horizontal="right" vertical="center"/>
    </xf>
    <xf numFmtId="168" fontId="5" fillId="55" borderId="5" xfId="0" applyNumberFormat="1" applyFont="1" applyFill="1" applyBorder="1" applyAlignment="1">
      <alignment horizontal="right" vertical="center"/>
    </xf>
    <xf numFmtId="167" fontId="5" fillId="55" borderId="9" xfId="0" applyNumberFormat="1" applyFont="1" applyFill="1" applyBorder="1" applyAlignment="1">
      <alignment horizontal="right" vertical="center"/>
    </xf>
    <xf numFmtId="168" fontId="5" fillId="55" borderId="8" xfId="0" applyNumberFormat="1" applyFont="1" applyFill="1" applyBorder="1" applyAlignment="1">
      <alignment horizontal="right" vertical="center"/>
    </xf>
    <xf numFmtId="1" fontId="4" fillId="56" borderId="17" xfId="0" applyNumberFormat="1" applyFont="1" applyFill="1" applyBorder="1" applyAlignment="1">
      <alignment horizontal="right" vertical="center"/>
    </xf>
    <xf numFmtId="168" fontId="4" fillId="56" borderId="13" xfId="0" applyNumberFormat="1" applyFont="1" applyFill="1" applyBorder="1" applyAlignment="1">
      <alignment horizontal="right" vertical="center"/>
    </xf>
    <xf numFmtId="168" fontId="4" fillId="56" borderId="14" xfId="0" applyNumberFormat="1" applyFont="1" applyFill="1" applyBorder="1" applyAlignment="1">
      <alignment horizontal="right" vertical="center"/>
    </xf>
    <xf numFmtId="168" fontId="4" fillId="55" borderId="14" xfId="0" applyNumberFormat="1" applyFont="1" applyFill="1" applyBorder="1" applyAlignment="1">
      <alignment horizontal="right" vertical="center"/>
    </xf>
    <xf numFmtId="169" fontId="4" fillId="55" borderId="0" xfId="0" applyNumberFormat="1" applyFont="1" applyFill="1" applyBorder="1" applyAlignment="1">
      <alignment horizontal="right" vertical="center"/>
    </xf>
    <xf numFmtId="169" fontId="4" fillId="56" borderId="14" xfId="0" applyNumberFormat="1" applyFont="1" applyFill="1" applyBorder="1" applyAlignment="1">
      <alignment horizontal="right" vertical="center"/>
    </xf>
    <xf numFmtId="168" fontId="4" fillId="0" borderId="14" xfId="0" applyNumberFormat="1" applyFont="1" applyFill="1" applyBorder="1" applyAlignment="1">
      <alignment horizontal="right" vertical="center"/>
    </xf>
    <xf numFmtId="168" fontId="4" fillId="55" borderId="14" xfId="0" quotePrefix="1" applyNumberFormat="1" applyFont="1" applyFill="1" applyBorder="1" applyAlignment="1">
      <alignment horizontal="right" vertical="center"/>
    </xf>
    <xf numFmtId="49" fontId="4" fillId="55" borderId="14" xfId="0" quotePrefix="1" applyNumberFormat="1" applyFont="1" applyFill="1" applyBorder="1" applyAlignment="1">
      <alignment horizontal="right" vertical="center"/>
    </xf>
    <xf numFmtId="1" fontId="4" fillId="55" borderId="11" xfId="0" applyNumberFormat="1" applyFont="1" applyFill="1" applyBorder="1" applyAlignment="1">
      <alignment horizontal="right" vertical="center"/>
    </xf>
    <xf numFmtId="168" fontId="4" fillId="55" borderId="12" xfId="0" applyNumberFormat="1" applyFont="1" applyFill="1" applyBorder="1" applyAlignment="1">
      <alignment horizontal="right" vertical="center"/>
    </xf>
    <xf numFmtId="168" fontId="4" fillId="0" borderId="14" xfId="0" quotePrefix="1" applyNumberFormat="1" applyFont="1" applyFill="1" applyBorder="1" applyAlignment="1">
      <alignment horizontal="right" vertical="center"/>
    </xf>
    <xf numFmtId="169" fontId="4" fillId="55" borderId="14" xfId="0" applyNumberFormat="1" applyFont="1" applyFill="1" applyBorder="1" applyAlignment="1">
      <alignment horizontal="right" vertical="center"/>
    </xf>
    <xf numFmtId="167" fontId="4" fillId="55" borderId="0" xfId="0" applyNumberFormat="1" applyFont="1" applyFill="1" applyAlignment="1">
      <alignment horizontal="right" vertical="center"/>
    </xf>
    <xf numFmtId="0" fontId="4" fillId="55" borderId="14" xfId="0" applyFont="1" applyFill="1" applyBorder="1" applyAlignment="1">
      <alignment horizontal="right" vertical="center"/>
    </xf>
    <xf numFmtId="0" fontId="4" fillId="55" borderId="0" xfId="0" applyFont="1" applyFill="1" applyAlignment="1">
      <alignment horizontal="right" vertical="center"/>
    </xf>
    <xf numFmtId="1" fontId="4" fillId="56" borderId="9" xfId="0" applyNumberFormat="1" applyFont="1" applyFill="1" applyBorder="1" applyAlignment="1">
      <alignment horizontal="right" vertical="center"/>
    </xf>
    <xf numFmtId="168" fontId="4" fillId="56" borderId="10" xfId="0" applyNumberFormat="1" applyFont="1" applyFill="1" applyBorder="1" applyAlignment="1">
      <alignment horizontal="right" vertical="center"/>
    </xf>
    <xf numFmtId="168" fontId="4" fillId="0" borderId="10" xfId="0" applyNumberFormat="1" applyFont="1" applyFill="1" applyBorder="1" applyAlignment="1">
      <alignment horizontal="right" vertical="center"/>
    </xf>
    <xf numFmtId="168" fontId="4" fillId="55" borderId="13" xfId="0" applyNumberFormat="1" applyFont="1" applyFill="1" applyBorder="1" applyAlignment="1">
      <alignment horizontal="right" vertical="center"/>
    </xf>
    <xf numFmtId="168" fontId="4" fillId="55" borderId="10" xfId="0" applyNumberFormat="1" applyFont="1" applyFill="1" applyBorder="1" applyAlignment="1">
      <alignment horizontal="right" vertical="center"/>
    </xf>
    <xf numFmtId="167" fontId="5" fillId="55" borderId="5" xfId="0" applyNumberFormat="1" applyFont="1" applyFill="1" applyBorder="1" applyAlignment="1">
      <alignment horizontal="center" vertical="center"/>
    </xf>
    <xf numFmtId="169" fontId="5" fillId="22" borderId="9" xfId="0" applyNumberFormat="1" applyFont="1" applyFill="1" applyBorder="1" applyAlignment="1">
      <alignment horizontal="center" vertical="center"/>
    </xf>
    <xf numFmtId="169" fontId="4" fillId="55" borderId="0" xfId="0" applyNumberFormat="1" applyFont="1" applyFill="1" applyBorder="1" applyAlignment="1">
      <alignment horizontal="center" vertical="center"/>
    </xf>
    <xf numFmtId="169" fontId="4" fillId="56" borderId="14" xfId="0" applyNumberFormat="1" applyFont="1" applyFill="1" applyBorder="1" applyAlignment="1">
      <alignment horizontal="center" vertical="center"/>
    </xf>
    <xf numFmtId="169" fontId="4" fillId="56" borderId="8" xfId="0" applyNumberFormat="1" applyFont="1" applyFill="1" applyBorder="1" applyAlignment="1">
      <alignment horizontal="center" vertical="center"/>
    </xf>
    <xf numFmtId="169" fontId="4" fillId="55" borderId="5" xfId="0" applyNumberFormat="1" applyFont="1" applyFill="1" applyBorder="1" applyAlignment="1">
      <alignment horizontal="center" vertical="center"/>
    </xf>
    <xf numFmtId="169" fontId="4" fillId="55" borderId="12" xfId="0" applyNumberFormat="1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center" vertical="center"/>
    </xf>
    <xf numFmtId="169" fontId="4" fillId="55" borderId="17" xfId="0" applyNumberFormat="1" applyFont="1" applyFill="1" applyBorder="1" applyAlignment="1">
      <alignment horizontal="center" vertical="center"/>
    </xf>
    <xf numFmtId="169" fontId="4" fillId="56" borderId="9" xfId="0" applyNumberFormat="1" applyFont="1" applyFill="1" applyBorder="1" applyAlignment="1">
      <alignment horizontal="center" vertical="center"/>
    </xf>
    <xf numFmtId="169" fontId="4" fillId="56" borderId="10" xfId="0" applyNumberFormat="1" applyFont="1" applyFill="1" applyBorder="1" applyAlignment="1">
      <alignment horizontal="center" vertical="center"/>
    </xf>
    <xf numFmtId="167" fontId="90" fillId="55" borderId="17" xfId="0" applyNumberFormat="1" applyFont="1" applyFill="1" applyBorder="1" applyAlignment="1">
      <alignment horizontal="center"/>
    </xf>
    <xf numFmtId="167" fontId="90" fillId="55" borderId="0" xfId="0" applyNumberFormat="1" applyFont="1" applyFill="1" applyBorder="1" applyAlignment="1">
      <alignment horizontal="center"/>
    </xf>
    <xf numFmtId="167" fontId="90" fillId="55" borderId="14" xfId="0" applyNumberFormat="1" applyFont="1" applyFill="1" applyBorder="1" applyAlignment="1">
      <alignment horizontal="center"/>
    </xf>
    <xf numFmtId="167" fontId="90" fillId="0" borderId="0" xfId="0" applyNumberFormat="1" applyFont="1" applyFill="1" applyBorder="1" applyAlignment="1">
      <alignment horizontal="center" vertical="center"/>
    </xf>
    <xf numFmtId="0" fontId="89" fillId="21" borderId="10" xfId="0" applyFont="1" applyFill="1" applyBorder="1" applyAlignment="1">
      <alignment horizontal="center" vertical="top" wrapText="1"/>
    </xf>
    <xf numFmtId="175" fontId="5" fillId="22" borderId="5" xfId="0" applyNumberFormat="1" applyFont="1" applyFill="1" applyBorder="1" applyAlignment="1">
      <alignment horizontal="right" vertical="center"/>
    </xf>
    <xf numFmtId="175" fontId="13" fillId="22" borderId="12" xfId="0" applyNumberFormat="1" applyFont="1" applyFill="1" applyBorder="1" applyAlignment="1">
      <alignment horizontal="right" vertical="center"/>
    </xf>
    <xf numFmtId="1" fontId="4" fillId="0" borderId="14" xfId="0" applyNumberFormat="1" applyFont="1" applyFill="1" applyBorder="1" applyAlignment="1">
      <alignment vertical="center"/>
    </xf>
    <xf numFmtId="1" fontId="4" fillId="22" borderId="14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1" fontId="12" fillId="22" borderId="0" xfId="0" applyNumberFormat="1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vertical="center"/>
    </xf>
    <xf numFmtId="1" fontId="12" fillId="22" borderId="5" xfId="0" applyNumberFormat="1" applyFont="1" applyFill="1" applyBorder="1" applyAlignment="1">
      <alignment vertical="center"/>
    </xf>
    <xf numFmtId="166" fontId="5" fillId="55" borderId="5" xfId="0" applyNumberFormat="1" applyFont="1" applyFill="1" applyBorder="1" applyAlignment="1">
      <alignment horizontal="right"/>
    </xf>
    <xf numFmtId="0" fontId="9" fillId="0" borderId="0" xfId="0" applyFont="1" applyAlignment="1">
      <alignment vertical="top" wrapText="1"/>
    </xf>
    <xf numFmtId="0" fontId="0" fillId="0" borderId="0" xfId="0" applyAlignment="1">
      <alignment wrapText="1"/>
    </xf>
    <xf numFmtId="166" fontId="4" fillId="0" borderId="8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left" wrapText="1"/>
    </xf>
    <xf numFmtId="0" fontId="10" fillId="0" borderId="0" xfId="0" applyFont="1" applyAlignment="1">
      <alignment horizontal="center" vertical="center"/>
    </xf>
    <xf numFmtId="166" fontId="4" fillId="0" borderId="8" xfId="0" applyNumberFormat="1" applyFont="1" applyBorder="1" applyAlignment="1">
      <alignment horizontal="right" vertical="top"/>
    </xf>
    <xf numFmtId="0" fontId="5" fillId="0" borderId="16" xfId="0" applyFont="1" applyBorder="1" applyAlignment="1">
      <alignment horizontal="left" wrapText="1"/>
    </xf>
    <xf numFmtId="0" fontId="7" fillId="0" borderId="0" xfId="0" quotePrefix="1" applyFont="1" applyAlignment="1">
      <alignment horizontal="right" vertical="top"/>
    </xf>
    <xf numFmtId="0" fontId="0" fillId="0" borderId="0" xfId="0" applyAlignment="1">
      <alignment vertical="top"/>
    </xf>
    <xf numFmtId="1" fontId="5" fillId="21" borderId="13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0" fontId="0" fillId="0" borderId="8" xfId="0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17" fontId="3" fillId="0" borderId="0" xfId="0" quotePrefix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/>
    <xf numFmtId="0" fontId="9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0" fillId="0" borderId="0" xfId="0" applyFont="1" applyBorder="1" applyAlignment="1">
      <alignment horizontal="center" vertical="top"/>
    </xf>
    <xf numFmtId="0" fontId="5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Border="1" applyAlignment="1">
      <alignment horizontal="center" vertical="center"/>
    </xf>
    <xf numFmtId="1" fontId="5" fillId="0" borderId="0" xfId="0" applyNumberFormat="1" applyFont="1" applyAlignment="1">
      <alignment wrapText="1"/>
    </xf>
    <xf numFmtId="1" fontId="4" fillId="0" borderId="0" xfId="0" applyNumberFormat="1" applyFont="1" applyAlignment="1">
      <alignment wrapText="1"/>
    </xf>
    <xf numFmtId="1" fontId="4" fillId="0" borderId="0" xfId="0" applyNumberFormat="1" applyFont="1" applyBorder="1" applyAlignment="1">
      <alignment vertical="top" wrapText="1"/>
    </xf>
    <xf numFmtId="1" fontId="4" fillId="0" borderId="0" xfId="0" applyNumberFormat="1" applyFont="1" applyAlignment="1">
      <alignment vertical="top" wrapText="1"/>
    </xf>
    <xf numFmtId="1" fontId="9" fillId="0" borderId="0" xfId="0" applyNumberFormat="1" applyFont="1" applyAlignment="1">
      <alignment vertical="top" wrapText="1"/>
    </xf>
    <xf numFmtId="1" fontId="7" fillId="0" borderId="0" xfId="0" applyNumberFormat="1" applyFont="1" applyBorder="1" applyAlignment="1">
      <alignment horizontal="center" vertical="top"/>
    </xf>
    <xf numFmtId="1" fontId="10" fillId="0" borderId="0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left" wrapText="1"/>
    </xf>
    <xf numFmtId="1" fontId="0" fillId="0" borderId="16" xfId="0" applyNumberFormat="1" applyBorder="1" applyAlignment="1">
      <alignment horizontal="left" wrapText="1"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166" fontId="4" fillId="0" borderId="8" xfId="0" applyNumberFormat="1" applyFont="1" applyBorder="1" applyAlignment="1">
      <alignment horizontal="center" vertical="top"/>
    </xf>
    <xf numFmtId="0" fontId="5" fillId="21" borderId="6" xfId="0" applyFont="1" applyFill="1" applyBorder="1" applyAlignment="1">
      <alignment horizontal="center" wrapText="1"/>
    </xf>
    <xf numFmtId="0" fontId="5" fillId="21" borderId="2" xfId="0" applyFont="1" applyFill="1" applyBorder="1" applyAlignment="1">
      <alignment horizontal="center" wrapText="1"/>
    </xf>
    <xf numFmtId="0" fontId="5" fillId="21" borderId="7" xfId="0" applyFont="1" applyFill="1" applyBorder="1" applyAlignment="1">
      <alignment horizontal="center" wrapText="1"/>
    </xf>
    <xf numFmtId="0" fontId="10" fillId="0" borderId="0" xfId="0" applyFont="1" applyAlignment="1">
      <alignment horizontal="center" vertical="top"/>
    </xf>
    <xf numFmtId="0" fontId="5" fillId="21" borderId="15" xfId="0" applyFont="1" applyFill="1" applyBorder="1" applyAlignment="1">
      <alignment horizontal="center" vertical="center" wrapText="1"/>
    </xf>
    <xf numFmtId="0" fontId="5" fillId="21" borderId="16" xfId="0" applyFont="1" applyFill="1" applyBorder="1" applyAlignment="1">
      <alignment horizontal="center" vertical="center" wrapText="1"/>
    </xf>
    <xf numFmtId="0" fontId="5" fillId="21" borderId="17" xfId="0" applyFont="1" applyFill="1" applyBorder="1" applyAlignment="1">
      <alignment horizontal="center" vertical="center" wrapText="1"/>
    </xf>
    <xf numFmtId="0" fontId="5" fillId="21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5" fillId="21" borderId="17" xfId="0" quotePrefix="1" applyFont="1" applyFill="1" applyBorder="1" applyAlignment="1">
      <alignment horizontal="center" vertical="center" wrapText="1"/>
    </xf>
    <xf numFmtId="0" fontId="5" fillId="21" borderId="0" xfId="0" quotePrefix="1" applyFont="1" applyFill="1" applyBorder="1" applyAlignment="1">
      <alignment horizontal="center" vertical="center" wrapText="1"/>
    </xf>
    <xf numFmtId="1" fontId="5" fillId="21" borderId="2" xfId="0" quotePrefix="1" applyNumberFormat="1" applyFont="1" applyFill="1" applyBorder="1" applyAlignment="1">
      <alignment horizontal="center" vertical="center" wrapText="1"/>
    </xf>
    <xf numFmtId="1" fontId="5" fillId="21" borderId="7" xfId="0" quotePrefix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166" fontId="4" fillId="0" borderId="8" xfId="0" applyNumberFormat="1" applyFont="1" applyBorder="1" applyAlignment="1">
      <alignment horizontal="right" vertical="top"/>
    </xf>
    <xf numFmtId="0" fontId="10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wrapText="1"/>
    </xf>
    <xf numFmtId="0" fontId="5" fillId="21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17" fillId="0" borderId="0" xfId="0" quotePrefix="1" applyFont="1" applyAlignment="1">
      <alignment horizontal="left"/>
    </xf>
    <xf numFmtId="0" fontId="5" fillId="21" borderId="2" xfId="0" applyFont="1" applyFill="1" applyBorder="1" applyAlignment="1">
      <alignment horizontal="center" vertical="top" wrapText="1"/>
    </xf>
    <xf numFmtId="0" fontId="5" fillId="21" borderId="7" xfId="0" applyFont="1" applyFill="1" applyBorder="1" applyAlignment="1">
      <alignment horizontal="center" vertical="top" wrapText="1"/>
    </xf>
    <xf numFmtId="0" fontId="7" fillId="0" borderId="0" xfId="0" quotePrefix="1" applyFont="1" applyAlignment="1">
      <alignment horizontal="right" vertical="top"/>
    </xf>
    <xf numFmtId="0" fontId="10" fillId="21" borderId="15" xfId="0" applyFont="1" applyFill="1" applyBorder="1" applyAlignment="1">
      <alignment horizontal="center" vertical="center" wrapText="1"/>
    </xf>
    <xf numFmtId="0" fontId="10" fillId="21" borderId="16" xfId="0" applyFont="1" applyFill="1" applyBorder="1" applyAlignment="1">
      <alignment horizontal="center" vertical="center" wrapText="1"/>
    </xf>
    <xf numFmtId="0" fontId="10" fillId="21" borderId="13" xfId="0" applyFont="1" applyFill="1" applyBorder="1" applyAlignment="1">
      <alignment horizontal="center" vertical="center" wrapText="1"/>
    </xf>
    <xf numFmtId="0" fontId="5" fillId="21" borderId="9" xfId="0" applyFont="1" applyFill="1" applyBorder="1" applyAlignment="1">
      <alignment horizontal="center" vertical="center" wrapText="1"/>
    </xf>
    <xf numFmtId="0" fontId="5" fillId="21" borderId="8" xfId="0" applyFont="1" applyFill="1" applyBorder="1" applyAlignment="1">
      <alignment horizontal="center" vertical="center" wrapText="1"/>
    </xf>
    <xf numFmtId="0" fontId="5" fillId="21" borderId="10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/>
    </xf>
    <xf numFmtId="170" fontId="5" fillId="21" borderId="9" xfId="0" applyNumberFormat="1" applyFont="1" applyFill="1" applyBorder="1" applyAlignment="1">
      <alignment horizontal="center" vertical="center"/>
    </xf>
    <xf numFmtId="170" fontId="5" fillId="21" borderId="8" xfId="0" applyNumberFormat="1" applyFont="1" applyFill="1" applyBorder="1" applyAlignment="1">
      <alignment horizontal="center" vertical="center"/>
    </xf>
    <xf numFmtId="170" fontId="5" fillId="21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5" fillId="21" borderId="9" xfId="0" applyFont="1" applyFill="1" applyBorder="1" applyAlignment="1">
      <alignment horizontal="center" vertical="top"/>
    </xf>
    <xf numFmtId="0" fontId="5" fillId="21" borderId="33" xfId="0" applyFont="1" applyFill="1" applyBorder="1" applyAlignment="1">
      <alignment horizontal="center" vertical="top"/>
    </xf>
    <xf numFmtId="0" fontId="5" fillId="21" borderId="34" xfId="0" applyFont="1" applyFill="1" applyBorder="1" applyAlignment="1">
      <alignment horizontal="center" vertical="top" wrapText="1"/>
    </xf>
    <xf numFmtId="0" fontId="5" fillId="21" borderId="33" xfId="0" applyFont="1" applyFill="1" applyBorder="1" applyAlignment="1">
      <alignment horizontal="center" vertical="top" wrapText="1"/>
    </xf>
    <xf numFmtId="0" fontId="89" fillId="21" borderId="34" xfId="0" applyFont="1" applyFill="1" applyBorder="1" applyAlignment="1">
      <alignment horizontal="center" vertical="top" wrapText="1"/>
    </xf>
    <xf numFmtId="0" fontId="89" fillId="21" borderId="33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wrapText="1"/>
    </xf>
    <xf numFmtId="0" fontId="89" fillId="21" borderId="9" xfId="0" applyFont="1" applyFill="1" applyBorder="1" applyAlignment="1">
      <alignment horizontal="center" vertical="top"/>
    </xf>
    <xf numFmtId="0" fontId="89" fillId="21" borderId="33" xfId="0" applyFont="1" applyFill="1" applyBorder="1" applyAlignment="1">
      <alignment horizontal="center" vertical="top"/>
    </xf>
    <xf numFmtId="0" fontId="10" fillId="0" borderId="8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17" fontId="4" fillId="0" borderId="0" xfId="0" applyNumberFormat="1" applyFont="1" applyFill="1" applyBorder="1" applyAlignment="1">
      <alignment horizontal="center" vertical="center"/>
    </xf>
    <xf numFmtId="17" fontId="4" fillId="0" borderId="0" xfId="0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5" fillId="21" borderId="15" xfId="0" applyFont="1" applyFill="1" applyBorder="1" applyAlignment="1">
      <alignment horizontal="center" vertical="center"/>
    </xf>
    <xf numFmtId="0" fontId="5" fillId="21" borderId="16" xfId="0" applyFont="1" applyFill="1" applyBorder="1" applyAlignment="1">
      <alignment horizontal="center" vertical="center"/>
    </xf>
    <xf numFmtId="0" fontId="5" fillId="21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5" fillId="21" borderId="6" xfId="0" applyFont="1" applyFill="1" applyBorder="1" applyAlignment="1">
      <alignment horizontal="center" vertical="top" wrapText="1"/>
    </xf>
    <xf numFmtId="0" fontId="5" fillId="21" borderId="15" xfId="0" applyFont="1" applyFill="1" applyBorder="1" applyAlignment="1">
      <alignment horizontal="center" vertical="top" wrapText="1"/>
    </xf>
    <xf numFmtId="0" fontId="5" fillId="21" borderId="13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17" fontId="18" fillId="0" borderId="0" xfId="0" applyNumberFormat="1" applyFont="1" applyBorder="1" applyAlignment="1">
      <alignment horizontal="center" vertical="center"/>
    </xf>
    <xf numFmtId="17" fontId="18" fillId="0" borderId="0" xfId="0" quotePrefix="1" applyNumberFormat="1" applyFont="1" applyBorder="1" applyAlignment="1">
      <alignment horizontal="center" vertical="center"/>
    </xf>
    <xf numFmtId="0" fontId="5" fillId="21" borderId="17" xfId="0" applyFont="1" applyFill="1" applyBorder="1" applyAlignment="1">
      <alignment horizontal="center" vertical="top" wrapText="1"/>
    </xf>
    <xf numFmtId="0" fontId="5" fillId="21" borderId="14" xfId="0" applyFont="1" applyFill="1" applyBorder="1" applyAlignment="1">
      <alignment horizontal="center" vertical="top" wrapText="1"/>
    </xf>
    <xf numFmtId="0" fontId="5" fillId="21" borderId="9" xfId="0" applyFont="1" applyFill="1" applyBorder="1" applyAlignment="1">
      <alignment horizontal="center" vertical="top" wrapText="1"/>
    </xf>
    <xf numFmtId="0" fontId="5" fillId="21" borderId="10" xfId="0" applyFont="1" applyFill="1" applyBorder="1" applyAlignment="1">
      <alignment horizontal="center" vertical="top" wrapText="1"/>
    </xf>
    <xf numFmtId="0" fontId="5" fillId="56" borderId="16" xfId="0" applyFont="1" applyFill="1" applyBorder="1" applyAlignment="1">
      <alignment horizontal="left" wrapText="1"/>
    </xf>
    <xf numFmtId="0" fontId="0" fillId="56" borderId="16" xfId="0" applyFill="1" applyBorder="1" applyAlignment="1">
      <alignment horizontal="left" wrapText="1"/>
    </xf>
    <xf numFmtId="0" fontId="4" fillId="0" borderId="0" xfId="0" applyFont="1" applyAlignment="1">
      <alignment vertical="center"/>
    </xf>
    <xf numFmtId="0" fontId="0" fillId="0" borderId="16" xfId="0" applyBorder="1" applyAlignment="1">
      <alignment horizontal="left" wrapText="1"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 vertical="top"/>
    </xf>
  </cellXfs>
  <cellStyles count="137">
    <cellStyle name="20% - Accent1" xfId="1" builtinId="30" customBuiltin="1"/>
    <cellStyle name="20% - Accent1 2" xfId="2"/>
    <cellStyle name="20% - Accent2" xfId="3" builtinId="34" customBuiltin="1"/>
    <cellStyle name="20% - Accent3" xfId="4" builtinId="38" customBuiltin="1"/>
    <cellStyle name="20% - Accent4" xfId="5" builtinId="42" customBuiltin="1"/>
    <cellStyle name="20% - Accent5" xfId="6" builtinId="46" customBuiltin="1"/>
    <cellStyle name="20% - Accent6" xfId="7" builtinId="50" customBuiltin="1"/>
    <cellStyle name="40% - Accent1" xfId="8" builtinId="31" customBuiltin="1"/>
    <cellStyle name="40% - Accent2" xfId="9" builtinId="35" customBuiltin="1"/>
    <cellStyle name="40% - Accent3" xfId="10" builtinId="39" customBuiltin="1"/>
    <cellStyle name="40% - Accent4" xfId="11" builtinId="43" customBuiltin="1"/>
    <cellStyle name="40% - Accent5" xfId="12" builtinId="47" customBuiltin="1"/>
    <cellStyle name="40% - Accent6" xfId="13" builtinId="51" customBuiltin="1"/>
    <cellStyle name="60% - Accent1" xfId="14" builtinId="32" customBuiltin="1"/>
    <cellStyle name="60% - Accent2" xfId="15" builtinId="36" customBuiltin="1"/>
    <cellStyle name="60% - Accent3" xfId="16" builtinId="40" customBuiltin="1"/>
    <cellStyle name="60% - Accent4" xfId="17" builtinId="44" customBuiltin="1"/>
    <cellStyle name="60% - Accent5" xfId="18" builtinId="48" customBuiltin="1"/>
    <cellStyle name="60% - Accent6" xfId="19" builtinId="52" customBuiltin="1"/>
    <cellStyle name="Accent1" xfId="20" builtinId="29" customBuiltin="1"/>
    <cellStyle name="Accent1 2" xfId="21"/>
    <cellStyle name="Accent2" xfId="22" builtinId="33" customBuiltin="1"/>
    <cellStyle name="Accent2 2" xfId="23"/>
    <cellStyle name="Accent3" xfId="24" builtinId="37" customBuiltin="1"/>
    <cellStyle name="Accent3 2" xfId="25"/>
    <cellStyle name="Accent4" xfId="26" builtinId="41" customBuiltin="1"/>
    <cellStyle name="Accent4 2" xfId="27"/>
    <cellStyle name="Accent5" xfId="28" builtinId="45" customBuiltin="1"/>
    <cellStyle name="Accent5 2" xfId="29"/>
    <cellStyle name="Accent6" xfId="30" builtinId="49" customBuiltin="1"/>
    <cellStyle name="Accent6 2" xfId="31"/>
    <cellStyle name="Bad" xfId="32" builtinId="27" customBuiltin="1"/>
    <cellStyle name="Calculation" xfId="33" builtinId="22" customBuiltin="1"/>
    <cellStyle name="cells" xfId="34"/>
    <cellStyle name="Check Cell" xfId="35" builtinId="23" customBuiltin="1"/>
    <cellStyle name="coin" xfId="36"/>
    <cellStyle name="column field" xfId="37"/>
    <cellStyle name="Comma 2" xfId="38"/>
    <cellStyle name="Comma 3" xfId="39"/>
    <cellStyle name="contenu_unite" xfId="40"/>
    <cellStyle name="Detail ligne" xfId="41"/>
    <cellStyle name="donn_normal" xfId="42"/>
    <cellStyle name="donnnormal1" xfId="43"/>
    <cellStyle name="donntotal1" xfId="44"/>
    <cellStyle name="ent_col_ser" xfId="45"/>
    <cellStyle name="entete_indice" xfId="46"/>
    <cellStyle name="Explanatory Text" xfId="47" builtinId="53" customBuiltin="1"/>
    <cellStyle name="field" xfId="48"/>
    <cellStyle name="field names" xfId="49"/>
    <cellStyle name="Följde hyperlänken" xfId="50"/>
    <cellStyle name="footer" xfId="51"/>
    <cellStyle name="Good" xfId="52" builtinId="26" customBuiltin="1"/>
    <cellStyle name="heading" xfId="53"/>
    <cellStyle name="Heading 1" xfId="54" builtinId="16" customBuiltin="1"/>
    <cellStyle name="Heading 2" xfId="55" builtinId="17" customBuiltin="1"/>
    <cellStyle name="Heading 3" xfId="56" builtinId="18" customBuiltin="1"/>
    <cellStyle name="Heading 4" xfId="57" builtinId="19" customBuiltin="1"/>
    <cellStyle name="Hyperlänk 2" xfId="58"/>
    <cellStyle name="Hyperlink" xfId="59" builtinId="8"/>
    <cellStyle name="Hyperlink 2" xfId="60"/>
    <cellStyle name="Hyperlink 3" xfId="61"/>
    <cellStyle name="Identification requete" xfId="62"/>
    <cellStyle name="Input" xfId="63" builtinId="20" customBuiltin="1"/>
    <cellStyle name="Ligne détail" xfId="64"/>
    <cellStyle name="Ligne détail 2" xfId="65"/>
    <cellStyle name="ligne_titre_0" xfId="66"/>
    <cellStyle name="Linked Cell" xfId="67" builtinId="24" customBuiltin="1"/>
    <cellStyle name="MEV1" xfId="68"/>
    <cellStyle name="MEV2" xfId="69"/>
    <cellStyle name="Neutral" xfId="70" builtinId="28" customBuiltin="1"/>
    <cellStyle name="Normal" xfId="0" builtinId="0"/>
    <cellStyle name="Normal 10" xfId="71"/>
    <cellStyle name="Normal 11" xfId="72"/>
    <cellStyle name="Normal 12" xfId="73"/>
    <cellStyle name="Normal 13" xfId="74"/>
    <cellStyle name="Normal 2" xfId="75"/>
    <cellStyle name="Normal 2 2" xfId="76"/>
    <cellStyle name="Normal 2 3" xfId="77"/>
    <cellStyle name="Normal 2 3 2" xfId="78"/>
    <cellStyle name="Normal 2 4" xfId="79"/>
    <cellStyle name="Normal 3" xfId="80"/>
    <cellStyle name="Normal 3 2" xfId="81"/>
    <cellStyle name="Normal 3 2 2" xfId="82"/>
    <cellStyle name="Normal 3 3" xfId="83"/>
    <cellStyle name="Normal 3 4" xfId="84"/>
    <cellStyle name="Normal 4" xfId="85"/>
    <cellStyle name="Normal 4 2" xfId="86"/>
    <cellStyle name="Normal 5" xfId="87"/>
    <cellStyle name="Normal 6" xfId="88"/>
    <cellStyle name="Normal 6 2" xfId="89"/>
    <cellStyle name="Normal 7" xfId="90"/>
    <cellStyle name="Normal 8" xfId="91"/>
    <cellStyle name="Normal 9" xfId="92"/>
    <cellStyle name="Normál_t6" xfId="93"/>
    <cellStyle name="Note 2" xfId="94"/>
    <cellStyle name="Note 3" xfId="95"/>
    <cellStyle name="Note 4" xfId="96"/>
    <cellStyle name="notice_theme" xfId="97"/>
    <cellStyle name="num_note" xfId="98"/>
    <cellStyle name="Output" xfId="99" builtinId="21" customBuiltin="1"/>
    <cellStyle name="Percent" xfId="100" builtinId="5"/>
    <cellStyle name="Percent 2" xfId="101"/>
    <cellStyle name="Procent 2" xfId="102"/>
    <cellStyle name="Resultat" xfId="103"/>
    <cellStyle name="rowfield" xfId="104"/>
    <cellStyle name="source" xfId="105"/>
    <cellStyle name="source 2" xfId="106"/>
    <cellStyle name="Standard_E00seit45" xfId="107"/>
    <cellStyle name="Test" xfId="108"/>
    <cellStyle name="Title" xfId="109" builtinId="15" customBuiltin="1"/>
    <cellStyle name="Title 2" xfId="110"/>
    <cellStyle name="Titre colonne" xfId="111"/>
    <cellStyle name="Titre colonnes" xfId="112"/>
    <cellStyle name="Titre colonnes 2" xfId="113"/>
    <cellStyle name="Titre general" xfId="114"/>
    <cellStyle name="Titre général" xfId="115"/>
    <cellStyle name="Titre ligne" xfId="116"/>
    <cellStyle name="Titre ligne 2" xfId="117"/>
    <cellStyle name="Titre lignes" xfId="118"/>
    <cellStyle name="Titre lignes 2" xfId="119"/>
    <cellStyle name="Titre tableau" xfId="120"/>
    <cellStyle name="Total" xfId="121" builtinId="25" customBuiltin="1"/>
    <cellStyle name="Total 2" xfId="122"/>
    <cellStyle name="Total 3" xfId="123"/>
    <cellStyle name="Total 4" xfId="124"/>
    <cellStyle name="Total intermediaire" xfId="125"/>
    <cellStyle name="Total intermediaire 0" xfId="126"/>
    <cellStyle name="Total intermediaire 1" xfId="127"/>
    <cellStyle name="Total intermediaire 2" xfId="128"/>
    <cellStyle name="Total intermediaire 3" xfId="129"/>
    <cellStyle name="Total intermediaire 4" xfId="130"/>
    <cellStyle name="Total intermediaire 5" xfId="131"/>
    <cellStyle name="Total tableau" xfId="132"/>
    <cellStyle name="Tusental 2" xfId="133"/>
    <cellStyle name="Virgül [0]_08-01" xfId="134"/>
    <cellStyle name="Virgül_08-01" xfId="135"/>
    <cellStyle name="Warning Text" xfId="13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1"/>
  <dimension ref="B1:D60"/>
  <sheetViews>
    <sheetView topLeftCell="A22" workbookViewId="0">
      <selection activeCell="G20" sqref="G20"/>
    </sheetView>
  </sheetViews>
  <sheetFormatPr defaultRowHeight="12.75"/>
  <cols>
    <col min="1" max="1" width="0.85546875" style="103" customWidth="1"/>
    <col min="2" max="2" width="7.7109375" style="105" customWidth="1"/>
    <col min="3" max="3" width="2" style="106" customWidth="1"/>
    <col min="4" max="4" width="65.85546875" style="103" customWidth="1"/>
    <col min="5" max="16384" width="9.140625" style="103"/>
  </cols>
  <sheetData>
    <row r="1" spans="2:4" ht="20.100000000000001" customHeight="1">
      <c r="B1" s="1031" t="s">
        <v>102</v>
      </c>
      <c r="C1" s="1031"/>
      <c r="D1" s="1031"/>
    </row>
    <row r="2" spans="2:4" ht="20.100000000000001" customHeight="1">
      <c r="B2" s="1032" t="s">
        <v>103</v>
      </c>
      <c r="C2" s="1032"/>
      <c r="D2" s="1032"/>
    </row>
    <row r="3" spans="2:4" ht="20.100000000000001" customHeight="1">
      <c r="B3" s="1033" t="s">
        <v>113</v>
      </c>
      <c r="C3" s="1033"/>
      <c r="D3" s="1033"/>
    </row>
    <row r="4" spans="2:4" ht="20.100000000000001" customHeight="1">
      <c r="B4" s="1034" t="s">
        <v>105</v>
      </c>
      <c r="C4" s="1034"/>
      <c r="D4" s="1034"/>
    </row>
    <row r="5" spans="2:4" ht="20.100000000000001" customHeight="1">
      <c r="B5" s="104"/>
      <c r="C5" s="104"/>
      <c r="D5" s="104"/>
    </row>
    <row r="6" spans="2:4" ht="20.100000000000001" customHeight="1"/>
    <row r="7" spans="2:4" ht="20.100000000000001" customHeight="1">
      <c r="B7" s="1031" t="s">
        <v>114</v>
      </c>
      <c r="C7" s="1031"/>
      <c r="D7" s="1031"/>
    </row>
    <row r="8" spans="2:4" ht="20.100000000000001" customHeight="1">
      <c r="B8" s="1030" t="s">
        <v>332</v>
      </c>
      <c r="C8" s="1030"/>
      <c r="D8" s="1030"/>
    </row>
    <row r="9" spans="2:4" ht="20.100000000000001" customHeight="1">
      <c r="B9" s="107"/>
      <c r="C9" s="107"/>
      <c r="D9" s="107"/>
    </row>
    <row r="10" spans="2:4" ht="20.100000000000001" customHeight="1">
      <c r="B10" s="1035" t="s">
        <v>115</v>
      </c>
      <c r="C10" s="1035"/>
      <c r="D10" s="1035"/>
    </row>
    <row r="11" spans="2:4" ht="20.100000000000001" customHeight="1">
      <c r="B11" s="108"/>
    </row>
    <row r="12" spans="2:4" ht="20.100000000000001" customHeight="1">
      <c r="B12" s="1029" t="s">
        <v>116</v>
      </c>
      <c r="C12" s="1029"/>
      <c r="D12" s="1029"/>
    </row>
    <row r="13" spans="2:4" customFormat="1" ht="20.100000000000001" customHeight="1">
      <c r="B13" s="1029" t="s">
        <v>104</v>
      </c>
      <c r="C13" s="1029"/>
      <c r="D13" s="1029"/>
    </row>
    <row r="14" spans="2:4" ht="20.100000000000001" customHeight="1">
      <c r="B14" s="108"/>
      <c r="D14"/>
    </row>
    <row r="15" spans="2:4" ht="20.100000000000001" customHeight="1">
      <c r="B15" s="108"/>
    </row>
    <row r="16" spans="2:4" customFormat="1" ht="15" customHeight="1">
      <c r="B16" s="109" t="s">
        <v>117</v>
      </c>
      <c r="C16" s="110"/>
      <c r="D16" s="737" t="s">
        <v>340</v>
      </c>
    </row>
    <row r="17" spans="2:4" customFormat="1" ht="15" customHeight="1">
      <c r="B17" s="109" t="s">
        <v>118</v>
      </c>
      <c r="C17" s="111"/>
      <c r="D17" s="737" t="s">
        <v>310</v>
      </c>
    </row>
    <row r="18" spans="2:4" customFormat="1" ht="15" customHeight="1">
      <c r="B18" s="109" t="s">
        <v>119</v>
      </c>
      <c r="C18" s="111"/>
      <c r="D18" s="737" t="s">
        <v>311</v>
      </c>
    </row>
    <row r="19" spans="2:4" customFormat="1" ht="15" customHeight="1">
      <c r="B19" s="109" t="s">
        <v>120</v>
      </c>
      <c r="C19" s="110"/>
      <c r="D19" s="738" t="s">
        <v>312</v>
      </c>
    </row>
    <row r="20" spans="2:4" ht="15" customHeight="1">
      <c r="B20" s="109" t="s">
        <v>121</v>
      </c>
      <c r="C20" s="110"/>
      <c r="D20" s="737" t="s">
        <v>313</v>
      </c>
    </row>
    <row r="21" spans="2:4" ht="15" customHeight="1">
      <c r="B21" s="109" t="s">
        <v>122</v>
      </c>
      <c r="C21" s="110"/>
      <c r="D21" s="737" t="s">
        <v>314</v>
      </c>
    </row>
    <row r="22" spans="2:4" customFormat="1" ht="15" customHeight="1">
      <c r="B22" s="109" t="s">
        <v>123</v>
      </c>
      <c r="C22" s="112"/>
      <c r="D22" s="737" t="s">
        <v>315</v>
      </c>
    </row>
    <row r="23" spans="2:4" ht="15" customHeight="1">
      <c r="B23" s="109" t="s">
        <v>124</v>
      </c>
      <c r="C23" s="112"/>
      <c r="D23" s="737" t="s">
        <v>318</v>
      </c>
    </row>
    <row r="24" spans="2:4" ht="15" customHeight="1">
      <c r="B24" s="109" t="s">
        <v>125</v>
      </c>
      <c r="C24" s="110"/>
      <c r="D24" s="737" t="s">
        <v>316</v>
      </c>
    </row>
    <row r="25" spans="2:4" ht="15" customHeight="1">
      <c r="B25" s="109" t="s">
        <v>126</v>
      </c>
      <c r="C25" s="110"/>
      <c r="D25" s="737" t="s">
        <v>317</v>
      </c>
    </row>
    <row r="26" spans="2:4" ht="15" customHeight="1">
      <c r="B26" s="109" t="s">
        <v>127</v>
      </c>
      <c r="C26" s="113"/>
      <c r="D26" s="738" t="s">
        <v>319</v>
      </c>
    </row>
    <row r="27" spans="2:4" ht="15" customHeight="1">
      <c r="B27" s="109" t="s">
        <v>128</v>
      </c>
      <c r="C27" s="113"/>
      <c r="D27" s="738" t="s">
        <v>320</v>
      </c>
    </row>
    <row r="28" spans="2:4" ht="15" customHeight="1">
      <c r="B28" s="109" t="s">
        <v>129</v>
      </c>
      <c r="C28" s="113"/>
      <c r="D28" s="738" t="s">
        <v>321</v>
      </c>
    </row>
    <row r="29" spans="2:4" ht="15" customHeight="1">
      <c r="B29" s="109" t="s">
        <v>130</v>
      </c>
      <c r="C29" s="112"/>
      <c r="D29" s="737" t="s">
        <v>322</v>
      </c>
    </row>
    <row r="30" spans="2:4" ht="15" customHeight="1">
      <c r="B30" s="109" t="s">
        <v>131</v>
      </c>
      <c r="C30" s="112"/>
      <c r="D30" s="737" t="s">
        <v>323</v>
      </c>
    </row>
    <row r="31" spans="2:4" ht="15" customHeight="1">
      <c r="B31" s="109" t="s">
        <v>132</v>
      </c>
      <c r="C31" s="110"/>
      <c r="D31" s="737" t="s">
        <v>324</v>
      </c>
    </row>
    <row r="32" spans="2:4" ht="15" customHeight="1">
      <c r="B32" s="109" t="s">
        <v>133</v>
      </c>
      <c r="C32" s="110"/>
      <c r="D32" s="737" t="s">
        <v>341</v>
      </c>
    </row>
    <row r="33" spans="2:4" ht="15" customHeight="1">
      <c r="B33" s="109" t="s">
        <v>134</v>
      </c>
      <c r="C33" s="110"/>
      <c r="D33" s="737" t="s">
        <v>325</v>
      </c>
    </row>
    <row r="34" spans="2:4">
      <c r="B34" s="108"/>
    </row>
    <row r="35" spans="2:4">
      <c r="B35" s="108"/>
    </row>
    <row r="36" spans="2:4">
      <c r="B36" s="108"/>
    </row>
    <row r="37" spans="2:4">
      <c r="B37" s="108"/>
    </row>
    <row r="38" spans="2:4">
      <c r="B38" s="108"/>
    </row>
    <row r="40" spans="2:4" ht="13.5">
      <c r="B40" s="114"/>
    </row>
    <row r="41" spans="2:4">
      <c r="B41" s="108"/>
    </row>
    <row r="42" spans="2:4">
      <c r="B42" s="108"/>
    </row>
    <row r="43" spans="2:4">
      <c r="B43" s="108"/>
    </row>
    <row r="50" spans="3:4">
      <c r="C50" s="115"/>
      <c r="D50" s="116"/>
    </row>
    <row r="57" spans="3:4" customFormat="1"/>
    <row r="60" spans="3:4">
      <c r="C60"/>
      <c r="D60"/>
    </row>
  </sheetData>
  <mergeCells count="9">
    <mergeCell ref="B12:D12"/>
    <mergeCell ref="B13:D13"/>
    <mergeCell ref="B8:D8"/>
    <mergeCell ref="B7:D7"/>
    <mergeCell ref="B1:D1"/>
    <mergeCell ref="B2:D2"/>
    <mergeCell ref="B3:D3"/>
    <mergeCell ref="B4:D4"/>
    <mergeCell ref="B10:D10"/>
  </mergeCells>
  <phoneticPr fontId="4" type="noConversion"/>
  <printOptions horizontalCentered="1"/>
  <pageMargins left="0.6692913385826772" right="0.27559055118110237" top="0.51181102362204722" bottom="0.27559055118110237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/>
  <dimension ref="A1:BS48"/>
  <sheetViews>
    <sheetView zoomScaleNormal="100" workbookViewId="0">
      <pane xSplit="1" topLeftCell="AT1" activePane="topRight" state="frozen"/>
      <selection pane="topRight" activeCell="BV34" sqref="BV34"/>
    </sheetView>
  </sheetViews>
  <sheetFormatPr defaultRowHeight="12.75"/>
  <cols>
    <col min="1" max="1" width="4.7109375" customWidth="1"/>
    <col min="2" max="5" width="6.7109375" customWidth="1"/>
    <col min="6" max="10" width="6" customWidth="1"/>
    <col min="11" max="13" width="7.28515625" customWidth="1"/>
    <col min="14" max="48" width="6.7109375" customWidth="1"/>
    <col min="49" max="68" width="7.85546875" customWidth="1"/>
    <col min="69" max="69" width="7.28515625" customWidth="1"/>
    <col min="70" max="70" width="7.85546875" style="5" customWidth="1"/>
    <col min="71" max="71" width="7.85546875" customWidth="1"/>
  </cols>
  <sheetData>
    <row r="1" spans="1:71" ht="14.25" customHeight="1">
      <c r="A1" s="29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AA1" s="24"/>
      <c r="AB1" s="24"/>
      <c r="AC1" s="24"/>
      <c r="AQ1" s="24"/>
      <c r="AR1" s="24"/>
      <c r="AS1" s="24"/>
      <c r="BK1" s="30" t="s">
        <v>124</v>
      </c>
    </row>
    <row r="2" spans="1:71" s="41" customFormat="1" ht="30" customHeight="1">
      <c r="A2" s="1085" t="s">
        <v>290</v>
      </c>
      <c r="B2" s="1085"/>
      <c r="C2" s="1085"/>
      <c r="D2" s="1085"/>
      <c r="E2" s="1085"/>
      <c r="F2" s="1085"/>
      <c r="G2" s="1085"/>
      <c r="H2" s="1085"/>
      <c r="I2" s="1085"/>
      <c r="J2" s="1085"/>
      <c r="K2" s="1085"/>
      <c r="L2" s="1085"/>
      <c r="M2" s="1085"/>
      <c r="N2" s="1085"/>
      <c r="O2" s="1085"/>
      <c r="P2" s="1085"/>
      <c r="Q2" s="1085"/>
      <c r="R2" s="1085"/>
      <c r="S2" s="1085"/>
      <c r="T2" s="1085"/>
      <c r="U2" s="1085"/>
      <c r="V2" s="1085"/>
      <c r="W2" s="1085"/>
      <c r="X2" s="1085"/>
      <c r="Y2" s="1085"/>
      <c r="Z2" s="1085"/>
      <c r="AA2" s="1085"/>
      <c r="AB2" s="1085"/>
      <c r="AC2" s="1085"/>
      <c r="AD2" s="1085"/>
      <c r="AE2" s="1085"/>
      <c r="AF2" s="1085"/>
      <c r="AG2" s="1085"/>
      <c r="AH2" s="1085"/>
      <c r="AI2" s="1085"/>
      <c r="AJ2" s="1085"/>
      <c r="AK2" s="1085"/>
      <c r="AL2" s="1085"/>
      <c r="AM2" s="1085"/>
      <c r="AN2" s="1085"/>
      <c r="AO2" s="1085"/>
      <c r="AP2" s="1085"/>
      <c r="AQ2" s="1085"/>
      <c r="AR2" s="1085"/>
      <c r="AS2" s="1085"/>
      <c r="AT2" s="1085"/>
      <c r="AU2" s="1085"/>
      <c r="AV2" s="1085"/>
      <c r="AW2" s="1085"/>
      <c r="AX2" s="1085"/>
      <c r="AY2" s="1085"/>
      <c r="AZ2" s="1085"/>
      <c r="BA2" s="1085"/>
      <c r="BB2" s="1085"/>
      <c r="BC2" s="1085"/>
      <c r="BD2" s="1085"/>
      <c r="BE2" s="1085"/>
      <c r="BF2" s="1085"/>
      <c r="BG2" s="1085"/>
      <c r="BH2" s="1085"/>
      <c r="BI2" s="1085"/>
      <c r="BJ2" s="1085"/>
      <c r="BK2" s="1085"/>
      <c r="BR2" s="615"/>
    </row>
    <row r="3" spans="1:71" ht="18" customHeight="1">
      <c r="A3" s="1075" t="s">
        <v>80</v>
      </c>
      <c r="B3" s="1075"/>
      <c r="C3" s="1075"/>
      <c r="D3" s="1075"/>
      <c r="E3" s="1075"/>
      <c r="F3" s="1075"/>
      <c r="G3" s="1075"/>
      <c r="H3" s="1075"/>
      <c r="I3" s="1075"/>
      <c r="J3" s="1075"/>
      <c r="K3" s="1075"/>
      <c r="L3" s="1075"/>
      <c r="M3" s="1075"/>
      <c r="N3" s="1075"/>
      <c r="O3" s="1075"/>
      <c r="P3" s="1075"/>
      <c r="Q3" s="1075"/>
      <c r="R3" s="1075"/>
      <c r="S3" s="1075"/>
      <c r="T3" s="1075"/>
      <c r="U3" s="1075"/>
      <c r="V3" s="1075"/>
      <c r="W3" s="1075"/>
      <c r="X3" s="1075"/>
      <c r="Y3" s="1075"/>
      <c r="Z3" s="1075"/>
      <c r="AA3" s="1075"/>
      <c r="AB3" s="1075"/>
      <c r="AC3" s="1075"/>
      <c r="AD3" s="1075"/>
      <c r="AE3" s="1075"/>
      <c r="AF3" s="1075"/>
      <c r="AG3" s="1075"/>
      <c r="AH3" s="1075"/>
      <c r="AI3" s="1075"/>
      <c r="AJ3" s="1075"/>
      <c r="AK3" s="1075"/>
      <c r="AL3" s="1075"/>
      <c r="AM3" s="1075"/>
      <c r="AN3" s="1075"/>
      <c r="AO3" s="1075"/>
      <c r="AP3" s="1075"/>
      <c r="AQ3" s="1075"/>
      <c r="AR3" s="1075"/>
      <c r="AS3" s="1075"/>
      <c r="AT3" s="1075"/>
      <c r="AU3" s="1075"/>
      <c r="AV3" s="1075"/>
      <c r="AW3" s="1075"/>
      <c r="AX3" s="1075"/>
      <c r="AY3" s="1075"/>
      <c r="AZ3" s="1075"/>
      <c r="BA3" s="1075"/>
      <c r="BB3" s="1075"/>
      <c r="BC3" s="1075"/>
      <c r="BD3" s="1075"/>
      <c r="BE3" s="1075"/>
      <c r="BF3" s="1075"/>
      <c r="BG3" s="1075"/>
      <c r="BH3" s="1075"/>
      <c r="BI3" s="1075"/>
      <c r="BJ3" s="1075"/>
      <c r="BK3" s="1075"/>
    </row>
    <row r="4" spans="1:71" ht="61.5" customHeight="1">
      <c r="A4" s="97"/>
      <c r="B4" s="1076" t="s">
        <v>88</v>
      </c>
      <c r="C4" s="1077"/>
      <c r="D4" s="1077"/>
      <c r="E4" s="1077"/>
      <c r="F4" s="1077"/>
      <c r="G4" s="1077"/>
      <c r="H4" s="1077"/>
      <c r="I4" s="1077"/>
      <c r="J4" s="1077"/>
      <c r="K4" s="1077"/>
      <c r="L4" s="1077"/>
      <c r="M4" s="1077"/>
      <c r="N4" s="1077"/>
      <c r="O4" s="1077"/>
      <c r="P4" s="609"/>
      <c r="Q4" s="609"/>
      <c r="R4" s="609"/>
      <c r="S4" s="1076" t="s">
        <v>89</v>
      </c>
      <c r="T4" s="1077"/>
      <c r="U4" s="1077"/>
      <c r="V4" s="1077"/>
      <c r="W4" s="1077"/>
      <c r="X4" s="1077"/>
      <c r="Y4" s="1077"/>
      <c r="Z4" s="1077"/>
      <c r="AA4" s="1077"/>
      <c r="AB4" s="1077"/>
      <c r="AC4" s="1077"/>
      <c r="AD4" s="1077"/>
      <c r="AE4" s="1077"/>
      <c r="AF4" s="1077"/>
      <c r="AG4" s="609"/>
      <c r="AH4" s="609"/>
      <c r="AI4" s="609"/>
      <c r="AJ4" s="1076" t="s">
        <v>90</v>
      </c>
      <c r="AK4" s="1077"/>
      <c r="AL4" s="1077"/>
      <c r="AM4" s="1077"/>
      <c r="AN4" s="1077"/>
      <c r="AO4" s="1077"/>
      <c r="AP4" s="1077"/>
      <c r="AQ4" s="1077"/>
      <c r="AR4" s="1077"/>
      <c r="AS4" s="1077"/>
      <c r="AT4" s="1077"/>
      <c r="AU4" s="1077"/>
      <c r="AV4" s="1077"/>
      <c r="AW4" s="1077"/>
      <c r="AX4" s="609"/>
      <c r="AY4" s="609"/>
      <c r="AZ4" s="596"/>
      <c r="BA4" s="1077" t="s">
        <v>68</v>
      </c>
      <c r="BB4" s="1077"/>
      <c r="BC4" s="1077"/>
      <c r="BD4" s="1077"/>
      <c r="BE4" s="1077"/>
      <c r="BF4" s="1077"/>
      <c r="BG4" s="1077"/>
      <c r="BH4" s="1077"/>
      <c r="BI4" s="1077"/>
      <c r="BJ4" s="1077"/>
      <c r="BK4" s="1077"/>
      <c r="BL4" s="1077"/>
      <c r="BM4" s="1077"/>
      <c r="BN4" s="1077"/>
      <c r="BO4" s="609"/>
      <c r="BP4" s="609"/>
      <c r="BQ4" s="596"/>
      <c r="BR4" s="596" t="s">
        <v>1</v>
      </c>
      <c r="BS4" s="56"/>
    </row>
    <row r="5" spans="1:71" ht="12" customHeight="1">
      <c r="A5" s="97"/>
      <c r="B5" s="1078" t="s">
        <v>91</v>
      </c>
      <c r="C5" s="1079"/>
      <c r="D5" s="1079"/>
      <c r="E5" s="1079"/>
      <c r="F5" s="1079"/>
      <c r="G5" s="1079"/>
      <c r="H5" s="1079"/>
      <c r="I5" s="1079"/>
      <c r="J5" s="1079"/>
      <c r="K5" s="1079"/>
      <c r="L5" s="1079"/>
      <c r="M5" s="1079"/>
      <c r="N5" s="1079"/>
      <c r="O5" s="1079"/>
      <c r="P5" s="181"/>
      <c r="Q5" s="181"/>
      <c r="R5" s="181"/>
      <c r="S5" s="1078" t="s">
        <v>7</v>
      </c>
      <c r="T5" s="1079"/>
      <c r="U5" s="1079"/>
      <c r="V5" s="1079"/>
      <c r="W5" s="1079"/>
      <c r="X5" s="1079"/>
      <c r="Y5" s="1079"/>
      <c r="Z5" s="1079"/>
      <c r="AA5" s="1079"/>
      <c r="AB5" s="1079"/>
      <c r="AC5" s="1079"/>
      <c r="AD5" s="1079"/>
      <c r="AE5" s="1079"/>
      <c r="AF5" s="1079"/>
      <c r="AG5" s="181"/>
      <c r="AH5" s="181"/>
      <c r="AI5" s="181"/>
      <c r="AJ5" s="1078" t="s">
        <v>8</v>
      </c>
      <c r="AK5" s="1079"/>
      <c r="AL5" s="1079"/>
      <c r="AM5" s="1079"/>
      <c r="AN5" s="1079"/>
      <c r="AO5" s="1079"/>
      <c r="AP5" s="1079"/>
      <c r="AQ5" s="1079"/>
      <c r="AR5" s="1079"/>
      <c r="AS5" s="1079"/>
      <c r="AT5" s="1079"/>
      <c r="AU5" s="1079"/>
      <c r="AV5" s="1079"/>
      <c r="AW5" s="1079"/>
      <c r="AX5" s="181"/>
      <c r="AY5" s="181"/>
      <c r="AZ5" s="182"/>
      <c r="BA5" s="181"/>
      <c r="BB5" s="181"/>
      <c r="BC5" s="181"/>
      <c r="BD5" s="181"/>
      <c r="BE5" s="1079"/>
      <c r="BF5" s="1079"/>
      <c r="BG5" s="1079"/>
      <c r="BH5" s="1079"/>
      <c r="BI5" s="181"/>
      <c r="BJ5" s="181"/>
      <c r="BK5" s="181"/>
      <c r="BL5" s="181"/>
      <c r="BM5" s="181"/>
      <c r="BN5" s="181"/>
      <c r="BO5" s="181"/>
      <c r="BP5" s="181"/>
      <c r="BQ5" s="182"/>
      <c r="BR5" s="1083" t="s">
        <v>361</v>
      </c>
      <c r="BS5" s="56"/>
    </row>
    <row r="6" spans="1:71" ht="15" customHeight="1">
      <c r="A6" s="98"/>
      <c r="B6" s="42">
        <v>2004</v>
      </c>
      <c r="C6" s="43">
        <v>2005</v>
      </c>
      <c r="D6" s="43">
        <v>2006</v>
      </c>
      <c r="E6" s="43">
        <v>2007</v>
      </c>
      <c r="F6" s="43">
        <v>2008</v>
      </c>
      <c r="G6" s="43">
        <v>2009</v>
      </c>
      <c r="H6" s="43">
        <v>2010</v>
      </c>
      <c r="I6" s="43">
        <v>2011</v>
      </c>
      <c r="J6" s="43">
        <v>2012</v>
      </c>
      <c r="K6" s="43">
        <v>2013</v>
      </c>
      <c r="L6" s="43">
        <v>2014</v>
      </c>
      <c r="M6" s="43">
        <v>2015</v>
      </c>
      <c r="N6" s="43">
        <v>2016</v>
      </c>
      <c r="O6" s="43">
        <v>2017</v>
      </c>
      <c r="P6" s="43">
        <v>2018</v>
      </c>
      <c r="Q6" s="43">
        <v>2019</v>
      </c>
      <c r="R6" s="43">
        <v>2020</v>
      </c>
      <c r="S6" s="42">
        <v>2004</v>
      </c>
      <c r="T6" s="43">
        <v>2005</v>
      </c>
      <c r="U6" s="43">
        <v>2006</v>
      </c>
      <c r="V6" s="43">
        <v>2007</v>
      </c>
      <c r="W6" s="43">
        <v>2008</v>
      </c>
      <c r="X6" s="43">
        <v>2009</v>
      </c>
      <c r="Y6" s="43">
        <v>2010</v>
      </c>
      <c r="Z6" s="43">
        <v>2011</v>
      </c>
      <c r="AA6" s="43">
        <v>2012</v>
      </c>
      <c r="AB6" s="43">
        <v>2013</v>
      </c>
      <c r="AC6" s="43">
        <v>2014</v>
      </c>
      <c r="AD6" s="43">
        <v>2015</v>
      </c>
      <c r="AE6" s="43">
        <v>2016</v>
      </c>
      <c r="AF6" s="43">
        <v>2017</v>
      </c>
      <c r="AG6" s="43">
        <v>2018</v>
      </c>
      <c r="AH6" s="43">
        <v>2019</v>
      </c>
      <c r="AI6" s="43">
        <v>2020</v>
      </c>
      <c r="AJ6" s="42">
        <v>2004</v>
      </c>
      <c r="AK6" s="43">
        <v>2005</v>
      </c>
      <c r="AL6" s="43">
        <v>2006</v>
      </c>
      <c r="AM6" s="43">
        <v>2007</v>
      </c>
      <c r="AN6" s="43">
        <v>2008</v>
      </c>
      <c r="AO6" s="43">
        <v>2009</v>
      </c>
      <c r="AP6" s="43">
        <v>2010</v>
      </c>
      <c r="AQ6" s="43">
        <v>2011</v>
      </c>
      <c r="AR6" s="43">
        <v>2012</v>
      </c>
      <c r="AS6" s="43">
        <v>2013</v>
      </c>
      <c r="AT6" s="43">
        <v>2014</v>
      </c>
      <c r="AU6" s="43">
        <v>2015</v>
      </c>
      <c r="AV6" s="43">
        <v>2016</v>
      </c>
      <c r="AW6" s="43">
        <v>2017</v>
      </c>
      <c r="AX6" s="43">
        <v>2018</v>
      </c>
      <c r="AY6" s="43">
        <v>2019</v>
      </c>
      <c r="AZ6" s="44">
        <v>2020</v>
      </c>
      <c r="BA6" s="43">
        <v>2004</v>
      </c>
      <c r="BB6" s="43">
        <v>2005</v>
      </c>
      <c r="BC6" s="43">
        <v>2006</v>
      </c>
      <c r="BD6" s="43">
        <v>2007</v>
      </c>
      <c r="BE6" s="43">
        <v>2008</v>
      </c>
      <c r="BF6" s="43">
        <v>2009</v>
      </c>
      <c r="BG6" s="84">
        <v>2010</v>
      </c>
      <c r="BH6" s="84">
        <v>2011</v>
      </c>
      <c r="BI6" s="43">
        <v>2012</v>
      </c>
      <c r="BJ6" s="43">
        <v>2013</v>
      </c>
      <c r="BK6" s="43">
        <v>2014</v>
      </c>
      <c r="BL6" s="43">
        <v>2015</v>
      </c>
      <c r="BM6" s="43">
        <v>2016</v>
      </c>
      <c r="BN6" s="43">
        <v>2017</v>
      </c>
      <c r="BO6" s="43">
        <v>2018</v>
      </c>
      <c r="BP6" s="43">
        <v>2019</v>
      </c>
      <c r="BQ6" s="44">
        <v>2020</v>
      </c>
      <c r="BR6" s="1084"/>
      <c r="BS6" s="6"/>
    </row>
    <row r="7" spans="1:71" ht="12.75" customHeight="1">
      <c r="A7" s="551" t="s">
        <v>266</v>
      </c>
      <c r="B7" s="560"/>
      <c r="C7" s="561"/>
      <c r="D7" s="561"/>
      <c r="E7" s="561"/>
      <c r="F7" s="561"/>
      <c r="G7" s="561"/>
      <c r="H7" s="561"/>
      <c r="I7" s="561"/>
      <c r="J7" s="561"/>
      <c r="K7" s="561"/>
      <c r="L7" s="561"/>
      <c r="M7" s="561"/>
      <c r="N7" s="561"/>
      <c r="O7" s="561"/>
      <c r="P7" s="561"/>
      <c r="Q7" s="561"/>
      <c r="R7" s="561"/>
      <c r="S7" s="560"/>
      <c r="T7" s="561"/>
      <c r="U7" s="561"/>
      <c r="V7" s="561"/>
      <c r="W7" s="561"/>
      <c r="X7" s="561"/>
      <c r="Y7" s="561"/>
      <c r="Z7" s="561"/>
      <c r="AA7" s="561"/>
      <c r="AB7" s="561"/>
      <c r="AC7" s="561"/>
      <c r="AD7" s="561"/>
      <c r="AE7" s="561"/>
      <c r="AF7" s="561"/>
      <c r="AG7" s="561"/>
      <c r="AH7" s="561"/>
      <c r="AI7" s="561"/>
      <c r="AJ7" s="560"/>
      <c r="AK7" s="561"/>
      <c r="AL7" s="561"/>
      <c r="AM7" s="561"/>
      <c r="AN7" s="561"/>
      <c r="AO7" s="561"/>
      <c r="AP7" s="561"/>
      <c r="AQ7" s="561"/>
      <c r="AR7" s="561"/>
      <c r="AS7" s="561"/>
      <c r="AT7" s="561"/>
      <c r="AU7" s="561"/>
      <c r="AV7" s="561"/>
      <c r="AW7" s="561"/>
      <c r="AX7" s="561"/>
      <c r="AY7" s="561"/>
      <c r="AZ7" s="585"/>
      <c r="BA7" s="561"/>
      <c r="BB7" s="561"/>
      <c r="BC7" s="561">
        <f>SUM(BC9:BC35)</f>
        <v>38387</v>
      </c>
      <c r="BD7" s="561">
        <f t="shared" ref="BD7:BQ7" si="0">SUM(BD9:BD35)</f>
        <v>40156</v>
      </c>
      <c r="BE7" s="561">
        <f t="shared" si="0"/>
        <v>41011</v>
      </c>
      <c r="BF7" s="561">
        <f t="shared" si="0"/>
        <v>32761</v>
      </c>
      <c r="BG7" s="561">
        <f t="shared" si="0"/>
        <v>29754</v>
      </c>
      <c r="BH7" s="561">
        <f t="shared" si="0"/>
        <v>30116</v>
      </c>
      <c r="BI7" s="561">
        <f t="shared" si="0"/>
        <v>25860</v>
      </c>
      <c r="BJ7" s="561">
        <f t="shared" si="0"/>
        <v>29349</v>
      </c>
      <c r="BK7" s="561">
        <f t="shared" si="0"/>
        <v>30117</v>
      </c>
      <c r="BL7" s="561">
        <f t="shared" si="0"/>
        <v>36290</v>
      </c>
      <c r="BM7" s="561">
        <f t="shared" si="0"/>
        <v>35015</v>
      </c>
      <c r="BN7" s="561">
        <f t="shared" si="0"/>
        <v>35843</v>
      </c>
      <c r="BO7" s="561">
        <f t="shared" si="0"/>
        <v>37200</v>
      </c>
      <c r="BP7" s="561">
        <f t="shared" si="0"/>
        <v>38313</v>
      </c>
      <c r="BQ7" s="561">
        <f t="shared" si="0"/>
        <v>29079</v>
      </c>
      <c r="BR7" s="742">
        <f>BQ7/BP7-1</f>
        <v>-0.24101479915433399</v>
      </c>
      <c r="BS7" s="565" t="s">
        <v>266</v>
      </c>
    </row>
    <row r="8" spans="1:71" ht="12.75" customHeight="1">
      <c r="A8" s="551" t="s">
        <v>168</v>
      </c>
      <c r="B8" s="560"/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0"/>
      <c r="T8" s="561"/>
      <c r="U8" s="561"/>
      <c r="V8" s="561"/>
      <c r="W8" s="561"/>
      <c r="X8" s="561"/>
      <c r="Y8" s="561"/>
      <c r="Z8" s="561"/>
      <c r="AA8" s="561"/>
      <c r="AB8" s="561"/>
      <c r="AC8" s="561"/>
      <c r="AD8" s="561"/>
      <c r="AE8" s="561"/>
      <c r="AF8" s="561"/>
      <c r="AG8" s="561"/>
      <c r="AH8" s="561"/>
      <c r="AI8" s="561"/>
      <c r="AJ8" s="560"/>
      <c r="AK8" s="561"/>
      <c r="AL8" s="561"/>
      <c r="AM8" s="561"/>
      <c r="AN8" s="561"/>
      <c r="AO8" s="561"/>
      <c r="AP8" s="561"/>
      <c r="AQ8" s="561"/>
      <c r="AR8" s="561"/>
      <c r="AS8" s="561"/>
      <c r="AT8" s="561"/>
      <c r="AU8" s="561"/>
      <c r="AV8" s="561"/>
      <c r="AW8" s="561"/>
      <c r="AX8" s="561"/>
      <c r="AY8" s="561"/>
      <c r="AZ8" s="585"/>
      <c r="BA8" s="561"/>
      <c r="BB8" s="561"/>
      <c r="BC8" s="561">
        <f>SUM(BC9:BC36)</f>
        <v>52684</v>
      </c>
      <c r="BD8" s="561">
        <f t="shared" ref="BD8:BQ8" si="1">SUM(BD9:BD36)</f>
        <v>55583</v>
      </c>
      <c r="BE8" s="561">
        <f t="shared" si="1"/>
        <v>53607</v>
      </c>
      <c r="BF8" s="561">
        <f t="shared" si="1"/>
        <v>43168</v>
      </c>
      <c r="BG8" s="561">
        <f t="shared" si="1"/>
        <v>39203</v>
      </c>
      <c r="BH8" s="561">
        <f t="shared" si="1"/>
        <v>37689</v>
      </c>
      <c r="BI8" s="561">
        <f t="shared" si="1"/>
        <v>35460</v>
      </c>
      <c r="BJ8" s="561">
        <f t="shared" si="1"/>
        <v>38329</v>
      </c>
      <c r="BK8" s="561">
        <f t="shared" si="1"/>
        <v>38760</v>
      </c>
      <c r="BL8" s="561">
        <f t="shared" si="1"/>
        <v>46163</v>
      </c>
      <c r="BM8" s="561">
        <f t="shared" si="1"/>
        <v>45255</v>
      </c>
      <c r="BN8" s="561">
        <f t="shared" si="1"/>
        <v>44892</v>
      </c>
      <c r="BO8" s="561">
        <f>SUM(BO9:BO36)</f>
        <v>45408</v>
      </c>
      <c r="BP8" s="561">
        <f t="shared" si="1"/>
        <v>45539</v>
      </c>
      <c r="BQ8" s="561">
        <f t="shared" si="1"/>
        <v>34281</v>
      </c>
      <c r="BR8" s="742">
        <f t="shared" ref="BR8:BR39" si="2">BQ8/BP8-1</f>
        <v>-0.24721667142449333</v>
      </c>
      <c r="BS8" s="565" t="s">
        <v>168</v>
      </c>
    </row>
    <row r="9" spans="1:71" ht="12.75" customHeight="1">
      <c r="A9" s="10" t="s">
        <v>52</v>
      </c>
      <c r="B9" s="426">
        <v>294</v>
      </c>
      <c r="C9" s="345">
        <v>346</v>
      </c>
      <c r="D9" s="399">
        <v>237</v>
      </c>
      <c r="E9" s="399">
        <v>17</v>
      </c>
      <c r="F9" s="399">
        <v>31</v>
      </c>
      <c r="G9" s="399">
        <v>23</v>
      </c>
      <c r="H9" s="399">
        <v>3</v>
      </c>
      <c r="I9" s="399">
        <v>0</v>
      </c>
      <c r="J9" s="399">
        <v>4</v>
      </c>
      <c r="K9" s="399">
        <v>2</v>
      </c>
      <c r="L9" s="399">
        <v>2</v>
      </c>
      <c r="M9" s="399">
        <v>0</v>
      </c>
      <c r="N9" s="399">
        <v>0</v>
      </c>
      <c r="O9" s="399">
        <v>1</v>
      </c>
      <c r="P9" s="399">
        <v>0</v>
      </c>
      <c r="Q9" s="399">
        <v>1</v>
      </c>
      <c r="R9" s="399">
        <v>0</v>
      </c>
      <c r="S9" s="401">
        <v>245</v>
      </c>
      <c r="T9" s="399">
        <v>243</v>
      </c>
      <c r="U9" s="399">
        <v>280</v>
      </c>
      <c r="V9" s="399">
        <v>279</v>
      </c>
      <c r="W9" s="399">
        <v>369</v>
      </c>
      <c r="X9" s="399">
        <v>272</v>
      </c>
      <c r="Y9" s="399">
        <v>257</v>
      </c>
      <c r="Z9" s="399">
        <v>171</v>
      </c>
      <c r="AA9" s="399">
        <f>270</f>
        <v>270</v>
      </c>
      <c r="AB9" s="399">
        <v>305</v>
      </c>
      <c r="AC9" s="399">
        <v>301</v>
      </c>
      <c r="AD9" s="399">
        <v>288</v>
      </c>
      <c r="AE9" s="399">
        <v>260</v>
      </c>
      <c r="AF9" s="399">
        <v>311</v>
      </c>
      <c r="AG9" s="399">
        <v>317</v>
      </c>
      <c r="AH9" s="399">
        <v>230</v>
      </c>
      <c r="AI9" s="399">
        <v>220</v>
      </c>
      <c r="AJ9" s="401">
        <v>637</v>
      </c>
      <c r="AK9" s="399">
        <v>594</v>
      </c>
      <c r="AL9" s="399">
        <v>627</v>
      </c>
      <c r="AM9" s="399">
        <v>799</v>
      </c>
      <c r="AN9" s="399">
        <v>806</v>
      </c>
      <c r="AO9" s="399">
        <v>684</v>
      </c>
      <c r="AP9" s="399">
        <v>755</v>
      </c>
      <c r="AQ9" s="399">
        <v>537</v>
      </c>
      <c r="AR9" s="399">
        <v>416</v>
      </c>
      <c r="AS9" s="399">
        <v>458</v>
      </c>
      <c r="AT9" s="399">
        <v>839</v>
      </c>
      <c r="AU9" s="399">
        <v>635</v>
      </c>
      <c r="AV9" s="399">
        <v>454</v>
      </c>
      <c r="AW9" s="399">
        <v>557</v>
      </c>
      <c r="AX9" s="399">
        <v>672</v>
      </c>
      <c r="AY9" s="399">
        <v>1056</v>
      </c>
      <c r="AZ9" s="406">
        <v>547</v>
      </c>
      <c r="BA9" s="399">
        <f t="shared" ref="BA9:BH9" si="3">B9+S9+AJ9</f>
        <v>1176</v>
      </c>
      <c r="BB9" s="399">
        <f t="shared" si="3"/>
        <v>1183</v>
      </c>
      <c r="BC9" s="399">
        <f t="shared" si="3"/>
        <v>1144</v>
      </c>
      <c r="BD9" s="399">
        <f t="shared" si="3"/>
        <v>1095</v>
      </c>
      <c r="BE9" s="399">
        <f t="shared" si="3"/>
        <v>1206</v>
      </c>
      <c r="BF9" s="399">
        <f t="shared" si="3"/>
        <v>979</v>
      </c>
      <c r="BG9" s="399">
        <f t="shared" si="3"/>
        <v>1015</v>
      </c>
      <c r="BH9" s="399">
        <f t="shared" si="3"/>
        <v>708</v>
      </c>
      <c r="BI9" s="399">
        <f>SUM(J9,AA9,AR9)</f>
        <v>690</v>
      </c>
      <c r="BJ9" s="399">
        <f t="shared" ref="BJ9:BQ9" si="4">K9+AB9+AS9</f>
        <v>765</v>
      </c>
      <c r="BK9" s="399">
        <f t="shared" si="4"/>
        <v>1142</v>
      </c>
      <c r="BL9" s="399">
        <f t="shared" si="4"/>
        <v>923</v>
      </c>
      <c r="BM9" s="399">
        <f t="shared" si="4"/>
        <v>714</v>
      </c>
      <c r="BN9" s="399">
        <f t="shared" si="4"/>
        <v>869</v>
      </c>
      <c r="BO9" s="399">
        <f t="shared" si="4"/>
        <v>989</v>
      </c>
      <c r="BP9" s="399">
        <f t="shared" si="4"/>
        <v>1287</v>
      </c>
      <c r="BQ9" s="614">
        <f t="shared" si="4"/>
        <v>767</v>
      </c>
      <c r="BR9" s="921">
        <f t="shared" si="2"/>
        <v>-0.40404040404040409</v>
      </c>
      <c r="BS9" s="64" t="s">
        <v>52</v>
      </c>
    </row>
    <row r="10" spans="1:71" ht="12.75" customHeight="1">
      <c r="A10" s="154" t="s">
        <v>35</v>
      </c>
      <c r="B10" s="427"/>
      <c r="C10" s="346">
        <v>856</v>
      </c>
      <c r="D10" s="402">
        <v>788</v>
      </c>
      <c r="E10" s="402">
        <v>525</v>
      </c>
      <c r="F10" s="402">
        <v>1047</v>
      </c>
      <c r="G10" s="402">
        <v>424</v>
      </c>
      <c r="H10" s="402">
        <v>107</v>
      </c>
      <c r="I10" s="402">
        <v>57</v>
      </c>
      <c r="J10" s="416">
        <v>46</v>
      </c>
      <c r="K10" s="416">
        <v>246</v>
      </c>
      <c r="L10" s="416">
        <v>361</v>
      </c>
      <c r="M10" s="416">
        <v>332</v>
      </c>
      <c r="N10" s="416">
        <v>506</v>
      </c>
      <c r="O10" s="416">
        <v>363</v>
      </c>
      <c r="P10" s="416">
        <v>402</v>
      </c>
      <c r="Q10" s="416">
        <v>346</v>
      </c>
      <c r="R10" s="416">
        <v>167</v>
      </c>
      <c r="S10" s="404"/>
      <c r="T10" s="405" t="s">
        <v>70</v>
      </c>
      <c r="U10" s="405" t="s">
        <v>70</v>
      </c>
      <c r="V10" s="405" t="s">
        <v>70</v>
      </c>
      <c r="W10" s="405" t="s">
        <v>70</v>
      </c>
      <c r="X10" s="405" t="s">
        <v>70</v>
      </c>
      <c r="Y10" s="405" t="s">
        <v>70</v>
      </c>
      <c r="Z10" s="405" t="s">
        <v>70</v>
      </c>
      <c r="AA10" s="405" t="s">
        <v>70</v>
      </c>
      <c r="AB10" s="419" t="s">
        <v>70</v>
      </c>
      <c r="AC10" s="419" t="s">
        <v>70</v>
      </c>
      <c r="AD10" s="419" t="s">
        <v>70</v>
      </c>
      <c r="AE10" s="419" t="s">
        <v>70</v>
      </c>
      <c r="AF10" s="419" t="s">
        <v>70</v>
      </c>
      <c r="AG10" s="419" t="s">
        <v>70</v>
      </c>
      <c r="AH10" s="419" t="s">
        <v>70</v>
      </c>
      <c r="AI10" s="419" t="s">
        <v>70</v>
      </c>
      <c r="AJ10" s="405" t="s">
        <v>70</v>
      </c>
      <c r="AK10" s="405" t="s">
        <v>70</v>
      </c>
      <c r="AL10" s="405" t="s">
        <v>70</v>
      </c>
      <c r="AM10" s="405" t="s">
        <v>70</v>
      </c>
      <c r="AN10" s="405" t="s">
        <v>70</v>
      </c>
      <c r="AO10" s="405" t="s">
        <v>70</v>
      </c>
      <c r="AP10" s="405" t="s">
        <v>70</v>
      </c>
      <c r="AQ10" s="405" t="s">
        <v>70</v>
      </c>
      <c r="AR10" s="405" t="s">
        <v>70</v>
      </c>
      <c r="AS10" s="419" t="s">
        <v>70</v>
      </c>
      <c r="AT10" s="419" t="s">
        <v>70</v>
      </c>
      <c r="AU10" s="419" t="s">
        <v>70</v>
      </c>
      <c r="AV10" s="419" t="s">
        <v>70</v>
      </c>
      <c r="AW10" s="419" t="s">
        <v>70</v>
      </c>
      <c r="AX10" s="419" t="s">
        <v>70</v>
      </c>
      <c r="AY10" s="419" t="s">
        <v>70</v>
      </c>
      <c r="AZ10" s="419" t="s">
        <v>70</v>
      </c>
      <c r="BA10" s="402"/>
      <c r="BB10" s="402">
        <f t="shared" ref="BB10:BQ10" si="5">C10</f>
        <v>856</v>
      </c>
      <c r="BC10" s="402">
        <f t="shared" si="5"/>
        <v>788</v>
      </c>
      <c r="BD10" s="402">
        <f t="shared" si="5"/>
        <v>525</v>
      </c>
      <c r="BE10" s="402">
        <f t="shared" si="5"/>
        <v>1047</v>
      </c>
      <c r="BF10" s="402">
        <f t="shared" si="5"/>
        <v>424</v>
      </c>
      <c r="BG10" s="402">
        <f t="shared" si="5"/>
        <v>107</v>
      </c>
      <c r="BH10" s="402">
        <f t="shared" si="5"/>
        <v>57</v>
      </c>
      <c r="BI10" s="402">
        <f t="shared" si="5"/>
        <v>46</v>
      </c>
      <c r="BJ10" s="402">
        <f t="shared" si="5"/>
        <v>246</v>
      </c>
      <c r="BK10" s="402">
        <f t="shared" si="5"/>
        <v>361</v>
      </c>
      <c r="BL10" s="402">
        <f t="shared" si="5"/>
        <v>332</v>
      </c>
      <c r="BM10" s="402">
        <f t="shared" si="5"/>
        <v>506</v>
      </c>
      <c r="BN10" s="402">
        <f t="shared" si="5"/>
        <v>363</v>
      </c>
      <c r="BO10" s="402">
        <f t="shared" si="5"/>
        <v>402</v>
      </c>
      <c r="BP10" s="402">
        <f t="shared" si="5"/>
        <v>346</v>
      </c>
      <c r="BQ10" s="403">
        <f t="shared" si="5"/>
        <v>167</v>
      </c>
      <c r="BR10" s="944">
        <f t="shared" si="2"/>
        <v>-0.51734104046242768</v>
      </c>
      <c r="BS10" s="666" t="s">
        <v>35</v>
      </c>
    </row>
    <row r="11" spans="1:71" ht="12.75" customHeight="1">
      <c r="A11" s="10" t="s">
        <v>37</v>
      </c>
      <c r="B11" s="426">
        <v>71</v>
      </c>
      <c r="C11" s="345">
        <v>39</v>
      </c>
      <c r="D11" s="399"/>
      <c r="E11" s="399"/>
      <c r="F11" s="399">
        <v>1</v>
      </c>
      <c r="G11" s="399">
        <v>0</v>
      </c>
      <c r="H11" s="399">
        <v>0</v>
      </c>
      <c r="I11" s="399">
        <v>0</v>
      </c>
      <c r="J11" s="399">
        <v>7</v>
      </c>
      <c r="K11" s="399">
        <v>2</v>
      </c>
      <c r="L11" s="399">
        <v>0</v>
      </c>
      <c r="M11" s="399">
        <v>5</v>
      </c>
      <c r="N11" s="399">
        <v>2</v>
      </c>
      <c r="O11" s="399">
        <v>0</v>
      </c>
      <c r="P11" s="399">
        <v>11</v>
      </c>
      <c r="Q11" s="399">
        <v>1</v>
      </c>
      <c r="R11" s="399">
        <v>4</v>
      </c>
      <c r="S11" s="401">
        <v>229</v>
      </c>
      <c r="T11" s="399">
        <v>207</v>
      </c>
      <c r="U11" s="399">
        <v>286</v>
      </c>
      <c r="V11" s="399">
        <v>355</v>
      </c>
      <c r="W11" s="399">
        <v>335</v>
      </c>
      <c r="X11" s="399">
        <v>335</v>
      </c>
      <c r="Y11" s="399">
        <v>140</v>
      </c>
      <c r="Z11" s="399">
        <v>165</v>
      </c>
      <c r="AA11" s="399">
        <v>130</v>
      </c>
      <c r="AB11" s="399">
        <v>194</v>
      </c>
      <c r="AC11" s="399">
        <v>124</v>
      </c>
      <c r="AD11" s="399">
        <v>189</v>
      </c>
      <c r="AE11" s="399">
        <v>151</v>
      </c>
      <c r="AF11" s="399">
        <v>145</v>
      </c>
      <c r="AG11" s="399">
        <v>87</v>
      </c>
      <c r="AH11" s="399">
        <v>90</v>
      </c>
      <c r="AI11" s="399">
        <v>66</v>
      </c>
      <c r="AJ11" s="401">
        <v>624</v>
      </c>
      <c r="AK11" s="399">
        <v>630</v>
      </c>
      <c r="AL11" s="399">
        <v>680</v>
      </c>
      <c r="AM11" s="399">
        <v>614</v>
      </c>
      <c r="AN11" s="399">
        <v>888</v>
      </c>
      <c r="AO11" s="399">
        <v>611</v>
      </c>
      <c r="AP11" s="399">
        <v>525</v>
      </c>
      <c r="AQ11" s="399">
        <v>554</v>
      </c>
      <c r="AR11" s="399">
        <v>451</v>
      </c>
      <c r="AS11" s="399">
        <v>613</v>
      </c>
      <c r="AT11" s="399">
        <v>919</v>
      </c>
      <c r="AU11" s="399">
        <v>1159</v>
      </c>
      <c r="AV11" s="399">
        <v>850</v>
      </c>
      <c r="AW11" s="399">
        <v>571</v>
      </c>
      <c r="AX11" s="399">
        <v>922</v>
      </c>
      <c r="AY11" s="399">
        <v>1150</v>
      </c>
      <c r="AZ11" s="406">
        <v>1197</v>
      </c>
      <c r="BA11" s="399">
        <f t="shared" ref="BA11:BH18" si="6">B11+S11+AJ11</f>
        <v>924</v>
      </c>
      <c r="BB11" s="399">
        <f t="shared" si="6"/>
        <v>876</v>
      </c>
      <c r="BC11" s="399">
        <f t="shared" si="6"/>
        <v>966</v>
      </c>
      <c r="BD11" s="399">
        <f t="shared" si="6"/>
        <v>969</v>
      </c>
      <c r="BE11" s="399">
        <f t="shared" si="6"/>
        <v>1224</v>
      </c>
      <c r="BF11" s="399">
        <f t="shared" si="6"/>
        <v>946</v>
      </c>
      <c r="BG11" s="399">
        <f t="shared" si="6"/>
        <v>665</v>
      </c>
      <c r="BH11" s="399">
        <f t="shared" si="6"/>
        <v>719</v>
      </c>
      <c r="BI11" s="399">
        <f t="shared" ref="BI11:BI18" si="7">SUM(J11,AA11,AR11)</f>
        <v>588</v>
      </c>
      <c r="BJ11" s="399">
        <f t="shared" ref="BJ11:BJ20" si="8">K11+AB11+AS11</f>
        <v>809</v>
      </c>
      <c r="BK11" s="399">
        <f t="shared" ref="BK11:BK20" si="9">L11+AC11+AT11</f>
        <v>1043</v>
      </c>
      <c r="BL11" s="399">
        <f t="shared" ref="BL11:BL20" si="10">M11+AD11+AU11</f>
        <v>1353</v>
      </c>
      <c r="BM11" s="399">
        <f t="shared" ref="BM11:BM20" si="11">N11+AE11+AV11</f>
        <v>1003</v>
      </c>
      <c r="BN11" s="399">
        <f t="shared" ref="BN11:BN20" si="12">O11+AF11+AW11</f>
        <v>716</v>
      </c>
      <c r="BO11" s="399">
        <f t="shared" ref="BO11:BO20" si="13">P11+AG11+AX11</f>
        <v>1020</v>
      </c>
      <c r="BP11" s="399">
        <f t="shared" ref="BP11:BQ20" si="14">Q11+AH11+AY11</f>
        <v>1241</v>
      </c>
      <c r="BQ11" s="406">
        <f t="shared" si="14"/>
        <v>1267</v>
      </c>
      <c r="BR11" s="921">
        <f t="shared" si="2"/>
        <v>2.0950846091861486E-2</v>
      </c>
      <c r="BS11" s="64" t="s">
        <v>37</v>
      </c>
    </row>
    <row r="12" spans="1:71" ht="12.75" customHeight="1">
      <c r="A12" s="49" t="s">
        <v>48</v>
      </c>
      <c r="B12" s="427">
        <v>1343</v>
      </c>
      <c r="C12" s="346">
        <v>2022</v>
      </c>
      <c r="D12" s="402">
        <v>2704</v>
      </c>
      <c r="E12" s="402">
        <v>3459</v>
      </c>
      <c r="F12" s="402">
        <v>537</v>
      </c>
      <c r="G12" s="402">
        <v>348</v>
      </c>
      <c r="H12" s="402">
        <v>375</v>
      </c>
      <c r="I12" s="402">
        <v>344</v>
      </c>
      <c r="J12" s="402">
        <v>271</v>
      </c>
      <c r="K12" s="402">
        <v>338</v>
      </c>
      <c r="L12" s="402">
        <v>467</v>
      </c>
      <c r="M12" s="402">
        <v>474</v>
      </c>
      <c r="N12" s="402">
        <v>539</v>
      </c>
      <c r="O12" s="402">
        <v>774</v>
      </c>
      <c r="P12" s="402">
        <v>838</v>
      </c>
      <c r="Q12" s="402">
        <v>1101</v>
      </c>
      <c r="R12" s="402">
        <v>403</v>
      </c>
      <c r="S12" s="407">
        <v>95</v>
      </c>
      <c r="T12" s="402">
        <v>154</v>
      </c>
      <c r="U12" s="402">
        <v>94</v>
      </c>
      <c r="V12" s="402">
        <v>158</v>
      </c>
      <c r="W12" s="402">
        <v>225</v>
      </c>
      <c r="X12" s="402">
        <v>300</v>
      </c>
      <c r="Y12" s="402">
        <v>254</v>
      </c>
      <c r="Z12" s="402">
        <v>164</v>
      </c>
      <c r="AA12" s="402">
        <v>169</v>
      </c>
      <c r="AB12" s="402">
        <v>137</v>
      </c>
      <c r="AC12" s="402">
        <v>192</v>
      </c>
      <c r="AD12" s="402">
        <v>281</v>
      </c>
      <c r="AE12" s="402">
        <v>309</v>
      </c>
      <c r="AF12" s="402">
        <v>421</v>
      </c>
      <c r="AG12" s="402">
        <v>319</v>
      </c>
      <c r="AH12" s="402">
        <v>288</v>
      </c>
      <c r="AI12" s="402">
        <v>200</v>
      </c>
      <c r="AJ12" s="407">
        <v>319</v>
      </c>
      <c r="AK12" s="402">
        <v>267</v>
      </c>
      <c r="AL12" s="402">
        <v>390</v>
      </c>
      <c r="AM12" s="402">
        <v>295</v>
      </c>
      <c r="AN12" s="402">
        <v>429</v>
      </c>
      <c r="AO12" s="402">
        <v>464</v>
      </c>
      <c r="AP12" s="402">
        <v>375</v>
      </c>
      <c r="AQ12" s="402">
        <v>294</v>
      </c>
      <c r="AR12" s="402">
        <v>324</v>
      </c>
      <c r="AS12" s="402">
        <v>259</v>
      </c>
      <c r="AT12" s="402">
        <v>269</v>
      </c>
      <c r="AU12" s="402">
        <v>169</v>
      </c>
      <c r="AV12" s="402">
        <v>157</v>
      </c>
      <c r="AW12" s="402">
        <v>215</v>
      </c>
      <c r="AX12" s="402">
        <v>184</v>
      </c>
      <c r="AY12" s="402">
        <v>127</v>
      </c>
      <c r="AZ12" s="403">
        <v>7</v>
      </c>
      <c r="BA12" s="402">
        <f t="shared" si="6"/>
        <v>1757</v>
      </c>
      <c r="BB12" s="402">
        <f t="shared" si="6"/>
        <v>2443</v>
      </c>
      <c r="BC12" s="402">
        <f t="shared" si="6"/>
        <v>3188</v>
      </c>
      <c r="BD12" s="402">
        <f t="shared" si="6"/>
        <v>3912</v>
      </c>
      <c r="BE12" s="402">
        <f t="shared" si="6"/>
        <v>1191</v>
      </c>
      <c r="BF12" s="402">
        <f t="shared" si="6"/>
        <v>1112</v>
      </c>
      <c r="BG12" s="402">
        <f t="shared" si="6"/>
        <v>1004</v>
      </c>
      <c r="BH12" s="416">
        <f t="shared" si="6"/>
        <v>802</v>
      </c>
      <c r="BI12" s="416">
        <f t="shared" si="7"/>
        <v>764</v>
      </c>
      <c r="BJ12" s="416">
        <f t="shared" si="8"/>
        <v>734</v>
      </c>
      <c r="BK12" s="416">
        <f t="shared" si="9"/>
        <v>928</v>
      </c>
      <c r="BL12" s="416">
        <f t="shared" si="10"/>
        <v>924</v>
      </c>
      <c r="BM12" s="416">
        <f t="shared" si="11"/>
        <v>1005</v>
      </c>
      <c r="BN12" s="416">
        <f t="shared" si="12"/>
        <v>1410</v>
      </c>
      <c r="BO12" s="416">
        <f t="shared" si="13"/>
        <v>1341</v>
      </c>
      <c r="BP12" s="416">
        <f t="shared" si="14"/>
        <v>1516</v>
      </c>
      <c r="BQ12" s="417">
        <f t="shared" si="14"/>
        <v>610</v>
      </c>
      <c r="BR12" s="944">
        <f t="shared" si="2"/>
        <v>-0.59762532981530336</v>
      </c>
      <c r="BS12" s="62" t="s">
        <v>48</v>
      </c>
    </row>
    <row r="13" spans="1:71" ht="12.75" customHeight="1">
      <c r="A13" s="10" t="s">
        <v>53</v>
      </c>
      <c r="B13" s="426">
        <v>78</v>
      </c>
      <c r="C13" s="345">
        <v>98</v>
      </c>
      <c r="D13" s="399">
        <v>35</v>
      </c>
      <c r="E13" s="399">
        <v>30</v>
      </c>
      <c r="F13" s="399">
        <v>28</v>
      </c>
      <c r="G13" s="399">
        <v>12</v>
      </c>
      <c r="H13" s="399">
        <v>4</v>
      </c>
      <c r="I13" s="399">
        <v>18</v>
      </c>
      <c r="J13" s="399">
        <v>27</v>
      </c>
      <c r="K13" s="399">
        <v>18</v>
      </c>
      <c r="L13" s="399">
        <v>14</v>
      </c>
      <c r="M13" s="399">
        <v>19</v>
      </c>
      <c r="N13" s="399">
        <v>11</v>
      </c>
      <c r="O13" s="399">
        <v>9</v>
      </c>
      <c r="P13" s="399">
        <v>18</v>
      </c>
      <c r="Q13" s="399">
        <v>9</v>
      </c>
      <c r="R13" s="399">
        <v>10</v>
      </c>
      <c r="S13" s="401">
        <v>997</v>
      </c>
      <c r="T13" s="399">
        <v>907</v>
      </c>
      <c r="U13" s="399">
        <v>966</v>
      </c>
      <c r="V13" s="399">
        <v>907</v>
      </c>
      <c r="W13" s="399">
        <v>1226</v>
      </c>
      <c r="X13" s="399">
        <v>987</v>
      </c>
      <c r="Y13" s="399">
        <v>928</v>
      </c>
      <c r="Z13" s="399">
        <v>775</v>
      </c>
      <c r="AA13" s="399">
        <v>986</v>
      </c>
      <c r="AB13" s="399">
        <v>1321</v>
      </c>
      <c r="AC13" s="399">
        <v>1009</v>
      </c>
      <c r="AD13" s="399">
        <v>1174</v>
      </c>
      <c r="AE13" s="399">
        <v>1097</v>
      </c>
      <c r="AF13" s="399">
        <v>1264</v>
      </c>
      <c r="AG13" s="399">
        <v>1167</v>
      </c>
      <c r="AH13" s="399">
        <v>886</v>
      </c>
      <c r="AI13" s="399">
        <v>784</v>
      </c>
      <c r="AJ13" s="401">
        <v>4322</v>
      </c>
      <c r="AK13" s="399">
        <v>4421</v>
      </c>
      <c r="AL13" s="399">
        <v>4709</v>
      </c>
      <c r="AM13" s="399">
        <v>4534</v>
      </c>
      <c r="AN13" s="399">
        <v>4631</v>
      </c>
      <c r="AO13" s="399">
        <v>4613</v>
      </c>
      <c r="AP13" s="399">
        <v>4287</v>
      </c>
      <c r="AQ13" s="399">
        <v>4249</v>
      </c>
      <c r="AR13" s="399">
        <v>4126</v>
      </c>
      <c r="AS13" s="399">
        <v>4485</v>
      </c>
      <c r="AT13" s="399">
        <v>4628</v>
      </c>
      <c r="AU13" s="399">
        <v>4945</v>
      </c>
      <c r="AV13" s="399">
        <v>5575</v>
      </c>
      <c r="AW13" s="399">
        <v>5424</v>
      </c>
      <c r="AX13" s="399">
        <v>5502</v>
      </c>
      <c r="AY13" s="399">
        <v>5199</v>
      </c>
      <c r="AZ13" s="406">
        <v>5639</v>
      </c>
      <c r="BA13" s="399">
        <f t="shared" si="6"/>
        <v>5397</v>
      </c>
      <c r="BB13" s="399">
        <f t="shared" si="6"/>
        <v>5426</v>
      </c>
      <c r="BC13" s="399">
        <f t="shared" si="6"/>
        <v>5710</v>
      </c>
      <c r="BD13" s="399">
        <f t="shared" si="6"/>
        <v>5471</v>
      </c>
      <c r="BE13" s="399">
        <f t="shared" si="6"/>
        <v>5885</v>
      </c>
      <c r="BF13" s="399">
        <f t="shared" si="6"/>
        <v>5612</v>
      </c>
      <c r="BG13" s="399">
        <f t="shared" si="6"/>
        <v>5219</v>
      </c>
      <c r="BH13" s="399">
        <f t="shared" si="6"/>
        <v>5042</v>
      </c>
      <c r="BI13" s="399">
        <f t="shared" si="7"/>
        <v>5139</v>
      </c>
      <c r="BJ13" s="399">
        <f t="shared" si="8"/>
        <v>5824</v>
      </c>
      <c r="BK13" s="399">
        <f t="shared" si="9"/>
        <v>5651</v>
      </c>
      <c r="BL13" s="399">
        <f t="shared" si="10"/>
        <v>6138</v>
      </c>
      <c r="BM13" s="399">
        <f t="shared" si="11"/>
        <v>6683</v>
      </c>
      <c r="BN13" s="399">
        <f t="shared" si="12"/>
        <v>6697</v>
      </c>
      <c r="BO13" s="399">
        <f t="shared" si="13"/>
        <v>6687</v>
      </c>
      <c r="BP13" s="399">
        <f t="shared" si="14"/>
        <v>6094</v>
      </c>
      <c r="BQ13" s="406">
        <f t="shared" si="14"/>
        <v>6433</v>
      </c>
      <c r="BR13" s="921">
        <f t="shared" si="2"/>
        <v>5.5628487036429197E-2</v>
      </c>
      <c r="BS13" s="64" t="s">
        <v>53</v>
      </c>
    </row>
    <row r="14" spans="1:71" ht="12.75" customHeight="1">
      <c r="A14" s="49" t="s">
        <v>38</v>
      </c>
      <c r="B14" s="427">
        <v>14</v>
      </c>
      <c r="C14" s="346">
        <v>26</v>
      </c>
      <c r="D14" s="402">
        <v>21</v>
      </c>
      <c r="E14" s="402">
        <v>36</v>
      </c>
      <c r="F14" s="402">
        <v>26</v>
      </c>
      <c r="G14" s="402">
        <v>1</v>
      </c>
      <c r="H14" s="402">
        <v>0</v>
      </c>
      <c r="I14" s="402">
        <v>0</v>
      </c>
      <c r="J14" s="402">
        <v>1</v>
      </c>
      <c r="K14" s="402">
        <v>4</v>
      </c>
      <c r="L14" s="402">
        <v>1</v>
      </c>
      <c r="M14" s="402">
        <v>1</v>
      </c>
      <c r="N14" s="402">
        <v>0</v>
      </c>
      <c r="O14" s="402">
        <v>0</v>
      </c>
      <c r="P14" s="402">
        <v>0</v>
      </c>
      <c r="Q14" s="402">
        <v>0</v>
      </c>
      <c r="R14" s="402">
        <v>0</v>
      </c>
      <c r="S14" s="407">
        <v>42</v>
      </c>
      <c r="T14" s="402">
        <v>53</v>
      </c>
      <c r="U14" s="402">
        <v>103</v>
      </c>
      <c r="V14" s="402">
        <v>103</v>
      </c>
      <c r="W14" s="402">
        <v>96</v>
      </c>
      <c r="X14" s="402">
        <v>85</v>
      </c>
      <c r="Y14" s="402">
        <v>120</v>
      </c>
      <c r="Z14" s="402">
        <v>65</v>
      </c>
      <c r="AA14" s="402">
        <v>55</v>
      </c>
      <c r="AB14" s="402">
        <v>74</v>
      </c>
      <c r="AC14" s="402">
        <v>124</v>
      </c>
      <c r="AD14" s="402">
        <v>125</v>
      </c>
      <c r="AE14" s="402">
        <v>112</v>
      </c>
      <c r="AF14" s="402">
        <v>58</v>
      </c>
      <c r="AG14" s="402">
        <v>73</v>
      </c>
      <c r="AH14" s="402">
        <v>52</v>
      </c>
      <c r="AI14" s="402">
        <v>75</v>
      </c>
      <c r="AJ14" s="407">
        <v>1</v>
      </c>
      <c r="AK14" s="402">
        <v>17</v>
      </c>
      <c r="AL14" s="402">
        <v>37</v>
      </c>
      <c r="AM14" s="402">
        <v>101</v>
      </c>
      <c r="AN14" s="402">
        <v>22</v>
      </c>
      <c r="AO14" s="402">
        <v>26</v>
      </c>
      <c r="AP14" s="402">
        <v>48</v>
      </c>
      <c r="AQ14" s="402">
        <v>30</v>
      </c>
      <c r="AR14" s="402">
        <v>100</v>
      </c>
      <c r="AS14" s="402">
        <v>158</v>
      </c>
      <c r="AT14" s="402">
        <v>62</v>
      </c>
      <c r="AU14" s="402">
        <v>106</v>
      </c>
      <c r="AV14" s="402">
        <v>59</v>
      </c>
      <c r="AW14" s="402">
        <v>154</v>
      </c>
      <c r="AX14" s="402">
        <v>69</v>
      </c>
      <c r="AY14" s="402">
        <v>155</v>
      </c>
      <c r="AZ14" s="403">
        <v>148</v>
      </c>
      <c r="BA14" s="402">
        <f t="shared" si="6"/>
        <v>57</v>
      </c>
      <c r="BB14" s="402">
        <f t="shared" si="6"/>
        <v>96</v>
      </c>
      <c r="BC14" s="402">
        <f t="shared" si="6"/>
        <v>161</v>
      </c>
      <c r="BD14" s="402">
        <f t="shared" si="6"/>
        <v>240</v>
      </c>
      <c r="BE14" s="402">
        <f t="shared" si="6"/>
        <v>144</v>
      </c>
      <c r="BF14" s="402">
        <f t="shared" si="6"/>
        <v>112</v>
      </c>
      <c r="BG14" s="402">
        <f t="shared" si="6"/>
        <v>168</v>
      </c>
      <c r="BH14" s="416">
        <f t="shared" si="6"/>
        <v>95</v>
      </c>
      <c r="BI14" s="416">
        <f t="shared" si="7"/>
        <v>156</v>
      </c>
      <c r="BJ14" s="416">
        <f t="shared" si="8"/>
        <v>236</v>
      </c>
      <c r="BK14" s="416">
        <f t="shared" si="9"/>
        <v>187</v>
      </c>
      <c r="BL14" s="416">
        <f t="shared" si="10"/>
        <v>232</v>
      </c>
      <c r="BM14" s="416">
        <f t="shared" si="11"/>
        <v>171</v>
      </c>
      <c r="BN14" s="416">
        <f t="shared" si="12"/>
        <v>212</v>
      </c>
      <c r="BO14" s="416">
        <f t="shared" si="13"/>
        <v>142</v>
      </c>
      <c r="BP14" s="416">
        <f t="shared" si="14"/>
        <v>207</v>
      </c>
      <c r="BQ14" s="417">
        <f t="shared" si="14"/>
        <v>223</v>
      </c>
      <c r="BR14" s="944">
        <f t="shared" si="2"/>
        <v>7.7294685990338063E-2</v>
      </c>
      <c r="BS14" s="62" t="s">
        <v>38</v>
      </c>
    </row>
    <row r="15" spans="1:71" ht="12.75" customHeight="1">
      <c r="A15" s="10" t="s">
        <v>56</v>
      </c>
      <c r="B15" s="426">
        <v>475</v>
      </c>
      <c r="C15" s="345">
        <v>554</v>
      </c>
      <c r="D15" s="399">
        <v>485</v>
      </c>
      <c r="E15" s="399">
        <v>658</v>
      </c>
      <c r="F15" s="399">
        <v>600</v>
      </c>
      <c r="G15" s="399">
        <v>130</v>
      </c>
      <c r="H15" s="399">
        <v>88</v>
      </c>
      <c r="I15" s="399">
        <v>99</v>
      </c>
      <c r="J15" s="399">
        <v>58</v>
      </c>
      <c r="K15" s="399">
        <v>32</v>
      </c>
      <c r="L15" s="399">
        <v>22</v>
      </c>
      <c r="M15" s="399">
        <v>0</v>
      </c>
      <c r="N15" s="399">
        <v>26</v>
      </c>
      <c r="O15" s="399">
        <v>37</v>
      </c>
      <c r="P15" s="399">
        <v>71</v>
      </c>
      <c r="Q15" s="399">
        <v>48</v>
      </c>
      <c r="R15" s="399">
        <v>24</v>
      </c>
      <c r="S15" s="401">
        <v>70</v>
      </c>
      <c r="T15" s="399">
        <v>106</v>
      </c>
      <c r="U15" s="399">
        <v>136</v>
      </c>
      <c r="V15" s="399">
        <v>94</v>
      </c>
      <c r="W15" s="399">
        <v>116</v>
      </c>
      <c r="X15" s="399">
        <v>107</v>
      </c>
      <c r="Y15" s="399">
        <v>48</v>
      </c>
      <c r="Z15" s="399">
        <v>25</v>
      </c>
      <c r="AA15" s="399">
        <v>39</v>
      </c>
      <c r="AB15" s="399">
        <v>53</v>
      </c>
      <c r="AC15" s="399">
        <v>48</v>
      </c>
      <c r="AD15" s="399">
        <v>61</v>
      </c>
      <c r="AE15" s="399">
        <v>136</v>
      </c>
      <c r="AF15" s="399">
        <v>145</v>
      </c>
      <c r="AG15" s="399">
        <v>253</v>
      </c>
      <c r="AH15" s="399">
        <v>123</v>
      </c>
      <c r="AI15" s="399">
        <v>70</v>
      </c>
      <c r="AJ15" s="401">
        <v>284</v>
      </c>
      <c r="AK15" s="399">
        <v>205</v>
      </c>
      <c r="AL15" s="399">
        <v>327</v>
      </c>
      <c r="AM15" s="399">
        <v>311</v>
      </c>
      <c r="AN15" s="399">
        <v>436</v>
      </c>
      <c r="AO15" s="399">
        <v>130</v>
      </c>
      <c r="AP15" s="399">
        <v>36</v>
      </c>
      <c r="AQ15" s="399">
        <v>58</v>
      </c>
      <c r="AR15" s="399">
        <v>222</v>
      </c>
      <c r="AS15" s="399">
        <v>157</v>
      </c>
      <c r="AT15" s="399">
        <v>205</v>
      </c>
      <c r="AU15" s="399">
        <v>303</v>
      </c>
      <c r="AV15" s="399">
        <v>337</v>
      </c>
      <c r="AW15" s="399">
        <v>259</v>
      </c>
      <c r="AX15" s="399">
        <v>294</v>
      </c>
      <c r="AY15" s="399">
        <v>347</v>
      </c>
      <c r="AZ15" s="406">
        <v>74</v>
      </c>
      <c r="BA15" s="399">
        <f t="shared" si="6"/>
        <v>829</v>
      </c>
      <c r="BB15" s="399">
        <f t="shared" si="6"/>
        <v>865</v>
      </c>
      <c r="BC15" s="399">
        <f t="shared" si="6"/>
        <v>948</v>
      </c>
      <c r="BD15" s="399">
        <f t="shared" si="6"/>
        <v>1063</v>
      </c>
      <c r="BE15" s="399">
        <f t="shared" si="6"/>
        <v>1152</v>
      </c>
      <c r="BF15" s="399">
        <f t="shared" si="6"/>
        <v>367</v>
      </c>
      <c r="BG15" s="399">
        <f t="shared" si="6"/>
        <v>172</v>
      </c>
      <c r="BH15" s="399">
        <f t="shared" si="6"/>
        <v>182</v>
      </c>
      <c r="BI15" s="399">
        <f t="shared" si="7"/>
        <v>319</v>
      </c>
      <c r="BJ15" s="399">
        <f t="shared" si="8"/>
        <v>242</v>
      </c>
      <c r="BK15" s="399">
        <f t="shared" si="9"/>
        <v>275</v>
      </c>
      <c r="BL15" s="399">
        <f t="shared" si="10"/>
        <v>364</v>
      </c>
      <c r="BM15" s="399">
        <f t="shared" si="11"/>
        <v>499</v>
      </c>
      <c r="BN15" s="399">
        <f t="shared" si="12"/>
        <v>441</v>
      </c>
      <c r="BO15" s="399">
        <f t="shared" si="13"/>
        <v>618</v>
      </c>
      <c r="BP15" s="399">
        <f t="shared" si="14"/>
        <v>518</v>
      </c>
      <c r="BQ15" s="406">
        <f t="shared" si="14"/>
        <v>168</v>
      </c>
      <c r="BR15" s="921">
        <f t="shared" si="2"/>
        <v>-0.67567567567567566</v>
      </c>
      <c r="BS15" s="64" t="s">
        <v>56</v>
      </c>
    </row>
    <row r="16" spans="1:71" ht="12.75" customHeight="1">
      <c r="A16" s="49" t="s">
        <v>49</v>
      </c>
      <c r="B16" s="427">
        <v>85</v>
      </c>
      <c r="C16" s="346">
        <v>45</v>
      </c>
      <c r="D16" s="402">
        <v>44</v>
      </c>
      <c r="E16" s="402">
        <v>50</v>
      </c>
      <c r="F16" s="402">
        <v>61</v>
      </c>
      <c r="G16" s="402">
        <v>57</v>
      </c>
      <c r="H16" s="402">
        <v>38</v>
      </c>
      <c r="I16" s="402">
        <v>8</v>
      </c>
      <c r="J16" s="402">
        <v>9</v>
      </c>
      <c r="K16" s="402">
        <v>52</v>
      </c>
      <c r="L16" s="402">
        <v>98</v>
      </c>
      <c r="M16" s="402">
        <v>71</v>
      </c>
      <c r="N16" s="402">
        <v>87</v>
      </c>
      <c r="O16" s="402">
        <v>72</v>
      </c>
      <c r="P16" s="402">
        <v>80</v>
      </c>
      <c r="Q16" s="402">
        <v>108</v>
      </c>
      <c r="R16" s="402">
        <v>85</v>
      </c>
      <c r="S16" s="407">
        <v>101</v>
      </c>
      <c r="T16" s="402">
        <v>91</v>
      </c>
      <c r="U16" s="402">
        <v>122</v>
      </c>
      <c r="V16" s="402">
        <v>132</v>
      </c>
      <c r="W16" s="402">
        <v>162</v>
      </c>
      <c r="X16" s="402">
        <v>318</v>
      </c>
      <c r="Y16" s="402">
        <v>80</v>
      </c>
      <c r="Z16" s="402">
        <v>47</v>
      </c>
      <c r="AA16" s="402">
        <v>70</v>
      </c>
      <c r="AB16" s="402">
        <v>38</v>
      </c>
      <c r="AC16" s="402">
        <v>44</v>
      </c>
      <c r="AD16" s="402">
        <v>19</v>
      </c>
      <c r="AE16" s="402">
        <v>28</v>
      </c>
      <c r="AF16" s="402">
        <v>75</v>
      </c>
      <c r="AG16" s="402">
        <v>87</v>
      </c>
      <c r="AH16" s="402">
        <v>125</v>
      </c>
      <c r="AI16" s="402">
        <v>110</v>
      </c>
      <c r="AJ16" s="407">
        <v>1323</v>
      </c>
      <c r="AK16" s="402">
        <v>524</v>
      </c>
      <c r="AL16" s="402">
        <v>308</v>
      </c>
      <c r="AM16" s="402">
        <v>444</v>
      </c>
      <c r="AN16" s="402">
        <v>352</v>
      </c>
      <c r="AO16" s="402">
        <v>637</v>
      </c>
      <c r="AP16" s="402">
        <v>285</v>
      </c>
      <c r="AQ16" s="402">
        <v>43</v>
      </c>
      <c r="AR16" s="402">
        <v>39</v>
      </c>
      <c r="AS16" s="402">
        <v>10</v>
      </c>
      <c r="AT16" s="402">
        <v>33</v>
      </c>
      <c r="AU16" s="402">
        <v>32</v>
      </c>
      <c r="AV16" s="402">
        <v>75</v>
      </c>
      <c r="AW16" s="402">
        <v>33</v>
      </c>
      <c r="AX16" s="402">
        <v>96</v>
      </c>
      <c r="AY16" s="402">
        <v>142</v>
      </c>
      <c r="AZ16" s="403">
        <v>110</v>
      </c>
      <c r="BA16" s="402">
        <f t="shared" si="6"/>
        <v>1509</v>
      </c>
      <c r="BB16" s="402">
        <f t="shared" si="6"/>
        <v>660</v>
      </c>
      <c r="BC16" s="402">
        <f t="shared" si="6"/>
        <v>474</v>
      </c>
      <c r="BD16" s="402">
        <f t="shared" si="6"/>
        <v>626</v>
      </c>
      <c r="BE16" s="402">
        <f t="shared" si="6"/>
        <v>575</v>
      </c>
      <c r="BF16" s="402">
        <f t="shared" si="6"/>
        <v>1012</v>
      </c>
      <c r="BG16" s="402">
        <f t="shared" si="6"/>
        <v>403</v>
      </c>
      <c r="BH16" s="416">
        <f t="shared" si="6"/>
        <v>98</v>
      </c>
      <c r="BI16" s="416">
        <f t="shared" si="7"/>
        <v>118</v>
      </c>
      <c r="BJ16" s="416">
        <f t="shared" si="8"/>
        <v>100</v>
      </c>
      <c r="BK16" s="416">
        <f t="shared" si="9"/>
        <v>175</v>
      </c>
      <c r="BL16" s="416">
        <f t="shared" si="10"/>
        <v>122</v>
      </c>
      <c r="BM16" s="416">
        <f t="shared" si="11"/>
        <v>190</v>
      </c>
      <c r="BN16" s="416">
        <f t="shared" si="12"/>
        <v>180</v>
      </c>
      <c r="BO16" s="416">
        <f t="shared" si="13"/>
        <v>263</v>
      </c>
      <c r="BP16" s="416">
        <f t="shared" si="14"/>
        <v>375</v>
      </c>
      <c r="BQ16" s="417">
        <f t="shared" si="14"/>
        <v>305</v>
      </c>
      <c r="BR16" s="944">
        <f t="shared" si="2"/>
        <v>-0.18666666666666665</v>
      </c>
      <c r="BS16" s="62" t="s">
        <v>49</v>
      </c>
    </row>
    <row r="17" spans="1:71" ht="12.75" customHeight="1">
      <c r="A17" s="10" t="s">
        <v>54</v>
      </c>
      <c r="B17" s="426"/>
      <c r="C17" s="345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>
        <v>0</v>
      </c>
      <c r="O17" s="399">
        <v>0</v>
      </c>
      <c r="P17" s="399">
        <v>0</v>
      </c>
      <c r="Q17" s="399">
        <v>0</v>
      </c>
      <c r="R17" s="399">
        <v>0</v>
      </c>
      <c r="S17" s="401">
        <v>716</v>
      </c>
      <c r="T17" s="399">
        <v>1069</v>
      </c>
      <c r="U17" s="399">
        <v>867</v>
      </c>
      <c r="V17" s="399">
        <v>861</v>
      </c>
      <c r="W17" s="399">
        <v>1172</v>
      </c>
      <c r="X17" s="399">
        <v>849</v>
      </c>
      <c r="Y17" s="399">
        <v>723</v>
      </c>
      <c r="Z17" s="399">
        <v>712</v>
      </c>
      <c r="AA17" s="399">
        <v>613</v>
      </c>
      <c r="AB17" s="399">
        <v>443</v>
      </c>
      <c r="AC17" s="399">
        <v>506</v>
      </c>
      <c r="AD17" s="399">
        <v>694</v>
      </c>
      <c r="AE17" s="399">
        <v>848</v>
      </c>
      <c r="AF17" s="399">
        <v>887</v>
      </c>
      <c r="AG17" s="399">
        <v>748</v>
      </c>
      <c r="AH17" s="399">
        <v>677</v>
      </c>
      <c r="AI17" s="399">
        <v>349</v>
      </c>
      <c r="AJ17" s="401">
        <v>2645</v>
      </c>
      <c r="AK17" s="399">
        <v>2781</v>
      </c>
      <c r="AL17" s="399">
        <v>2765</v>
      </c>
      <c r="AM17" s="399">
        <v>2942</v>
      </c>
      <c r="AN17" s="399">
        <v>2299</v>
      </c>
      <c r="AO17" s="399">
        <v>1795</v>
      </c>
      <c r="AP17" s="399">
        <v>1687</v>
      </c>
      <c r="AQ17" s="399">
        <v>1961</v>
      </c>
      <c r="AR17" s="399">
        <v>1371</v>
      </c>
      <c r="AS17" s="399">
        <v>1212</v>
      </c>
      <c r="AT17" s="399">
        <v>1390</v>
      </c>
      <c r="AU17" s="399">
        <v>1923</v>
      </c>
      <c r="AV17" s="399">
        <v>2452</v>
      </c>
      <c r="AW17" s="399">
        <v>2640</v>
      </c>
      <c r="AX17" s="399">
        <v>2579</v>
      </c>
      <c r="AY17" s="399">
        <v>2541</v>
      </c>
      <c r="AZ17" s="406">
        <v>1741</v>
      </c>
      <c r="BA17" s="399">
        <f t="shared" si="6"/>
        <v>3361</v>
      </c>
      <c r="BB17" s="399">
        <f t="shared" si="6"/>
        <v>3850</v>
      </c>
      <c r="BC17" s="399">
        <f t="shared" si="6"/>
        <v>3632</v>
      </c>
      <c r="BD17" s="399">
        <f t="shared" si="6"/>
        <v>3803</v>
      </c>
      <c r="BE17" s="399">
        <f t="shared" si="6"/>
        <v>3471</v>
      </c>
      <c r="BF17" s="399">
        <f t="shared" si="6"/>
        <v>2644</v>
      </c>
      <c r="BG17" s="399">
        <f t="shared" si="6"/>
        <v>2410</v>
      </c>
      <c r="BH17" s="399">
        <f t="shared" si="6"/>
        <v>2673</v>
      </c>
      <c r="BI17" s="399">
        <f t="shared" si="7"/>
        <v>1984</v>
      </c>
      <c r="BJ17" s="399">
        <f t="shared" si="8"/>
        <v>1655</v>
      </c>
      <c r="BK17" s="399">
        <f t="shared" si="9"/>
        <v>1896</v>
      </c>
      <c r="BL17" s="399">
        <f t="shared" si="10"/>
        <v>2617</v>
      </c>
      <c r="BM17" s="399">
        <f t="shared" si="11"/>
        <v>3300</v>
      </c>
      <c r="BN17" s="399">
        <f t="shared" si="12"/>
        <v>3527</v>
      </c>
      <c r="BO17" s="399">
        <f t="shared" si="13"/>
        <v>3327</v>
      </c>
      <c r="BP17" s="399">
        <f t="shared" si="14"/>
        <v>3218</v>
      </c>
      <c r="BQ17" s="406">
        <f t="shared" ref="BQ17:BQ39" si="15">R17+AI17+AZ17</f>
        <v>2090</v>
      </c>
      <c r="BR17" s="921">
        <f t="shared" si="2"/>
        <v>-0.35052827843380985</v>
      </c>
      <c r="BS17" s="64" t="s">
        <v>54</v>
      </c>
    </row>
    <row r="18" spans="1:71" ht="12.75" customHeight="1">
      <c r="A18" s="49" t="s">
        <v>55</v>
      </c>
      <c r="B18" s="427">
        <v>107</v>
      </c>
      <c r="C18" s="346">
        <v>75</v>
      </c>
      <c r="D18" s="402">
        <v>79</v>
      </c>
      <c r="E18" s="402">
        <v>39</v>
      </c>
      <c r="F18" s="402">
        <v>9</v>
      </c>
      <c r="G18" s="402">
        <v>2</v>
      </c>
      <c r="H18" s="402">
        <v>1</v>
      </c>
      <c r="I18" s="402">
        <v>3</v>
      </c>
      <c r="J18" s="402"/>
      <c r="K18" s="402"/>
      <c r="L18" s="402">
        <v>1</v>
      </c>
      <c r="M18" s="402">
        <v>0</v>
      </c>
      <c r="N18" s="402">
        <v>0</v>
      </c>
      <c r="O18" s="402">
        <v>0</v>
      </c>
      <c r="P18" s="402">
        <v>0</v>
      </c>
      <c r="Q18" s="402">
        <v>0</v>
      </c>
      <c r="R18" s="402">
        <v>0</v>
      </c>
      <c r="S18" s="407">
        <v>1082</v>
      </c>
      <c r="T18" s="402">
        <v>1214</v>
      </c>
      <c r="U18" s="402">
        <v>1221</v>
      </c>
      <c r="V18" s="402">
        <v>1335</v>
      </c>
      <c r="W18" s="402">
        <v>1689</v>
      </c>
      <c r="X18" s="402">
        <v>1659</v>
      </c>
      <c r="Y18" s="402">
        <v>1240</v>
      </c>
      <c r="Z18" s="402">
        <v>1295</v>
      </c>
      <c r="AA18" s="402">
        <v>1203</v>
      </c>
      <c r="AB18" s="402">
        <v>1518</v>
      </c>
      <c r="AC18" s="402">
        <v>1145</v>
      </c>
      <c r="AD18" s="402">
        <v>1478</v>
      </c>
      <c r="AE18" s="402">
        <v>1424</v>
      </c>
      <c r="AF18" s="402">
        <v>1161</v>
      </c>
      <c r="AG18" s="402">
        <v>1199</v>
      </c>
      <c r="AH18" s="402">
        <v>1265</v>
      </c>
      <c r="AI18" s="402">
        <v>941</v>
      </c>
      <c r="AJ18" s="407">
        <v>3670</v>
      </c>
      <c r="AK18" s="402">
        <v>4153</v>
      </c>
      <c r="AL18" s="402">
        <v>4550</v>
      </c>
      <c r="AM18" s="402">
        <v>4797</v>
      </c>
      <c r="AN18" s="402">
        <v>4926</v>
      </c>
      <c r="AO18" s="402">
        <v>5773</v>
      </c>
      <c r="AP18" s="402">
        <v>4666</v>
      </c>
      <c r="AQ18" s="402">
        <v>5508</v>
      </c>
      <c r="AR18" s="402">
        <v>4859</v>
      </c>
      <c r="AS18" s="402">
        <v>5445</v>
      </c>
      <c r="AT18" s="402">
        <v>4751</v>
      </c>
      <c r="AU18" s="402">
        <v>5867</v>
      </c>
      <c r="AV18" s="402">
        <v>5169</v>
      </c>
      <c r="AW18" s="402">
        <v>5168</v>
      </c>
      <c r="AX18" s="402">
        <v>5031</v>
      </c>
      <c r="AY18" s="402">
        <v>5515</v>
      </c>
      <c r="AZ18" s="403">
        <v>5109</v>
      </c>
      <c r="BA18" s="402">
        <f t="shared" si="6"/>
        <v>4859</v>
      </c>
      <c r="BB18" s="402">
        <f t="shared" si="6"/>
        <v>5442</v>
      </c>
      <c r="BC18" s="402">
        <f t="shared" si="6"/>
        <v>5850</v>
      </c>
      <c r="BD18" s="402">
        <f t="shared" si="6"/>
        <v>6171</v>
      </c>
      <c r="BE18" s="402">
        <f t="shared" si="6"/>
        <v>6624</v>
      </c>
      <c r="BF18" s="402">
        <f t="shared" si="6"/>
        <v>7434</v>
      </c>
      <c r="BG18" s="402">
        <f t="shared" si="6"/>
        <v>5907</v>
      </c>
      <c r="BH18" s="416">
        <f t="shared" si="6"/>
        <v>6806</v>
      </c>
      <c r="BI18" s="416">
        <f t="shared" si="7"/>
        <v>6062</v>
      </c>
      <c r="BJ18" s="416">
        <f t="shared" si="8"/>
        <v>6963</v>
      </c>
      <c r="BK18" s="416">
        <f t="shared" si="9"/>
        <v>5897</v>
      </c>
      <c r="BL18" s="416">
        <f t="shared" si="10"/>
        <v>7345</v>
      </c>
      <c r="BM18" s="416">
        <f t="shared" si="11"/>
        <v>6593</v>
      </c>
      <c r="BN18" s="416">
        <f t="shared" si="12"/>
        <v>6329</v>
      </c>
      <c r="BO18" s="416">
        <f t="shared" si="13"/>
        <v>6230</v>
      </c>
      <c r="BP18" s="416">
        <f t="shared" si="14"/>
        <v>6780</v>
      </c>
      <c r="BQ18" s="417">
        <f t="shared" si="15"/>
        <v>6050</v>
      </c>
      <c r="BR18" s="944">
        <f t="shared" si="2"/>
        <v>-0.10766961651917406</v>
      </c>
      <c r="BS18" s="62" t="s">
        <v>55</v>
      </c>
    </row>
    <row r="19" spans="1:71" ht="12.75" customHeight="1">
      <c r="A19" s="10" t="s">
        <v>66</v>
      </c>
      <c r="B19" s="426">
        <v>288</v>
      </c>
      <c r="C19" s="345">
        <v>381</v>
      </c>
      <c r="D19" s="399">
        <v>376</v>
      </c>
      <c r="E19" s="399">
        <v>433</v>
      </c>
      <c r="F19" s="399">
        <v>391</v>
      </c>
      <c r="G19" s="399">
        <v>484</v>
      </c>
      <c r="H19" s="399">
        <v>195</v>
      </c>
      <c r="I19" s="399">
        <v>173</v>
      </c>
      <c r="J19" s="399">
        <v>217</v>
      </c>
      <c r="K19" s="408">
        <v>2</v>
      </c>
      <c r="L19" s="399">
        <v>1</v>
      </c>
      <c r="M19" s="399">
        <v>4</v>
      </c>
      <c r="N19" s="399">
        <v>0</v>
      </c>
      <c r="O19" s="399">
        <v>0</v>
      </c>
      <c r="P19" s="399">
        <v>0</v>
      </c>
      <c r="Q19" s="399">
        <v>0</v>
      </c>
      <c r="R19" s="399">
        <v>0</v>
      </c>
      <c r="S19" s="428" t="s">
        <v>70</v>
      </c>
      <c r="T19" s="411" t="s">
        <v>70</v>
      </c>
      <c r="U19" s="411" t="s">
        <v>70</v>
      </c>
      <c r="V19" s="411" t="s">
        <v>70</v>
      </c>
      <c r="W19" s="411" t="s">
        <v>70</v>
      </c>
      <c r="X19" s="411" t="s">
        <v>70</v>
      </c>
      <c r="Y19" s="411" t="s">
        <v>70</v>
      </c>
      <c r="Z19" s="411" t="s">
        <v>70</v>
      </c>
      <c r="AA19" s="411" t="s">
        <v>70</v>
      </c>
      <c r="AB19" s="412">
        <v>55</v>
      </c>
      <c r="AC19" s="412">
        <v>38</v>
      </c>
      <c r="AD19" s="412">
        <v>67</v>
      </c>
      <c r="AE19" s="412">
        <v>59</v>
      </c>
      <c r="AF19" s="412">
        <v>67</v>
      </c>
      <c r="AG19" s="412">
        <v>60</v>
      </c>
      <c r="AH19" s="412">
        <v>61</v>
      </c>
      <c r="AI19" s="412">
        <v>22</v>
      </c>
      <c r="AJ19" s="428" t="s">
        <v>70</v>
      </c>
      <c r="AK19" s="411" t="s">
        <v>70</v>
      </c>
      <c r="AL19" s="411" t="s">
        <v>70</v>
      </c>
      <c r="AM19" s="411" t="s">
        <v>70</v>
      </c>
      <c r="AN19" s="411" t="s">
        <v>70</v>
      </c>
      <c r="AO19" s="411" t="s">
        <v>70</v>
      </c>
      <c r="AP19" s="411" t="s">
        <v>70</v>
      </c>
      <c r="AQ19" s="411" t="s">
        <v>70</v>
      </c>
      <c r="AR19" s="411" t="s">
        <v>70</v>
      </c>
      <c r="AS19" s="412">
        <v>54</v>
      </c>
      <c r="AT19" s="412">
        <v>59</v>
      </c>
      <c r="AU19" s="412">
        <v>62</v>
      </c>
      <c r="AV19" s="412">
        <v>123</v>
      </c>
      <c r="AW19" s="412">
        <v>133</v>
      </c>
      <c r="AX19" s="412">
        <v>182</v>
      </c>
      <c r="AY19" s="412">
        <v>253</v>
      </c>
      <c r="AZ19" s="413">
        <v>92</v>
      </c>
      <c r="BA19" s="399">
        <f t="shared" ref="BA19:BI19" si="16">B19</f>
        <v>288</v>
      </c>
      <c r="BB19" s="399">
        <f t="shared" si="16"/>
        <v>381</v>
      </c>
      <c r="BC19" s="399">
        <f t="shared" si="16"/>
        <v>376</v>
      </c>
      <c r="BD19" s="399">
        <f t="shared" si="16"/>
        <v>433</v>
      </c>
      <c r="BE19" s="399">
        <f t="shared" si="16"/>
        <v>391</v>
      </c>
      <c r="BF19" s="399">
        <f t="shared" si="16"/>
        <v>484</v>
      </c>
      <c r="BG19" s="399">
        <f t="shared" si="16"/>
        <v>195</v>
      </c>
      <c r="BH19" s="399">
        <f t="shared" si="16"/>
        <v>173</v>
      </c>
      <c r="BI19" s="399">
        <f t="shared" si="16"/>
        <v>217</v>
      </c>
      <c r="BJ19" s="399">
        <f t="shared" si="8"/>
        <v>111</v>
      </c>
      <c r="BK19" s="399">
        <f t="shared" si="9"/>
        <v>98</v>
      </c>
      <c r="BL19" s="399">
        <f t="shared" si="10"/>
        <v>133</v>
      </c>
      <c r="BM19" s="399">
        <f t="shared" si="11"/>
        <v>182</v>
      </c>
      <c r="BN19" s="399">
        <f t="shared" si="12"/>
        <v>200</v>
      </c>
      <c r="BO19" s="399">
        <f t="shared" si="13"/>
        <v>242</v>
      </c>
      <c r="BP19" s="741">
        <f t="shared" si="14"/>
        <v>314</v>
      </c>
      <c r="BQ19" s="406">
        <f t="shared" si="15"/>
        <v>114</v>
      </c>
      <c r="BR19" s="921">
        <f t="shared" si="2"/>
        <v>-0.63694267515923575</v>
      </c>
      <c r="BS19" s="64" t="s">
        <v>66</v>
      </c>
    </row>
    <row r="20" spans="1:71" ht="12.75" customHeight="1">
      <c r="A20" s="154" t="s">
        <v>57</v>
      </c>
      <c r="B20" s="429">
        <v>40</v>
      </c>
      <c r="C20" s="346">
        <v>32</v>
      </c>
      <c r="D20" s="416">
        <v>52</v>
      </c>
      <c r="E20" s="416">
        <v>79</v>
      </c>
      <c r="F20" s="416">
        <v>41</v>
      </c>
      <c r="G20" s="416">
        <v>26</v>
      </c>
      <c r="H20" s="416">
        <v>31</v>
      </c>
      <c r="I20" s="416">
        <v>0</v>
      </c>
      <c r="J20" s="416">
        <v>24</v>
      </c>
      <c r="K20" s="416">
        <v>99</v>
      </c>
      <c r="L20" s="416">
        <v>33</v>
      </c>
      <c r="M20" s="416">
        <v>40</v>
      </c>
      <c r="N20" s="416">
        <v>40</v>
      </c>
      <c r="O20" s="416">
        <v>21</v>
      </c>
      <c r="P20" s="416">
        <v>21</v>
      </c>
      <c r="Q20" s="402">
        <v>38</v>
      </c>
      <c r="R20" s="402">
        <v>24</v>
      </c>
      <c r="S20" s="418">
        <v>1586</v>
      </c>
      <c r="T20" s="416">
        <v>1699</v>
      </c>
      <c r="U20" s="416">
        <v>1974</v>
      </c>
      <c r="V20" s="416">
        <v>1624</v>
      </c>
      <c r="W20" s="416">
        <v>1932</v>
      </c>
      <c r="X20" s="416">
        <v>1770</v>
      </c>
      <c r="Y20" s="416">
        <v>1829</v>
      </c>
      <c r="Z20" s="416">
        <v>1878</v>
      </c>
      <c r="AA20" s="416">
        <v>1120</v>
      </c>
      <c r="AB20" s="416">
        <v>926</v>
      </c>
      <c r="AC20" s="416">
        <v>755</v>
      </c>
      <c r="AD20" s="416">
        <v>850</v>
      </c>
      <c r="AE20" s="416">
        <v>1270</v>
      </c>
      <c r="AF20" s="416">
        <v>1223</v>
      </c>
      <c r="AG20" s="416">
        <v>1229</v>
      </c>
      <c r="AH20" s="416">
        <v>1415</v>
      </c>
      <c r="AI20" s="416">
        <v>913</v>
      </c>
      <c r="AJ20" s="418">
        <v>3237</v>
      </c>
      <c r="AK20" s="416">
        <v>3311</v>
      </c>
      <c r="AL20" s="416">
        <v>2796</v>
      </c>
      <c r="AM20" s="416">
        <v>2770</v>
      </c>
      <c r="AN20" s="416">
        <v>2770</v>
      </c>
      <c r="AO20" s="416">
        <v>1473</v>
      </c>
      <c r="AP20" s="416">
        <v>2442</v>
      </c>
      <c r="AQ20" s="416">
        <v>4030</v>
      </c>
      <c r="AR20" s="416">
        <v>1149</v>
      </c>
      <c r="AS20" s="416">
        <v>1676</v>
      </c>
      <c r="AT20" s="416">
        <v>1271</v>
      </c>
      <c r="AU20" s="416">
        <v>1549</v>
      </c>
      <c r="AV20" s="416">
        <v>1671</v>
      </c>
      <c r="AW20" s="416">
        <v>1938</v>
      </c>
      <c r="AX20" s="416">
        <v>3119</v>
      </c>
      <c r="AY20" s="416">
        <v>2698</v>
      </c>
      <c r="AZ20" s="417">
        <v>1985</v>
      </c>
      <c r="BA20" s="416">
        <f t="shared" ref="BA20:BH20" si="17">B20+S20+AJ20</f>
        <v>4863</v>
      </c>
      <c r="BB20" s="416">
        <f t="shared" si="17"/>
        <v>5042</v>
      </c>
      <c r="BC20" s="416">
        <f t="shared" si="17"/>
        <v>4822</v>
      </c>
      <c r="BD20" s="416">
        <f t="shared" si="17"/>
        <v>4473</v>
      </c>
      <c r="BE20" s="416">
        <f t="shared" si="17"/>
        <v>4743</v>
      </c>
      <c r="BF20" s="416">
        <f t="shared" si="17"/>
        <v>3269</v>
      </c>
      <c r="BG20" s="416">
        <f t="shared" si="17"/>
        <v>4302</v>
      </c>
      <c r="BH20" s="416">
        <f t="shared" si="17"/>
        <v>5908</v>
      </c>
      <c r="BI20" s="416">
        <f>SUM(J20,AA20,AR20)</f>
        <v>2293</v>
      </c>
      <c r="BJ20" s="416">
        <f t="shared" si="8"/>
        <v>2701</v>
      </c>
      <c r="BK20" s="416">
        <f t="shared" si="9"/>
        <v>2059</v>
      </c>
      <c r="BL20" s="416">
        <f t="shared" si="10"/>
        <v>2439</v>
      </c>
      <c r="BM20" s="416">
        <f t="shared" si="11"/>
        <v>2981</v>
      </c>
      <c r="BN20" s="416">
        <f t="shared" si="12"/>
        <v>3182</v>
      </c>
      <c r="BO20" s="416">
        <f t="shared" si="13"/>
        <v>4369</v>
      </c>
      <c r="BP20" s="416">
        <f t="shared" si="14"/>
        <v>4151</v>
      </c>
      <c r="BQ20" s="417">
        <f t="shared" si="15"/>
        <v>2922</v>
      </c>
      <c r="BR20" s="944">
        <f t="shared" si="2"/>
        <v>-0.29607323536497232</v>
      </c>
      <c r="BS20" s="304" t="s">
        <v>57</v>
      </c>
    </row>
    <row r="21" spans="1:71" ht="12.75" customHeight="1">
      <c r="A21" s="10" t="s">
        <v>36</v>
      </c>
      <c r="B21" s="426">
        <v>59</v>
      </c>
      <c r="C21" s="345">
        <v>66</v>
      </c>
      <c r="D21" s="399">
        <v>47</v>
      </c>
      <c r="E21" s="399">
        <v>61</v>
      </c>
      <c r="F21" s="399">
        <v>64</v>
      </c>
      <c r="G21" s="399">
        <v>41</v>
      </c>
      <c r="H21" s="399">
        <v>248</v>
      </c>
      <c r="I21" s="399">
        <v>44</v>
      </c>
      <c r="J21" s="399">
        <v>45</v>
      </c>
      <c r="K21" s="399">
        <v>64</v>
      </c>
      <c r="L21" s="399">
        <v>47</v>
      </c>
      <c r="M21" s="399">
        <v>82</v>
      </c>
      <c r="N21" s="399">
        <v>55</v>
      </c>
      <c r="O21" s="399">
        <v>47</v>
      </c>
      <c r="P21" s="399">
        <v>45</v>
      </c>
      <c r="Q21" s="399">
        <v>19</v>
      </c>
      <c r="R21" s="399">
        <v>246</v>
      </c>
      <c r="S21" s="428" t="s">
        <v>70</v>
      </c>
      <c r="T21" s="411" t="s">
        <v>70</v>
      </c>
      <c r="U21" s="411" t="s">
        <v>70</v>
      </c>
      <c r="V21" s="411" t="s">
        <v>70</v>
      </c>
      <c r="W21" s="411" t="s">
        <v>70</v>
      </c>
      <c r="X21" s="411" t="s">
        <v>70</v>
      </c>
      <c r="Y21" s="411" t="s">
        <v>70</v>
      </c>
      <c r="Z21" s="411" t="s">
        <v>70</v>
      </c>
      <c r="AA21" s="411" t="s">
        <v>70</v>
      </c>
      <c r="AB21" s="411" t="s">
        <v>70</v>
      </c>
      <c r="AC21" s="411" t="s">
        <v>70</v>
      </c>
      <c r="AD21" s="411" t="s">
        <v>70</v>
      </c>
      <c r="AE21" s="411" t="s">
        <v>70</v>
      </c>
      <c r="AF21" s="411" t="s">
        <v>70</v>
      </c>
      <c r="AG21" s="411" t="s">
        <v>70</v>
      </c>
      <c r="AH21" s="411" t="s">
        <v>70</v>
      </c>
      <c r="AI21" s="411" t="s">
        <v>70</v>
      </c>
      <c r="AJ21" s="428" t="s">
        <v>70</v>
      </c>
      <c r="AK21" s="411" t="s">
        <v>70</v>
      </c>
      <c r="AL21" s="411" t="s">
        <v>70</v>
      </c>
      <c r="AM21" s="411" t="s">
        <v>70</v>
      </c>
      <c r="AN21" s="411" t="s">
        <v>70</v>
      </c>
      <c r="AO21" s="411" t="s">
        <v>70</v>
      </c>
      <c r="AP21" s="411" t="s">
        <v>70</v>
      </c>
      <c r="AQ21" s="411" t="s">
        <v>70</v>
      </c>
      <c r="AR21" s="411" t="s">
        <v>70</v>
      </c>
      <c r="AS21" s="411" t="s">
        <v>70</v>
      </c>
      <c r="AT21" s="411" t="s">
        <v>70</v>
      </c>
      <c r="AU21" s="411" t="s">
        <v>70</v>
      </c>
      <c r="AV21" s="411" t="s">
        <v>70</v>
      </c>
      <c r="AW21" s="411" t="s">
        <v>70</v>
      </c>
      <c r="AX21" s="411" t="s">
        <v>70</v>
      </c>
      <c r="AY21" s="411" t="s">
        <v>70</v>
      </c>
      <c r="AZ21" s="411" t="s">
        <v>70</v>
      </c>
      <c r="BA21" s="399">
        <f t="shared" ref="BA21:BQ21" si="18">B21</f>
        <v>59</v>
      </c>
      <c r="BB21" s="399">
        <f t="shared" si="18"/>
        <v>66</v>
      </c>
      <c r="BC21" s="399">
        <f t="shared" si="18"/>
        <v>47</v>
      </c>
      <c r="BD21" s="399">
        <f t="shared" si="18"/>
        <v>61</v>
      </c>
      <c r="BE21" s="399">
        <f t="shared" si="18"/>
        <v>64</v>
      </c>
      <c r="BF21" s="399">
        <f t="shared" si="18"/>
        <v>41</v>
      </c>
      <c r="BG21" s="399">
        <f t="shared" si="18"/>
        <v>248</v>
      </c>
      <c r="BH21" s="399">
        <f t="shared" si="18"/>
        <v>44</v>
      </c>
      <c r="BI21" s="399">
        <f t="shared" si="18"/>
        <v>45</v>
      </c>
      <c r="BJ21" s="399">
        <f t="shared" si="18"/>
        <v>64</v>
      </c>
      <c r="BK21" s="399">
        <f t="shared" si="18"/>
        <v>47</v>
      </c>
      <c r="BL21" s="399">
        <f t="shared" si="18"/>
        <v>82</v>
      </c>
      <c r="BM21" s="399">
        <f t="shared" si="18"/>
        <v>55</v>
      </c>
      <c r="BN21" s="399">
        <f t="shared" si="18"/>
        <v>47</v>
      </c>
      <c r="BO21" s="399">
        <f t="shared" si="18"/>
        <v>45</v>
      </c>
      <c r="BP21" s="399">
        <f t="shared" si="18"/>
        <v>19</v>
      </c>
      <c r="BQ21" s="406">
        <f t="shared" si="18"/>
        <v>246</v>
      </c>
      <c r="BR21" s="921">
        <v>11.947368421052632</v>
      </c>
      <c r="BS21" s="64" t="s">
        <v>350</v>
      </c>
    </row>
    <row r="22" spans="1:71" ht="12.75" customHeight="1">
      <c r="A22" s="154" t="s">
        <v>40</v>
      </c>
      <c r="B22" s="429">
        <v>2</v>
      </c>
      <c r="C22" s="346">
        <v>13</v>
      </c>
      <c r="D22" s="416">
        <v>116</v>
      </c>
      <c r="E22" s="416">
        <v>154</v>
      </c>
      <c r="F22" s="416">
        <v>26</v>
      </c>
      <c r="G22" s="416">
        <v>5</v>
      </c>
      <c r="H22" s="416">
        <v>0</v>
      </c>
      <c r="I22" s="416">
        <v>1</v>
      </c>
      <c r="J22" s="416">
        <v>11</v>
      </c>
      <c r="K22" s="416">
        <v>2</v>
      </c>
      <c r="L22" s="416">
        <v>1</v>
      </c>
      <c r="M22" s="416">
        <v>0</v>
      </c>
      <c r="N22" s="416">
        <v>0</v>
      </c>
      <c r="O22" s="416">
        <v>0</v>
      </c>
      <c r="P22" s="416">
        <v>4</v>
      </c>
      <c r="Q22" s="402">
        <v>2</v>
      </c>
      <c r="R22" s="402">
        <v>0</v>
      </c>
      <c r="S22" s="418">
        <v>151</v>
      </c>
      <c r="T22" s="416">
        <v>127</v>
      </c>
      <c r="U22" s="416">
        <v>38</v>
      </c>
      <c r="V22" s="416">
        <v>29</v>
      </c>
      <c r="W22" s="416">
        <v>140</v>
      </c>
      <c r="X22" s="416">
        <v>30</v>
      </c>
      <c r="Y22" s="416">
        <v>82</v>
      </c>
      <c r="Z22" s="416">
        <v>170</v>
      </c>
      <c r="AA22" s="416">
        <v>67</v>
      </c>
      <c r="AB22" s="416">
        <v>201</v>
      </c>
      <c r="AC22" s="416">
        <v>145</v>
      </c>
      <c r="AD22" s="416">
        <v>123</v>
      </c>
      <c r="AE22" s="416">
        <v>138</v>
      </c>
      <c r="AF22" s="416">
        <v>95</v>
      </c>
      <c r="AG22" s="416">
        <v>62</v>
      </c>
      <c r="AH22" s="416">
        <v>76</v>
      </c>
      <c r="AI22" s="416">
        <v>53</v>
      </c>
      <c r="AJ22" s="418">
        <v>89</v>
      </c>
      <c r="AK22" s="416">
        <v>24</v>
      </c>
      <c r="AL22" s="416">
        <v>52</v>
      </c>
      <c r="AM22" s="416">
        <v>17</v>
      </c>
      <c r="AN22" s="416">
        <v>57</v>
      </c>
      <c r="AO22" s="416">
        <v>22</v>
      </c>
      <c r="AP22" s="416">
        <v>47</v>
      </c>
      <c r="AQ22" s="416">
        <v>16</v>
      </c>
      <c r="AR22" s="416">
        <v>9</v>
      </c>
      <c r="AS22" s="416">
        <v>25</v>
      </c>
      <c r="AT22" s="416">
        <v>57</v>
      </c>
      <c r="AU22" s="416">
        <v>119</v>
      </c>
      <c r="AV22" s="416">
        <v>43</v>
      </c>
      <c r="AW22" s="416">
        <v>109</v>
      </c>
      <c r="AX22" s="416">
        <v>46</v>
      </c>
      <c r="AY22" s="416">
        <v>41</v>
      </c>
      <c r="AZ22" s="417">
        <v>56</v>
      </c>
      <c r="BA22" s="416">
        <f t="shared" ref="BA22:BH24" si="19">B22+S22+AJ22</f>
        <v>242</v>
      </c>
      <c r="BB22" s="416">
        <f t="shared" si="19"/>
        <v>164</v>
      </c>
      <c r="BC22" s="416">
        <f t="shared" si="19"/>
        <v>206</v>
      </c>
      <c r="BD22" s="416">
        <f t="shared" si="19"/>
        <v>200</v>
      </c>
      <c r="BE22" s="416">
        <f t="shared" si="19"/>
        <v>223</v>
      </c>
      <c r="BF22" s="416">
        <f t="shared" si="19"/>
        <v>57</v>
      </c>
      <c r="BG22" s="416">
        <f t="shared" si="19"/>
        <v>129</v>
      </c>
      <c r="BH22" s="416">
        <f t="shared" si="19"/>
        <v>187</v>
      </c>
      <c r="BI22" s="416">
        <f t="shared" ref="BI22:BI39" si="20">SUM(J22,AA22,AR22)</f>
        <v>87</v>
      </c>
      <c r="BJ22" s="416">
        <f t="shared" ref="BJ22:BJ35" si="21">K22+AB22+AS22</f>
        <v>228</v>
      </c>
      <c r="BK22" s="416">
        <f t="shared" ref="BK22:BK35" si="22">L22+AC22+AT22</f>
        <v>203</v>
      </c>
      <c r="BL22" s="416">
        <f t="shared" ref="BL22:BL35" si="23">M22+AD22+AU22</f>
        <v>242</v>
      </c>
      <c r="BM22" s="416">
        <f t="shared" ref="BM22:BM35" si="24">N22+AE22+AV22</f>
        <v>181</v>
      </c>
      <c r="BN22" s="416">
        <f t="shared" ref="BN22:BN35" si="25">O22+AF22+AW22</f>
        <v>204</v>
      </c>
      <c r="BO22" s="416">
        <f t="shared" ref="BO22:BP28" si="26">P22+AG22+AX22</f>
        <v>112</v>
      </c>
      <c r="BP22" s="416">
        <f t="shared" si="26"/>
        <v>119</v>
      </c>
      <c r="BQ22" s="417">
        <f t="shared" si="15"/>
        <v>109</v>
      </c>
      <c r="BR22" s="944">
        <f t="shared" si="2"/>
        <v>-8.4033613445378186E-2</v>
      </c>
      <c r="BS22" s="304" t="s">
        <v>40</v>
      </c>
    </row>
    <row r="23" spans="1:71" ht="12.75" customHeight="1">
      <c r="A23" s="10" t="s">
        <v>41</v>
      </c>
      <c r="B23" s="426">
        <v>219</v>
      </c>
      <c r="C23" s="345">
        <v>334</v>
      </c>
      <c r="D23" s="399">
        <v>189</v>
      </c>
      <c r="E23" s="399">
        <v>61</v>
      </c>
      <c r="F23" s="399">
        <v>95</v>
      </c>
      <c r="G23" s="399">
        <v>21</v>
      </c>
      <c r="H23" s="399">
        <v>4</v>
      </c>
      <c r="I23" s="399">
        <v>5</v>
      </c>
      <c r="J23" s="399"/>
      <c r="K23" s="399">
        <v>3</v>
      </c>
      <c r="L23" s="399">
        <v>3</v>
      </c>
      <c r="M23" s="399">
        <v>0</v>
      </c>
      <c r="N23" s="399">
        <v>0</v>
      </c>
      <c r="O23" s="399">
        <v>0</v>
      </c>
      <c r="P23" s="399">
        <v>0</v>
      </c>
      <c r="Q23" s="399">
        <v>0</v>
      </c>
      <c r="R23" s="399">
        <v>0</v>
      </c>
      <c r="S23" s="401">
        <v>53</v>
      </c>
      <c r="T23" s="399">
        <v>18</v>
      </c>
      <c r="U23" s="399">
        <v>30</v>
      </c>
      <c r="V23" s="399">
        <v>141</v>
      </c>
      <c r="W23" s="399">
        <v>95</v>
      </c>
      <c r="X23" s="399">
        <v>91</v>
      </c>
      <c r="Y23" s="399">
        <v>86</v>
      </c>
      <c r="Z23" s="399">
        <v>86</v>
      </c>
      <c r="AA23" s="399">
        <v>106</v>
      </c>
      <c r="AB23" s="399">
        <v>125</v>
      </c>
      <c r="AC23" s="399">
        <v>163</v>
      </c>
      <c r="AD23" s="399">
        <v>166</v>
      </c>
      <c r="AE23" s="399">
        <v>213</v>
      </c>
      <c r="AF23" s="399">
        <v>299</v>
      </c>
      <c r="AG23" s="399">
        <v>346</v>
      </c>
      <c r="AH23" s="399">
        <v>229</v>
      </c>
      <c r="AI23" s="399">
        <v>152</v>
      </c>
      <c r="AJ23" s="401">
        <v>67</v>
      </c>
      <c r="AK23" s="399">
        <v>80</v>
      </c>
      <c r="AL23" s="399">
        <v>60</v>
      </c>
      <c r="AM23" s="399">
        <v>25</v>
      </c>
      <c r="AN23" s="399">
        <v>4</v>
      </c>
      <c r="AO23" s="399">
        <v>1</v>
      </c>
      <c r="AP23" s="399">
        <v>4</v>
      </c>
      <c r="AQ23" s="399">
        <v>18</v>
      </c>
      <c r="AR23" s="399">
        <v>39</v>
      </c>
      <c r="AS23" s="399">
        <v>51</v>
      </c>
      <c r="AT23" s="399">
        <v>125</v>
      </c>
      <c r="AU23" s="399">
        <v>29</v>
      </c>
      <c r="AV23" s="399">
        <v>50</v>
      </c>
      <c r="AW23" s="399">
        <v>93</v>
      </c>
      <c r="AX23" s="399">
        <v>350</v>
      </c>
      <c r="AY23" s="399">
        <v>286</v>
      </c>
      <c r="AZ23" s="406">
        <v>163</v>
      </c>
      <c r="BA23" s="399">
        <f t="shared" si="19"/>
        <v>339</v>
      </c>
      <c r="BB23" s="399">
        <f t="shared" si="19"/>
        <v>432</v>
      </c>
      <c r="BC23" s="399">
        <f t="shared" si="19"/>
        <v>279</v>
      </c>
      <c r="BD23" s="399">
        <f t="shared" si="19"/>
        <v>227</v>
      </c>
      <c r="BE23" s="399">
        <f t="shared" si="19"/>
        <v>194</v>
      </c>
      <c r="BF23" s="399">
        <f t="shared" si="19"/>
        <v>113</v>
      </c>
      <c r="BG23" s="399">
        <f t="shared" si="19"/>
        <v>94</v>
      </c>
      <c r="BH23" s="399">
        <f t="shared" si="19"/>
        <v>109</v>
      </c>
      <c r="BI23" s="399">
        <f t="shared" si="20"/>
        <v>145</v>
      </c>
      <c r="BJ23" s="399">
        <f t="shared" si="21"/>
        <v>179</v>
      </c>
      <c r="BK23" s="399">
        <f t="shared" si="22"/>
        <v>291</v>
      </c>
      <c r="BL23" s="399">
        <f t="shared" si="23"/>
        <v>195</v>
      </c>
      <c r="BM23" s="399">
        <f t="shared" si="24"/>
        <v>263</v>
      </c>
      <c r="BN23" s="399">
        <f t="shared" si="25"/>
        <v>392</v>
      </c>
      <c r="BO23" s="399">
        <f t="shared" si="26"/>
        <v>696</v>
      </c>
      <c r="BP23" s="399">
        <f t="shared" si="26"/>
        <v>515</v>
      </c>
      <c r="BQ23" s="406">
        <f t="shared" si="15"/>
        <v>315</v>
      </c>
      <c r="BR23" s="921">
        <f t="shared" si="2"/>
        <v>-0.38834951456310685</v>
      </c>
      <c r="BS23" s="64" t="s">
        <v>41</v>
      </c>
    </row>
    <row r="24" spans="1:71" ht="18" customHeight="1">
      <c r="A24" s="154" t="s">
        <v>58</v>
      </c>
      <c r="B24" s="429"/>
      <c r="C24" s="346"/>
      <c r="D24" s="416"/>
      <c r="E24" s="416"/>
      <c r="F24" s="416"/>
      <c r="G24" s="416"/>
      <c r="H24" s="416"/>
      <c r="I24" s="416"/>
      <c r="J24" s="416"/>
      <c r="K24" s="416"/>
      <c r="L24" s="416">
        <v>0</v>
      </c>
      <c r="M24" s="416">
        <v>0</v>
      </c>
      <c r="N24" s="416">
        <v>0</v>
      </c>
      <c r="O24" s="416">
        <v>0</v>
      </c>
      <c r="P24" s="416">
        <v>4</v>
      </c>
      <c r="Q24" s="402">
        <v>0</v>
      </c>
      <c r="R24" s="402">
        <v>0</v>
      </c>
      <c r="S24" s="418">
        <v>16</v>
      </c>
      <c r="T24" s="416">
        <v>22</v>
      </c>
      <c r="U24" s="416">
        <v>14</v>
      </c>
      <c r="V24" s="416">
        <v>20</v>
      </c>
      <c r="W24" s="416">
        <v>19</v>
      </c>
      <c r="X24" s="416">
        <v>34</v>
      </c>
      <c r="Y24" s="416">
        <v>15</v>
      </c>
      <c r="Z24" s="416">
        <v>26</v>
      </c>
      <c r="AA24" s="416">
        <v>10</v>
      </c>
      <c r="AB24" s="416">
        <v>30</v>
      </c>
      <c r="AC24" s="416">
        <v>13</v>
      </c>
      <c r="AD24" s="416">
        <v>17</v>
      </c>
      <c r="AE24" s="416">
        <v>25</v>
      </c>
      <c r="AF24" s="416">
        <v>27</v>
      </c>
      <c r="AG24" s="416">
        <v>22</v>
      </c>
      <c r="AH24" s="416">
        <v>32</v>
      </c>
      <c r="AI24" s="416">
        <v>17</v>
      </c>
      <c r="AJ24" s="418">
        <v>110</v>
      </c>
      <c r="AK24" s="416">
        <v>136</v>
      </c>
      <c r="AL24" s="416">
        <v>154</v>
      </c>
      <c r="AM24" s="416">
        <v>156</v>
      </c>
      <c r="AN24" s="416">
        <v>206</v>
      </c>
      <c r="AO24" s="416">
        <v>175</v>
      </c>
      <c r="AP24" s="416">
        <v>159</v>
      </c>
      <c r="AQ24" s="416">
        <v>162</v>
      </c>
      <c r="AR24" s="416">
        <v>149</v>
      </c>
      <c r="AS24" s="416">
        <v>141</v>
      </c>
      <c r="AT24" s="416">
        <v>146</v>
      </c>
      <c r="AU24" s="416">
        <v>234</v>
      </c>
      <c r="AV24" s="416">
        <v>180</v>
      </c>
      <c r="AW24" s="416">
        <v>212</v>
      </c>
      <c r="AX24" s="416">
        <v>199</v>
      </c>
      <c r="AY24" s="416">
        <v>240</v>
      </c>
      <c r="AZ24" s="417">
        <v>180</v>
      </c>
      <c r="BA24" s="416">
        <f t="shared" si="19"/>
        <v>126</v>
      </c>
      <c r="BB24" s="416">
        <f t="shared" si="19"/>
        <v>158</v>
      </c>
      <c r="BC24" s="416">
        <f t="shared" si="19"/>
        <v>168</v>
      </c>
      <c r="BD24" s="416">
        <f t="shared" si="19"/>
        <v>176</v>
      </c>
      <c r="BE24" s="416">
        <f t="shared" si="19"/>
        <v>225</v>
      </c>
      <c r="BF24" s="416">
        <f t="shared" si="19"/>
        <v>209</v>
      </c>
      <c r="BG24" s="416">
        <f t="shared" si="19"/>
        <v>174</v>
      </c>
      <c r="BH24" s="416">
        <f t="shared" si="19"/>
        <v>188</v>
      </c>
      <c r="BI24" s="416">
        <f t="shared" si="20"/>
        <v>159</v>
      </c>
      <c r="BJ24" s="416">
        <f t="shared" si="21"/>
        <v>171</v>
      </c>
      <c r="BK24" s="416">
        <f t="shared" si="22"/>
        <v>159</v>
      </c>
      <c r="BL24" s="416">
        <f t="shared" si="23"/>
        <v>251</v>
      </c>
      <c r="BM24" s="416">
        <f t="shared" si="24"/>
        <v>205</v>
      </c>
      <c r="BN24" s="416">
        <f t="shared" si="25"/>
        <v>239</v>
      </c>
      <c r="BO24" s="416">
        <f t="shared" si="26"/>
        <v>225</v>
      </c>
      <c r="BP24" s="416">
        <f t="shared" si="26"/>
        <v>272</v>
      </c>
      <c r="BQ24" s="417">
        <f t="shared" si="15"/>
        <v>197</v>
      </c>
      <c r="BR24" s="944">
        <f t="shared" si="2"/>
        <v>-0.27573529411764708</v>
      </c>
      <c r="BS24" s="304" t="s">
        <v>58</v>
      </c>
    </row>
    <row r="25" spans="1:71" ht="12.75" customHeight="1">
      <c r="A25" s="10" t="s">
        <v>39</v>
      </c>
      <c r="B25" s="426"/>
      <c r="C25" s="345"/>
      <c r="D25" s="399"/>
      <c r="E25" s="399"/>
      <c r="F25" s="399"/>
      <c r="G25" s="399"/>
      <c r="H25" s="399">
        <v>8</v>
      </c>
      <c r="I25" s="399">
        <v>3</v>
      </c>
      <c r="J25" s="399">
        <v>2</v>
      </c>
      <c r="K25" s="399">
        <v>7</v>
      </c>
      <c r="L25" s="399">
        <v>12</v>
      </c>
      <c r="M25" s="399">
        <v>7</v>
      </c>
      <c r="N25" s="399">
        <v>4</v>
      </c>
      <c r="O25" s="399">
        <v>1</v>
      </c>
      <c r="P25" s="399">
        <v>1</v>
      </c>
      <c r="Q25" s="399">
        <v>3</v>
      </c>
      <c r="R25" s="399">
        <v>0</v>
      </c>
      <c r="S25" s="401"/>
      <c r="T25" s="399"/>
      <c r="U25" s="399"/>
      <c r="V25" s="399"/>
      <c r="W25" s="399"/>
      <c r="X25" s="399"/>
      <c r="Y25" s="399">
        <v>105</v>
      </c>
      <c r="Z25" s="399">
        <v>52</v>
      </c>
      <c r="AA25" s="399">
        <v>29</v>
      </c>
      <c r="AB25" s="399">
        <v>33</v>
      </c>
      <c r="AC25" s="399">
        <v>49</v>
      </c>
      <c r="AD25" s="399">
        <v>138</v>
      </c>
      <c r="AE25" s="399">
        <v>117</v>
      </c>
      <c r="AF25" s="399">
        <v>159</v>
      </c>
      <c r="AG25" s="399">
        <v>228</v>
      </c>
      <c r="AH25" s="399">
        <v>95</v>
      </c>
      <c r="AI25" s="399">
        <v>188</v>
      </c>
      <c r="AJ25" s="401"/>
      <c r="AK25" s="399"/>
      <c r="AL25" s="399"/>
      <c r="AM25" s="399"/>
      <c r="AN25" s="399"/>
      <c r="AO25" s="399"/>
      <c r="AP25" s="399">
        <v>167</v>
      </c>
      <c r="AQ25" s="399">
        <v>97</v>
      </c>
      <c r="AR25" s="399">
        <v>19</v>
      </c>
      <c r="AS25" s="399">
        <v>392</v>
      </c>
      <c r="AT25" s="399">
        <v>406</v>
      </c>
      <c r="AU25" s="399">
        <v>401</v>
      </c>
      <c r="AV25" s="399">
        <v>290</v>
      </c>
      <c r="AW25" s="399">
        <v>483</v>
      </c>
      <c r="AX25" s="399">
        <v>434</v>
      </c>
      <c r="AY25" s="399">
        <v>611</v>
      </c>
      <c r="AZ25" s="406">
        <v>444</v>
      </c>
      <c r="BA25" s="399"/>
      <c r="BB25" s="399">
        <v>600</v>
      </c>
      <c r="BC25" s="399">
        <v>814</v>
      </c>
      <c r="BD25" s="399">
        <v>734</v>
      </c>
      <c r="BE25" s="399">
        <f t="shared" ref="BE25:BE39" si="27">F25+W25+AN25</f>
        <v>0</v>
      </c>
      <c r="BF25" s="399">
        <f t="shared" ref="BF25:BF39" si="28">G25+X25+AO25</f>
        <v>0</v>
      </c>
      <c r="BG25" s="399">
        <f t="shared" ref="BG25:BG39" si="29">H25+Y25+AP25</f>
        <v>280</v>
      </c>
      <c r="BH25" s="399">
        <f t="shared" ref="BH25:BH39" si="30">I25+Z25+AQ25</f>
        <v>152</v>
      </c>
      <c r="BI25" s="399">
        <f t="shared" si="20"/>
        <v>50</v>
      </c>
      <c r="BJ25" s="399">
        <f t="shared" si="21"/>
        <v>432</v>
      </c>
      <c r="BK25" s="399">
        <f t="shared" si="22"/>
        <v>467</v>
      </c>
      <c r="BL25" s="399">
        <f t="shared" si="23"/>
        <v>546</v>
      </c>
      <c r="BM25" s="399">
        <f t="shared" si="24"/>
        <v>411</v>
      </c>
      <c r="BN25" s="399">
        <f t="shared" si="25"/>
        <v>643</v>
      </c>
      <c r="BO25" s="399">
        <f t="shared" si="26"/>
        <v>663</v>
      </c>
      <c r="BP25" s="399">
        <f t="shared" si="26"/>
        <v>709</v>
      </c>
      <c r="BQ25" s="406">
        <f t="shared" si="15"/>
        <v>632</v>
      </c>
      <c r="BR25" s="921">
        <f t="shared" si="2"/>
        <v>-0.10860366713681247</v>
      </c>
      <c r="BS25" s="64" t="s">
        <v>39</v>
      </c>
    </row>
    <row r="26" spans="1:71" ht="12.75" customHeight="1">
      <c r="A26" s="154" t="s">
        <v>42</v>
      </c>
      <c r="B26" s="429">
        <v>21</v>
      </c>
      <c r="C26" s="346">
        <v>23</v>
      </c>
      <c r="D26" s="416">
        <v>10</v>
      </c>
      <c r="E26" s="416">
        <v>13</v>
      </c>
      <c r="F26" s="416">
        <v>21</v>
      </c>
      <c r="G26" s="416">
        <v>26</v>
      </c>
      <c r="H26" s="416">
        <v>15</v>
      </c>
      <c r="I26" s="416">
        <v>7</v>
      </c>
      <c r="J26" s="416">
        <v>10</v>
      </c>
      <c r="K26" s="416">
        <v>12</v>
      </c>
      <c r="L26" s="416">
        <v>8</v>
      </c>
      <c r="M26" s="416">
        <v>34</v>
      </c>
      <c r="N26" s="416">
        <v>32</v>
      </c>
      <c r="O26" s="416">
        <v>18</v>
      </c>
      <c r="P26" s="416">
        <v>21</v>
      </c>
      <c r="Q26" s="416">
        <v>33</v>
      </c>
      <c r="R26" s="416">
        <v>96</v>
      </c>
      <c r="S26" s="418">
        <v>0</v>
      </c>
      <c r="T26" s="416">
        <v>0</v>
      </c>
      <c r="U26" s="416">
        <v>0</v>
      </c>
      <c r="V26" s="416">
        <v>0</v>
      </c>
      <c r="W26" s="416">
        <v>0</v>
      </c>
      <c r="X26" s="416">
        <v>0</v>
      </c>
      <c r="Y26" s="416">
        <v>0</v>
      </c>
      <c r="Z26" s="416">
        <v>184</v>
      </c>
      <c r="AA26" s="416">
        <v>0</v>
      </c>
      <c r="AB26" s="416">
        <v>0</v>
      </c>
      <c r="AC26" s="416">
        <v>0</v>
      </c>
      <c r="AD26" s="416">
        <v>143</v>
      </c>
      <c r="AE26" s="416">
        <v>33</v>
      </c>
      <c r="AF26" s="416">
        <v>28</v>
      </c>
      <c r="AG26" s="416">
        <v>28</v>
      </c>
      <c r="AH26" s="416">
        <v>40</v>
      </c>
      <c r="AI26" s="416">
        <v>51</v>
      </c>
      <c r="AJ26" s="418">
        <v>0</v>
      </c>
      <c r="AK26" s="416">
        <v>0</v>
      </c>
      <c r="AL26" s="416">
        <v>0</v>
      </c>
      <c r="AM26" s="416">
        <v>0</v>
      </c>
      <c r="AN26" s="416">
        <v>1</v>
      </c>
      <c r="AO26" s="416">
        <v>4</v>
      </c>
      <c r="AP26" s="416">
        <v>8</v>
      </c>
      <c r="AQ26" s="416">
        <v>19</v>
      </c>
      <c r="AR26" s="416">
        <v>9</v>
      </c>
      <c r="AS26" s="416">
        <v>3</v>
      </c>
      <c r="AT26" s="416">
        <v>2</v>
      </c>
      <c r="AU26" s="416">
        <v>2</v>
      </c>
      <c r="AV26" s="416">
        <v>0</v>
      </c>
      <c r="AW26" s="416">
        <v>3</v>
      </c>
      <c r="AX26" s="416">
        <v>1</v>
      </c>
      <c r="AY26" s="416">
        <v>2</v>
      </c>
      <c r="AZ26" s="417">
        <v>2</v>
      </c>
      <c r="BA26" s="416">
        <f t="shared" ref="BA26:BD30" si="31">B26+S26+AJ26</f>
        <v>21</v>
      </c>
      <c r="BB26" s="416">
        <f t="shared" si="31"/>
        <v>23</v>
      </c>
      <c r="BC26" s="416">
        <f t="shared" si="31"/>
        <v>10</v>
      </c>
      <c r="BD26" s="416">
        <f t="shared" si="31"/>
        <v>13</v>
      </c>
      <c r="BE26" s="416">
        <f t="shared" si="27"/>
        <v>22</v>
      </c>
      <c r="BF26" s="416">
        <f t="shared" si="28"/>
        <v>30</v>
      </c>
      <c r="BG26" s="416">
        <f t="shared" si="29"/>
        <v>23</v>
      </c>
      <c r="BH26" s="416">
        <f t="shared" si="30"/>
        <v>210</v>
      </c>
      <c r="BI26" s="416">
        <f t="shared" si="20"/>
        <v>19</v>
      </c>
      <c r="BJ26" s="416">
        <f t="shared" si="21"/>
        <v>15</v>
      </c>
      <c r="BK26" s="416">
        <f t="shared" si="22"/>
        <v>10</v>
      </c>
      <c r="BL26" s="416">
        <f t="shared" si="23"/>
        <v>179</v>
      </c>
      <c r="BM26" s="416">
        <f t="shared" si="24"/>
        <v>65</v>
      </c>
      <c r="BN26" s="416">
        <f t="shared" si="25"/>
        <v>49</v>
      </c>
      <c r="BO26" s="416">
        <f t="shared" si="26"/>
        <v>50</v>
      </c>
      <c r="BP26" s="588">
        <f t="shared" si="26"/>
        <v>75</v>
      </c>
      <c r="BQ26" s="417">
        <f t="shared" si="15"/>
        <v>149</v>
      </c>
      <c r="BR26" s="944">
        <f t="shared" si="2"/>
        <v>0.98666666666666658</v>
      </c>
      <c r="BS26" s="304" t="s">
        <v>42</v>
      </c>
    </row>
    <row r="27" spans="1:71" ht="12.75" customHeight="1">
      <c r="A27" s="10" t="s">
        <v>50</v>
      </c>
      <c r="B27" s="426">
        <v>7</v>
      </c>
      <c r="C27" s="345">
        <v>1</v>
      </c>
      <c r="D27" s="399">
        <v>4</v>
      </c>
      <c r="E27" s="399"/>
      <c r="F27" s="399"/>
      <c r="G27" s="399"/>
      <c r="H27" s="399"/>
      <c r="I27" s="399"/>
      <c r="J27" s="399"/>
      <c r="K27" s="399"/>
      <c r="L27" s="399"/>
      <c r="M27" s="399"/>
      <c r="N27" s="399">
        <v>0</v>
      </c>
      <c r="O27" s="399">
        <v>0</v>
      </c>
      <c r="P27" s="399">
        <v>1</v>
      </c>
      <c r="Q27" s="399">
        <v>2</v>
      </c>
      <c r="R27" s="399">
        <v>0</v>
      </c>
      <c r="S27" s="401">
        <v>242</v>
      </c>
      <c r="T27" s="399">
        <v>531</v>
      </c>
      <c r="U27" s="399">
        <v>47</v>
      </c>
      <c r="V27" s="399">
        <v>459</v>
      </c>
      <c r="W27" s="399">
        <v>487</v>
      </c>
      <c r="X27" s="399">
        <v>110</v>
      </c>
      <c r="Y27" s="399">
        <v>260</v>
      </c>
      <c r="Z27" s="399">
        <v>3</v>
      </c>
      <c r="AA27" s="399">
        <v>79</v>
      </c>
      <c r="AB27" s="399">
        <v>48</v>
      </c>
      <c r="AC27" s="399">
        <v>131</v>
      </c>
      <c r="AD27" s="399">
        <v>53</v>
      </c>
      <c r="AE27" s="399">
        <v>221</v>
      </c>
      <c r="AF27" s="399">
        <v>128</v>
      </c>
      <c r="AG27" s="399">
        <v>112</v>
      </c>
      <c r="AH27" s="399">
        <v>98</v>
      </c>
      <c r="AI27" s="399">
        <v>45</v>
      </c>
      <c r="AJ27" s="401">
        <v>691</v>
      </c>
      <c r="AK27" s="399">
        <v>612</v>
      </c>
      <c r="AL27" s="399">
        <v>745</v>
      </c>
      <c r="AM27" s="399">
        <v>699</v>
      </c>
      <c r="AN27" s="399">
        <v>724</v>
      </c>
      <c r="AO27" s="399">
        <v>1052</v>
      </c>
      <c r="AP27" s="399">
        <v>312</v>
      </c>
      <c r="AQ27" s="399">
        <v>226</v>
      </c>
      <c r="AR27" s="399">
        <v>705</v>
      </c>
      <c r="AS27" s="399">
        <v>547</v>
      </c>
      <c r="AT27" s="399">
        <v>538</v>
      </c>
      <c r="AU27" s="399">
        <v>291</v>
      </c>
      <c r="AV27" s="399">
        <v>619</v>
      </c>
      <c r="AW27" s="399">
        <v>760</v>
      </c>
      <c r="AX27" s="399">
        <v>317</v>
      </c>
      <c r="AY27" s="399">
        <v>836</v>
      </c>
      <c r="AZ27" s="406">
        <v>600</v>
      </c>
      <c r="BA27" s="399">
        <f t="shared" si="31"/>
        <v>940</v>
      </c>
      <c r="BB27" s="399">
        <f t="shared" si="31"/>
        <v>1144</v>
      </c>
      <c r="BC27" s="399">
        <f t="shared" si="31"/>
        <v>796</v>
      </c>
      <c r="BD27" s="399">
        <f t="shared" si="31"/>
        <v>1158</v>
      </c>
      <c r="BE27" s="399">
        <f t="shared" si="27"/>
        <v>1211</v>
      </c>
      <c r="BF27" s="399">
        <f t="shared" si="28"/>
        <v>1162</v>
      </c>
      <c r="BG27" s="399">
        <f t="shared" si="29"/>
        <v>572</v>
      </c>
      <c r="BH27" s="399">
        <f t="shared" si="30"/>
        <v>229</v>
      </c>
      <c r="BI27" s="399">
        <f t="shared" si="20"/>
        <v>784</v>
      </c>
      <c r="BJ27" s="399">
        <f t="shared" si="21"/>
        <v>595</v>
      </c>
      <c r="BK27" s="399">
        <f t="shared" si="22"/>
        <v>669</v>
      </c>
      <c r="BL27" s="399">
        <f t="shared" si="23"/>
        <v>344</v>
      </c>
      <c r="BM27" s="399">
        <f t="shared" si="24"/>
        <v>840</v>
      </c>
      <c r="BN27" s="399">
        <f t="shared" si="25"/>
        <v>888</v>
      </c>
      <c r="BO27" s="399">
        <f t="shared" si="26"/>
        <v>430</v>
      </c>
      <c r="BP27" s="399">
        <f t="shared" si="26"/>
        <v>936</v>
      </c>
      <c r="BQ27" s="406">
        <f t="shared" si="15"/>
        <v>645</v>
      </c>
      <c r="BR27" s="921">
        <f t="shared" si="2"/>
        <v>-0.3108974358974359</v>
      </c>
      <c r="BS27" s="64" t="s">
        <v>50</v>
      </c>
    </row>
    <row r="28" spans="1:71" ht="12.75" customHeight="1">
      <c r="A28" s="154" t="s">
        <v>59</v>
      </c>
      <c r="B28" s="429">
        <v>19</v>
      </c>
      <c r="C28" s="346">
        <v>28</v>
      </c>
      <c r="D28" s="416">
        <v>22</v>
      </c>
      <c r="E28" s="416">
        <v>13</v>
      </c>
      <c r="F28" s="416">
        <v>12</v>
      </c>
      <c r="G28" s="416"/>
      <c r="H28" s="416">
        <v>10</v>
      </c>
      <c r="I28" s="416">
        <v>6</v>
      </c>
      <c r="J28" s="416">
        <v>4</v>
      </c>
      <c r="K28" s="416">
        <v>6</v>
      </c>
      <c r="L28" s="416">
        <v>2</v>
      </c>
      <c r="M28" s="416">
        <v>3</v>
      </c>
      <c r="N28" s="416">
        <v>2</v>
      </c>
      <c r="O28" s="416">
        <v>0</v>
      </c>
      <c r="P28" s="416">
        <v>1</v>
      </c>
      <c r="Q28" s="416">
        <v>4</v>
      </c>
      <c r="R28" s="416">
        <v>1</v>
      </c>
      <c r="S28" s="418">
        <v>145</v>
      </c>
      <c r="T28" s="416">
        <v>124</v>
      </c>
      <c r="U28" s="416">
        <v>91</v>
      </c>
      <c r="V28" s="416">
        <v>100</v>
      </c>
      <c r="W28" s="416">
        <v>155</v>
      </c>
      <c r="X28" s="416">
        <v>116</v>
      </c>
      <c r="Y28" s="416">
        <v>119</v>
      </c>
      <c r="Z28" s="416">
        <v>109</v>
      </c>
      <c r="AA28" s="416">
        <v>118</v>
      </c>
      <c r="AB28" s="416">
        <v>97</v>
      </c>
      <c r="AC28" s="416">
        <v>119</v>
      </c>
      <c r="AD28" s="416">
        <v>106</v>
      </c>
      <c r="AE28" s="416">
        <v>135</v>
      </c>
      <c r="AF28" s="416">
        <v>123</v>
      </c>
      <c r="AG28" s="416">
        <v>123</v>
      </c>
      <c r="AH28" s="416">
        <v>100</v>
      </c>
      <c r="AI28" s="416">
        <v>72</v>
      </c>
      <c r="AJ28" s="418">
        <v>765</v>
      </c>
      <c r="AK28" s="416">
        <v>506</v>
      </c>
      <c r="AL28" s="416">
        <v>714</v>
      </c>
      <c r="AM28" s="416">
        <v>657</v>
      </c>
      <c r="AN28" s="416">
        <v>783</v>
      </c>
      <c r="AO28" s="416">
        <v>528</v>
      </c>
      <c r="AP28" s="416">
        <v>580</v>
      </c>
      <c r="AQ28" s="416">
        <v>487</v>
      </c>
      <c r="AR28" s="416">
        <v>610</v>
      </c>
      <c r="AS28" s="416">
        <v>610</v>
      </c>
      <c r="AT28" s="416">
        <v>779</v>
      </c>
      <c r="AU28" s="416">
        <v>790</v>
      </c>
      <c r="AV28" s="416">
        <v>906</v>
      </c>
      <c r="AW28" s="416">
        <v>1121</v>
      </c>
      <c r="AX28" s="416">
        <v>937</v>
      </c>
      <c r="AY28" s="416">
        <v>1014</v>
      </c>
      <c r="AZ28" s="417">
        <v>775</v>
      </c>
      <c r="BA28" s="416">
        <f t="shared" si="31"/>
        <v>929</v>
      </c>
      <c r="BB28" s="416">
        <f t="shared" si="31"/>
        <v>658</v>
      </c>
      <c r="BC28" s="416">
        <f t="shared" si="31"/>
        <v>827</v>
      </c>
      <c r="BD28" s="416">
        <f t="shared" si="31"/>
        <v>770</v>
      </c>
      <c r="BE28" s="416">
        <f t="shared" si="27"/>
        <v>950</v>
      </c>
      <c r="BF28" s="416">
        <f t="shared" si="28"/>
        <v>644</v>
      </c>
      <c r="BG28" s="416">
        <f t="shared" si="29"/>
        <v>709</v>
      </c>
      <c r="BH28" s="416">
        <f t="shared" si="30"/>
        <v>602</v>
      </c>
      <c r="BI28" s="416">
        <f t="shared" si="20"/>
        <v>732</v>
      </c>
      <c r="BJ28" s="416">
        <f t="shared" si="21"/>
        <v>713</v>
      </c>
      <c r="BK28" s="416">
        <f t="shared" si="22"/>
        <v>900</v>
      </c>
      <c r="BL28" s="416">
        <f t="shared" si="23"/>
        <v>899</v>
      </c>
      <c r="BM28" s="416">
        <f t="shared" si="24"/>
        <v>1043</v>
      </c>
      <c r="BN28" s="416">
        <f t="shared" si="25"/>
        <v>1244</v>
      </c>
      <c r="BO28" s="416">
        <f t="shared" si="26"/>
        <v>1061</v>
      </c>
      <c r="BP28" s="416">
        <f t="shared" si="26"/>
        <v>1118</v>
      </c>
      <c r="BQ28" s="417">
        <f t="shared" si="15"/>
        <v>848</v>
      </c>
      <c r="BR28" s="944">
        <f t="shared" si="2"/>
        <v>-0.24150268336314851</v>
      </c>
      <c r="BS28" s="304" t="s">
        <v>59</v>
      </c>
    </row>
    <row r="29" spans="1:71" ht="12.75" customHeight="1">
      <c r="A29" s="10" t="s">
        <v>43</v>
      </c>
      <c r="B29" s="426">
        <v>1841</v>
      </c>
      <c r="C29" s="345">
        <v>1505</v>
      </c>
      <c r="D29" s="399">
        <v>1501</v>
      </c>
      <c r="E29" s="399">
        <v>2352</v>
      </c>
      <c r="F29" s="399">
        <v>2891</v>
      </c>
      <c r="G29" s="399">
        <v>1817</v>
      </c>
      <c r="H29" s="399">
        <v>1877</v>
      </c>
      <c r="I29" s="399">
        <v>1555</v>
      </c>
      <c r="J29" s="399">
        <v>1713</v>
      </c>
      <c r="K29" s="399">
        <v>2633</v>
      </c>
      <c r="L29" s="399">
        <v>3071</v>
      </c>
      <c r="M29" s="399">
        <v>4298</v>
      </c>
      <c r="N29" s="408">
        <v>4203</v>
      </c>
      <c r="O29" s="399">
        <v>4237</v>
      </c>
      <c r="P29" s="399">
        <v>4847</v>
      </c>
      <c r="Q29" s="399">
        <v>3598</v>
      </c>
      <c r="R29" s="399">
        <v>1599</v>
      </c>
      <c r="S29" s="401"/>
      <c r="T29" s="399"/>
      <c r="U29" s="399"/>
      <c r="V29" s="399">
        <v>0</v>
      </c>
      <c r="W29" s="399">
        <v>0</v>
      </c>
      <c r="X29" s="399">
        <v>2</v>
      </c>
      <c r="Y29" s="399">
        <v>21</v>
      </c>
      <c r="Z29" s="399">
        <v>0</v>
      </c>
      <c r="AA29" s="399">
        <v>352</v>
      </c>
      <c r="AB29" s="399">
        <v>435</v>
      </c>
      <c r="AC29" s="399">
        <v>546</v>
      </c>
      <c r="AD29" s="399">
        <v>1398</v>
      </c>
      <c r="AE29" s="411" t="s">
        <v>70</v>
      </c>
      <c r="AF29" s="411" t="s">
        <v>70</v>
      </c>
      <c r="AG29" s="411" t="s">
        <v>70</v>
      </c>
      <c r="AH29" s="411" t="s">
        <v>70</v>
      </c>
      <c r="AI29" s="411" t="s">
        <v>70</v>
      </c>
      <c r="AJ29" s="411" t="s">
        <v>70</v>
      </c>
      <c r="AK29" s="411" t="s">
        <v>70</v>
      </c>
      <c r="AL29" s="411" t="s">
        <v>70</v>
      </c>
      <c r="AM29" s="411" t="s">
        <v>70</v>
      </c>
      <c r="AN29" s="411" t="s">
        <v>70</v>
      </c>
      <c r="AO29" s="411" t="s">
        <v>70</v>
      </c>
      <c r="AP29" s="411" t="s">
        <v>70</v>
      </c>
      <c r="AQ29" s="411" t="s">
        <v>70</v>
      </c>
      <c r="AR29" s="411" t="s">
        <v>70</v>
      </c>
      <c r="AS29" s="411" t="s">
        <v>70</v>
      </c>
      <c r="AT29" s="411" t="s">
        <v>70</v>
      </c>
      <c r="AU29" s="411" t="s">
        <v>70</v>
      </c>
      <c r="AV29" s="411" t="s">
        <v>70</v>
      </c>
      <c r="AW29" s="411" t="s">
        <v>70</v>
      </c>
      <c r="AX29" s="411" t="s">
        <v>70</v>
      </c>
      <c r="AY29" s="411" t="s">
        <v>70</v>
      </c>
      <c r="AZ29" s="411" t="s">
        <v>70</v>
      </c>
      <c r="BA29" s="399">
        <f t="shared" si="31"/>
        <v>1840</v>
      </c>
      <c r="BB29" s="399">
        <f t="shared" si="31"/>
        <v>1504</v>
      </c>
      <c r="BC29" s="399">
        <f t="shared" si="31"/>
        <v>1500</v>
      </c>
      <c r="BD29" s="399">
        <f t="shared" si="31"/>
        <v>2351</v>
      </c>
      <c r="BE29" s="399">
        <f t="shared" si="27"/>
        <v>2890</v>
      </c>
      <c r="BF29" s="399">
        <f t="shared" si="28"/>
        <v>1818</v>
      </c>
      <c r="BG29" s="399">
        <f t="shared" si="29"/>
        <v>1897</v>
      </c>
      <c r="BH29" s="399">
        <f t="shared" si="30"/>
        <v>1554</v>
      </c>
      <c r="BI29" s="399">
        <f t="shared" si="20"/>
        <v>2065</v>
      </c>
      <c r="BJ29" s="399">
        <f t="shared" si="21"/>
        <v>3067</v>
      </c>
      <c r="BK29" s="399">
        <f t="shared" si="22"/>
        <v>3616</v>
      </c>
      <c r="BL29" s="399">
        <f t="shared" si="23"/>
        <v>5695</v>
      </c>
      <c r="BM29" s="408">
        <f>N29</f>
        <v>4203</v>
      </c>
      <c r="BN29" s="399">
        <f>O29</f>
        <v>4237</v>
      </c>
      <c r="BO29" s="399">
        <f>P29</f>
        <v>4847</v>
      </c>
      <c r="BP29" s="399">
        <f>Q29</f>
        <v>3598</v>
      </c>
      <c r="BQ29" s="406">
        <f>R29</f>
        <v>1599</v>
      </c>
      <c r="BR29" s="921">
        <f t="shared" si="2"/>
        <v>-0.55558643690939413</v>
      </c>
      <c r="BS29" s="64" t="s">
        <v>43</v>
      </c>
    </row>
    <row r="30" spans="1:71" ht="12.75" customHeight="1">
      <c r="A30" s="154" t="s">
        <v>60</v>
      </c>
      <c r="B30" s="429">
        <v>393</v>
      </c>
      <c r="C30" s="346">
        <v>298</v>
      </c>
      <c r="D30" s="416">
        <v>140</v>
      </c>
      <c r="E30" s="416"/>
      <c r="F30" s="416"/>
      <c r="G30" s="416"/>
      <c r="H30" s="416"/>
      <c r="I30" s="416"/>
      <c r="J30" s="416"/>
      <c r="K30" s="416">
        <v>2</v>
      </c>
      <c r="L30" s="416">
        <v>5</v>
      </c>
      <c r="M30" s="416">
        <v>5</v>
      </c>
      <c r="N30" s="416">
        <v>0</v>
      </c>
      <c r="O30" s="416">
        <v>0</v>
      </c>
      <c r="P30" s="416">
        <v>35</v>
      </c>
      <c r="Q30" s="416">
        <v>0</v>
      </c>
      <c r="R30" s="416">
        <v>0</v>
      </c>
      <c r="S30" s="418">
        <v>331</v>
      </c>
      <c r="T30" s="416">
        <v>323</v>
      </c>
      <c r="U30" s="416">
        <v>312</v>
      </c>
      <c r="V30" s="416">
        <v>407</v>
      </c>
      <c r="W30" s="416">
        <v>438</v>
      </c>
      <c r="X30" s="416">
        <v>311</v>
      </c>
      <c r="Y30" s="416">
        <v>238</v>
      </c>
      <c r="Z30" s="416">
        <v>151</v>
      </c>
      <c r="AA30" s="416">
        <v>94</v>
      </c>
      <c r="AB30" s="416">
        <v>51</v>
      </c>
      <c r="AC30" s="416">
        <v>97</v>
      </c>
      <c r="AD30" s="416">
        <v>101</v>
      </c>
      <c r="AE30" s="416">
        <v>139</v>
      </c>
      <c r="AF30" s="416">
        <v>132</v>
      </c>
      <c r="AG30" s="416">
        <v>180</v>
      </c>
      <c r="AH30" s="416">
        <v>215</v>
      </c>
      <c r="AI30" s="416">
        <v>183</v>
      </c>
      <c r="AJ30" s="418">
        <v>310</v>
      </c>
      <c r="AK30" s="416">
        <v>405</v>
      </c>
      <c r="AL30" s="416">
        <v>267</v>
      </c>
      <c r="AM30" s="416">
        <v>320</v>
      </c>
      <c r="AN30" s="416">
        <v>358</v>
      </c>
      <c r="AO30" s="416">
        <v>318</v>
      </c>
      <c r="AP30" s="416">
        <v>254</v>
      </c>
      <c r="AQ30" s="416">
        <v>187</v>
      </c>
      <c r="AR30" s="416">
        <v>133</v>
      </c>
      <c r="AS30" s="416">
        <v>119</v>
      </c>
      <c r="AT30" s="416">
        <v>135</v>
      </c>
      <c r="AU30" s="416">
        <v>146</v>
      </c>
      <c r="AV30" s="416">
        <v>211</v>
      </c>
      <c r="AW30" s="416">
        <v>222</v>
      </c>
      <c r="AX30" s="416">
        <v>320</v>
      </c>
      <c r="AY30" s="416">
        <v>303</v>
      </c>
      <c r="AZ30" s="417">
        <v>286</v>
      </c>
      <c r="BA30" s="416">
        <f t="shared" si="31"/>
        <v>1034</v>
      </c>
      <c r="BB30" s="416">
        <f t="shared" si="31"/>
        <v>1026</v>
      </c>
      <c r="BC30" s="416">
        <f t="shared" si="31"/>
        <v>719</v>
      </c>
      <c r="BD30" s="416">
        <f t="shared" si="31"/>
        <v>727</v>
      </c>
      <c r="BE30" s="416">
        <f t="shared" si="27"/>
        <v>796</v>
      </c>
      <c r="BF30" s="416">
        <f t="shared" si="28"/>
        <v>629</v>
      </c>
      <c r="BG30" s="416">
        <f t="shared" si="29"/>
        <v>492</v>
      </c>
      <c r="BH30" s="416">
        <f t="shared" si="30"/>
        <v>338</v>
      </c>
      <c r="BI30" s="416">
        <f t="shared" si="20"/>
        <v>227</v>
      </c>
      <c r="BJ30" s="416">
        <f t="shared" si="21"/>
        <v>172</v>
      </c>
      <c r="BK30" s="416">
        <f t="shared" si="22"/>
        <v>237</v>
      </c>
      <c r="BL30" s="416">
        <f t="shared" si="23"/>
        <v>252</v>
      </c>
      <c r="BM30" s="416">
        <f t="shared" si="24"/>
        <v>350</v>
      </c>
      <c r="BN30" s="416">
        <f t="shared" si="25"/>
        <v>354</v>
      </c>
      <c r="BO30" s="416">
        <f t="shared" ref="BO30:BO35" si="32">P30+AG30+AX30</f>
        <v>535</v>
      </c>
      <c r="BP30" s="588">
        <f t="shared" ref="BP30:BP35" si="33">Q30+AH30+AY30</f>
        <v>518</v>
      </c>
      <c r="BQ30" s="417">
        <f t="shared" si="15"/>
        <v>469</v>
      </c>
      <c r="BR30" s="944">
        <f t="shared" si="2"/>
        <v>-9.4594594594594628E-2</v>
      </c>
      <c r="BS30" s="304" t="s">
        <v>60</v>
      </c>
    </row>
    <row r="31" spans="1:71" ht="12.75" customHeight="1">
      <c r="A31" s="10" t="s">
        <v>44</v>
      </c>
      <c r="B31" s="426"/>
      <c r="C31" s="345"/>
      <c r="D31" s="399">
        <v>1161</v>
      </c>
      <c r="E31" s="399">
        <v>1790</v>
      </c>
      <c r="F31" s="399">
        <v>2686</v>
      </c>
      <c r="G31" s="399">
        <v>877</v>
      </c>
      <c r="H31" s="399">
        <v>717</v>
      </c>
      <c r="I31" s="399">
        <v>688</v>
      </c>
      <c r="J31" s="399">
        <v>618</v>
      </c>
      <c r="K31" s="399">
        <v>634</v>
      </c>
      <c r="L31" s="399">
        <v>480</v>
      </c>
      <c r="M31" s="408">
        <v>43</v>
      </c>
      <c r="N31" s="399">
        <v>12</v>
      </c>
      <c r="O31" s="399">
        <v>1</v>
      </c>
      <c r="P31" s="399">
        <v>1</v>
      </c>
      <c r="Q31" s="399">
        <v>5</v>
      </c>
      <c r="R31" s="399">
        <v>5</v>
      </c>
      <c r="S31" s="401"/>
      <c r="T31" s="399"/>
      <c r="U31" s="399">
        <v>519</v>
      </c>
      <c r="V31" s="399">
        <v>674</v>
      </c>
      <c r="W31" s="399">
        <v>522</v>
      </c>
      <c r="X31" s="399">
        <v>8</v>
      </c>
      <c r="Y31" s="399">
        <v>8</v>
      </c>
      <c r="Z31" s="399">
        <v>46</v>
      </c>
      <c r="AA31" s="399">
        <v>109</v>
      </c>
      <c r="AB31" s="399">
        <v>474</v>
      </c>
      <c r="AC31" s="399">
        <v>630</v>
      </c>
      <c r="AD31" s="408">
        <v>2251</v>
      </c>
      <c r="AE31" s="399">
        <v>1007</v>
      </c>
      <c r="AF31" s="399">
        <v>887</v>
      </c>
      <c r="AG31" s="399">
        <v>926</v>
      </c>
      <c r="AH31" s="399">
        <v>1241</v>
      </c>
      <c r="AI31" s="399">
        <v>534</v>
      </c>
      <c r="AJ31" s="401"/>
      <c r="AK31" s="399"/>
      <c r="AL31" s="399">
        <v>828</v>
      </c>
      <c r="AM31" s="399">
        <v>525</v>
      </c>
      <c r="AN31" s="399">
        <v>968</v>
      </c>
      <c r="AO31" s="399">
        <v>204</v>
      </c>
      <c r="AP31" s="399">
        <v>97</v>
      </c>
      <c r="AQ31" s="399">
        <v>48</v>
      </c>
      <c r="AR31" s="399">
        <v>14</v>
      </c>
      <c r="AS31" s="399">
        <v>30</v>
      </c>
      <c r="AT31" s="399">
        <v>53</v>
      </c>
      <c r="AU31" s="399">
        <v>181</v>
      </c>
      <c r="AV31" s="399">
        <v>106</v>
      </c>
      <c r="AW31" s="399">
        <v>121</v>
      </c>
      <c r="AX31" s="399">
        <v>103</v>
      </c>
      <c r="AY31" s="399">
        <v>663</v>
      </c>
      <c r="AZ31" s="406">
        <v>283</v>
      </c>
      <c r="BA31" s="399"/>
      <c r="BB31" s="399"/>
      <c r="BC31" s="399">
        <f t="shared" ref="BC31:BC39" si="34">D31+U31+AL31</f>
        <v>2508</v>
      </c>
      <c r="BD31" s="399">
        <f t="shared" ref="BD31:BD39" si="35">E31+V31+AM31</f>
        <v>2989</v>
      </c>
      <c r="BE31" s="399">
        <f t="shared" si="27"/>
        <v>4176</v>
      </c>
      <c r="BF31" s="399">
        <f t="shared" si="28"/>
        <v>1089</v>
      </c>
      <c r="BG31" s="399">
        <f t="shared" si="29"/>
        <v>822</v>
      </c>
      <c r="BH31" s="399">
        <f t="shared" si="30"/>
        <v>782</v>
      </c>
      <c r="BI31" s="399">
        <f t="shared" si="20"/>
        <v>741</v>
      </c>
      <c r="BJ31" s="399">
        <f t="shared" si="21"/>
        <v>1138</v>
      </c>
      <c r="BK31" s="399">
        <f t="shared" si="22"/>
        <v>1163</v>
      </c>
      <c r="BL31" s="399">
        <f t="shared" si="23"/>
        <v>2475</v>
      </c>
      <c r="BM31" s="399">
        <f t="shared" si="24"/>
        <v>1125</v>
      </c>
      <c r="BN31" s="399">
        <f t="shared" si="25"/>
        <v>1009</v>
      </c>
      <c r="BO31" s="399">
        <f t="shared" si="32"/>
        <v>1030</v>
      </c>
      <c r="BP31" s="399">
        <f t="shared" si="33"/>
        <v>1909</v>
      </c>
      <c r="BQ31" s="406">
        <f t="shared" si="15"/>
        <v>822</v>
      </c>
      <c r="BR31" s="921">
        <f t="shared" si="2"/>
        <v>-0.56940806705081193</v>
      </c>
      <c r="BS31" s="64" t="s">
        <v>44</v>
      </c>
    </row>
    <row r="32" spans="1:71" ht="12.75" customHeight="1">
      <c r="A32" s="154" t="s">
        <v>46</v>
      </c>
      <c r="B32" s="429">
        <v>12</v>
      </c>
      <c r="C32" s="346">
        <v>16</v>
      </c>
      <c r="D32" s="416">
        <v>16</v>
      </c>
      <c r="E32" s="416">
        <v>9</v>
      </c>
      <c r="F32" s="416">
        <v>8</v>
      </c>
      <c r="G32" s="416">
        <v>9</v>
      </c>
      <c r="H32" s="416">
        <v>1</v>
      </c>
      <c r="I32" s="416">
        <v>0</v>
      </c>
      <c r="J32" s="416">
        <v>2</v>
      </c>
      <c r="K32" s="416">
        <v>0</v>
      </c>
      <c r="L32" s="416">
        <v>2</v>
      </c>
      <c r="M32" s="416">
        <v>2</v>
      </c>
      <c r="N32" s="416">
        <v>1</v>
      </c>
      <c r="O32" s="416">
        <v>0</v>
      </c>
      <c r="P32" s="416">
        <v>0</v>
      </c>
      <c r="Q32" s="416">
        <v>0</v>
      </c>
      <c r="R32" s="416">
        <v>0</v>
      </c>
      <c r="S32" s="418">
        <v>29</v>
      </c>
      <c r="T32" s="416">
        <v>21</v>
      </c>
      <c r="U32" s="416">
        <v>24</v>
      </c>
      <c r="V32" s="416">
        <v>41</v>
      </c>
      <c r="W32" s="416">
        <v>59</v>
      </c>
      <c r="X32" s="416">
        <v>51</v>
      </c>
      <c r="Y32" s="416">
        <v>46</v>
      </c>
      <c r="Z32" s="416">
        <v>45</v>
      </c>
      <c r="AA32" s="416">
        <v>59</v>
      </c>
      <c r="AB32" s="416">
        <v>46</v>
      </c>
      <c r="AC32" s="416">
        <v>65</v>
      </c>
      <c r="AD32" s="416">
        <v>75</v>
      </c>
      <c r="AE32" s="416">
        <v>61</v>
      </c>
      <c r="AF32" s="416">
        <v>48</v>
      </c>
      <c r="AG32" s="416">
        <v>56</v>
      </c>
      <c r="AH32" s="416">
        <v>53</v>
      </c>
      <c r="AI32" s="416">
        <v>26</v>
      </c>
      <c r="AJ32" s="418">
        <v>88</v>
      </c>
      <c r="AK32" s="416">
        <v>77</v>
      </c>
      <c r="AL32" s="416">
        <v>108</v>
      </c>
      <c r="AM32" s="416">
        <v>99</v>
      </c>
      <c r="AN32" s="416">
        <v>131</v>
      </c>
      <c r="AO32" s="416">
        <v>75</v>
      </c>
      <c r="AP32" s="416">
        <v>96</v>
      </c>
      <c r="AQ32" s="416">
        <v>78</v>
      </c>
      <c r="AR32" s="416">
        <v>33</v>
      </c>
      <c r="AS32" s="416">
        <v>108</v>
      </c>
      <c r="AT32" s="416">
        <v>103</v>
      </c>
      <c r="AU32" s="416">
        <v>88</v>
      </c>
      <c r="AV32" s="416">
        <v>127</v>
      </c>
      <c r="AW32" s="416">
        <v>130</v>
      </c>
      <c r="AX32" s="416">
        <v>131</v>
      </c>
      <c r="AY32" s="416">
        <v>149</v>
      </c>
      <c r="AZ32" s="417">
        <v>47</v>
      </c>
      <c r="BA32" s="416">
        <f t="shared" ref="BA32:BB39" si="36">B32+S32+AJ32</f>
        <v>129</v>
      </c>
      <c r="BB32" s="416">
        <f t="shared" si="36"/>
        <v>114</v>
      </c>
      <c r="BC32" s="416">
        <f t="shared" si="34"/>
        <v>148</v>
      </c>
      <c r="BD32" s="416">
        <f t="shared" si="35"/>
        <v>149</v>
      </c>
      <c r="BE32" s="416">
        <f t="shared" si="27"/>
        <v>198</v>
      </c>
      <c r="BF32" s="416">
        <f t="shared" si="28"/>
        <v>135</v>
      </c>
      <c r="BG32" s="416">
        <f t="shared" si="29"/>
        <v>143</v>
      </c>
      <c r="BH32" s="416">
        <f t="shared" si="30"/>
        <v>123</v>
      </c>
      <c r="BI32" s="416">
        <f t="shared" si="20"/>
        <v>94</v>
      </c>
      <c r="BJ32" s="416">
        <f t="shared" si="21"/>
        <v>154</v>
      </c>
      <c r="BK32" s="416">
        <f t="shared" si="22"/>
        <v>170</v>
      </c>
      <c r="BL32" s="416">
        <f t="shared" si="23"/>
        <v>165</v>
      </c>
      <c r="BM32" s="416">
        <f t="shared" si="24"/>
        <v>189</v>
      </c>
      <c r="BN32" s="416">
        <f t="shared" si="25"/>
        <v>178</v>
      </c>
      <c r="BO32" s="416">
        <f t="shared" si="32"/>
        <v>187</v>
      </c>
      <c r="BP32" s="588">
        <f t="shared" si="33"/>
        <v>202</v>
      </c>
      <c r="BQ32" s="416">
        <f t="shared" si="15"/>
        <v>73</v>
      </c>
      <c r="BR32" s="666">
        <f t="shared" si="2"/>
        <v>-0.63861386138613863</v>
      </c>
      <c r="BS32" s="304" t="s">
        <v>46</v>
      </c>
    </row>
    <row r="33" spans="1:71" ht="12.75" customHeight="1">
      <c r="A33" s="10" t="s">
        <v>45</v>
      </c>
      <c r="B33" s="426">
        <v>0</v>
      </c>
      <c r="C33" s="345">
        <v>2</v>
      </c>
      <c r="D33" s="399">
        <v>2</v>
      </c>
      <c r="E33" s="399"/>
      <c r="F33" s="399">
        <v>5</v>
      </c>
      <c r="G33" s="399">
        <v>7</v>
      </c>
      <c r="H33" s="399">
        <v>0</v>
      </c>
      <c r="I33" s="399">
        <v>0</v>
      </c>
      <c r="J33" s="399">
        <v>0</v>
      </c>
      <c r="K33" s="399">
        <v>0</v>
      </c>
      <c r="L33" s="399">
        <v>0</v>
      </c>
      <c r="M33" s="399">
        <v>0</v>
      </c>
      <c r="N33" s="399">
        <v>0</v>
      </c>
      <c r="O33" s="399">
        <v>0</v>
      </c>
      <c r="P33" s="399">
        <v>0</v>
      </c>
      <c r="Q33" s="399">
        <v>0</v>
      </c>
      <c r="R33" s="399">
        <v>0</v>
      </c>
      <c r="S33" s="401">
        <v>70</v>
      </c>
      <c r="T33" s="399">
        <v>133</v>
      </c>
      <c r="U33" s="399">
        <v>199</v>
      </c>
      <c r="V33" s="399">
        <v>145</v>
      </c>
      <c r="W33" s="399">
        <v>246</v>
      </c>
      <c r="X33" s="399">
        <v>225</v>
      </c>
      <c r="Y33" s="399">
        <v>105</v>
      </c>
      <c r="Z33" s="399">
        <v>69</v>
      </c>
      <c r="AA33" s="399">
        <v>99</v>
      </c>
      <c r="AB33" s="399">
        <v>82</v>
      </c>
      <c r="AC33" s="399">
        <v>89</v>
      </c>
      <c r="AD33" s="399">
        <v>16</v>
      </c>
      <c r="AE33" s="399">
        <v>58</v>
      </c>
      <c r="AF33" s="399">
        <v>30</v>
      </c>
      <c r="AG33" s="399">
        <v>45</v>
      </c>
      <c r="AH33" s="399">
        <v>50</v>
      </c>
      <c r="AI33" s="399">
        <v>20</v>
      </c>
      <c r="AJ33" s="401">
        <v>186</v>
      </c>
      <c r="AK33" s="399">
        <v>142</v>
      </c>
      <c r="AL33" s="399">
        <v>319</v>
      </c>
      <c r="AM33" s="399">
        <v>188</v>
      </c>
      <c r="AN33" s="399">
        <v>345</v>
      </c>
      <c r="AO33" s="399">
        <v>442</v>
      </c>
      <c r="AP33" s="399">
        <v>323</v>
      </c>
      <c r="AQ33" s="399">
        <v>235</v>
      </c>
      <c r="AR33" s="399">
        <v>180</v>
      </c>
      <c r="AS33" s="399">
        <v>184</v>
      </c>
      <c r="AT33" s="399">
        <v>358</v>
      </c>
      <c r="AU33" s="412">
        <v>173</v>
      </c>
      <c r="AV33" s="412">
        <v>282</v>
      </c>
      <c r="AW33" s="412">
        <v>388</v>
      </c>
      <c r="AX33" s="412">
        <v>257</v>
      </c>
      <c r="AY33" s="412">
        <v>315</v>
      </c>
      <c r="AZ33" s="413">
        <v>209</v>
      </c>
      <c r="BA33" s="399">
        <f t="shared" si="36"/>
        <v>256</v>
      </c>
      <c r="BB33" s="399">
        <f t="shared" si="36"/>
        <v>277</v>
      </c>
      <c r="BC33" s="399">
        <f t="shared" si="34"/>
        <v>520</v>
      </c>
      <c r="BD33" s="399">
        <f t="shared" si="35"/>
        <v>333</v>
      </c>
      <c r="BE33" s="399">
        <f t="shared" si="27"/>
        <v>596</v>
      </c>
      <c r="BF33" s="399">
        <f t="shared" si="28"/>
        <v>674</v>
      </c>
      <c r="BG33" s="399">
        <f t="shared" si="29"/>
        <v>428</v>
      </c>
      <c r="BH33" s="399">
        <f t="shared" si="30"/>
        <v>304</v>
      </c>
      <c r="BI33" s="399">
        <f t="shared" si="20"/>
        <v>279</v>
      </c>
      <c r="BJ33" s="399">
        <f t="shared" si="21"/>
        <v>266</v>
      </c>
      <c r="BK33" s="399">
        <f t="shared" si="22"/>
        <v>447</v>
      </c>
      <c r="BL33" s="399">
        <f t="shared" si="23"/>
        <v>189</v>
      </c>
      <c r="BM33" s="399">
        <f t="shared" si="24"/>
        <v>340</v>
      </c>
      <c r="BN33" s="399">
        <f t="shared" si="25"/>
        <v>418</v>
      </c>
      <c r="BO33" s="399">
        <f t="shared" si="32"/>
        <v>302</v>
      </c>
      <c r="BP33" s="399">
        <f t="shared" si="33"/>
        <v>365</v>
      </c>
      <c r="BQ33" s="406">
        <f t="shared" si="15"/>
        <v>229</v>
      </c>
      <c r="BR33" s="921">
        <f t="shared" si="2"/>
        <v>-0.37260273972602742</v>
      </c>
      <c r="BS33" s="64" t="s">
        <v>45</v>
      </c>
    </row>
    <row r="34" spans="1:71" ht="12.75" customHeight="1">
      <c r="A34" s="154" t="s">
        <v>61</v>
      </c>
      <c r="B34" s="429">
        <v>98</v>
      </c>
      <c r="C34" s="346">
        <v>81</v>
      </c>
      <c r="D34" s="416">
        <v>89</v>
      </c>
      <c r="E34" s="416">
        <v>86</v>
      </c>
      <c r="F34" s="416">
        <v>72</v>
      </c>
      <c r="G34" s="416">
        <v>21</v>
      </c>
      <c r="H34" s="416">
        <v>16</v>
      </c>
      <c r="I34" s="416">
        <v>14</v>
      </c>
      <c r="J34" s="416">
        <v>17</v>
      </c>
      <c r="K34" s="416">
        <v>4</v>
      </c>
      <c r="L34" s="416">
        <v>5</v>
      </c>
      <c r="M34" s="416">
        <v>2</v>
      </c>
      <c r="N34" s="416">
        <v>6</v>
      </c>
      <c r="O34" s="416">
        <v>8</v>
      </c>
      <c r="P34" s="416">
        <v>4</v>
      </c>
      <c r="Q34" s="416">
        <v>1</v>
      </c>
      <c r="R34" s="416">
        <v>1</v>
      </c>
      <c r="S34" s="418">
        <v>155</v>
      </c>
      <c r="T34" s="416">
        <v>125</v>
      </c>
      <c r="U34" s="416">
        <v>127</v>
      </c>
      <c r="V34" s="416">
        <v>163</v>
      </c>
      <c r="W34" s="416">
        <v>261</v>
      </c>
      <c r="X34" s="416">
        <v>302</v>
      </c>
      <c r="Y34" s="416">
        <v>247</v>
      </c>
      <c r="Z34" s="416">
        <v>196</v>
      </c>
      <c r="AA34" s="416">
        <v>258</v>
      </c>
      <c r="AB34" s="416">
        <v>211</v>
      </c>
      <c r="AC34" s="416">
        <v>395</v>
      </c>
      <c r="AD34" s="416">
        <v>276</v>
      </c>
      <c r="AE34" s="416">
        <v>315</v>
      </c>
      <c r="AF34" s="416">
        <v>308</v>
      </c>
      <c r="AG34" s="416">
        <v>344</v>
      </c>
      <c r="AH34" s="416">
        <v>277</v>
      </c>
      <c r="AI34" s="416">
        <v>144</v>
      </c>
      <c r="AJ34" s="418">
        <v>256</v>
      </c>
      <c r="AK34" s="416">
        <v>207</v>
      </c>
      <c r="AL34" s="416">
        <v>222</v>
      </c>
      <c r="AM34" s="416">
        <v>247</v>
      </c>
      <c r="AN34" s="416">
        <v>270</v>
      </c>
      <c r="AO34" s="416">
        <v>266</v>
      </c>
      <c r="AP34" s="416">
        <v>256</v>
      </c>
      <c r="AQ34" s="416">
        <v>191</v>
      </c>
      <c r="AR34" s="416">
        <v>264</v>
      </c>
      <c r="AS34" s="416">
        <v>172</v>
      </c>
      <c r="AT34" s="416">
        <v>291</v>
      </c>
      <c r="AU34" s="416">
        <v>246</v>
      </c>
      <c r="AV34" s="416">
        <v>264</v>
      </c>
      <c r="AW34" s="416">
        <v>198</v>
      </c>
      <c r="AX34" s="416">
        <v>153</v>
      </c>
      <c r="AY34" s="416">
        <v>315</v>
      </c>
      <c r="AZ34" s="417">
        <v>139</v>
      </c>
      <c r="BA34" s="416">
        <f t="shared" si="36"/>
        <v>509</v>
      </c>
      <c r="BB34" s="416">
        <f t="shared" si="36"/>
        <v>413</v>
      </c>
      <c r="BC34" s="416">
        <f t="shared" si="34"/>
        <v>438</v>
      </c>
      <c r="BD34" s="416">
        <f t="shared" si="35"/>
        <v>496</v>
      </c>
      <c r="BE34" s="416">
        <f t="shared" si="27"/>
        <v>603</v>
      </c>
      <c r="BF34" s="416">
        <f t="shared" si="28"/>
        <v>589</v>
      </c>
      <c r="BG34" s="416">
        <f t="shared" si="29"/>
        <v>519</v>
      </c>
      <c r="BH34" s="416">
        <f t="shared" si="30"/>
        <v>401</v>
      </c>
      <c r="BI34" s="416">
        <f t="shared" si="20"/>
        <v>539</v>
      </c>
      <c r="BJ34" s="416">
        <f t="shared" si="21"/>
        <v>387</v>
      </c>
      <c r="BK34" s="416">
        <f t="shared" si="22"/>
        <v>691</v>
      </c>
      <c r="BL34" s="416">
        <f t="shared" si="23"/>
        <v>524</v>
      </c>
      <c r="BM34" s="416">
        <f t="shared" si="24"/>
        <v>585</v>
      </c>
      <c r="BN34" s="416">
        <f t="shared" si="25"/>
        <v>514</v>
      </c>
      <c r="BO34" s="416">
        <f t="shared" si="32"/>
        <v>501</v>
      </c>
      <c r="BP34" s="588">
        <f t="shared" si="33"/>
        <v>593</v>
      </c>
      <c r="BQ34" s="417">
        <f t="shared" si="15"/>
        <v>284</v>
      </c>
      <c r="BR34" s="944">
        <f t="shared" si="2"/>
        <v>-0.52107925801011801</v>
      </c>
      <c r="BS34" s="304" t="s">
        <v>61</v>
      </c>
    </row>
    <row r="35" spans="1:71" ht="12.75" customHeight="1">
      <c r="A35" s="11" t="s">
        <v>62</v>
      </c>
      <c r="B35" s="468">
        <v>134</v>
      </c>
      <c r="C35" s="357">
        <v>30</v>
      </c>
      <c r="D35" s="422">
        <v>84</v>
      </c>
      <c r="E35" s="422">
        <v>90</v>
      </c>
      <c r="F35" s="422">
        <v>134</v>
      </c>
      <c r="G35" s="422">
        <v>134</v>
      </c>
      <c r="H35" s="422">
        <v>235</v>
      </c>
      <c r="I35" s="422">
        <v>161</v>
      </c>
      <c r="J35" s="422">
        <v>135</v>
      </c>
      <c r="K35" s="422">
        <v>71</v>
      </c>
      <c r="L35" s="422">
        <v>0</v>
      </c>
      <c r="M35" s="422">
        <v>0</v>
      </c>
      <c r="N35" s="422">
        <v>3</v>
      </c>
      <c r="O35" s="422">
        <v>0</v>
      </c>
      <c r="P35" s="422">
        <v>14</v>
      </c>
      <c r="Q35" s="422">
        <v>1</v>
      </c>
      <c r="R35" s="422">
        <v>1</v>
      </c>
      <c r="S35" s="424">
        <v>338</v>
      </c>
      <c r="T35" s="422">
        <v>290</v>
      </c>
      <c r="U35" s="422">
        <v>330</v>
      </c>
      <c r="V35" s="422">
        <v>205</v>
      </c>
      <c r="W35" s="422">
        <v>396</v>
      </c>
      <c r="X35" s="422">
        <v>260</v>
      </c>
      <c r="Y35" s="422">
        <v>317</v>
      </c>
      <c r="Z35" s="422">
        <v>200</v>
      </c>
      <c r="AA35" s="422">
        <v>363</v>
      </c>
      <c r="AB35" s="422">
        <v>304</v>
      </c>
      <c r="AC35" s="422">
        <v>275</v>
      </c>
      <c r="AD35" s="422">
        <v>334</v>
      </c>
      <c r="AE35" s="422">
        <v>333</v>
      </c>
      <c r="AF35" s="422">
        <v>376</v>
      </c>
      <c r="AG35" s="422">
        <v>279</v>
      </c>
      <c r="AH35" s="422">
        <v>384</v>
      </c>
      <c r="AI35" s="422">
        <v>226</v>
      </c>
      <c r="AJ35" s="424">
        <v>661</v>
      </c>
      <c r="AK35" s="422">
        <v>852</v>
      </c>
      <c r="AL35" s="422">
        <v>934</v>
      </c>
      <c r="AM35" s="422">
        <v>696</v>
      </c>
      <c r="AN35" s="422">
        <v>680</v>
      </c>
      <c r="AO35" s="422">
        <v>782</v>
      </c>
      <c r="AP35" s="422">
        <v>1105</v>
      </c>
      <c r="AQ35" s="422">
        <v>1269</v>
      </c>
      <c r="AR35" s="422">
        <v>1020</v>
      </c>
      <c r="AS35" s="422">
        <v>1007</v>
      </c>
      <c r="AT35" s="422">
        <v>1060</v>
      </c>
      <c r="AU35" s="422">
        <v>996</v>
      </c>
      <c r="AV35" s="422">
        <v>997</v>
      </c>
      <c r="AW35" s="422">
        <v>925</v>
      </c>
      <c r="AX35" s="422">
        <v>593</v>
      </c>
      <c r="AY35" s="422">
        <v>933</v>
      </c>
      <c r="AZ35" s="423">
        <v>1119</v>
      </c>
      <c r="BA35" s="422">
        <f t="shared" si="36"/>
        <v>1133</v>
      </c>
      <c r="BB35" s="422">
        <f t="shared" si="36"/>
        <v>1172</v>
      </c>
      <c r="BC35" s="422">
        <f t="shared" si="34"/>
        <v>1348</v>
      </c>
      <c r="BD35" s="422">
        <f t="shared" si="35"/>
        <v>991</v>
      </c>
      <c r="BE35" s="422">
        <f t="shared" si="27"/>
        <v>1210</v>
      </c>
      <c r="BF35" s="422">
        <f t="shared" si="28"/>
        <v>1176</v>
      </c>
      <c r="BG35" s="422">
        <f t="shared" si="29"/>
        <v>1657</v>
      </c>
      <c r="BH35" s="422">
        <f t="shared" si="30"/>
        <v>1630</v>
      </c>
      <c r="BI35" s="422">
        <f t="shared" si="20"/>
        <v>1518</v>
      </c>
      <c r="BJ35" s="422">
        <f t="shared" si="21"/>
        <v>1382</v>
      </c>
      <c r="BK35" s="422">
        <f t="shared" si="22"/>
        <v>1335</v>
      </c>
      <c r="BL35" s="422">
        <f t="shared" si="23"/>
        <v>1330</v>
      </c>
      <c r="BM35" s="422">
        <f t="shared" si="24"/>
        <v>1333</v>
      </c>
      <c r="BN35" s="422">
        <f t="shared" si="25"/>
        <v>1301</v>
      </c>
      <c r="BO35" s="422">
        <f t="shared" si="32"/>
        <v>886</v>
      </c>
      <c r="BP35" s="422">
        <f t="shared" si="33"/>
        <v>1318</v>
      </c>
      <c r="BQ35" s="406">
        <f t="shared" si="15"/>
        <v>1346</v>
      </c>
      <c r="BR35" s="922">
        <f t="shared" si="2"/>
        <v>2.1244309559939278E-2</v>
      </c>
      <c r="BS35" s="65" t="s">
        <v>62</v>
      </c>
    </row>
    <row r="36" spans="1:71" ht="12.75" customHeight="1">
      <c r="A36" s="155" t="s">
        <v>51</v>
      </c>
      <c r="B36" s="430">
        <v>9000</v>
      </c>
      <c r="C36" s="355">
        <v>7853</v>
      </c>
      <c r="D36" s="420">
        <v>7353</v>
      </c>
      <c r="E36" s="420">
        <v>7530</v>
      </c>
      <c r="F36" s="420">
        <v>4383</v>
      </c>
      <c r="G36" s="420">
        <v>3160</v>
      </c>
      <c r="H36" s="420">
        <v>3169</v>
      </c>
      <c r="I36" s="420">
        <v>2365</v>
      </c>
      <c r="J36" s="420">
        <v>2495</v>
      </c>
      <c r="K36" s="420">
        <v>2286</v>
      </c>
      <c r="L36" s="420">
        <v>2440</v>
      </c>
      <c r="M36" s="577">
        <v>9873</v>
      </c>
      <c r="N36" s="420">
        <v>10240</v>
      </c>
      <c r="O36" s="420">
        <v>9049</v>
      </c>
      <c r="P36" s="420">
        <v>8208</v>
      </c>
      <c r="Q36" s="420">
        <v>7226</v>
      </c>
      <c r="R36" s="420">
        <v>5202</v>
      </c>
      <c r="S36" s="421">
        <v>3183</v>
      </c>
      <c r="T36" s="420">
        <v>4487</v>
      </c>
      <c r="U36" s="420">
        <v>4333</v>
      </c>
      <c r="V36" s="420">
        <v>5558</v>
      </c>
      <c r="W36" s="420">
        <v>5346</v>
      </c>
      <c r="X36" s="420">
        <v>4447</v>
      </c>
      <c r="Y36" s="420">
        <v>4326</v>
      </c>
      <c r="Z36" s="420">
        <v>3008</v>
      </c>
      <c r="AA36" s="420">
        <v>4580</v>
      </c>
      <c r="AB36" s="420">
        <v>4564</v>
      </c>
      <c r="AC36" s="420">
        <v>4065</v>
      </c>
      <c r="AD36" s="589" t="s">
        <v>70</v>
      </c>
      <c r="AE36" s="589" t="s">
        <v>70</v>
      </c>
      <c r="AF36" s="589" t="s">
        <v>70</v>
      </c>
      <c r="AG36" s="589" t="s">
        <v>70</v>
      </c>
      <c r="AH36" s="589" t="s">
        <v>70</v>
      </c>
      <c r="AI36" s="589" t="s">
        <v>70</v>
      </c>
      <c r="AJ36" s="421">
        <v>2588</v>
      </c>
      <c r="AK36" s="420">
        <v>2630</v>
      </c>
      <c r="AL36" s="420">
        <v>2611</v>
      </c>
      <c r="AM36" s="420">
        <v>2339</v>
      </c>
      <c r="AN36" s="420">
        <v>2867</v>
      </c>
      <c r="AO36" s="420">
        <v>2800</v>
      </c>
      <c r="AP36" s="420">
        <v>1954</v>
      </c>
      <c r="AQ36" s="420">
        <v>2200</v>
      </c>
      <c r="AR36" s="420">
        <v>2525</v>
      </c>
      <c r="AS36" s="420">
        <v>2130</v>
      </c>
      <c r="AT36" s="420">
        <v>2138</v>
      </c>
      <c r="AU36" s="589" t="s">
        <v>70</v>
      </c>
      <c r="AV36" s="589" t="s">
        <v>70</v>
      </c>
      <c r="AW36" s="589" t="s">
        <v>70</v>
      </c>
      <c r="AX36" s="624" t="s">
        <v>70</v>
      </c>
      <c r="AY36" s="624" t="s">
        <v>70</v>
      </c>
      <c r="AZ36" s="419" t="s">
        <v>70</v>
      </c>
      <c r="BA36" s="416">
        <f t="shared" si="36"/>
        <v>14771</v>
      </c>
      <c r="BB36" s="416">
        <f t="shared" si="36"/>
        <v>14970</v>
      </c>
      <c r="BC36" s="416">
        <f t="shared" si="34"/>
        <v>14297</v>
      </c>
      <c r="BD36" s="416">
        <f t="shared" si="35"/>
        <v>15427</v>
      </c>
      <c r="BE36" s="420">
        <f t="shared" si="27"/>
        <v>12596</v>
      </c>
      <c r="BF36" s="420">
        <f t="shared" si="28"/>
        <v>10407</v>
      </c>
      <c r="BG36" s="420">
        <f t="shared" si="29"/>
        <v>9449</v>
      </c>
      <c r="BH36" s="420">
        <f t="shared" si="30"/>
        <v>7573</v>
      </c>
      <c r="BI36" s="420">
        <f t="shared" si="20"/>
        <v>9600</v>
      </c>
      <c r="BJ36" s="420">
        <f t="shared" ref="BJ36:BK39" si="37">K36+AB36+AS36</f>
        <v>8980</v>
      </c>
      <c r="BK36" s="420">
        <f t="shared" si="37"/>
        <v>8643</v>
      </c>
      <c r="BL36" s="577">
        <f t="shared" ref="BL36:BQ36" si="38">M36</f>
        <v>9873</v>
      </c>
      <c r="BM36" s="577">
        <f t="shared" si="38"/>
        <v>10240</v>
      </c>
      <c r="BN36" s="641">
        <f t="shared" si="38"/>
        <v>9049</v>
      </c>
      <c r="BO36" s="641">
        <f t="shared" si="38"/>
        <v>8208</v>
      </c>
      <c r="BP36" s="920">
        <f t="shared" si="38"/>
        <v>7226</v>
      </c>
      <c r="BQ36" s="910">
        <f t="shared" si="38"/>
        <v>5202</v>
      </c>
      <c r="BR36" s="944">
        <f t="shared" si="2"/>
        <v>-0.28009964018820921</v>
      </c>
      <c r="BS36" s="743" t="s">
        <v>51</v>
      </c>
    </row>
    <row r="37" spans="1:71" ht="12.75" customHeight="1">
      <c r="A37" s="10" t="s">
        <v>33</v>
      </c>
      <c r="B37" s="431">
        <v>38</v>
      </c>
      <c r="C37" s="432">
        <v>54</v>
      </c>
      <c r="D37" s="399">
        <v>30</v>
      </c>
      <c r="E37" s="399">
        <v>23</v>
      </c>
      <c r="F37" s="399">
        <v>26</v>
      </c>
      <c r="G37" s="399">
        <v>6</v>
      </c>
      <c r="H37" s="399">
        <v>10</v>
      </c>
      <c r="I37" s="399">
        <v>22</v>
      </c>
      <c r="J37" s="399">
        <v>36</v>
      </c>
      <c r="K37" s="399">
        <v>20</v>
      </c>
      <c r="L37" s="399">
        <v>52</v>
      </c>
      <c r="M37" s="399">
        <v>72</v>
      </c>
      <c r="N37" s="399">
        <v>141</v>
      </c>
      <c r="O37" s="399">
        <v>107</v>
      </c>
      <c r="P37" s="399">
        <v>60</v>
      </c>
      <c r="Q37" s="399">
        <v>47</v>
      </c>
      <c r="R37" s="399">
        <v>13</v>
      </c>
      <c r="S37" s="401">
        <v>11</v>
      </c>
      <c r="T37" s="399">
        <v>17</v>
      </c>
      <c r="U37" s="399">
        <v>12</v>
      </c>
      <c r="V37" s="399">
        <v>12</v>
      </c>
      <c r="W37" s="399">
        <v>11</v>
      </c>
      <c r="X37" s="399">
        <v>2</v>
      </c>
      <c r="Y37" s="399">
        <v>7</v>
      </c>
      <c r="Z37" s="399">
        <v>8</v>
      </c>
      <c r="AA37" s="399">
        <v>4</v>
      </c>
      <c r="AB37" s="399">
        <v>19</v>
      </c>
      <c r="AC37" s="399">
        <v>10</v>
      </c>
      <c r="AD37" s="399">
        <v>7</v>
      </c>
      <c r="AE37" s="399">
        <v>19</v>
      </c>
      <c r="AF37" s="399">
        <v>9</v>
      </c>
      <c r="AG37" s="399">
        <v>7</v>
      </c>
      <c r="AH37" s="399">
        <v>4</v>
      </c>
      <c r="AI37" s="399">
        <v>8</v>
      </c>
      <c r="AJ37" s="401">
        <v>7</v>
      </c>
      <c r="AK37" s="399">
        <v>35</v>
      </c>
      <c r="AL37" s="399">
        <v>14</v>
      </c>
      <c r="AM37" s="399">
        <v>11</v>
      </c>
      <c r="AN37" s="399">
        <v>7</v>
      </c>
      <c r="AO37" s="399">
        <v>0</v>
      </c>
      <c r="AP37" s="399">
        <v>11</v>
      </c>
      <c r="AQ37" s="399">
        <v>4</v>
      </c>
      <c r="AR37" s="399">
        <v>28</v>
      </c>
      <c r="AS37" s="399">
        <v>35</v>
      </c>
      <c r="AT37" s="399">
        <v>42</v>
      </c>
      <c r="AU37" s="399">
        <v>31</v>
      </c>
      <c r="AV37" s="399">
        <v>85</v>
      </c>
      <c r="AW37" s="399">
        <v>36</v>
      </c>
      <c r="AX37" s="400">
        <v>58</v>
      </c>
      <c r="AY37" s="400">
        <v>48</v>
      </c>
      <c r="AZ37" s="614">
        <v>8</v>
      </c>
      <c r="BA37" s="400">
        <f t="shared" si="36"/>
        <v>56</v>
      </c>
      <c r="BB37" s="400">
        <f t="shared" si="36"/>
        <v>106</v>
      </c>
      <c r="BC37" s="400">
        <f t="shared" si="34"/>
        <v>56</v>
      </c>
      <c r="BD37" s="400">
        <f t="shared" si="35"/>
        <v>46</v>
      </c>
      <c r="BE37" s="399">
        <f t="shared" si="27"/>
        <v>44</v>
      </c>
      <c r="BF37" s="399">
        <f t="shared" si="28"/>
        <v>8</v>
      </c>
      <c r="BG37" s="399">
        <f t="shared" si="29"/>
        <v>28</v>
      </c>
      <c r="BH37" s="399">
        <f t="shared" si="30"/>
        <v>34</v>
      </c>
      <c r="BI37" s="399">
        <f t="shared" si="20"/>
        <v>68</v>
      </c>
      <c r="BJ37" s="399">
        <f t="shared" si="37"/>
        <v>74</v>
      </c>
      <c r="BK37" s="399">
        <f t="shared" si="37"/>
        <v>104</v>
      </c>
      <c r="BL37" s="399">
        <f>M37+AD37+AU37</f>
        <v>110</v>
      </c>
      <c r="BM37" s="399">
        <v>85</v>
      </c>
      <c r="BN37" s="399">
        <f t="shared" ref="BN37:BP39" si="39">O37+AF37+AW37</f>
        <v>152</v>
      </c>
      <c r="BO37" s="399">
        <f t="shared" si="39"/>
        <v>125</v>
      </c>
      <c r="BP37" s="400">
        <f t="shared" si="39"/>
        <v>99</v>
      </c>
      <c r="BQ37" s="406">
        <f t="shared" si="15"/>
        <v>29</v>
      </c>
      <c r="BR37" s="923">
        <f t="shared" si="2"/>
        <v>-0.70707070707070707</v>
      </c>
      <c r="BS37" s="64" t="s">
        <v>33</v>
      </c>
    </row>
    <row r="38" spans="1:71" ht="12.75" customHeight="1">
      <c r="A38" s="154" t="s">
        <v>63</v>
      </c>
      <c r="B38" s="433">
        <v>127</v>
      </c>
      <c r="C38" s="434">
        <v>138</v>
      </c>
      <c r="D38" s="416">
        <v>105</v>
      </c>
      <c r="E38" s="416">
        <v>55</v>
      </c>
      <c r="F38" s="416">
        <v>58</v>
      </c>
      <c r="G38" s="416">
        <v>55</v>
      </c>
      <c r="H38" s="416">
        <v>37</v>
      </c>
      <c r="I38" s="416">
        <v>6</v>
      </c>
      <c r="J38" s="416">
        <v>44</v>
      </c>
      <c r="K38" s="416">
        <v>36</v>
      </c>
      <c r="L38" s="416">
        <v>39</v>
      </c>
      <c r="M38" s="416">
        <v>50</v>
      </c>
      <c r="N38" s="416">
        <v>73</v>
      </c>
      <c r="O38" s="416">
        <v>71</v>
      </c>
      <c r="P38" s="416">
        <v>23</v>
      </c>
      <c r="Q38" s="416">
        <v>36</v>
      </c>
      <c r="R38" s="416">
        <v>26</v>
      </c>
      <c r="S38" s="418">
        <v>308</v>
      </c>
      <c r="T38" s="416">
        <v>430</v>
      </c>
      <c r="U38" s="416">
        <v>315</v>
      </c>
      <c r="V38" s="416">
        <v>462</v>
      </c>
      <c r="W38" s="416">
        <v>483</v>
      </c>
      <c r="X38" s="416">
        <v>396</v>
      </c>
      <c r="Y38" s="416">
        <v>466</v>
      </c>
      <c r="Z38" s="416">
        <v>401</v>
      </c>
      <c r="AA38" s="416">
        <v>412</v>
      </c>
      <c r="AB38" s="416">
        <v>438</v>
      </c>
      <c r="AC38" s="416">
        <v>377</v>
      </c>
      <c r="AD38" s="416">
        <v>380</v>
      </c>
      <c r="AE38" s="416">
        <v>342</v>
      </c>
      <c r="AF38" s="416">
        <v>522</v>
      </c>
      <c r="AG38" s="416">
        <v>397</v>
      </c>
      <c r="AH38" s="416">
        <v>450</v>
      </c>
      <c r="AI38" s="416">
        <v>295</v>
      </c>
      <c r="AJ38" s="418">
        <v>502</v>
      </c>
      <c r="AK38" s="416">
        <v>600</v>
      </c>
      <c r="AL38" s="416">
        <v>423</v>
      </c>
      <c r="AM38" s="416">
        <v>621</v>
      </c>
      <c r="AN38" s="416">
        <v>691</v>
      </c>
      <c r="AO38" s="416">
        <v>709</v>
      </c>
      <c r="AP38" s="416">
        <v>979</v>
      </c>
      <c r="AQ38" s="416">
        <v>938</v>
      </c>
      <c r="AR38" s="416">
        <v>775</v>
      </c>
      <c r="AS38" s="416">
        <v>785</v>
      </c>
      <c r="AT38" s="416">
        <v>599</v>
      </c>
      <c r="AU38" s="416">
        <v>540</v>
      </c>
      <c r="AV38" s="416">
        <v>983</v>
      </c>
      <c r="AW38" s="416">
        <v>597</v>
      </c>
      <c r="AX38" s="416">
        <v>604</v>
      </c>
      <c r="AY38" s="416">
        <v>1844</v>
      </c>
      <c r="AZ38" s="417">
        <v>1087</v>
      </c>
      <c r="BA38" s="416">
        <f t="shared" si="36"/>
        <v>937</v>
      </c>
      <c r="BB38" s="416">
        <f t="shared" si="36"/>
        <v>1168</v>
      </c>
      <c r="BC38" s="416">
        <f t="shared" si="34"/>
        <v>843</v>
      </c>
      <c r="BD38" s="416">
        <f t="shared" si="35"/>
        <v>1138</v>
      </c>
      <c r="BE38" s="416">
        <f t="shared" si="27"/>
        <v>1232</v>
      </c>
      <c r="BF38" s="416">
        <f t="shared" si="28"/>
        <v>1160</v>
      </c>
      <c r="BG38" s="416">
        <f t="shared" si="29"/>
        <v>1482</v>
      </c>
      <c r="BH38" s="416">
        <f t="shared" si="30"/>
        <v>1345</v>
      </c>
      <c r="BI38" s="416">
        <f t="shared" si="20"/>
        <v>1231</v>
      </c>
      <c r="BJ38" s="416">
        <f t="shared" si="37"/>
        <v>1259</v>
      </c>
      <c r="BK38" s="416">
        <f t="shared" si="37"/>
        <v>1015</v>
      </c>
      <c r="BL38" s="416">
        <f>M38+AD38+AU38</f>
        <v>970</v>
      </c>
      <c r="BM38" s="416">
        <v>983</v>
      </c>
      <c r="BN38" s="416">
        <f t="shared" si="39"/>
        <v>1190</v>
      </c>
      <c r="BO38" s="416">
        <f t="shared" si="39"/>
        <v>1024</v>
      </c>
      <c r="BP38" s="588">
        <f t="shared" si="39"/>
        <v>2330</v>
      </c>
      <c r="BQ38" s="417">
        <f t="shared" si="15"/>
        <v>1408</v>
      </c>
      <c r="BR38" s="944">
        <f t="shared" si="2"/>
        <v>-0.39570815450643781</v>
      </c>
      <c r="BS38" s="304" t="s">
        <v>63</v>
      </c>
    </row>
    <row r="39" spans="1:71" ht="12.75" customHeight="1">
      <c r="A39" s="11" t="s">
        <v>34</v>
      </c>
      <c r="B39" s="435">
        <v>777</v>
      </c>
      <c r="C39" s="436">
        <v>822</v>
      </c>
      <c r="D39" s="422">
        <v>521</v>
      </c>
      <c r="E39" s="422">
        <v>408</v>
      </c>
      <c r="F39" s="422">
        <v>470</v>
      </c>
      <c r="G39" s="422">
        <v>514</v>
      </c>
      <c r="H39" s="422">
        <v>453</v>
      </c>
      <c r="I39" s="422">
        <v>313</v>
      </c>
      <c r="J39" s="422">
        <v>468</v>
      </c>
      <c r="K39" s="422">
        <v>347</v>
      </c>
      <c r="L39" s="422">
        <v>181</v>
      </c>
      <c r="M39" s="422">
        <v>386</v>
      </c>
      <c r="N39" s="422">
        <v>175</v>
      </c>
      <c r="O39" s="422">
        <v>142</v>
      </c>
      <c r="P39" s="422">
        <v>159</v>
      </c>
      <c r="Q39" s="422">
        <v>136</v>
      </c>
      <c r="R39" s="422">
        <v>161</v>
      </c>
      <c r="S39" s="424">
        <v>111</v>
      </c>
      <c r="T39" s="422">
        <v>99</v>
      </c>
      <c r="U39" s="422">
        <v>124</v>
      </c>
      <c r="V39" s="422">
        <v>133</v>
      </c>
      <c r="W39" s="422">
        <v>154</v>
      </c>
      <c r="X39" s="422">
        <v>191</v>
      </c>
      <c r="Y39" s="422">
        <v>115</v>
      </c>
      <c r="Z39" s="422">
        <v>113</v>
      </c>
      <c r="AA39" s="422">
        <v>123</v>
      </c>
      <c r="AB39" s="422">
        <v>129</v>
      </c>
      <c r="AC39" s="422">
        <v>161</v>
      </c>
      <c r="AD39" s="422">
        <v>148</v>
      </c>
      <c r="AE39" s="422">
        <v>187</v>
      </c>
      <c r="AF39" s="422">
        <v>153</v>
      </c>
      <c r="AG39" s="422">
        <v>168</v>
      </c>
      <c r="AH39" s="422">
        <v>170</v>
      </c>
      <c r="AI39" s="422">
        <v>109</v>
      </c>
      <c r="AJ39" s="424">
        <v>487</v>
      </c>
      <c r="AK39" s="422">
        <v>402</v>
      </c>
      <c r="AL39" s="422">
        <v>431</v>
      </c>
      <c r="AM39" s="422">
        <v>397</v>
      </c>
      <c r="AN39" s="422">
        <v>727</v>
      </c>
      <c r="AO39" s="422">
        <v>418</v>
      </c>
      <c r="AP39" s="422">
        <v>372</v>
      </c>
      <c r="AQ39" s="422">
        <v>511</v>
      </c>
      <c r="AR39" s="422">
        <v>347</v>
      </c>
      <c r="AS39" s="422">
        <v>452</v>
      </c>
      <c r="AT39" s="422">
        <v>483</v>
      </c>
      <c r="AU39" s="422">
        <v>589</v>
      </c>
      <c r="AV39" s="422">
        <v>506</v>
      </c>
      <c r="AW39" s="422">
        <v>521</v>
      </c>
      <c r="AX39" s="422">
        <v>446</v>
      </c>
      <c r="AY39" s="422">
        <v>476</v>
      </c>
      <c r="AZ39" s="423">
        <v>462</v>
      </c>
      <c r="BA39" s="422">
        <f t="shared" si="36"/>
        <v>1375</v>
      </c>
      <c r="BB39" s="422">
        <f t="shared" si="36"/>
        <v>1323</v>
      </c>
      <c r="BC39" s="422">
        <f t="shared" si="34"/>
        <v>1076</v>
      </c>
      <c r="BD39" s="422">
        <f t="shared" si="35"/>
        <v>938</v>
      </c>
      <c r="BE39" s="422">
        <f t="shared" si="27"/>
        <v>1351</v>
      </c>
      <c r="BF39" s="422">
        <f t="shared" si="28"/>
        <v>1123</v>
      </c>
      <c r="BG39" s="422">
        <f t="shared" si="29"/>
        <v>940</v>
      </c>
      <c r="BH39" s="422">
        <f t="shared" si="30"/>
        <v>937</v>
      </c>
      <c r="BI39" s="422">
        <f t="shared" si="20"/>
        <v>938</v>
      </c>
      <c r="BJ39" s="422">
        <f t="shared" si="37"/>
        <v>928</v>
      </c>
      <c r="BK39" s="422">
        <f t="shared" si="37"/>
        <v>825</v>
      </c>
      <c r="BL39" s="422">
        <f>M39+AD39+AU39</f>
        <v>1123</v>
      </c>
      <c r="BM39" s="422">
        <v>506</v>
      </c>
      <c r="BN39" s="422">
        <f t="shared" si="39"/>
        <v>816</v>
      </c>
      <c r="BO39" s="422">
        <f t="shared" si="39"/>
        <v>773</v>
      </c>
      <c r="BP39" s="422">
        <f t="shared" si="39"/>
        <v>782</v>
      </c>
      <c r="BQ39" s="423">
        <f t="shared" si="15"/>
        <v>732</v>
      </c>
      <c r="BR39" s="921">
        <f t="shared" si="2"/>
        <v>-6.3938618925831192E-2</v>
      </c>
      <c r="BS39" s="65" t="s">
        <v>34</v>
      </c>
    </row>
    <row r="40" spans="1:71" ht="12.75" customHeight="1">
      <c r="A40" s="1067" t="s">
        <v>273</v>
      </c>
      <c r="B40" s="1067"/>
      <c r="C40" s="1067"/>
      <c r="D40" s="1067"/>
      <c r="E40" s="1067"/>
      <c r="F40" s="1067"/>
      <c r="G40" s="1067"/>
      <c r="H40" s="1067"/>
      <c r="I40" s="1067"/>
      <c r="J40" s="1067"/>
      <c r="K40" s="1067"/>
      <c r="L40" s="1067"/>
      <c r="M40" s="1067"/>
      <c r="N40" s="1067"/>
      <c r="O40" s="1067"/>
      <c r="P40" s="1067"/>
      <c r="Q40" s="1067"/>
      <c r="R40" s="1067"/>
      <c r="S40" s="1067"/>
      <c r="T40" s="1067"/>
      <c r="U40" s="1067"/>
      <c r="V40" s="1067"/>
      <c r="W40" s="1067"/>
      <c r="X40" s="1067"/>
      <c r="Y40" s="1067"/>
      <c r="Z40" s="1067"/>
      <c r="AA40" s="1067"/>
      <c r="AB40" s="1067"/>
      <c r="AC40" s="1067"/>
      <c r="AD40" s="1067"/>
      <c r="AE40" s="1067"/>
      <c r="AF40" s="1067"/>
      <c r="AG40" s="1067"/>
      <c r="AH40" s="1067"/>
      <c r="AI40" s="1067"/>
      <c r="AJ40" s="1067"/>
      <c r="AK40" s="1067"/>
      <c r="AL40" s="1067"/>
      <c r="AM40" s="1067"/>
      <c r="AN40" s="1067"/>
      <c r="AO40" s="1067"/>
      <c r="AP40" s="1067"/>
      <c r="AQ40" s="1067"/>
      <c r="AR40" s="1067"/>
      <c r="AS40" s="1067"/>
      <c r="AT40" s="1067"/>
      <c r="AU40" s="1067"/>
      <c r="AV40" s="1067"/>
      <c r="AW40" s="1067"/>
      <c r="AX40" s="1067"/>
      <c r="AY40" s="1067"/>
      <c r="AZ40" s="1067"/>
      <c r="BA40" s="1067"/>
      <c r="BB40" s="1067"/>
      <c r="BC40" s="1067"/>
      <c r="BD40" s="1067"/>
      <c r="BE40" s="1067"/>
      <c r="BF40" s="1067"/>
      <c r="BG40" s="1067"/>
      <c r="BH40" s="1067"/>
      <c r="BI40" s="1067"/>
      <c r="BJ40" s="1067"/>
      <c r="BK40" s="1067"/>
      <c r="BN40" s="1"/>
      <c r="BR40" s="924"/>
    </row>
    <row r="41" spans="1:71" ht="12.75" customHeight="1">
      <c r="A41" s="180" t="s">
        <v>326</v>
      </c>
      <c r="BN41" s="1"/>
    </row>
    <row r="42" spans="1:71" ht="12.75" customHeight="1">
      <c r="A42" s="54" t="s">
        <v>111</v>
      </c>
      <c r="W42" s="1"/>
      <c r="BB42" s="1"/>
      <c r="BC42" s="1"/>
      <c r="BN42" s="1"/>
    </row>
    <row r="43" spans="1:71">
      <c r="A43" s="54" t="s">
        <v>351</v>
      </c>
      <c r="BB43" s="1"/>
      <c r="BC43" s="1"/>
      <c r="BN43" s="1"/>
    </row>
    <row r="44" spans="1:71" ht="15.75" customHeight="1">
      <c r="BB44" s="1"/>
      <c r="BC44" s="1"/>
      <c r="BF44" s="1"/>
      <c r="BN44" s="1"/>
    </row>
    <row r="45" spans="1:71">
      <c r="AT45" s="1"/>
      <c r="AU45" s="1"/>
      <c r="BB45" s="1"/>
      <c r="BC45" s="1"/>
      <c r="BN45" s="1"/>
    </row>
    <row r="46" spans="1:71">
      <c r="AV46" s="1"/>
      <c r="BB46" s="1"/>
      <c r="BC46" s="1"/>
    </row>
    <row r="47" spans="1:71">
      <c r="AV47" s="1"/>
      <c r="BA47" s="1"/>
      <c r="BB47" s="1"/>
      <c r="BC47" s="1"/>
    </row>
    <row r="48" spans="1:71">
      <c r="BB48" s="1"/>
      <c r="BC48" s="1"/>
    </row>
  </sheetData>
  <mergeCells count="12">
    <mergeCell ref="A40:BK40"/>
    <mergeCell ref="AJ4:AW4"/>
    <mergeCell ref="AJ5:AW5"/>
    <mergeCell ref="BA4:BN4"/>
    <mergeCell ref="S4:AF4"/>
    <mergeCell ref="S5:AF5"/>
    <mergeCell ref="B4:O4"/>
    <mergeCell ref="BR5:BR6"/>
    <mergeCell ref="B5:O5"/>
    <mergeCell ref="A2:BK2"/>
    <mergeCell ref="A3:BK3"/>
    <mergeCell ref="BE5:BH5"/>
  </mergeCells>
  <phoneticPr fontId="4" type="noConversion"/>
  <printOptions horizontalCentered="1"/>
  <pageMargins left="0.6692913385826772" right="0.6692913385826772" top="0.38" bottom="0.16" header="0" footer="0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>
    <pageSetUpPr fitToPage="1"/>
  </sheetPr>
  <dimension ref="A1:Y54"/>
  <sheetViews>
    <sheetView zoomScaleNormal="100" workbookViewId="0">
      <selection activeCell="H48" sqref="H48"/>
    </sheetView>
  </sheetViews>
  <sheetFormatPr defaultRowHeight="12.75"/>
  <cols>
    <col min="1" max="1" width="3.7109375" customWidth="1"/>
    <col min="2" max="2" width="5.28515625" style="5" customWidth="1"/>
    <col min="3" max="9" width="8.7109375" style="5" customWidth="1"/>
    <col min="10" max="10" width="10.5703125" style="5" customWidth="1"/>
    <col min="11" max="15" width="8.7109375" style="5" customWidth="1"/>
    <col min="16" max="22" width="8.7109375" style="191" customWidth="1"/>
    <col min="23" max="23" width="7.5703125" style="191" customWidth="1"/>
    <col min="24" max="24" width="9.140625" style="13"/>
  </cols>
  <sheetData>
    <row r="1" spans="1:25" ht="14.25" customHeight="1">
      <c r="B1" s="183"/>
      <c r="C1" s="183"/>
      <c r="D1" s="183"/>
      <c r="E1" s="183"/>
      <c r="F1" s="183"/>
      <c r="J1" s="16"/>
      <c r="K1" s="16"/>
      <c r="L1" s="16"/>
      <c r="M1" s="16"/>
      <c r="N1" s="16"/>
      <c r="O1" s="16"/>
      <c r="P1" s="184"/>
      <c r="Q1" s="184"/>
      <c r="R1" s="184"/>
      <c r="Y1" s="30" t="s">
        <v>125</v>
      </c>
    </row>
    <row r="2" spans="1:25" s="41" customFormat="1" ht="30" customHeight="1">
      <c r="B2" s="1086" t="s">
        <v>81</v>
      </c>
      <c r="C2" s="1086"/>
      <c r="D2" s="1086"/>
      <c r="E2" s="1086"/>
      <c r="F2" s="1086"/>
      <c r="G2" s="1086"/>
      <c r="H2" s="1086"/>
      <c r="I2" s="1086"/>
      <c r="J2" s="1086"/>
      <c r="K2" s="1086"/>
      <c r="L2" s="1086"/>
      <c r="M2" s="1086"/>
      <c r="N2" s="1086"/>
      <c r="O2" s="1086"/>
      <c r="P2" s="1086"/>
      <c r="Q2" s="1086"/>
      <c r="R2" s="1086"/>
      <c r="S2" s="1086"/>
      <c r="T2" s="1086"/>
      <c r="U2" s="1086"/>
      <c r="V2" s="1086"/>
      <c r="W2" s="1086"/>
      <c r="X2" s="1086"/>
      <c r="Y2" s="1086"/>
    </row>
    <row r="3" spans="1:25" ht="15" customHeight="1">
      <c r="B3" s="1069" t="s">
        <v>169</v>
      </c>
      <c r="C3" s="1069"/>
      <c r="D3" s="1069"/>
      <c r="E3" s="1069"/>
      <c r="F3" s="1069"/>
      <c r="G3" s="1069"/>
      <c r="H3" s="1069"/>
      <c r="I3" s="1069"/>
      <c r="J3" s="1069"/>
      <c r="K3" s="1069"/>
      <c r="L3" s="1069"/>
      <c r="M3" s="1069"/>
      <c r="N3" s="1069"/>
      <c r="O3" s="1069"/>
      <c r="P3" s="1069"/>
      <c r="Q3" s="1069"/>
      <c r="R3" s="1069"/>
      <c r="S3" s="1069"/>
      <c r="T3" s="1069"/>
      <c r="U3" s="1069"/>
      <c r="V3" s="1069"/>
      <c r="W3" s="1069"/>
      <c r="X3" s="1069"/>
      <c r="Y3" s="1069"/>
    </row>
    <row r="4" spans="1:25" ht="12.75" customHeight="1">
      <c r="L4" s="7"/>
      <c r="M4" s="7"/>
      <c r="N4" s="7"/>
      <c r="O4" s="7"/>
      <c r="Q4" s="185"/>
      <c r="R4" s="185"/>
      <c r="T4" s="132"/>
      <c r="V4" s="1087" t="s">
        <v>2</v>
      </c>
      <c r="W4" s="1087"/>
    </row>
    <row r="5" spans="1:25" ht="34.5" customHeight="1">
      <c r="C5" s="51">
        <v>1995</v>
      </c>
      <c r="D5" s="51">
        <v>2000</v>
      </c>
      <c r="E5" s="52">
        <v>2001</v>
      </c>
      <c r="F5" s="52">
        <v>2002</v>
      </c>
      <c r="G5" s="52">
        <v>2003</v>
      </c>
      <c r="H5" s="52">
        <v>2004</v>
      </c>
      <c r="I5" s="52">
        <v>2005</v>
      </c>
      <c r="J5" s="52">
        <v>2006</v>
      </c>
      <c r="K5" s="52">
        <v>2007</v>
      </c>
      <c r="L5" s="52">
        <v>2008</v>
      </c>
      <c r="M5" s="52">
        <v>2009</v>
      </c>
      <c r="N5" s="52">
        <v>2010</v>
      </c>
      <c r="O5" s="52">
        <v>2011</v>
      </c>
      <c r="P5" s="52">
        <v>2012</v>
      </c>
      <c r="Q5" s="52">
        <v>2013</v>
      </c>
      <c r="R5" s="52">
        <v>2014</v>
      </c>
      <c r="S5" s="52">
        <v>2015</v>
      </c>
      <c r="T5" s="52">
        <v>2016</v>
      </c>
      <c r="U5" s="52">
        <v>2017</v>
      </c>
      <c r="V5" s="52">
        <v>2018</v>
      </c>
      <c r="W5" s="52">
        <v>2019</v>
      </c>
      <c r="X5" s="601" t="s">
        <v>362</v>
      </c>
      <c r="Y5" s="6"/>
    </row>
    <row r="6" spans="1:25" ht="16.5" customHeight="1">
      <c r="B6" s="153" t="s">
        <v>266</v>
      </c>
      <c r="C6" s="437"/>
      <c r="D6" s="361"/>
      <c r="E6" s="361"/>
      <c r="F6" s="361"/>
      <c r="G6" s="360"/>
      <c r="H6" s="360">
        <f>SUM(H8:H34)</f>
        <v>1128.078794</v>
      </c>
      <c r="I6" s="360">
        <f t="shared" ref="I6:W6" si="0">SUM(I8:I34)</f>
        <v>1229.0150000000001</v>
      </c>
      <c r="J6" s="360">
        <f t="shared" si="0"/>
        <v>1361.3220000000001</v>
      </c>
      <c r="K6" s="360">
        <f t="shared" si="0"/>
        <v>1415.2079999999999</v>
      </c>
      <c r="L6" s="360">
        <f t="shared" si="0"/>
        <v>1313.0810000000004</v>
      </c>
      <c r="M6" s="360">
        <f t="shared" si="0"/>
        <v>1147.6110000000003</v>
      </c>
      <c r="N6" s="360">
        <f t="shared" si="0"/>
        <v>999.95800000000008</v>
      </c>
      <c r="O6" s="360">
        <f t="shared" si="0"/>
        <v>864.29200000000003</v>
      </c>
      <c r="P6" s="360">
        <f t="shared" si="0"/>
        <v>760.38699999999994</v>
      </c>
      <c r="Q6" s="360">
        <f t="shared" si="0"/>
        <v>672.85107263505017</v>
      </c>
      <c r="R6" s="360">
        <f t="shared" si="0"/>
        <v>722.86040139809165</v>
      </c>
      <c r="S6" s="360">
        <f t="shared" si="0"/>
        <v>794.68299999999999</v>
      </c>
      <c r="T6" s="360">
        <f t="shared" si="0"/>
        <v>902.49000000000012</v>
      </c>
      <c r="U6" s="360">
        <f t="shared" si="0"/>
        <v>824.37199999999996</v>
      </c>
      <c r="V6" s="360">
        <f t="shared" si="0"/>
        <v>912.12500000000011</v>
      </c>
      <c r="W6" s="360">
        <f t="shared" si="0"/>
        <v>991.16000000000008</v>
      </c>
      <c r="X6" s="602">
        <f>W6/V6*100-100</f>
        <v>8.6649307934767705</v>
      </c>
      <c r="Y6" s="551" t="s">
        <v>266</v>
      </c>
    </row>
    <row r="7" spans="1:25" ht="12.75" customHeight="1">
      <c r="B7" s="50" t="s">
        <v>168</v>
      </c>
      <c r="C7" s="437"/>
      <c r="D7" s="361"/>
      <c r="E7" s="361"/>
      <c r="F7" s="361"/>
      <c r="G7" s="360"/>
      <c r="H7" s="360">
        <f t="shared" ref="H7:W7" si="1">SUM(H8:H35)</f>
        <v>1234.4697940000001</v>
      </c>
      <c r="I7" s="360">
        <f t="shared" si="1"/>
        <v>1337.0730000000001</v>
      </c>
      <c r="J7" s="360">
        <f t="shared" si="1"/>
        <v>1470.8490000000002</v>
      </c>
      <c r="K7" s="360">
        <f t="shared" si="1"/>
        <v>1535.0709999999999</v>
      </c>
      <c r="L7" s="360">
        <f t="shared" si="1"/>
        <v>1427.5550000000003</v>
      </c>
      <c r="M7" s="360">
        <f t="shared" si="1"/>
        <v>1242.8420000000003</v>
      </c>
      <c r="N7" s="360">
        <f t="shared" si="1"/>
        <v>1081.2630000000001</v>
      </c>
      <c r="O7" s="360">
        <f t="shared" si="1"/>
        <v>943.43700000000001</v>
      </c>
      <c r="P7" s="360">
        <f t="shared" si="1"/>
        <v>840.41599999999994</v>
      </c>
      <c r="Q7" s="360">
        <f t="shared" si="1"/>
        <v>753.80207263505019</v>
      </c>
      <c r="R7" s="360">
        <f t="shared" si="1"/>
        <v>814.35240139809162</v>
      </c>
      <c r="S7" s="360">
        <f t="shared" si="1"/>
        <v>900.4</v>
      </c>
      <c r="T7" s="360">
        <f t="shared" si="1"/>
        <v>1022.3790000000001</v>
      </c>
      <c r="U7" s="360">
        <f t="shared" si="1"/>
        <v>922.08499999999992</v>
      </c>
      <c r="V7" s="360">
        <f t="shared" si="1"/>
        <v>1012.5360000000001</v>
      </c>
      <c r="W7" s="360">
        <f t="shared" si="1"/>
        <v>1092.433</v>
      </c>
      <c r="X7" s="602">
        <f t="shared" ref="X7:X43" si="2">W7/V7*100-100</f>
        <v>7.8907811672868746</v>
      </c>
      <c r="Y7" s="551" t="s">
        <v>168</v>
      </c>
    </row>
    <row r="8" spans="1:25" ht="12.75" customHeight="1">
      <c r="B8" s="9" t="s">
        <v>52</v>
      </c>
      <c r="C8" s="381"/>
      <c r="D8" s="362">
        <v>25.318999999999999</v>
      </c>
      <c r="E8" s="362">
        <v>21.228999999999999</v>
      </c>
      <c r="F8" s="362">
        <v>21.503</v>
      </c>
      <c r="G8" s="362">
        <v>22.224</v>
      </c>
      <c r="H8" s="362">
        <v>25.055</v>
      </c>
      <c r="I8" s="362">
        <v>24.954999999999998</v>
      </c>
      <c r="J8" s="362">
        <v>27.268999999999998</v>
      </c>
      <c r="K8" s="362">
        <v>30.131</v>
      </c>
      <c r="L8" s="362">
        <v>26.393000000000001</v>
      </c>
      <c r="M8" s="362">
        <v>26.422999999999998</v>
      </c>
      <c r="N8" s="362">
        <v>26.428999999999998</v>
      </c>
      <c r="O8" s="362">
        <f>25.047</f>
        <v>25.047000000000001</v>
      </c>
      <c r="P8" s="362">
        <f>23.428</f>
        <v>23.428000000000001</v>
      </c>
      <c r="Q8" s="362">
        <v>20.643999999999998</v>
      </c>
      <c r="R8" s="362">
        <v>20.681000000000001</v>
      </c>
      <c r="S8" s="362">
        <v>21.577000000000002</v>
      </c>
      <c r="T8" s="362">
        <v>23.620999999999999</v>
      </c>
      <c r="U8" s="362">
        <v>21.39</v>
      </c>
      <c r="V8" s="362">
        <f>23932/1000</f>
        <v>23.931999999999999</v>
      </c>
      <c r="W8" s="647">
        <f>24205/1000</f>
        <v>24.204999999999998</v>
      </c>
      <c r="X8" s="274">
        <f t="shared" si="2"/>
        <v>1.1407320742102627</v>
      </c>
      <c r="Y8" s="10" t="s">
        <v>52</v>
      </c>
    </row>
    <row r="9" spans="1:25" ht="12.75" customHeight="1">
      <c r="B9" s="49" t="s">
        <v>35</v>
      </c>
      <c r="C9" s="364"/>
      <c r="D9" s="365">
        <f>(1117+33+4+2)/1000</f>
        <v>1.1559999999999999</v>
      </c>
      <c r="E9" s="365">
        <f>(1497+24+2+3)/1000</f>
        <v>1.526</v>
      </c>
      <c r="F9" s="365">
        <f>(2227+12+1+21)/1000</f>
        <v>2.2610000000000001</v>
      </c>
      <c r="G9" s="365">
        <f>(2986+13+3+2)/1000</f>
        <v>3.004</v>
      </c>
      <c r="H9" s="378">
        <f>(AVERAGE(G9,I9))/1000</f>
        <v>1.794E-3</v>
      </c>
      <c r="I9" s="365">
        <f>(569+13+2)/1000</f>
        <v>0.58399999999999996</v>
      </c>
      <c r="J9" s="365">
        <v>0.71899999999999997</v>
      </c>
      <c r="K9" s="365">
        <f>(1087+7+194)/1000</f>
        <v>1.288</v>
      </c>
      <c r="L9" s="365">
        <f>(1249+6+1+509)/1000</f>
        <v>1.7649999999999999</v>
      </c>
      <c r="M9" s="365">
        <f>(884+3+326)/1000</f>
        <v>1.2130000000000001</v>
      </c>
      <c r="N9" s="365">
        <f>(643+4+265)/1000</f>
        <v>0.91200000000000003</v>
      </c>
      <c r="O9" s="365">
        <f>(565+2+141)/1000</f>
        <v>0.70799999999999996</v>
      </c>
      <c r="P9" s="365">
        <f>(543+5+135)/1000</f>
        <v>0.68300000000000005</v>
      </c>
      <c r="Q9" s="365">
        <f>(471+3+93)/1000</f>
        <v>0.56699999999999995</v>
      </c>
      <c r="R9" s="365">
        <f>(505+1+5+123)/1000</f>
        <v>0.63400000000000001</v>
      </c>
      <c r="S9" s="365">
        <f>(581+4+19+152)/1000</f>
        <v>0.75600000000000001</v>
      </c>
      <c r="T9" s="365">
        <f>(645+5+10+100)/1000</f>
        <v>0.76</v>
      </c>
      <c r="U9" s="365">
        <f>(733+4+7+85)/1000</f>
        <v>0.82899999999999996</v>
      </c>
      <c r="V9" s="365">
        <f>(825+3+72)/1000</f>
        <v>0.9</v>
      </c>
      <c r="W9" s="388">
        <f>872/1000</f>
        <v>0.872</v>
      </c>
      <c r="X9" s="273">
        <f t="shared" si="2"/>
        <v>-3.1111111111111143</v>
      </c>
      <c r="Y9" s="49" t="s">
        <v>35</v>
      </c>
    </row>
    <row r="10" spans="1:25" ht="12.75" customHeight="1">
      <c r="A10" s="8"/>
      <c r="B10" s="10" t="s">
        <v>37</v>
      </c>
      <c r="C10" s="368">
        <v>6.8760000000000003</v>
      </c>
      <c r="D10" s="367">
        <v>3.8650000000000002</v>
      </c>
      <c r="E10" s="367">
        <v>5.3079999999999998</v>
      </c>
      <c r="F10" s="367">
        <v>7.88</v>
      </c>
      <c r="G10" s="367">
        <v>5.9589999999999996</v>
      </c>
      <c r="H10" s="367">
        <v>7.2169999999999996</v>
      </c>
      <c r="I10" s="367">
        <v>7.5919999999999996</v>
      </c>
      <c r="J10" s="367">
        <v>8.423</v>
      </c>
      <c r="K10" s="367">
        <v>9.9849999999999994</v>
      </c>
      <c r="L10" s="367">
        <v>9.641</v>
      </c>
      <c r="M10" s="367">
        <v>7.2140000000000004</v>
      </c>
      <c r="N10" s="367">
        <v>5.4180000000000001</v>
      </c>
      <c r="O10" s="367">
        <v>6.056</v>
      </c>
      <c r="P10" s="367">
        <v>6.9749999999999996</v>
      </c>
      <c r="Q10" s="367">
        <v>6.9960726350499662</v>
      </c>
      <c r="R10" s="367">
        <v>12.441000000000001</v>
      </c>
      <c r="S10" s="367">
        <v>13.423999999999999</v>
      </c>
      <c r="T10" s="367">
        <v>14.086</v>
      </c>
      <c r="U10" s="367">
        <v>12.33</v>
      </c>
      <c r="V10" s="367">
        <f>13943/1000</f>
        <v>13.943</v>
      </c>
      <c r="W10" s="371">
        <f>15134/1000</f>
        <v>15.134</v>
      </c>
      <c r="X10" s="274">
        <f t="shared" si="2"/>
        <v>8.541920677042242</v>
      </c>
      <c r="Y10" s="10" t="s">
        <v>37</v>
      </c>
    </row>
    <row r="11" spans="1:25" ht="12.75" customHeight="1">
      <c r="A11" s="8"/>
      <c r="B11" s="49" t="s">
        <v>48</v>
      </c>
      <c r="C11" s="364">
        <v>2.2879999999999998</v>
      </c>
      <c r="D11" s="365">
        <v>3.3</v>
      </c>
      <c r="E11" s="365">
        <v>2.4159999999999999</v>
      </c>
      <c r="F11" s="365">
        <v>2.625</v>
      </c>
      <c r="G11" s="365">
        <v>2.8239999999999998</v>
      </c>
      <c r="H11" s="365">
        <v>3.6309999999999998</v>
      </c>
      <c r="I11" s="365">
        <v>5.7809999999999997</v>
      </c>
      <c r="J11" s="365">
        <v>7.5789999999999997</v>
      </c>
      <c r="K11" s="365">
        <v>9.7769999999999992</v>
      </c>
      <c r="L11" s="365">
        <v>6.69</v>
      </c>
      <c r="M11" s="365">
        <v>3.7429999999999999</v>
      </c>
      <c r="N11" s="374">
        <v>2.6389999999999998</v>
      </c>
      <c r="O11" s="365">
        <v>1.964</v>
      </c>
      <c r="P11" s="365">
        <v>1.71</v>
      </c>
      <c r="Q11" s="365">
        <v>1.5640000000000001</v>
      </c>
      <c r="R11" s="365">
        <v>1.94</v>
      </c>
      <c r="S11" s="365">
        <v>2.238</v>
      </c>
      <c r="T11" s="365">
        <v>2.9870000000000001</v>
      </c>
      <c r="U11" s="365">
        <v>2.8340000000000001</v>
      </c>
      <c r="V11" s="365">
        <v>3.4649999999999999</v>
      </c>
      <c r="W11" s="388">
        <v>3.2069999999999999</v>
      </c>
      <c r="X11" s="273">
        <f t="shared" si="2"/>
        <v>-7.4458874458874504</v>
      </c>
      <c r="Y11" s="49" t="s">
        <v>48</v>
      </c>
    </row>
    <row r="12" spans="1:25" ht="12.75" customHeight="1">
      <c r="A12" s="8"/>
      <c r="B12" s="10" t="s">
        <v>53</v>
      </c>
      <c r="C12" s="368">
        <v>218.245</v>
      </c>
      <c r="D12" s="367">
        <v>252.61600000000001</v>
      </c>
      <c r="E12" s="367">
        <v>226.958</v>
      </c>
      <c r="F12" s="367">
        <v>204.12899999999999</v>
      </c>
      <c r="G12" s="367">
        <v>191.262</v>
      </c>
      <c r="H12" s="367">
        <v>173.524</v>
      </c>
      <c r="I12" s="367">
        <v>168.65199999999999</v>
      </c>
      <c r="J12" s="367">
        <v>165.84200000000001</v>
      </c>
      <c r="K12" s="367">
        <v>166.88300000000001</v>
      </c>
      <c r="L12" s="367">
        <v>166.28100000000001</v>
      </c>
      <c r="M12" s="367">
        <v>138.97900000000001</v>
      </c>
      <c r="N12" s="367">
        <v>122.29300000000001</v>
      </c>
      <c r="O12" s="367">
        <f>126.975</f>
        <v>126.97499999999999</v>
      </c>
      <c r="P12" s="367">
        <v>127.497</v>
      </c>
      <c r="Q12" s="367">
        <v>129.60499999999999</v>
      </c>
      <c r="R12" s="367">
        <v>141.62299999999999</v>
      </c>
      <c r="S12" s="367">
        <v>151.661</v>
      </c>
      <c r="T12" s="367">
        <v>174.624</v>
      </c>
      <c r="U12" s="367">
        <v>140.667</v>
      </c>
      <c r="V12" s="367">
        <v>156.108</v>
      </c>
      <c r="W12" s="371">
        <f>166676/1000</f>
        <v>166.67599999999999</v>
      </c>
      <c r="X12" s="274">
        <f t="shared" si="2"/>
        <v>6.7696722781663823</v>
      </c>
      <c r="Y12" s="10" t="s">
        <v>53</v>
      </c>
    </row>
    <row r="13" spans="1:25" ht="12.75" customHeight="1">
      <c r="A13" s="8"/>
      <c r="B13" s="49" t="s">
        <v>38</v>
      </c>
      <c r="C13" s="364" t="s">
        <v>71</v>
      </c>
      <c r="D13" s="365">
        <v>5.2999999999999999E-2</v>
      </c>
      <c r="E13" s="365">
        <v>0.152</v>
      </c>
      <c r="F13" s="365">
        <v>0.17299999999999999</v>
      </c>
      <c r="G13" s="365">
        <v>0.185</v>
      </c>
      <c r="H13" s="365">
        <v>0.23100000000000001</v>
      </c>
      <c r="I13" s="365">
        <v>0.31900000000000001</v>
      </c>
      <c r="J13" s="365">
        <v>0.77100000000000002</v>
      </c>
      <c r="K13" s="365">
        <v>1.254</v>
      </c>
      <c r="L13" s="365">
        <v>1.1859999999999999</v>
      </c>
      <c r="M13" s="365">
        <v>0.46800000000000003</v>
      </c>
      <c r="N13" s="374">
        <v>0.46400000000000002</v>
      </c>
      <c r="O13" s="365">
        <f>0.299</f>
        <v>0.29899999999999999</v>
      </c>
      <c r="P13" s="365">
        <f>0.364</f>
        <v>0.36399999999999999</v>
      </c>
      <c r="Q13" s="365">
        <v>0.40899999999999997</v>
      </c>
      <c r="R13" s="365">
        <v>0.44900000000000001</v>
      </c>
      <c r="S13" s="365">
        <v>0.48899999999999999</v>
      </c>
      <c r="T13" s="365">
        <v>0.60899999999999999</v>
      </c>
      <c r="U13" s="365">
        <v>0.51100000000000001</v>
      </c>
      <c r="V13" s="365">
        <v>0.59499999999999997</v>
      </c>
      <c r="W13" s="388">
        <f>721/1000</f>
        <v>0.72099999999999997</v>
      </c>
      <c r="X13" s="273">
        <f t="shared" si="2"/>
        <v>21.17647058823529</v>
      </c>
      <c r="Y13" s="49" t="s">
        <v>38</v>
      </c>
    </row>
    <row r="14" spans="1:25" ht="12.75" customHeight="1">
      <c r="A14" s="8"/>
      <c r="B14" s="10" t="s">
        <v>56</v>
      </c>
      <c r="C14" s="368"/>
      <c r="D14" s="367">
        <v>3.8479999999999999</v>
      </c>
      <c r="E14" s="367">
        <v>4.7050000000000001</v>
      </c>
      <c r="F14" s="367">
        <v>5.5960000000000001</v>
      </c>
      <c r="G14" s="367">
        <v>2.8530000000000002</v>
      </c>
      <c r="H14" s="367">
        <v>2.5339999999999998</v>
      </c>
      <c r="I14" s="367">
        <v>2.391</v>
      </c>
      <c r="J14" s="367">
        <v>2.508</v>
      </c>
      <c r="K14" s="367">
        <v>2.8820000000000001</v>
      </c>
      <c r="L14" s="367">
        <v>2.645</v>
      </c>
      <c r="M14" s="367">
        <v>1.4219999999999999</v>
      </c>
      <c r="N14" s="367">
        <v>1.1120000000000001</v>
      </c>
      <c r="O14" s="367">
        <f>0.831</f>
        <v>0.83099999999999996</v>
      </c>
      <c r="P14" s="367">
        <f>0.663</f>
        <v>0.66300000000000003</v>
      </c>
      <c r="Q14" s="367">
        <v>0.441</v>
      </c>
      <c r="R14" s="367">
        <v>0.36</v>
      </c>
      <c r="S14" s="367">
        <v>1.022</v>
      </c>
      <c r="T14" s="367">
        <v>1.47</v>
      </c>
      <c r="U14" s="367">
        <v>1.3109999999999999</v>
      </c>
      <c r="V14" s="367">
        <v>1.371</v>
      </c>
      <c r="W14" s="371">
        <f>1718/1000</f>
        <v>1.718</v>
      </c>
      <c r="X14" s="274">
        <f t="shared" si="2"/>
        <v>25.309992706053961</v>
      </c>
      <c r="Y14" s="10" t="s">
        <v>56</v>
      </c>
    </row>
    <row r="15" spans="1:25" ht="12.75" customHeight="1">
      <c r="A15" s="8"/>
      <c r="B15" s="49" t="s">
        <v>49</v>
      </c>
      <c r="C15" s="364"/>
      <c r="D15" s="365">
        <v>64.042000000000002</v>
      </c>
      <c r="E15" s="365">
        <v>66.832999999999998</v>
      </c>
      <c r="F15" s="365">
        <v>56.069000000000003</v>
      </c>
      <c r="G15" s="365">
        <v>59.137</v>
      </c>
      <c r="H15" s="365">
        <v>72.022999999999996</v>
      </c>
      <c r="I15" s="365">
        <v>83.078000000000003</v>
      </c>
      <c r="J15" s="365">
        <v>88.48</v>
      </c>
      <c r="K15" s="365">
        <v>100.458</v>
      </c>
      <c r="L15" s="365">
        <v>100.11799999999999</v>
      </c>
      <c r="M15" s="365">
        <v>69.245999999999995</v>
      </c>
      <c r="N15" s="374">
        <v>61.530999999999999</v>
      </c>
      <c r="O15" s="365">
        <f>44.7</f>
        <v>44.7</v>
      </c>
      <c r="P15" s="365">
        <v>31.805</v>
      </c>
      <c r="Q15" s="365">
        <v>28.521999999999998</v>
      </c>
      <c r="R15" s="365">
        <v>30.951000000000001</v>
      </c>
      <c r="S15" s="365">
        <v>32.468000000000004</v>
      </c>
      <c r="T15" s="365">
        <v>38.631999999999998</v>
      </c>
      <c r="U15" s="365">
        <v>27.472999999999999</v>
      </c>
      <c r="V15" s="365">
        <v>32.575000000000003</v>
      </c>
      <c r="W15" s="388">
        <f>37168/1000</f>
        <v>37.167999999999999</v>
      </c>
      <c r="X15" s="273">
        <f t="shared" si="2"/>
        <v>14.09976976208749</v>
      </c>
      <c r="Y15" s="49" t="s">
        <v>49</v>
      </c>
    </row>
    <row r="16" spans="1:25" ht="12.75" customHeight="1">
      <c r="A16" s="8"/>
      <c r="B16" s="10" t="s">
        <v>54</v>
      </c>
      <c r="C16" s="368"/>
      <c r="D16" s="367">
        <v>72.022000000000006</v>
      </c>
      <c r="E16" s="367">
        <v>64.129000000000005</v>
      </c>
      <c r="F16" s="367">
        <v>63.365000000000002</v>
      </c>
      <c r="G16" s="367">
        <v>77.438999999999993</v>
      </c>
      <c r="H16" s="367">
        <v>123.143</v>
      </c>
      <c r="I16" s="367">
        <v>205.626</v>
      </c>
      <c r="J16" s="367">
        <v>258.35500000000002</v>
      </c>
      <c r="K16" s="367">
        <v>269.47899999999998</v>
      </c>
      <c r="L16" s="367">
        <v>209.941</v>
      </c>
      <c r="M16" s="367">
        <v>134.63999999999999</v>
      </c>
      <c r="N16" s="367">
        <v>134.297</v>
      </c>
      <c r="O16" s="367">
        <f>119.438</f>
        <v>119.438</v>
      </c>
      <c r="P16" s="367">
        <v>97.944000000000003</v>
      </c>
      <c r="Q16" s="367">
        <v>92.409000000000006</v>
      </c>
      <c r="R16" s="367">
        <v>111.46299999999999</v>
      </c>
      <c r="S16" s="367">
        <v>132.53899999999999</v>
      </c>
      <c r="T16" s="367">
        <v>155.00399999999999</v>
      </c>
      <c r="U16" s="367">
        <v>136.18</v>
      </c>
      <c r="V16" s="367">
        <f>159872/1000</f>
        <v>159.87200000000001</v>
      </c>
      <c r="W16" s="371">
        <f>177037/1000</f>
        <v>177.03700000000001</v>
      </c>
      <c r="X16" s="274">
        <f t="shared" si="2"/>
        <v>10.736714371497186</v>
      </c>
      <c r="Y16" s="10" t="s">
        <v>54</v>
      </c>
    </row>
    <row r="17" spans="1:25" ht="12.75" customHeight="1">
      <c r="A17" s="8"/>
      <c r="B17" s="49" t="s">
        <v>55</v>
      </c>
      <c r="C17" s="364"/>
      <c r="D17" s="365">
        <v>179.55199999999999</v>
      </c>
      <c r="E17" s="365">
        <v>179.59</v>
      </c>
      <c r="F17" s="365">
        <v>168.75399999999999</v>
      </c>
      <c r="G17" s="365">
        <v>176.006</v>
      </c>
      <c r="H17" s="365">
        <v>183.81100000000001</v>
      </c>
      <c r="I17" s="365">
        <v>196.61799999999999</v>
      </c>
      <c r="J17" s="365">
        <v>229.364</v>
      </c>
      <c r="K17" s="365">
        <v>238.96600000000001</v>
      </c>
      <c r="L17" s="365">
        <v>237.59200000000001</v>
      </c>
      <c r="M17" s="365">
        <v>200.017</v>
      </c>
      <c r="N17" s="374">
        <v>231.59299999999999</v>
      </c>
      <c r="O17" s="365">
        <f>185.122</f>
        <v>185.12200000000001</v>
      </c>
      <c r="P17" s="365">
        <v>169.64400000000001</v>
      </c>
      <c r="Q17" s="365">
        <v>147.91499999999999</v>
      </c>
      <c r="R17" s="365">
        <v>153.32400000000001</v>
      </c>
      <c r="S17" s="365">
        <v>153.24199999999999</v>
      </c>
      <c r="T17" s="365">
        <v>163.33500000000001</v>
      </c>
      <c r="U17" s="365">
        <v>162.80799999999999</v>
      </c>
      <c r="V17" s="365">
        <f>177247/1000</f>
        <v>177.24700000000001</v>
      </c>
      <c r="W17" s="388">
        <f>197470/1000</f>
        <v>197.47</v>
      </c>
      <c r="X17" s="273">
        <f t="shared" si="2"/>
        <v>11.409501994391988</v>
      </c>
      <c r="Y17" s="49" t="s">
        <v>55</v>
      </c>
    </row>
    <row r="18" spans="1:25" ht="12.75" customHeight="1">
      <c r="A18" s="8"/>
      <c r="B18" s="10" t="s">
        <v>66</v>
      </c>
      <c r="C18" s="368"/>
      <c r="D18" s="367"/>
      <c r="E18" s="367"/>
      <c r="F18" s="367">
        <v>4.4829999999999997</v>
      </c>
      <c r="G18" s="367">
        <v>6.875</v>
      </c>
      <c r="H18" s="367">
        <v>6.6619999999999999</v>
      </c>
      <c r="I18" s="367">
        <v>6.7220000000000004</v>
      </c>
      <c r="J18" s="367">
        <v>7.7750000000000004</v>
      </c>
      <c r="K18" s="367">
        <v>8.9740000000000002</v>
      </c>
      <c r="L18" s="367">
        <v>8.8109999999999999</v>
      </c>
      <c r="M18" s="367">
        <v>4.7169999999999996</v>
      </c>
      <c r="N18" s="367">
        <v>2.851</v>
      </c>
      <c r="O18" s="367">
        <v>2.726</v>
      </c>
      <c r="P18" s="367">
        <v>2.3969999999999998</v>
      </c>
      <c r="Q18" s="367">
        <v>2.028</v>
      </c>
      <c r="R18" s="367">
        <v>1.51</v>
      </c>
      <c r="S18" s="367">
        <v>1.5109999999999999</v>
      </c>
      <c r="T18" s="367">
        <v>1.8109999999999999</v>
      </c>
      <c r="U18" s="367">
        <v>2.2160000000000002</v>
      </c>
      <c r="V18" s="367">
        <f>2779/1000</f>
        <v>2.7789999999999999</v>
      </c>
      <c r="W18" s="371">
        <f>3237/1000</f>
        <v>3.2370000000000001</v>
      </c>
      <c r="X18" s="274">
        <f t="shared" si="2"/>
        <v>16.480748470672907</v>
      </c>
      <c r="Y18" s="10" t="s">
        <v>66</v>
      </c>
    </row>
    <row r="19" spans="1:25" ht="12.75" customHeight="1">
      <c r="A19" s="8"/>
      <c r="B19" s="154" t="s">
        <v>57</v>
      </c>
      <c r="C19" s="373"/>
      <c r="D19" s="374">
        <v>524.61900000000003</v>
      </c>
      <c r="E19" s="374">
        <v>420.35500000000002</v>
      </c>
      <c r="F19" s="374">
        <v>392.76299999999998</v>
      </c>
      <c r="G19" s="374">
        <v>408.61700000000002</v>
      </c>
      <c r="H19" s="374">
        <v>421.48899999999998</v>
      </c>
      <c r="I19" s="374">
        <v>420.47800000000001</v>
      </c>
      <c r="J19" s="374">
        <v>444.98700000000002</v>
      </c>
      <c r="K19" s="374">
        <v>435.959</v>
      </c>
      <c r="L19" s="374">
        <v>408.24900000000002</v>
      </c>
      <c r="M19" s="374">
        <v>445.62099999999998</v>
      </c>
      <c r="N19" s="374">
        <v>306.30700000000002</v>
      </c>
      <c r="O19" s="374">
        <f>254.906</f>
        <v>254.90600000000001</v>
      </c>
      <c r="P19" s="374">
        <f>206.303</f>
        <v>206.303</v>
      </c>
      <c r="Q19" s="374">
        <v>154.1</v>
      </c>
      <c r="R19" s="374">
        <v>156.53899999999999</v>
      </c>
      <c r="S19" s="374">
        <v>172.066</v>
      </c>
      <c r="T19" s="374">
        <v>195.405</v>
      </c>
      <c r="U19" s="374">
        <v>204.57900000000001</v>
      </c>
      <c r="V19" s="374">
        <f>219744/1000</f>
        <v>219.744</v>
      </c>
      <c r="W19" s="392">
        <f>231712/1000</f>
        <v>231.71199999999999</v>
      </c>
      <c r="X19" s="273">
        <f t="shared" si="2"/>
        <v>5.4463375564292988</v>
      </c>
      <c r="Y19" s="154" t="s">
        <v>57</v>
      </c>
    </row>
    <row r="20" spans="1:25" ht="12.75" customHeight="1">
      <c r="A20" s="8"/>
      <c r="B20" s="10" t="s">
        <v>36</v>
      </c>
      <c r="C20" s="368" t="s">
        <v>71</v>
      </c>
      <c r="D20" s="367"/>
      <c r="E20" s="367">
        <v>2.8340000000000001</v>
      </c>
      <c r="F20" s="367">
        <v>2.145</v>
      </c>
      <c r="G20" s="367">
        <v>1.8240000000000001</v>
      </c>
      <c r="H20" s="367">
        <v>2.2730000000000001</v>
      </c>
      <c r="I20" s="367">
        <v>2.4550000000000001</v>
      </c>
      <c r="J20" s="367">
        <v>2.9249999999999998</v>
      </c>
      <c r="K20" s="367">
        <v>3.71</v>
      </c>
      <c r="L20" s="367">
        <v>4.4589999999999996</v>
      </c>
      <c r="M20" s="367">
        <v>3.14</v>
      </c>
      <c r="N20" s="367">
        <v>3.06</v>
      </c>
      <c r="O20" s="367">
        <f>2.527</f>
        <v>2.5270000000000001</v>
      </c>
      <c r="P20" s="367">
        <v>2.0739999999999998</v>
      </c>
      <c r="Q20" s="367">
        <v>1.675</v>
      </c>
      <c r="R20" s="367">
        <v>1.901</v>
      </c>
      <c r="S20" s="367">
        <v>1.673</v>
      </c>
      <c r="T20" s="367">
        <v>1.996</v>
      </c>
      <c r="U20" s="367">
        <v>2.0230000000000001</v>
      </c>
      <c r="V20" s="367">
        <v>2.3199999999999998</v>
      </c>
      <c r="W20" s="371">
        <f>1937/1000</f>
        <v>1.9370000000000001</v>
      </c>
      <c r="X20" s="274">
        <f t="shared" si="2"/>
        <v>-16.50862068965516</v>
      </c>
      <c r="Y20" s="10" t="s">
        <v>36</v>
      </c>
    </row>
    <row r="21" spans="1:25" ht="12.75" customHeight="1">
      <c r="A21" s="8"/>
      <c r="B21" s="154" t="s">
        <v>40</v>
      </c>
      <c r="C21" s="373" t="s">
        <v>71</v>
      </c>
      <c r="D21" s="374" t="s">
        <v>71</v>
      </c>
      <c r="E21" s="374" t="s">
        <v>71</v>
      </c>
      <c r="F21" s="374">
        <v>0.216</v>
      </c>
      <c r="G21" s="374">
        <v>0.221</v>
      </c>
      <c r="H21" s="374">
        <v>0.373</v>
      </c>
      <c r="I21" s="374">
        <v>0.4</v>
      </c>
      <c r="J21" s="374">
        <v>0.77300000000000002</v>
      </c>
      <c r="K21" s="374">
        <v>1.53</v>
      </c>
      <c r="L21" s="374">
        <v>1.5680000000000001</v>
      </c>
      <c r="M21" s="374">
        <v>0.34799999999999998</v>
      </c>
      <c r="N21" s="374">
        <v>0.27800000000000002</v>
      </c>
      <c r="O21" s="374">
        <f>0.472</f>
        <v>0.47199999999999998</v>
      </c>
      <c r="P21" s="374">
        <v>0.49399999999999999</v>
      </c>
      <c r="Q21" s="374">
        <v>0.47699999999999998</v>
      </c>
      <c r="R21" s="374">
        <v>0.58899999999999997</v>
      </c>
      <c r="S21" s="374">
        <v>0.59499999999999997</v>
      </c>
      <c r="T21" s="374">
        <v>0.64200000000000002</v>
      </c>
      <c r="U21" s="374">
        <v>0.624</v>
      </c>
      <c r="V21" s="374">
        <v>0.79100000000000004</v>
      </c>
      <c r="W21" s="392">
        <f>1022/1000</f>
        <v>1.022</v>
      </c>
      <c r="X21" s="273">
        <f t="shared" si="2"/>
        <v>29.203539823008839</v>
      </c>
      <c r="Y21" s="154" t="s">
        <v>40</v>
      </c>
    </row>
    <row r="22" spans="1:25" ht="12.75" customHeight="1">
      <c r="A22" s="8"/>
      <c r="B22" s="10" t="s">
        <v>41</v>
      </c>
      <c r="C22" s="368" t="s">
        <v>71</v>
      </c>
      <c r="D22" s="367">
        <v>0.377</v>
      </c>
      <c r="E22" s="367">
        <v>0.51600000000000001</v>
      </c>
      <c r="F22" s="367">
        <v>0.79300000000000004</v>
      </c>
      <c r="G22" s="367">
        <v>0.85799999999999998</v>
      </c>
      <c r="H22" s="367">
        <v>1.101</v>
      </c>
      <c r="I22" s="367">
        <v>1.653</v>
      </c>
      <c r="J22" s="367">
        <v>2.4569999999999999</v>
      </c>
      <c r="K22" s="367">
        <v>4.42</v>
      </c>
      <c r="L22" s="367">
        <v>5.6219999999999999</v>
      </c>
      <c r="M22" s="367">
        <v>3.89</v>
      </c>
      <c r="N22" s="370">
        <f>0.229</f>
        <v>0.22900000000000001</v>
      </c>
      <c r="O22" s="367">
        <v>0.28000000000000003</v>
      </c>
      <c r="P22" s="367">
        <v>0.224</v>
      </c>
      <c r="Q22" s="367">
        <v>0.24099999999999999</v>
      </c>
      <c r="R22" s="367">
        <v>0.29399999999999998</v>
      </c>
      <c r="S22" s="367">
        <v>0.29399999999999998</v>
      </c>
      <c r="T22" s="367">
        <v>0.39</v>
      </c>
      <c r="U22" s="367">
        <v>0.36699999999999999</v>
      </c>
      <c r="V22" s="367">
        <v>0.41399999999999998</v>
      </c>
      <c r="W22" s="371">
        <f>557/1000</f>
        <v>0.55700000000000005</v>
      </c>
      <c r="X22" s="274">
        <f t="shared" si="2"/>
        <v>34.541062801932384</v>
      </c>
      <c r="Y22" s="10" t="s">
        <v>41</v>
      </c>
    </row>
    <row r="23" spans="1:25" ht="12.75" customHeight="1">
      <c r="A23" s="8"/>
      <c r="B23" s="154" t="s">
        <v>58</v>
      </c>
      <c r="C23" s="373">
        <v>0.98499999999999999</v>
      </c>
      <c r="D23" s="374">
        <v>1.26</v>
      </c>
      <c r="E23" s="374">
        <v>1.139</v>
      </c>
      <c r="F23" s="374">
        <v>1.3240000000000001</v>
      </c>
      <c r="G23" s="374">
        <v>1.4370000000000001</v>
      </c>
      <c r="H23" s="374">
        <v>1.3540000000000001</v>
      </c>
      <c r="I23" s="374">
        <v>1.2649999999999999</v>
      </c>
      <c r="J23" s="374">
        <v>1.3779999999999999</v>
      </c>
      <c r="K23" s="374">
        <v>1.417</v>
      </c>
      <c r="L23" s="374">
        <v>1.353</v>
      </c>
      <c r="M23" s="374">
        <v>1.5529999999999999</v>
      </c>
      <c r="N23" s="374">
        <v>1.5620000000000001</v>
      </c>
      <c r="O23" s="374">
        <f>1.306</f>
        <v>1.306</v>
      </c>
      <c r="P23" s="374">
        <v>1.2010000000000001</v>
      </c>
      <c r="Q23" s="374">
        <v>1.5660000000000001</v>
      </c>
      <c r="R23" s="374">
        <v>1.734</v>
      </c>
      <c r="S23" s="374">
        <v>1.6539999999999999</v>
      </c>
      <c r="T23" s="374">
        <v>1.7829999999999999</v>
      </c>
      <c r="U23" s="374">
        <v>1.8380000000000001</v>
      </c>
      <c r="V23" s="374">
        <f>2006/1000</f>
        <v>2.0059999999999998</v>
      </c>
      <c r="W23" s="392">
        <f>2130/1000</f>
        <v>2.13</v>
      </c>
      <c r="X23" s="273">
        <f t="shared" si="2"/>
        <v>6.1814556331007111</v>
      </c>
      <c r="Y23" s="154" t="s">
        <v>58</v>
      </c>
    </row>
    <row r="24" spans="1:25" ht="12.75" customHeight="1">
      <c r="A24" s="8"/>
      <c r="B24" s="10" t="s">
        <v>39</v>
      </c>
      <c r="C24" s="368" t="s">
        <v>71</v>
      </c>
      <c r="D24" s="367" t="s">
        <v>71</v>
      </c>
      <c r="E24" s="367" t="s">
        <v>71</v>
      </c>
      <c r="F24" s="367">
        <v>7.4379999999999997</v>
      </c>
      <c r="G24" s="367">
        <v>8.875</v>
      </c>
      <c r="H24" s="367">
        <v>16.152000000000001</v>
      </c>
      <c r="I24" s="367">
        <v>12.538</v>
      </c>
      <c r="J24" s="367">
        <v>12.048</v>
      </c>
      <c r="K24" s="367">
        <v>12.781000000000001</v>
      </c>
      <c r="L24" s="367">
        <v>12.285</v>
      </c>
      <c r="M24" s="367">
        <v>4.0270000000000001</v>
      </c>
      <c r="N24" s="367">
        <v>3.2109999999999999</v>
      </c>
      <c r="O24" s="367">
        <f>2.091</f>
        <v>2.0910000000000002</v>
      </c>
      <c r="P24" s="367">
        <f>1.957</f>
        <v>1.9570000000000001</v>
      </c>
      <c r="Q24" s="367">
        <v>1.9890000000000001</v>
      </c>
      <c r="R24" s="367">
        <v>1.8859999999999999</v>
      </c>
      <c r="S24" s="367">
        <v>2.093</v>
      </c>
      <c r="T24" s="367">
        <v>2.2040000000000002</v>
      </c>
      <c r="U24" s="367">
        <v>2.274</v>
      </c>
      <c r="V24" s="367">
        <v>3.0510000000000002</v>
      </c>
      <c r="W24" s="371">
        <f>4061/1000</f>
        <v>4.0609999999999999</v>
      </c>
      <c r="X24" s="274">
        <f t="shared" si="2"/>
        <v>33.103900360537523</v>
      </c>
      <c r="Y24" s="10" t="s">
        <v>39</v>
      </c>
    </row>
    <row r="25" spans="1:25" ht="12.75" customHeight="1">
      <c r="A25" s="8"/>
      <c r="B25" s="154" t="s">
        <v>42</v>
      </c>
      <c r="C25" s="373" t="s">
        <v>71</v>
      </c>
      <c r="D25" s="374"/>
      <c r="E25" s="374"/>
      <c r="F25" s="374">
        <v>0.55100000000000005</v>
      </c>
      <c r="G25" s="374">
        <v>0.50800000000000001</v>
      </c>
      <c r="H25" s="374">
        <v>0.47299999999999998</v>
      </c>
      <c r="I25" s="374">
        <v>0.40799999999999997</v>
      </c>
      <c r="J25" s="374">
        <v>0.54400000000000004</v>
      </c>
      <c r="K25" s="374">
        <v>0.53200000000000003</v>
      </c>
      <c r="L25" s="374">
        <v>0.69899999999999995</v>
      </c>
      <c r="M25" s="374">
        <v>0.60799999999999998</v>
      </c>
      <c r="N25" s="374">
        <v>0.56799999999999995</v>
      </c>
      <c r="O25" s="374">
        <f>0.746</f>
        <v>0.746</v>
      </c>
      <c r="P25" s="374">
        <v>0.81200000000000006</v>
      </c>
      <c r="Q25" s="374">
        <v>0.873</v>
      </c>
      <c r="R25" s="374">
        <v>1.099</v>
      </c>
      <c r="S25" s="374">
        <v>1.2969999999999999</v>
      </c>
      <c r="T25" s="374">
        <v>2.4700000000000002</v>
      </c>
      <c r="U25" s="374">
        <v>2.2160000000000002</v>
      </c>
      <c r="V25" s="374">
        <f>2.516</f>
        <v>2.516</v>
      </c>
      <c r="W25" s="392">
        <f>3126/1000</f>
        <v>3.1259999999999999</v>
      </c>
      <c r="X25" s="273">
        <f t="shared" si="2"/>
        <v>24.244833068362468</v>
      </c>
      <c r="Y25" s="154" t="s">
        <v>42</v>
      </c>
    </row>
    <row r="26" spans="1:25" ht="12.75" customHeight="1">
      <c r="A26" s="8"/>
      <c r="B26" s="10" t="s">
        <v>50</v>
      </c>
      <c r="C26" s="368">
        <v>17.798999999999999</v>
      </c>
      <c r="D26" s="367">
        <v>19.626000000000001</v>
      </c>
      <c r="E26" s="367">
        <v>17.562000000000001</v>
      </c>
      <c r="F26" s="367">
        <v>16.844999999999999</v>
      </c>
      <c r="G26" s="367">
        <v>16.736999999999998</v>
      </c>
      <c r="H26" s="367">
        <v>17.565999999999999</v>
      </c>
      <c r="I26" s="367">
        <v>16.814</v>
      </c>
      <c r="J26" s="367">
        <v>14.79</v>
      </c>
      <c r="K26" s="367">
        <v>16.236999999999998</v>
      </c>
      <c r="L26" s="367">
        <v>16.960999999999999</v>
      </c>
      <c r="M26" s="367">
        <v>18.277999999999999</v>
      </c>
      <c r="N26" s="367">
        <v>15.24</v>
      </c>
      <c r="O26" s="367">
        <f>11.662</f>
        <v>11.662000000000001</v>
      </c>
      <c r="P26" s="367">
        <f>10.617</f>
        <v>10.617000000000001</v>
      </c>
      <c r="Q26" s="367">
        <v>9.57</v>
      </c>
      <c r="R26" s="367">
        <v>10.667</v>
      </c>
      <c r="S26" s="367">
        <v>11.673</v>
      </c>
      <c r="T26" s="367">
        <v>12.855</v>
      </c>
      <c r="U26" s="367">
        <v>13.057</v>
      </c>
      <c r="V26" s="367">
        <f>13474/1000</f>
        <v>13.474</v>
      </c>
      <c r="W26" s="371">
        <f>14378/1000</f>
        <v>14.378</v>
      </c>
      <c r="X26" s="274">
        <f t="shared" si="2"/>
        <v>6.7092177527089234</v>
      </c>
      <c r="Y26" s="10" t="s">
        <v>50</v>
      </c>
    </row>
    <row r="27" spans="1:25" ht="12.75" customHeight="1">
      <c r="A27" s="8"/>
      <c r="B27" s="154" t="s">
        <v>59</v>
      </c>
      <c r="C27" s="373">
        <v>18.704000000000001</v>
      </c>
      <c r="D27" s="374">
        <v>23.774999999999999</v>
      </c>
      <c r="E27" s="374">
        <v>19.952000000000002</v>
      </c>
      <c r="F27" s="374">
        <v>16.687000000000001</v>
      </c>
      <c r="G27" s="374">
        <v>17.93</v>
      </c>
      <c r="H27" s="374">
        <v>18.748000000000001</v>
      </c>
      <c r="I27" s="374">
        <v>19.094000000000001</v>
      </c>
      <c r="J27" s="374">
        <v>18.873000000000001</v>
      </c>
      <c r="K27" s="374">
        <v>23.748000000000001</v>
      </c>
      <c r="L27" s="374">
        <v>24.48</v>
      </c>
      <c r="M27" s="374">
        <v>23.712</v>
      </c>
      <c r="N27" s="374">
        <v>21.44</v>
      </c>
      <c r="O27" s="374">
        <f>22.75</f>
        <v>22.75</v>
      </c>
      <c r="P27" s="374">
        <f>24.808</f>
        <v>24.808</v>
      </c>
      <c r="Q27" s="374">
        <v>25.995999999999999</v>
      </c>
      <c r="R27" s="374">
        <v>25.155000000000001</v>
      </c>
      <c r="S27" s="374">
        <v>24.890999999999998</v>
      </c>
      <c r="T27" s="374">
        <v>29.763000000000002</v>
      </c>
      <c r="U27" s="374">
        <v>24.893000000000001</v>
      </c>
      <c r="V27" s="374">
        <f>25955/1000</f>
        <v>25.954999999999998</v>
      </c>
      <c r="W27" s="392">
        <f>27654/1000</f>
        <v>27.654</v>
      </c>
      <c r="X27" s="273">
        <f t="shared" si="2"/>
        <v>6.545944904642667</v>
      </c>
      <c r="Y27" s="154" t="s">
        <v>59</v>
      </c>
    </row>
    <row r="28" spans="1:25" ht="12.75" customHeight="1">
      <c r="A28" s="8"/>
      <c r="B28" s="10" t="s">
        <v>43</v>
      </c>
      <c r="C28" s="368" t="s">
        <v>71</v>
      </c>
      <c r="D28" s="367" t="s">
        <v>71</v>
      </c>
      <c r="E28" s="367" t="s">
        <v>71</v>
      </c>
      <c r="F28" s="367"/>
      <c r="G28" s="367">
        <v>1.3</v>
      </c>
      <c r="H28" s="367">
        <v>1.95</v>
      </c>
      <c r="I28" s="367">
        <v>3.8410000000000002</v>
      </c>
      <c r="J28" s="367">
        <v>5.1150000000000002</v>
      </c>
      <c r="K28" s="367">
        <v>7.5739999999999998</v>
      </c>
      <c r="L28" s="367">
        <v>10.696</v>
      </c>
      <c r="M28" s="367">
        <v>9.43</v>
      </c>
      <c r="N28" s="367">
        <v>8.7240000000000002</v>
      </c>
      <c r="O28" s="367">
        <f>8.957</f>
        <v>8.9570000000000007</v>
      </c>
      <c r="P28" s="367">
        <f>7.758</f>
        <v>7.758</v>
      </c>
      <c r="Q28" s="367">
        <v>7.3940000000000001</v>
      </c>
      <c r="R28" s="367">
        <v>9.8480000000000008</v>
      </c>
      <c r="S28" s="367">
        <v>23.864999999999998</v>
      </c>
      <c r="T28" s="367">
        <v>25.823</v>
      </c>
      <c r="U28" s="367">
        <v>15.025</v>
      </c>
      <c r="V28" s="367">
        <v>14.55</v>
      </c>
      <c r="W28" s="371">
        <f>19200/1000</f>
        <v>19.2</v>
      </c>
      <c r="X28" s="274">
        <f t="shared" si="2"/>
        <v>31.958762886597924</v>
      </c>
      <c r="Y28" s="10" t="s">
        <v>43</v>
      </c>
    </row>
    <row r="29" spans="1:25" ht="12.75" customHeight="1">
      <c r="A29" s="8"/>
      <c r="B29" s="154" t="s">
        <v>60</v>
      </c>
      <c r="C29" s="373">
        <v>12.058999999999999</v>
      </c>
      <c r="D29" s="374">
        <v>17.716000000000001</v>
      </c>
      <c r="E29" s="374">
        <v>17.087</v>
      </c>
      <c r="F29" s="374">
        <v>14.218</v>
      </c>
      <c r="G29" s="374">
        <v>11.198</v>
      </c>
      <c r="H29" s="374">
        <v>11.561999999999999</v>
      </c>
      <c r="I29" s="374">
        <v>11.231999999999999</v>
      </c>
      <c r="J29" s="374">
        <v>11.435</v>
      </c>
      <c r="K29" s="374">
        <v>11.991</v>
      </c>
      <c r="L29" s="374">
        <v>10.762</v>
      </c>
      <c r="M29" s="374">
        <v>13.475</v>
      </c>
      <c r="N29" s="374">
        <v>18.896000000000001</v>
      </c>
      <c r="O29" s="374">
        <f>18.937</f>
        <v>18.937000000000001</v>
      </c>
      <c r="P29" s="374">
        <v>17.18</v>
      </c>
      <c r="Q29" s="374">
        <v>14.593999999999999</v>
      </c>
      <c r="R29" s="374">
        <v>15.423999999999999</v>
      </c>
      <c r="S29" s="374">
        <v>17.611000000000001</v>
      </c>
      <c r="T29" s="374">
        <v>19.760000000000002</v>
      </c>
      <c r="U29" s="374">
        <v>24.809000000000001</v>
      </c>
      <c r="V29" s="374">
        <v>28.326000000000001</v>
      </c>
      <c r="W29" s="392">
        <f>29857/1000</f>
        <v>29.856999999999999</v>
      </c>
      <c r="X29" s="273">
        <f t="shared" si="2"/>
        <v>5.4049283343924373</v>
      </c>
      <c r="Y29" s="154" t="s">
        <v>60</v>
      </c>
    </row>
    <row r="30" spans="1:25" ht="12.75" customHeight="1">
      <c r="A30" s="8"/>
      <c r="B30" s="10" t="s">
        <v>44</v>
      </c>
      <c r="C30" s="368"/>
      <c r="D30" s="367"/>
      <c r="E30" s="367"/>
      <c r="F30" s="367"/>
      <c r="G30" s="367">
        <v>0.61599999999999999</v>
      </c>
      <c r="H30" s="367">
        <v>0.83299999999999996</v>
      </c>
      <c r="I30" s="367">
        <v>0.82799999999999996</v>
      </c>
      <c r="J30" s="367">
        <v>5.0830000000000002</v>
      </c>
      <c r="K30" s="367">
        <v>4.7789999999999999</v>
      </c>
      <c r="L30" s="367">
        <v>6.9610000000000003</v>
      </c>
      <c r="M30" s="367">
        <v>8.64</v>
      </c>
      <c r="N30" s="370">
        <f>1633/1000</f>
        <v>1.633</v>
      </c>
      <c r="O30" s="367">
        <f>1314/1000</f>
        <v>1.3140000000000001</v>
      </c>
      <c r="P30" s="370">
        <f>1212/1000</f>
        <v>1.212</v>
      </c>
      <c r="Q30" s="367">
        <f>(1229-106)/1000</f>
        <v>1.123</v>
      </c>
      <c r="R30" s="367">
        <f>(1229-27)/1000</f>
        <v>1.202</v>
      </c>
      <c r="S30" s="367">
        <f>(1358-27)/1000</f>
        <v>1.331</v>
      </c>
      <c r="T30" s="367">
        <f>(1986-29)/1000</f>
        <v>1.9570000000000001</v>
      </c>
      <c r="U30" s="367">
        <f>(2125-18)/1000</f>
        <v>2.1070000000000002</v>
      </c>
      <c r="V30" s="367">
        <f>(2721-29)/1000</f>
        <v>2.6920000000000002</v>
      </c>
      <c r="W30" s="371">
        <f>(3926-18)/1000</f>
        <v>3.9079999999999999</v>
      </c>
      <c r="X30" s="274">
        <f t="shared" si="2"/>
        <v>45.170876671619595</v>
      </c>
      <c r="Y30" s="10" t="s">
        <v>44</v>
      </c>
    </row>
    <row r="31" spans="1:25" ht="12.75" customHeight="1">
      <c r="A31" s="8"/>
      <c r="B31" s="154" t="s">
        <v>46</v>
      </c>
      <c r="C31" s="373" t="s">
        <v>71</v>
      </c>
      <c r="D31" s="374">
        <v>1.23</v>
      </c>
      <c r="E31" s="374">
        <v>0.96499999999999997</v>
      </c>
      <c r="F31" s="374">
        <v>1.159</v>
      </c>
      <c r="G31" s="374">
        <v>1.466</v>
      </c>
      <c r="H31" s="374">
        <v>2.0720000000000001</v>
      </c>
      <c r="I31" s="374">
        <v>2.5350000000000001</v>
      </c>
      <c r="J31" s="374">
        <v>3.5979999999999999</v>
      </c>
      <c r="K31" s="374">
        <v>5.0609999999999999</v>
      </c>
      <c r="L31" s="374">
        <v>5.2960000000000003</v>
      </c>
      <c r="M31" s="374">
        <v>3.7949999999999999</v>
      </c>
      <c r="N31" s="374">
        <f>2.658</f>
        <v>2.6579999999999999</v>
      </c>
      <c r="O31" s="374">
        <v>2.1389999999999998</v>
      </c>
      <c r="P31" s="374">
        <v>2.0419999999999998</v>
      </c>
      <c r="Q31" s="374">
        <v>2.38</v>
      </c>
      <c r="R31" s="374">
        <v>1.7070000000000001</v>
      </c>
      <c r="S31" s="374">
        <v>1.855</v>
      </c>
      <c r="T31" s="374">
        <v>2.0739999999999998</v>
      </c>
      <c r="U31" s="374">
        <v>2.2690000000000001</v>
      </c>
      <c r="V31" s="374">
        <v>2.347</v>
      </c>
      <c r="W31" s="392">
        <f>2333/1000</f>
        <v>2.3330000000000002</v>
      </c>
      <c r="X31" s="273">
        <f t="shared" si="2"/>
        <v>-0.59650617809970186</v>
      </c>
      <c r="Y31" s="154" t="s">
        <v>46</v>
      </c>
    </row>
    <row r="32" spans="1:25" ht="12.75" customHeight="1">
      <c r="A32" s="8"/>
      <c r="B32" s="10" t="s">
        <v>45</v>
      </c>
      <c r="C32" s="368" t="s">
        <v>71</v>
      </c>
      <c r="D32" s="367" t="s">
        <v>71</v>
      </c>
      <c r="E32" s="367" t="s">
        <v>71</v>
      </c>
      <c r="F32" s="367"/>
      <c r="G32" s="367"/>
      <c r="H32" s="367">
        <v>1.165</v>
      </c>
      <c r="I32" s="367">
        <v>1.165</v>
      </c>
      <c r="J32" s="367">
        <v>2.1219999999999999</v>
      </c>
      <c r="K32" s="367">
        <v>3.1440000000000001</v>
      </c>
      <c r="L32" s="367">
        <v>3.1389999999999998</v>
      </c>
      <c r="M32" s="367">
        <v>2.331</v>
      </c>
      <c r="N32" s="367">
        <f>2.324</f>
        <v>2.3239999999999998</v>
      </c>
      <c r="O32" s="367">
        <f>1.96</f>
        <v>1.96</v>
      </c>
      <c r="P32" s="367">
        <f>1.92</f>
        <v>1.92</v>
      </c>
      <c r="Q32" s="367">
        <v>2.84</v>
      </c>
      <c r="R32" s="376">
        <f>Q32*80791/74101</f>
        <v>3.0964013980917935</v>
      </c>
      <c r="S32" s="367">
        <v>5.3090000000000002</v>
      </c>
      <c r="T32" s="367">
        <v>5.5650000000000004</v>
      </c>
      <c r="U32" s="367">
        <v>4.923</v>
      </c>
      <c r="V32" s="367">
        <f>5280/1000</f>
        <v>5.28</v>
      </c>
      <c r="W32" s="371">
        <f>5745/1000</f>
        <v>5.7450000000000001</v>
      </c>
      <c r="X32" s="274">
        <f t="shared" si="2"/>
        <v>8.806818181818187</v>
      </c>
      <c r="Y32" s="10" t="s">
        <v>45</v>
      </c>
    </row>
    <row r="33" spans="1:25" ht="12.75" customHeight="1">
      <c r="A33" s="8"/>
      <c r="B33" s="154" t="s">
        <v>61</v>
      </c>
      <c r="C33" s="373"/>
      <c r="D33" s="374">
        <v>5.1669999999999998</v>
      </c>
      <c r="E33" s="374">
        <v>4.4080000000000004</v>
      </c>
      <c r="F33" s="374">
        <v>4.92</v>
      </c>
      <c r="G33" s="374">
        <v>6.2640000000000002</v>
      </c>
      <c r="H33" s="374">
        <v>7.835</v>
      </c>
      <c r="I33" s="374">
        <v>9.2279999999999998</v>
      </c>
      <c r="J33" s="374">
        <v>11.058</v>
      </c>
      <c r="K33" s="374">
        <v>11.532999999999999</v>
      </c>
      <c r="L33" s="374">
        <v>9.0649999999999995</v>
      </c>
      <c r="M33" s="374">
        <v>8.8420000000000005</v>
      </c>
      <c r="N33" s="374">
        <f>9.478</f>
        <v>9.4779999999999998</v>
      </c>
      <c r="O33" s="374">
        <f>5.677</f>
        <v>5.6769999999999996</v>
      </c>
      <c r="P33" s="374">
        <f>4.986</f>
        <v>4.9859999999999998</v>
      </c>
      <c r="Q33" s="374">
        <v>3.9430000000000001</v>
      </c>
      <c r="R33" s="374">
        <v>3.4670000000000001</v>
      </c>
      <c r="S33" s="374">
        <v>3.157</v>
      </c>
      <c r="T33" s="374">
        <v>3.0219999999999998</v>
      </c>
      <c r="U33" s="374">
        <v>2.8290000000000002</v>
      </c>
      <c r="V33" s="374">
        <f>3203/1000</f>
        <v>3.2029999999999998</v>
      </c>
      <c r="W33" s="392">
        <f>3323/1000</f>
        <v>3.323</v>
      </c>
      <c r="X33" s="273">
        <f t="shared" si="2"/>
        <v>3.7464876678114223</v>
      </c>
      <c r="Y33" s="154" t="s">
        <v>61</v>
      </c>
    </row>
    <row r="34" spans="1:25" ht="12.75" customHeight="1">
      <c r="A34" s="8"/>
      <c r="B34" s="11" t="s">
        <v>62</v>
      </c>
      <c r="C34" s="382"/>
      <c r="D34" s="383">
        <v>18.401</v>
      </c>
      <c r="E34" s="383">
        <v>21.074000000000002</v>
      </c>
      <c r="F34" s="383">
        <v>23.052</v>
      </c>
      <c r="G34" s="383">
        <v>23.66</v>
      </c>
      <c r="H34" s="383">
        <v>25.3</v>
      </c>
      <c r="I34" s="383">
        <v>22.763000000000002</v>
      </c>
      <c r="J34" s="383">
        <v>27.050999999999998</v>
      </c>
      <c r="K34" s="383">
        <v>30.715</v>
      </c>
      <c r="L34" s="383">
        <v>20.422999999999998</v>
      </c>
      <c r="M34" s="383">
        <v>11.839</v>
      </c>
      <c r="N34" s="383">
        <v>14.811</v>
      </c>
      <c r="O34" s="926">
        <v>14.702</v>
      </c>
      <c r="P34" s="383">
        <v>13.689</v>
      </c>
      <c r="Q34" s="383">
        <v>12.99</v>
      </c>
      <c r="R34" s="383">
        <v>12.875999999999999</v>
      </c>
      <c r="S34" s="383">
        <v>14.391999999999999</v>
      </c>
      <c r="T34" s="383">
        <v>19.841999999999999</v>
      </c>
      <c r="U34" s="383">
        <v>11.99</v>
      </c>
      <c r="V34" s="383">
        <v>12.669</v>
      </c>
      <c r="W34" s="395">
        <v>12.772</v>
      </c>
      <c r="X34" s="274">
        <f t="shared" si="2"/>
        <v>0.81300813008130035</v>
      </c>
      <c r="Y34" s="11" t="s">
        <v>62</v>
      </c>
    </row>
    <row r="35" spans="1:25" ht="12.75" customHeight="1">
      <c r="A35" s="8"/>
      <c r="B35" s="155" t="s">
        <v>51</v>
      </c>
      <c r="C35" s="379"/>
      <c r="D35" s="380">
        <v>121.908</v>
      </c>
      <c r="E35" s="380">
        <v>123.866</v>
      </c>
      <c r="F35" s="380">
        <v>123.39100000000001</v>
      </c>
      <c r="G35" s="380">
        <v>119.348</v>
      </c>
      <c r="H35" s="380">
        <v>106.39100000000001</v>
      </c>
      <c r="I35" s="380">
        <v>108.05800000000001</v>
      </c>
      <c r="J35" s="380">
        <v>109.527</v>
      </c>
      <c r="K35" s="380">
        <v>119.863</v>
      </c>
      <c r="L35" s="380">
        <v>114.474</v>
      </c>
      <c r="M35" s="380">
        <v>95.230999999999995</v>
      </c>
      <c r="N35" s="380">
        <f>81.305</f>
        <v>81.305000000000007</v>
      </c>
      <c r="O35" s="380">
        <v>79.144999999999996</v>
      </c>
      <c r="P35" s="380">
        <f>80.029</f>
        <v>80.028999999999996</v>
      </c>
      <c r="Q35" s="380">
        <v>80.950999999999993</v>
      </c>
      <c r="R35" s="380">
        <v>91.492000000000004</v>
      </c>
      <c r="S35" s="380">
        <v>105.717</v>
      </c>
      <c r="T35" s="380">
        <v>119.889</v>
      </c>
      <c r="U35" s="380">
        <v>97.712999999999994</v>
      </c>
      <c r="V35" s="380">
        <f>100411/1000</f>
        <v>100.411</v>
      </c>
      <c r="W35" s="393">
        <f>101273/1000</f>
        <v>101.273</v>
      </c>
      <c r="X35" s="744">
        <f t="shared" si="2"/>
        <v>0.85847168138948859</v>
      </c>
      <c r="Y35" s="155" t="s">
        <v>51</v>
      </c>
    </row>
    <row r="36" spans="1:25" ht="12.75" customHeight="1">
      <c r="A36" s="8"/>
      <c r="B36" s="10" t="s">
        <v>161</v>
      </c>
      <c r="C36" s="368"/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>
        <v>0.77100000000000002</v>
      </c>
      <c r="P36" s="367">
        <v>0.78700000000000003</v>
      </c>
      <c r="Q36" s="367">
        <f>0.06+0.265+0.185+0.052</f>
        <v>0.56200000000000006</v>
      </c>
      <c r="R36" s="367">
        <f>0.562</f>
        <v>0.56200000000000006</v>
      </c>
      <c r="S36" s="367">
        <v>0.71399999999999997</v>
      </c>
      <c r="T36" s="367">
        <f>(65+235+323+41)/1000</f>
        <v>0.66400000000000003</v>
      </c>
      <c r="U36" s="367">
        <f>(65+235+323+41)/1000</f>
        <v>0.66400000000000003</v>
      </c>
      <c r="V36" s="367">
        <v>0.878</v>
      </c>
      <c r="W36" s="371">
        <f>1060/1000</f>
        <v>1.06</v>
      </c>
      <c r="X36" s="667">
        <f t="shared" si="2"/>
        <v>20.728929384965838</v>
      </c>
      <c r="Y36" s="10" t="s">
        <v>161</v>
      </c>
    </row>
    <row r="37" spans="1:25" ht="12.75" customHeight="1">
      <c r="A37" s="8"/>
      <c r="B37" s="154" t="s">
        <v>0</v>
      </c>
      <c r="C37" s="374">
        <v>1.0169999999999999</v>
      </c>
      <c r="D37" s="374">
        <v>0.46899999999999997</v>
      </c>
      <c r="E37" s="374">
        <v>0.29699999999999999</v>
      </c>
      <c r="F37" s="374"/>
      <c r="G37" s="374"/>
      <c r="H37" s="374"/>
      <c r="I37" s="374">
        <v>7.9000000000000001E-2</v>
      </c>
      <c r="J37" s="374">
        <v>2.4470000000000001</v>
      </c>
      <c r="K37" s="375">
        <v>3.1760000000000002</v>
      </c>
      <c r="L37" s="377">
        <v>6.4290000000000003</v>
      </c>
      <c r="M37" s="374">
        <v>4.7619999999999996</v>
      </c>
      <c r="N37" s="374">
        <v>3.15</v>
      </c>
      <c r="O37" s="374">
        <v>3.633</v>
      </c>
      <c r="P37" s="374">
        <v>3.3929999999999998</v>
      </c>
      <c r="Q37" s="374">
        <v>2.786</v>
      </c>
      <c r="R37" s="374">
        <v>2.5539999999999998</v>
      </c>
      <c r="S37" s="374">
        <v>2.391</v>
      </c>
      <c r="T37" s="374">
        <v>3.516</v>
      </c>
      <c r="U37" s="374">
        <v>5.6580000000000004</v>
      </c>
      <c r="V37" s="374">
        <v>3.0369999999999999</v>
      </c>
      <c r="W37" s="392">
        <f>3152/1000</f>
        <v>3.1520000000000001</v>
      </c>
      <c r="X37" s="273">
        <f t="shared" si="2"/>
        <v>3.7866315442871326</v>
      </c>
      <c r="Y37" s="154" t="s">
        <v>0</v>
      </c>
    </row>
    <row r="38" spans="1:25" ht="12.75" customHeight="1">
      <c r="A38" s="8"/>
      <c r="B38" s="10" t="s">
        <v>167</v>
      </c>
      <c r="C38" s="368"/>
      <c r="D38" s="367"/>
      <c r="E38" s="367"/>
      <c r="F38" s="367"/>
      <c r="G38" s="367"/>
      <c r="H38" s="367"/>
      <c r="I38" s="367"/>
      <c r="J38" s="367"/>
      <c r="K38" s="367"/>
      <c r="L38" s="367"/>
      <c r="M38" s="367"/>
      <c r="N38" s="367"/>
      <c r="O38" s="367"/>
      <c r="P38" s="367"/>
      <c r="Q38" s="367"/>
      <c r="R38" s="367"/>
      <c r="S38" s="367"/>
      <c r="T38" s="367"/>
      <c r="U38" s="367"/>
      <c r="V38" s="367"/>
      <c r="W38" s="371"/>
      <c r="X38" s="274"/>
      <c r="Y38" s="10" t="s">
        <v>167</v>
      </c>
    </row>
    <row r="39" spans="1:25" ht="12.75" customHeight="1">
      <c r="A39" s="8"/>
      <c r="B39" s="154" t="s">
        <v>160</v>
      </c>
      <c r="C39" s="374"/>
      <c r="D39" s="374"/>
      <c r="E39" s="374"/>
      <c r="F39" s="374"/>
      <c r="G39" s="374"/>
      <c r="H39" s="374"/>
      <c r="I39" s="374"/>
      <c r="J39" s="374"/>
      <c r="K39" s="374"/>
      <c r="L39" s="374"/>
      <c r="M39" s="374"/>
      <c r="N39" s="374">
        <v>8.0069999999999997</v>
      </c>
      <c r="O39" s="374">
        <v>4.7789999999999999</v>
      </c>
      <c r="P39" s="374">
        <v>5.109</v>
      </c>
      <c r="Q39" s="374">
        <v>4.883</v>
      </c>
      <c r="R39" s="374">
        <f>0.381+0.997+0.939+1.777</f>
        <v>4.0940000000000003</v>
      </c>
      <c r="S39" s="374">
        <v>3.9329999999999998</v>
      </c>
      <c r="T39" s="374">
        <v>2.681</v>
      </c>
      <c r="U39" s="374">
        <v>3.1339999999999999</v>
      </c>
      <c r="V39" s="374">
        <v>3.7040000000000002</v>
      </c>
      <c r="W39" s="392">
        <f>3947/1000</f>
        <v>3.9470000000000001</v>
      </c>
      <c r="X39" s="273">
        <f t="shared" si="2"/>
        <v>6.5604751619870285</v>
      </c>
      <c r="Y39" s="154" t="s">
        <v>160</v>
      </c>
    </row>
    <row r="40" spans="1:25" ht="12.75" customHeight="1">
      <c r="A40" s="8"/>
      <c r="B40" s="11" t="s">
        <v>47</v>
      </c>
      <c r="C40" s="382"/>
      <c r="D40" s="383"/>
      <c r="E40" s="383"/>
      <c r="F40" s="383">
        <v>12.86</v>
      </c>
      <c r="G40" s="383">
        <v>21.521000000000001</v>
      </c>
      <c r="H40" s="383">
        <v>92.186999999999998</v>
      </c>
      <c r="I40" s="383">
        <v>227.65700000000001</v>
      </c>
      <c r="J40" s="383">
        <v>389.50299999999999</v>
      </c>
      <c r="K40" s="383">
        <v>191.81</v>
      </c>
      <c r="L40" s="383">
        <v>192.53399999999999</v>
      </c>
      <c r="M40" s="383">
        <v>141.66300000000001</v>
      </c>
      <c r="N40" s="383">
        <v>135.608</v>
      </c>
      <c r="O40" s="383">
        <v>199.083</v>
      </c>
      <c r="P40" s="383">
        <v>179.226</v>
      </c>
      <c r="Q40" s="383">
        <v>184.863</v>
      </c>
      <c r="R40" s="383">
        <v>178.19900000000001</v>
      </c>
      <c r="S40" s="383">
        <v>162.79499999999999</v>
      </c>
      <c r="T40" s="383">
        <v>140.20599999999999</v>
      </c>
      <c r="U40" s="383">
        <v>139.74299999999999</v>
      </c>
      <c r="V40" s="383">
        <v>110.387</v>
      </c>
      <c r="W40" s="395">
        <f>94522/1000</f>
        <v>94.522000000000006</v>
      </c>
      <c r="X40" s="274">
        <f t="shared" si="2"/>
        <v>-14.372163388804836</v>
      </c>
      <c r="Y40" s="11" t="s">
        <v>47</v>
      </c>
    </row>
    <row r="41" spans="1:25" ht="12.75" customHeight="1">
      <c r="A41" s="8"/>
      <c r="B41" s="154" t="s">
        <v>33</v>
      </c>
      <c r="C41" s="373"/>
      <c r="D41" s="374">
        <v>0.214</v>
      </c>
      <c r="E41" s="374">
        <v>0.19700000000000001</v>
      </c>
      <c r="F41" s="374">
        <v>0.13800000000000001</v>
      </c>
      <c r="G41" s="374">
        <v>0.22500000000000001</v>
      </c>
      <c r="H41" s="374">
        <v>0.377</v>
      </c>
      <c r="I41" s="374">
        <v>1.08</v>
      </c>
      <c r="J41" s="374"/>
      <c r="K41" s="374"/>
      <c r="L41" s="374"/>
      <c r="M41" s="374"/>
      <c r="N41" s="374"/>
      <c r="O41" s="384"/>
      <c r="P41" s="384"/>
      <c r="Q41" s="374"/>
      <c r="R41" s="374"/>
      <c r="S41" s="374"/>
      <c r="T41" s="374"/>
      <c r="U41" s="374"/>
      <c r="V41" s="374"/>
      <c r="W41" s="392"/>
      <c r="X41" s="744"/>
      <c r="Y41" s="154" t="s">
        <v>33</v>
      </c>
    </row>
    <row r="42" spans="1:25" ht="12.75" customHeight="1">
      <c r="A42" s="8"/>
      <c r="B42" s="10" t="s">
        <v>63</v>
      </c>
      <c r="C42" s="368"/>
      <c r="D42" s="367"/>
      <c r="E42" s="367"/>
      <c r="F42" s="367">
        <v>6.0620000000000003</v>
      </c>
      <c r="G42" s="367">
        <v>5.4939999999999998</v>
      </c>
      <c r="H42" s="367">
        <v>5.609</v>
      </c>
      <c r="I42" s="367">
        <v>6.2169999999999996</v>
      </c>
      <c r="J42" s="367">
        <v>7.7640000000000002</v>
      </c>
      <c r="K42" s="367">
        <v>9.5909999999999993</v>
      </c>
      <c r="L42" s="367">
        <v>10.137</v>
      </c>
      <c r="M42" s="367">
        <v>7.6159999999999997</v>
      </c>
      <c r="N42" s="367">
        <v>6.98</v>
      </c>
      <c r="O42" s="367">
        <v>6.548</v>
      </c>
      <c r="P42" s="367">
        <v>6.5919999999999996</v>
      </c>
      <c r="Q42" s="367">
        <v>6.5270000000000001</v>
      </c>
      <c r="R42" s="367">
        <v>6.7770000000000001</v>
      </c>
      <c r="S42" s="367">
        <v>6.8319999999999999</v>
      </c>
      <c r="T42" s="367">
        <v>8.9339999999999993</v>
      </c>
      <c r="U42" s="367">
        <v>10.186999999999999</v>
      </c>
      <c r="V42" s="367">
        <v>11.286</v>
      </c>
      <c r="W42" s="371">
        <f>10483/1000</f>
        <v>10.483000000000001</v>
      </c>
      <c r="X42" s="274">
        <f t="shared" si="2"/>
        <v>-7.115009746588683</v>
      </c>
      <c r="Y42" s="10" t="s">
        <v>63</v>
      </c>
    </row>
    <row r="43" spans="1:25" ht="12.75" customHeight="1">
      <c r="A43" s="8"/>
      <c r="B43" s="155" t="s">
        <v>34</v>
      </c>
      <c r="C43" s="379"/>
      <c r="D43" s="380">
        <v>30.585000000000001</v>
      </c>
      <c r="E43" s="380">
        <v>29.52</v>
      </c>
      <c r="F43" s="380">
        <v>27.491</v>
      </c>
      <c r="G43" s="380">
        <v>40.627000000000002</v>
      </c>
      <c r="H43" s="380">
        <v>42.521999999999998</v>
      </c>
      <c r="I43" s="380">
        <v>40.238</v>
      </c>
      <c r="J43" s="380">
        <v>40.665999999999997</v>
      </c>
      <c r="K43" s="380">
        <v>43.140999999999998</v>
      </c>
      <c r="L43" s="380">
        <v>43.779000000000003</v>
      </c>
      <c r="M43" s="380">
        <v>40.402999999999999</v>
      </c>
      <c r="N43" s="380">
        <v>38.235999999999997</v>
      </c>
      <c r="O43" s="380">
        <v>42.933</v>
      </c>
      <c r="P43" s="380">
        <v>44.545000000000002</v>
      </c>
      <c r="Q43" s="380">
        <v>42.804000000000002</v>
      </c>
      <c r="R43" s="380">
        <v>43.564999999999998</v>
      </c>
      <c r="S43" s="380">
        <v>47.661000000000001</v>
      </c>
      <c r="T43" s="380">
        <v>44.662999999999997</v>
      </c>
      <c r="U43" s="380">
        <v>44.375999999999998</v>
      </c>
      <c r="V43" s="380">
        <v>40.82</v>
      </c>
      <c r="W43" s="393">
        <f>39153/1000</f>
        <v>39.152999999999999</v>
      </c>
      <c r="X43" s="273">
        <f t="shared" si="2"/>
        <v>-4.0837824595786429</v>
      </c>
      <c r="Y43" s="155" t="s">
        <v>34</v>
      </c>
    </row>
    <row r="44" spans="1:25" ht="12.75" customHeight="1">
      <c r="A44" s="8"/>
      <c r="B44" s="1064" t="s">
        <v>352</v>
      </c>
      <c r="C44" s="1064"/>
      <c r="D44" s="1064"/>
      <c r="E44" s="1064"/>
      <c r="F44" s="1064"/>
      <c r="G44" s="1064"/>
      <c r="H44" s="1064"/>
      <c r="I44" s="1064"/>
      <c r="J44" s="1064"/>
      <c r="K44" s="1064"/>
      <c r="L44" s="1064"/>
      <c r="M44" s="1064"/>
      <c r="N44" s="1064"/>
      <c r="O44" s="1064"/>
      <c r="P44" s="1064"/>
      <c r="Q44" s="1064"/>
      <c r="R44" s="1064"/>
      <c r="S44" s="1064"/>
      <c r="T44" s="571"/>
      <c r="U44" s="571"/>
      <c r="V44" s="571"/>
      <c r="W44" s="571"/>
      <c r="X44" s="930"/>
    </row>
    <row r="45" spans="1:25" ht="12.75" customHeight="1">
      <c r="A45" s="8"/>
      <c r="B45" s="1041" t="s">
        <v>346</v>
      </c>
      <c r="C45" s="1041"/>
      <c r="D45" s="1041"/>
      <c r="E45" s="1041"/>
      <c r="F45" s="1041"/>
      <c r="G45" s="1041"/>
      <c r="H45" s="1041"/>
      <c r="I45" s="1041"/>
      <c r="J45" s="1041"/>
      <c r="K45" s="1041"/>
      <c r="L45" s="1041"/>
      <c r="M45" s="1041"/>
      <c r="N45" s="1041"/>
      <c r="O45" s="1041"/>
      <c r="P45" s="1041"/>
      <c r="Q45" s="1041"/>
      <c r="R45" s="1041"/>
      <c r="S45" s="1041"/>
      <c r="T45" s="571"/>
      <c r="U45" s="571"/>
      <c r="V45" s="571"/>
      <c r="W45" s="571"/>
    </row>
    <row r="46" spans="1:25" ht="12.75" customHeight="1">
      <c r="A46" s="927"/>
      <c r="B46" s="1041" t="s">
        <v>335</v>
      </c>
      <c r="C46" s="1041"/>
      <c r="D46" s="1041"/>
      <c r="E46" s="1041"/>
      <c r="F46" s="1041"/>
      <c r="G46" s="1041"/>
      <c r="H46" s="1041"/>
      <c r="I46" s="1041"/>
      <c r="J46" s="1041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5"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5">
      <c r="H48" s="102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5:24">
      <c r="E49" s="710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5:24">
      <c r="E50" s="71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5:24"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5:24">
      <c r="K52"/>
      <c r="L52"/>
      <c r="M52" s="1"/>
      <c r="N52"/>
      <c r="O52"/>
      <c r="P52"/>
      <c r="Q52"/>
      <c r="R52"/>
      <c r="S52"/>
      <c r="T52"/>
      <c r="U52"/>
      <c r="V52"/>
      <c r="W52"/>
      <c r="X52"/>
    </row>
    <row r="53" spans="5:24"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5:24"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</sheetData>
  <mergeCells count="6">
    <mergeCell ref="B45:S45"/>
    <mergeCell ref="B44:S44"/>
    <mergeCell ref="B2:Y2"/>
    <mergeCell ref="B3:Y3"/>
    <mergeCell ref="B46:J46"/>
    <mergeCell ref="V4:W4"/>
  </mergeCells>
  <phoneticPr fontId="4" type="noConversion"/>
  <printOptions horizontalCentered="1"/>
  <pageMargins left="0.6692913385826772" right="0.6692913385826772" top="0.51181102362204722" bottom="0.27559055118110237" header="0" footer="0"/>
  <pageSetup paperSize="9" scale="56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2">
    <pageSetUpPr fitToPage="1"/>
  </sheetPr>
  <dimension ref="A1:Y46"/>
  <sheetViews>
    <sheetView topLeftCell="A19" workbookViewId="0">
      <selection activeCell="AC6" sqref="AC6"/>
    </sheetView>
  </sheetViews>
  <sheetFormatPr defaultRowHeight="12.75"/>
  <cols>
    <col min="1" max="1" width="3.7109375" customWidth="1"/>
    <col min="2" max="2" width="8.42578125" style="5" customWidth="1"/>
    <col min="3" max="3" width="8.7109375" style="5" hidden="1" customWidth="1"/>
    <col min="4" max="15" width="8.7109375" style="5" customWidth="1"/>
    <col min="16" max="18" width="10" style="191" customWidth="1"/>
    <col min="19" max="23" width="7.85546875" style="191" customWidth="1"/>
    <col min="24" max="24" width="6.7109375" style="5" customWidth="1"/>
  </cols>
  <sheetData>
    <row r="1" spans="1:25" ht="14.25" customHeight="1">
      <c r="B1" s="183"/>
      <c r="C1" s="183"/>
      <c r="D1" s="183"/>
      <c r="E1" s="183"/>
      <c r="F1" s="183"/>
      <c r="J1" s="16"/>
      <c r="K1" s="16"/>
      <c r="L1" s="16"/>
      <c r="M1" s="16"/>
      <c r="N1" s="16"/>
      <c r="O1" s="16"/>
      <c r="P1" s="184"/>
      <c r="Q1" s="184"/>
      <c r="R1" s="184"/>
      <c r="S1" s="184"/>
      <c r="T1" s="184"/>
      <c r="U1" s="184"/>
      <c r="V1" s="184"/>
      <c r="W1" s="184"/>
      <c r="X1" s="16" t="s">
        <v>126</v>
      </c>
    </row>
    <row r="2" spans="1:25" s="41" customFormat="1" ht="30" customHeight="1">
      <c r="B2" s="1086" t="s">
        <v>82</v>
      </c>
      <c r="C2" s="1086"/>
      <c r="D2" s="1086"/>
      <c r="E2" s="1086"/>
      <c r="F2" s="1086"/>
      <c r="G2" s="1086"/>
      <c r="H2" s="1086"/>
      <c r="I2" s="1086"/>
      <c r="J2" s="1086"/>
      <c r="K2" s="1086"/>
      <c r="L2" s="1086"/>
      <c r="M2" s="1086"/>
      <c r="N2" s="1086"/>
      <c r="O2" s="1086"/>
      <c r="P2" s="1086"/>
      <c r="Q2" s="1086"/>
      <c r="R2" s="1086"/>
      <c r="S2" s="1086"/>
      <c r="T2" s="1086"/>
      <c r="U2" s="1086"/>
      <c r="V2" s="1086"/>
      <c r="W2" s="1086"/>
      <c r="X2" s="1086"/>
    </row>
    <row r="3" spans="1:25" ht="15" customHeight="1">
      <c r="B3" s="1088" t="s">
        <v>83</v>
      </c>
      <c r="C3" s="1088"/>
      <c r="D3" s="1088"/>
      <c r="E3" s="1088"/>
      <c r="F3" s="1088"/>
      <c r="G3" s="1088"/>
      <c r="H3" s="1088"/>
      <c r="I3" s="1088"/>
      <c r="J3" s="1088"/>
      <c r="K3" s="1088"/>
      <c r="L3" s="1088"/>
      <c r="M3" s="1088"/>
      <c r="N3" s="1088"/>
      <c r="O3" s="1088"/>
      <c r="P3" s="1088"/>
      <c r="Q3" s="1088"/>
      <c r="R3" s="1088"/>
      <c r="S3" s="1088"/>
      <c r="T3" s="1088"/>
      <c r="U3" s="1088"/>
      <c r="V3" s="1088"/>
      <c r="W3" s="1088"/>
      <c r="X3" s="1088"/>
    </row>
    <row r="4" spans="1:25" ht="12.75" customHeight="1">
      <c r="L4" s="7"/>
      <c r="M4" s="7"/>
      <c r="N4" s="7"/>
      <c r="O4" s="7"/>
      <c r="Q4" s="7"/>
      <c r="R4" s="7"/>
      <c r="S4" s="7"/>
      <c r="T4" s="7"/>
      <c r="V4" s="1089" t="s">
        <v>2</v>
      </c>
      <c r="W4" s="1089"/>
    </row>
    <row r="5" spans="1:25" ht="37.5" customHeight="1">
      <c r="C5" s="51">
        <v>1995</v>
      </c>
      <c r="D5" s="51">
        <v>2000</v>
      </c>
      <c r="E5" s="52">
        <v>2001</v>
      </c>
      <c r="F5" s="52">
        <v>2002</v>
      </c>
      <c r="G5" s="52">
        <v>2003</v>
      </c>
      <c r="H5" s="52">
        <v>2004</v>
      </c>
      <c r="I5" s="52">
        <v>2005</v>
      </c>
      <c r="J5" s="52">
        <v>2006</v>
      </c>
      <c r="K5" s="52">
        <v>2007</v>
      </c>
      <c r="L5" s="52">
        <v>2008</v>
      </c>
      <c r="M5" s="52">
        <v>2009</v>
      </c>
      <c r="N5" s="52">
        <v>2010</v>
      </c>
      <c r="O5" s="52">
        <v>2011</v>
      </c>
      <c r="P5" s="52">
        <v>2012</v>
      </c>
      <c r="Q5" s="52">
        <v>2013</v>
      </c>
      <c r="R5" s="52">
        <v>2014</v>
      </c>
      <c r="S5" s="52">
        <v>2015</v>
      </c>
      <c r="T5" s="52">
        <v>2016</v>
      </c>
      <c r="U5" s="52">
        <v>2017</v>
      </c>
      <c r="V5" s="52">
        <v>2018</v>
      </c>
      <c r="W5" s="53">
        <v>2019</v>
      </c>
      <c r="X5" s="192" t="s">
        <v>362</v>
      </c>
      <c r="Y5" s="193"/>
    </row>
    <row r="6" spans="1:25" ht="12.75" customHeight="1">
      <c r="B6" s="153" t="s">
        <v>266</v>
      </c>
      <c r="C6" s="194"/>
      <c r="D6" s="360"/>
      <c r="E6" s="360"/>
      <c r="F6" s="360"/>
      <c r="G6" s="360"/>
      <c r="H6" s="360"/>
      <c r="I6" s="360"/>
      <c r="J6" s="360"/>
      <c r="K6" s="360"/>
      <c r="L6" s="360"/>
      <c r="M6" s="361"/>
      <c r="N6" s="361"/>
      <c r="O6" s="648">
        <f>SUM(O8:O34)+0.015</f>
        <v>575.50820831598912</v>
      </c>
      <c r="P6" s="648">
        <f>SUM(P8:P34)+0.015</f>
        <v>479.67445515394911</v>
      </c>
      <c r="Q6" s="648">
        <f t="shared" ref="Q6:W6" si="0">SUM(Q8:Q34)</f>
        <v>385.20503709520955</v>
      </c>
      <c r="R6" s="648">
        <f t="shared" si="0"/>
        <v>355.87415943810402</v>
      </c>
      <c r="S6" s="648">
        <f t="shared" si="0"/>
        <v>336.16233496952503</v>
      </c>
      <c r="T6" s="648">
        <f t="shared" si="0"/>
        <v>326.71043899455532</v>
      </c>
      <c r="U6" s="648">
        <f t="shared" si="0"/>
        <v>421.14948513026854</v>
      </c>
      <c r="V6" s="648">
        <f t="shared" si="0"/>
        <v>288.63241969811622</v>
      </c>
      <c r="W6" s="648">
        <f t="shared" si="0"/>
        <v>324.40211460764669</v>
      </c>
      <c r="X6" s="603">
        <f>W6/V6*100-100</f>
        <v>12.392819540834111</v>
      </c>
      <c r="Y6" s="153" t="s">
        <v>266</v>
      </c>
    </row>
    <row r="7" spans="1:25" ht="12.75" customHeight="1">
      <c r="B7" s="50" t="s">
        <v>168</v>
      </c>
      <c r="C7" s="194"/>
      <c r="D7" s="360"/>
      <c r="E7" s="360"/>
      <c r="F7" s="360"/>
      <c r="G7" s="360"/>
      <c r="H7" s="360"/>
      <c r="I7" s="360"/>
      <c r="J7" s="360"/>
      <c r="K7" s="360"/>
      <c r="L7" s="360"/>
      <c r="M7" s="361"/>
      <c r="N7" s="361"/>
      <c r="O7" s="361">
        <f>SUM(O8:O35)+0.015</f>
        <v>589.97420831598913</v>
      </c>
      <c r="P7" s="361">
        <f>SUM(P8:P35)+0.015</f>
        <v>493.09645515394914</v>
      </c>
      <c r="Q7" s="387">
        <f t="shared" ref="Q7:W7" si="1">SUM(Q8:Q35)</f>
        <v>395.93503709520957</v>
      </c>
      <c r="R7" s="387">
        <f t="shared" si="1"/>
        <v>366.502159438104</v>
      </c>
      <c r="S7" s="387">
        <f t="shared" si="1"/>
        <v>345.56433496952502</v>
      </c>
      <c r="T7" s="387">
        <f t="shared" si="1"/>
        <v>335.45843899455531</v>
      </c>
      <c r="U7" s="387">
        <f t="shared" si="1"/>
        <v>428.90148513026855</v>
      </c>
      <c r="V7" s="648">
        <f t="shared" si="1"/>
        <v>294.01441969811623</v>
      </c>
      <c r="W7" s="648">
        <f t="shared" si="1"/>
        <v>330.51511460764669</v>
      </c>
      <c r="X7" s="928">
        <f t="shared" ref="X7:X43" si="2">W7/V7*100-100</f>
        <v>12.414593456677437</v>
      </c>
      <c r="Y7" s="50" t="s">
        <v>168</v>
      </c>
    </row>
    <row r="8" spans="1:25" ht="12.75" customHeight="1">
      <c r="B8" s="9" t="s">
        <v>52</v>
      </c>
      <c r="C8" s="186">
        <v>27.582000000000001</v>
      </c>
      <c r="D8" s="362">
        <v>33.191000000000003</v>
      </c>
      <c r="E8" s="362">
        <v>30.190999999999999</v>
      </c>
      <c r="F8" s="362">
        <v>26.651</v>
      </c>
      <c r="G8" s="362">
        <v>20.581</v>
      </c>
      <c r="H8" s="362">
        <v>17.751000000000001</v>
      </c>
      <c r="I8" s="362">
        <v>17.347000000000001</v>
      </c>
      <c r="J8" s="362">
        <v>20.279</v>
      </c>
      <c r="K8" s="362">
        <v>21.434000000000001</v>
      </c>
      <c r="L8" s="362">
        <v>19.614000000000001</v>
      </c>
      <c r="M8" s="362">
        <v>17.044</v>
      </c>
      <c r="N8" s="362">
        <v>14.209</v>
      </c>
      <c r="O8" s="362">
        <f>12.125</f>
        <v>12.125</v>
      </c>
      <c r="P8" s="362">
        <v>10.385999999999999</v>
      </c>
      <c r="Q8" s="362">
        <v>8.8239999999999998</v>
      </c>
      <c r="R8" s="362">
        <v>10.936</v>
      </c>
      <c r="S8" s="362">
        <v>12.384</v>
      </c>
      <c r="T8" s="362">
        <v>10.599</v>
      </c>
      <c r="U8" s="362">
        <v>18.760999999999999</v>
      </c>
      <c r="V8" s="367">
        <v>21.390999999999998</v>
      </c>
      <c r="W8" s="647">
        <v>27.073</v>
      </c>
      <c r="X8" s="929">
        <f t="shared" si="2"/>
        <v>26.562573044738457</v>
      </c>
      <c r="Y8" s="63" t="s">
        <v>52</v>
      </c>
    </row>
    <row r="9" spans="1:25" ht="12.75" customHeight="1">
      <c r="A9" s="8"/>
      <c r="B9" s="49" t="s">
        <v>35</v>
      </c>
      <c r="C9" s="187"/>
      <c r="D9" s="365">
        <v>2.052</v>
      </c>
      <c r="E9" s="365">
        <v>2.1989999999999998</v>
      </c>
      <c r="F9" s="365">
        <v>2.4119999999999999</v>
      </c>
      <c r="G9" s="365">
        <v>2.6219999999999999</v>
      </c>
      <c r="H9" s="378">
        <f>AVERAGE(G9,I9)</f>
        <v>1.8434999999999999</v>
      </c>
      <c r="I9" s="365">
        <v>1.0649999999999999</v>
      </c>
      <c r="J9" s="365">
        <v>1.4890000000000001</v>
      </c>
      <c r="K9" s="365">
        <v>2.101</v>
      </c>
      <c r="L9" s="365">
        <v>3.9649999999999999</v>
      </c>
      <c r="M9" s="365">
        <v>2.4910000000000001</v>
      </c>
      <c r="N9" s="365">
        <v>2.1469999999999998</v>
      </c>
      <c r="O9" s="365">
        <v>1.6839999999999999</v>
      </c>
      <c r="P9" s="365">
        <v>1.7270000000000001</v>
      </c>
      <c r="Q9" s="365">
        <v>1.272</v>
      </c>
      <c r="R9" s="365">
        <v>1.0780000000000001</v>
      </c>
      <c r="S9" s="365">
        <v>0.80700000000000005</v>
      </c>
      <c r="T9" s="365">
        <f>0.776</f>
        <v>0.77600000000000002</v>
      </c>
      <c r="U9" s="365">
        <v>1.034</v>
      </c>
      <c r="V9" s="365">
        <v>0.83199999999999996</v>
      </c>
      <c r="W9" s="388">
        <f>1042/1000</f>
        <v>1.042</v>
      </c>
      <c r="X9" s="878">
        <f t="shared" si="2"/>
        <v>25.240384615384627</v>
      </c>
      <c r="Y9" s="62" t="s">
        <v>35</v>
      </c>
    </row>
    <row r="10" spans="1:25" ht="12.75" customHeight="1">
      <c r="A10" s="8"/>
      <c r="B10" s="10" t="s">
        <v>37</v>
      </c>
      <c r="C10" s="188"/>
      <c r="D10" s="367"/>
      <c r="E10" s="367"/>
      <c r="F10" s="367"/>
      <c r="G10" s="367">
        <v>7.7240000000000002</v>
      </c>
      <c r="H10" s="367">
        <v>6.9029999999999996</v>
      </c>
      <c r="I10" s="367">
        <v>8.0169999999999995</v>
      </c>
      <c r="J10" s="367">
        <v>6.0789999999999997</v>
      </c>
      <c r="K10" s="367">
        <v>6.1210000000000004</v>
      </c>
      <c r="L10" s="367">
        <v>5.7069999999999999</v>
      </c>
      <c r="M10" s="367">
        <v>4.327</v>
      </c>
      <c r="N10" s="367">
        <v>2.8530000000000002</v>
      </c>
      <c r="O10" s="367">
        <f>2.142</f>
        <v>2.1419999999999999</v>
      </c>
      <c r="P10" s="367">
        <v>2.3420000000000001</v>
      </c>
      <c r="Q10" s="376">
        <f>AVERAGE(P10,S10)</f>
        <v>1.923</v>
      </c>
      <c r="R10" s="367">
        <v>1.806</v>
      </c>
      <c r="S10" s="367">
        <v>1.504</v>
      </c>
      <c r="T10" s="367">
        <v>1.06</v>
      </c>
      <c r="U10" s="367">
        <v>1.417</v>
      </c>
      <c r="V10" s="367">
        <v>0.92200000000000004</v>
      </c>
      <c r="W10" s="371">
        <v>1.137</v>
      </c>
      <c r="X10" s="877">
        <f t="shared" si="2"/>
        <v>23.31887201735357</v>
      </c>
      <c r="Y10" s="64" t="s">
        <v>37</v>
      </c>
    </row>
    <row r="11" spans="1:25" ht="12.75" customHeight="1">
      <c r="A11" s="8"/>
      <c r="B11" s="49" t="s">
        <v>48</v>
      </c>
      <c r="C11" s="187">
        <v>10.818</v>
      </c>
      <c r="D11" s="365">
        <v>9.766</v>
      </c>
      <c r="E11" s="365">
        <v>6.7960000000000003</v>
      </c>
      <c r="F11" s="365">
        <v>5.048</v>
      </c>
      <c r="G11" s="365">
        <v>3.758</v>
      </c>
      <c r="H11" s="365">
        <v>4.1970000000000001</v>
      </c>
      <c r="I11" s="365">
        <v>4.9160000000000004</v>
      </c>
      <c r="J11" s="365">
        <v>4.4619999999999997</v>
      </c>
      <c r="K11" s="365">
        <v>4.5179999999999998</v>
      </c>
      <c r="L11" s="365">
        <v>3.67</v>
      </c>
      <c r="M11" s="372">
        <v>18.792000000000002</v>
      </c>
      <c r="N11" s="365">
        <v>17.634</v>
      </c>
      <c r="O11" s="365">
        <v>15.086</v>
      </c>
      <c r="P11" s="365">
        <v>12.698</v>
      </c>
      <c r="Q11" s="365">
        <v>8.9239999999999995</v>
      </c>
      <c r="R11" s="365">
        <v>8.2669999999999995</v>
      </c>
      <c r="S11" s="365">
        <v>7.9870000000000001</v>
      </c>
      <c r="T11" s="365">
        <v>8.5790000000000006</v>
      </c>
      <c r="U11" s="365">
        <v>15.375999999999999</v>
      </c>
      <c r="V11" s="365">
        <v>5.5709999999999997</v>
      </c>
      <c r="W11" s="388">
        <v>6.09</v>
      </c>
      <c r="X11" s="878">
        <f t="shared" si="2"/>
        <v>9.3161012385568114</v>
      </c>
      <c r="Y11" s="62" t="s">
        <v>48</v>
      </c>
    </row>
    <row r="12" spans="1:25" ht="12.75" customHeight="1">
      <c r="A12" s="8"/>
      <c r="B12" s="10" t="s">
        <v>53</v>
      </c>
      <c r="C12" s="188">
        <v>124.497</v>
      </c>
      <c r="D12" s="367">
        <v>108.67100000000001</v>
      </c>
      <c r="E12" s="367">
        <v>112.322</v>
      </c>
      <c r="F12" s="367">
        <v>94.576999999999998</v>
      </c>
      <c r="G12" s="367">
        <v>93.02</v>
      </c>
      <c r="H12" s="367">
        <v>81.28</v>
      </c>
      <c r="I12" s="367">
        <v>97.332999999999998</v>
      </c>
      <c r="J12" s="367">
        <v>109.90600000000001</v>
      </c>
      <c r="K12" s="367">
        <v>94.215000000000003</v>
      </c>
      <c r="L12" s="367">
        <v>79.56</v>
      </c>
      <c r="M12" s="367">
        <v>74.688000000000002</v>
      </c>
      <c r="N12" s="367">
        <v>64.938999999999993</v>
      </c>
      <c r="O12" s="367">
        <f>57.367</f>
        <v>57.366999999999997</v>
      </c>
      <c r="P12" s="367">
        <v>50.59</v>
      </c>
      <c r="Q12" s="367">
        <v>41.36</v>
      </c>
      <c r="R12" s="367">
        <v>34.203000000000003</v>
      </c>
      <c r="S12" s="367">
        <v>32.637999999999998</v>
      </c>
      <c r="T12" s="367">
        <v>30.11</v>
      </c>
      <c r="U12" s="367">
        <v>33.253999999999998</v>
      </c>
      <c r="V12" s="367">
        <v>25.634</v>
      </c>
      <c r="W12" s="371">
        <v>25.247</v>
      </c>
      <c r="X12" s="274">
        <f t="shared" si="2"/>
        <v>-1.5097136615432589</v>
      </c>
      <c r="Y12" s="64" t="s">
        <v>53</v>
      </c>
    </row>
    <row r="13" spans="1:25" ht="12.75" customHeight="1">
      <c r="A13" s="8"/>
      <c r="B13" s="49" t="s">
        <v>38</v>
      </c>
      <c r="C13" s="187"/>
      <c r="D13" s="365"/>
      <c r="E13" s="365"/>
      <c r="F13" s="365"/>
      <c r="G13" s="365"/>
      <c r="H13" s="365">
        <v>6.9029999999999996</v>
      </c>
      <c r="I13" s="365">
        <v>8.0169999999999995</v>
      </c>
      <c r="J13" s="365">
        <v>6.0789999999999997</v>
      </c>
      <c r="K13" s="365">
        <v>6.1210000000000004</v>
      </c>
      <c r="L13" s="365">
        <v>5.7069999999999999</v>
      </c>
      <c r="M13" s="372">
        <v>2.3E-2</v>
      </c>
      <c r="N13" s="365">
        <v>1.6E-2</v>
      </c>
      <c r="O13" s="365">
        <f>0.003</f>
        <v>3.0000000000000001E-3</v>
      </c>
      <c r="P13" s="372">
        <v>0.66200000000000003</v>
      </c>
      <c r="Q13" s="365">
        <v>0.66200000000000003</v>
      </c>
      <c r="R13" s="365">
        <v>0.749</v>
      </c>
      <c r="S13" s="365">
        <v>0.66600000000000004</v>
      </c>
      <c r="T13" s="365">
        <v>0.60299999999999998</v>
      </c>
      <c r="U13" s="365">
        <v>0.58799999999999997</v>
      </c>
      <c r="V13" s="365">
        <v>0.64800000000000002</v>
      </c>
      <c r="W13" s="388">
        <v>0.56000000000000005</v>
      </c>
      <c r="X13" s="878">
        <f t="shared" si="2"/>
        <v>-13.58024691358024</v>
      </c>
      <c r="Y13" s="62" t="s">
        <v>38</v>
      </c>
    </row>
    <row r="14" spans="1:25" ht="12.75" customHeight="1">
      <c r="A14" s="8"/>
      <c r="B14" s="10" t="s">
        <v>56</v>
      </c>
      <c r="C14" s="188">
        <v>0.437</v>
      </c>
      <c r="D14" s="367">
        <v>3.0230000000000001</v>
      </c>
      <c r="E14" s="367">
        <v>2.214</v>
      </c>
      <c r="F14" s="367">
        <v>2.3490000000000002</v>
      </c>
      <c r="G14" s="367">
        <v>2.14</v>
      </c>
      <c r="H14" s="367">
        <v>1.2989999999999999</v>
      </c>
      <c r="I14" s="367">
        <v>0.84899999999999998</v>
      </c>
      <c r="J14" s="367">
        <v>0.69799999999999995</v>
      </c>
      <c r="K14" s="367">
        <v>0.64100000000000001</v>
      </c>
      <c r="L14" s="367">
        <v>0.54900000000000004</v>
      </c>
      <c r="M14" s="367">
        <v>0.44700000000000001</v>
      </c>
      <c r="N14" s="367">
        <v>0.20599999999999999</v>
      </c>
      <c r="O14" s="367">
        <f>0.201</f>
        <v>0.20100000000000001</v>
      </c>
      <c r="P14" s="367">
        <v>0.18099999999999999</v>
      </c>
      <c r="Q14" s="367">
        <v>0.16900000000000001</v>
      </c>
      <c r="R14" s="367">
        <v>0.14099999999999999</v>
      </c>
      <c r="S14" s="367">
        <v>0.22700000000000001</v>
      </c>
      <c r="T14" s="367">
        <v>0.21199999999999999</v>
      </c>
      <c r="U14" s="367">
        <v>0.158</v>
      </c>
      <c r="V14" s="367">
        <v>0.22700000000000001</v>
      </c>
      <c r="W14" s="371">
        <v>0.223</v>
      </c>
      <c r="X14" s="274">
        <f t="shared" si="2"/>
        <v>-1.7621145374449299</v>
      </c>
      <c r="Y14" s="64" t="s">
        <v>56</v>
      </c>
    </row>
    <row r="15" spans="1:25" ht="12.75" customHeight="1">
      <c r="A15" s="8"/>
      <c r="B15" s="49" t="s">
        <v>49</v>
      </c>
      <c r="C15" s="187">
        <v>13.5</v>
      </c>
      <c r="D15" s="365">
        <v>19.242999999999999</v>
      </c>
      <c r="E15" s="365">
        <v>21.149000000000001</v>
      </c>
      <c r="F15" s="365">
        <v>20.221</v>
      </c>
      <c r="G15" s="365">
        <v>20.920999999999999</v>
      </c>
      <c r="H15" s="365">
        <v>21.856000000000002</v>
      </c>
      <c r="I15" s="365">
        <v>24.106999999999999</v>
      </c>
      <c r="J15" s="365">
        <v>36.295000000000002</v>
      </c>
      <c r="K15" s="365">
        <v>21.899000000000001</v>
      </c>
      <c r="L15" s="365">
        <v>25.01</v>
      </c>
      <c r="M15" s="365">
        <v>20.387</v>
      </c>
      <c r="N15" s="365">
        <v>18.858000000000001</v>
      </c>
      <c r="O15" s="365">
        <f>17.257</f>
        <v>17.257000000000001</v>
      </c>
      <c r="P15" s="365">
        <v>13.276</v>
      </c>
      <c r="Q15" s="365">
        <v>9.9250000000000007</v>
      </c>
      <c r="R15" s="365">
        <v>8.2010000000000005</v>
      </c>
      <c r="S15" s="365">
        <v>8.5500000000000007</v>
      </c>
      <c r="T15" s="365">
        <v>6.6360000000000001</v>
      </c>
      <c r="U15" s="365">
        <v>4.5170000000000003</v>
      </c>
      <c r="V15" s="365">
        <f>3386/1000</f>
        <v>3.3860000000000001</v>
      </c>
      <c r="W15" s="388">
        <f>2368/1000</f>
        <v>2.3679999999999999</v>
      </c>
      <c r="X15" s="878">
        <f t="shared" si="2"/>
        <v>-30.064973419964574</v>
      </c>
      <c r="Y15" s="62" t="s">
        <v>49</v>
      </c>
    </row>
    <row r="16" spans="1:25" ht="12.75" customHeight="1">
      <c r="A16" s="8"/>
      <c r="B16" s="10" t="s">
        <v>54</v>
      </c>
      <c r="C16" s="188">
        <v>155.22999999999999</v>
      </c>
      <c r="D16" s="367">
        <v>248.63300000000001</v>
      </c>
      <c r="E16" s="367">
        <v>176.489</v>
      </c>
      <c r="F16" s="367">
        <v>113.756</v>
      </c>
      <c r="G16" s="367">
        <v>110.42100000000001</v>
      </c>
      <c r="H16" s="367">
        <v>118.128</v>
      </c>
      <c r="I16" s="367">
        <v>115.142</v>
      </c>
      <c r="J16" s="367">
        <v>137.46</v>
      </c>
      <c r="K16" s="367">
        <v>125.86199999999999</v>
      </c>
      <c r="L16" s="367">
        <v>84.221999999999994</v>
      </c>
      <c r="M16" s="367">
        <v>43.954000000000001</v>
      </c>
      <c r="N16" s="367">
        <v>34.186999999999998</v>
      </c>
      <c r="O16" s="367">
        <f>23.26</f>
        <v>23.26</v>
      </c>
      <c r="P16" s="367">
        <v>18.710999999999999</v>
      </c>
      <c r="Q16" s="367">
        <v>15.416</v>
      </c>
      <c r="R16" s="367">
        <v>14.81</v>
      </c>
      <c r="S16" s="367">
        <v>15.956</v>
      </c>
      <c r="T16" s="367">
        <v>17.172999999999998</v>
      </c>
      <c r="U16" s="367">
        <v>21.713000000000001</v>
      </c>
      <c r="V16" s="367">
        <v>16.13</v>
      </c>
      <c r="W16" s="371">
        <v>18.731000000000002</v>
      </c>
      <c r="X16" s="274">
        <f t="shared" si="2"/>
        <v>16.125232486050848</v>
      </c>
      <c r="Y16" s="64" t="s">
        <v>54</v>
      </c>
    </row>
    <row r="17" spans="1:25" ht="12.75" customHeight="1">
      <c r="A17" s="8"/>
      <c r="B17" s="49" t="s">
        <v>55</v>
      </c>
      <c r="C17" s="187">
        <v>218.19800000000001</v>
      </c>
      <c r="D17" s="365">
        <v>192.273</v>
      </c>
      <c r="E17" s="365">
        <v>184.666</v>
      </c>
      <c r="F17" s="365">
        <v>166.124</v>
      </c>
      <c r="G17" s="365">
        <v>166.12700000000001</v>
      </c>
      <c r="H17" s="365">
        <v>166.00299999999999</v>
      </c>
      <c r="I17" s="365">
        <v>154.922</v>
      </c>
      <c r="J17" s="365">
        <v>184.869</v>
      </c>
      <c r="K17" s="365">
        <v>209.45099999999999</v>
      </c>
      <c r="L17" s="365">
        <v>190.315</v>
      </c>
      <c r="M17" s="365">
        <v>156.96299999999999</v>
      </c>
      <c r="N17" s="365">
        <v>144.46700000000001</v>
      </c>
      <c r="O17" s="365">
        <f>146.442</f>
        <v>146.44200000000001</v>
      </c>
      <c r="P17" s="365">
        <v>127.20099999999999</v>
      </c>
      <c r="Q17" s="365">
        <v>106.054</v>
      </c>
      <c r="R17" s="365">
        <v>98.177999999999997</v>
      </c>
      <c r="S17" s="365">
        <v>89.646000000000001</v>
      </c>
      <c r="T17" s="365">
        <v>89.731999999999999</v>
      </c>
      <c r="U17" s="365">
        <v>107.322</v>
      </c>
      <c r="V17" s="365">
        <v>72.94</v>
      </c>
      <c r="W17" s="388">
        <v>91.043000000000006</v>
      </c>
      <c r="X17" s="273">
        <f t="shared" si="2"/>
        <v>24.81902933918289</v>
      </c>
      <c r="Y17" s="62" t="s">
        <v>55</v>
      </c>
    </row>
    <row r="18" spans="1:25" ht="12.75" customHeight="1">
      <c r="A18" s="8"/>
      <c r="B18" s="10" t="s">
        <v>66</v>
      </c>
      <c r="C18" s="188"/>
      <c r="D18" s="367"/>
      <c r="E18" s="367"/>
      <c r="F18" s="367"/>
      <c r="G18" s="367"/>
      <c r="H18" s="367"/>
      <c r="I18" s="367">
        <v>13.233000000000001</v>
      </c>
      <c r="J18" s="367">
        <v>15.228</v>
      </c>
      <c r="K18" s="367">
        <v>18.158999999999999</v>
      </c>
      <c r="L18" s="367">
        <v>19.785</v>
      </c>
      <c r="M18" s="367">
        <v>10.57</v>
      </c>
      <c r="N18" s="367">
        <v>6.4420000000000002</v>
      </c>
      <c r="O18" s="367">
        <f>5.352</f>
        <v>5.3520000000000003</v>
      </c>
      <c r="P18" s="367">
        <v>4.05</v>
      </c>
      <c r="Q18" s="367">
        <v>3.1190000000000002</v>
      </c>
      <c r="R18" s="367">
        <v>2.4180000000000001</v>
      </c>
      <c r="S18" s="367">
        <v>1.8120000000000001</v>
      </c>
      <c r="T18" s="367">
        <v>1.768</v>
      </c>
      <c r="U18" s="367">
        <v>1.776</v>
      </c>
      <c r="V18" s="367">
        <v>2.4849999999999999</v>
      </c>
      <c r="W18" s="371">
        <v>1.8520000000000001</v>
      </c>
      <c r="X18" s="877">
        <f t="shared" si="2"/>
        <v>-25.472837022132794</v>
      </c>
      <c r="Y18" s="64" t="s">
        <v>66</v>
      </c>
    </row>
    <row r="19" spans="1:25" ht="12.75" customHeight="1">
      <c r="A19" s="8"/>
      <c r="B19" s="154" t="s">
        <v>57</v>
      </c>
      <c r="C19" s="310">
        <v>575.11199999999997</v>
      </c>
      <c r="D19" s="374">
        <v>311.83600000000001</v>
      </c>
      <c r="E19" s="374">
        <v>175.54300000000001</v>
      </c>
      <c r="F19" s="374">
        <v>166.755</v>
      </c>
      <c r="G19" s="374">
        <v>161.893</v>
      </c>
      <c r="H19" s="374">
        <v>132.36699999999999</v>
      </c>
      <c r="I19" s="374">
        <v>128.28399999999999</v>
      </c>
      <c r="J19" s="374">
        <v>109.85</v>
      </c>
      <c r="K19" s="374">
        <v>130.696</v>
      </c>
      <c r="L19" s="374">
        <v>123.11</v>
      </c>
      <c r="M19" s="374">
        <v>114.36799999999999</v>
      </c>
      <c r="N19" s="374">
        <v>90.191000000000003</v>
      </c>
      <c r="O19" s="374">
        <f>75.419</f>
        <v>75.418999999999997</v>
      </c>
      <c r="P19" s="374">
        <v>51.755000000000003</v>
      </c>
      <c r="Q19" s="374">
        <v>33.597999999999999</v>
      </c>
      <c r="R19" s="374">
        <v>28.388000000000002</v>
      </c>
      <c r="S19" s="374">
        <v>24.637</v>
      </c>
      <c r="T19" s="374">
        <v>24.593</v>
      </c>
      <c r="U19" s="374">
        <v>26.030999999999999</v>
      </c>
      <c r="V19" s="374">
        <v>21.326000000000001</v>
      </c>
      <c r="W19" s="392">
        <v>21.132999999999999</v>
      </c>
      <c r="X19" s="878">
        <f t="shared" si="2"/>
        <v>-0.90499859326644128</v>
      </c>
      <c r="Y19" s="304" t="s">
        <v>57</v>
      </c>
    </row>
    <row r="20" spans="1:25" ht="12.75" customHeight="1">
      <c r="A20" s="8"/>
      <c r="B20" s="10" t="s">
        <v>36</v>
      </c>
      <c r="C20" s="188"/>
      <c r="D20" s="367"/>
      <c r="E20" s="367"/>
      <c r="F20" s="367">
        <v>2.3149999999999999</v>
      </c>
      <c r="G20" s="367">
        <v>2.6520000000000001</v>
      </c>
      <c r="H20" s="367">
        <v>2.4119999999999999</v>
      </c>
      <c r="I20" s="367">
        <v>2.08</v>
      </c>
      <c r="J20" s="367">
        <v>1.7390000000000001</v>
      </c>
      <c r="K20" s="367">
        <v>1.7470000000000001</v>
      </c>
      <c r="L20" s="367">
        <v>1.7310000000000001</v>
      </c>
      <c r="M20" s="367">
        <v>1.4159999999999999</v>
      </c>
      <c r="N20" s="367">
        <v>0.45700000000000002</v>
      </c>
      <c r="O20" s="367">
        <f>0.447</f>
        <v>0.44700000000000001</v>
      </c>
      <c r="P20" s="367">
        <v>0.26400000000000001</v>
      </c>
      <c r="Q20" s="367">
        <v>0.20699999999999999</v>
      </c>
      <c r="R20" s="367">
        <v>0.19700000000000001</v>
      </c>
      <c r="S20" s="367">
        <v>0.154</v>
      </c>
      <c r="T20" s="367">
        <v>0.192</v>
      </c>
      <c r="U20" s="367">
        <v>0.24299999999999999</v>
      </c>
      <c r="V20" s="367">
        <v>0.29699999999999999</v>
      </c>
      <c r="W20" s="371">
        <f>269/1000</f>
        <v>0.26900000000000002</v>
      </c>
      <c r="X20" s="274">
        <f t="shared" si="2"/>
        <v>-9.4276094276094113</v>
      </c>
      <c r="Y20" s="64" t="s">
        <v>36</v>
      </c>
    </row>
    <row r="21" spans="1:25" ht="12.75" customHeight="1">
      <c r="A21" s="8"/>
      <c r="B21" s="154" t="s">
        <v>40</v>
      </c>
      <c r="C21" s="310"/>
      <c r="D21" s="374"/>
      <c r="E21" s="374"/>
      <c r="F21" s="374"/>
      <c r="G21" s="374"/>
      <c r="H21" s="374">
        <v>0.45700000000000002</v>
      </c>
      <c r="I21" s="374">
        <v>0.63700000000000001</v>
      </c>
      <c r="J21" s="374">
        <v>1.7110000000000001</v>
      </c>
      <c r="K21" s="374">
        <v>3.464</v>
      </c>
      <c r="L21" s="374">
        <v>3.73</v>
      </c>
      <c r="M21" s="374">
        <v>0.64900000000000002</v>
      </c>
      <c r="N21" s="374">
        <v>0.97</v>
      </c>
      <c r="O21" s="374">
        <f>1.343</f>
        <v>1.343</v>
      </c>
      <c r="P21" s="374">
        <v>1.6539999999999999</v>
      </c>
      <c r="Q21" s="374">
        <v>1.556</v>
      </c>
      <c r="R21" s="374">
        <v>1.212</v>
      </c>
      <c r="S21" s="374">
        <v>0.999</v>
      </c>
      <c r="T21" s="374">
        <v>0.93500000000000005</v>
      </c>
      <c r="U21" s="374">
        <v>1.2689999999999999</v>
      </c>
      <c r="V21" s="374">
        <v>0.63600000000000001</v>
      </c>
      <c r="W21" s="392">
        <v>0.78900000000000003</v>
      </c>
      <c r="X21" s="878">
        <f t="shared" si="2"/>
        <v>24.056603773584911</v>
      </c>
      <c r="Y21" s="304" t="s">
        <v>40</v>
      </c>
    </row>
    <row r="22" spans="1:25" ht="12.75" customHeight="1">
      <c r="A22" s="8"/>
      <c r="B22" s="10" t="s">
        <v>41</v>
      </c>
      <c r="C22" s="188"/>
      <c r="D22" s="367"/>
      <c r="E22" s="367"/>
      <c r="F22" s="367"/>
      <c r="G22" s="367"/>
      <c r="H22" s="367"/>
      <c r="I22" s="367"/>
      <c r="J22" s="367"/>
      <c r="K22" s="367"/>
      <c r="L22" s="367">
        <v>5.4039999999999999</v>
      </c>
      <c r="M22" s="367">
        <v>3.4990000000000001</v>
      </c>
      <c r="N22" s="367">
        <v>1.18</v>
      </c>
      <c r="O22" s="367">
        <f>1.319</f>
        <v>1.319</v>
      </c>
      <c r="P22" s="367">
        <v>0.96899999999999997</v>
      </c>
      <c r="Q22" s="367">
        <v>0.98699999999999999</v>
      </c>
      <c r="R22" s="367">
        <v>0.92500000000000004</v>
      </c>
      <c r="S22" s="367">
        <v>0.73</v>
      </c>
      <c r="T22" s="367">
        <v>0.71299999999999997</v>
      </c>
      <c r="U22" s="367">
        <v>0.66</v>
      </c>
      <c r="V22" s="367">
        <v>0.32600000000000001</v>
      </c>
      <c r="W22" s="371">
        <v>0.33</v>
      </c>
      <c r="X22" s="274">
        <f t="shared" si="2"/>
        <v>1.2269938650306642</v>
      </c>
      <c r="Y22" s="64" t="s">
        <v>41</v>
      </c>
    </row>
    <row r="23" spans="1:25" ht="12.75" customHeight="1">
      <c r="A23" s="8"/>
      <c r="B23" s="154" t="s">
        <v>58</v>
      </c>
      <c r="C23" s="310"/>
      <c r="D23" s="374">
        <v>0.45400000000000001</v>
      </c>
      <c r="E23" s="374">
        <v>0.437</v>
      </c>
      <c r="F23" s="374">
        <v>0.48299999999999998</v>
      </c>
      <c r="G23" s="374">
        <v>0.63</v>
      </c>
      <c r="H23" s="374">
        <v>0.55200000000000005</v>
      </c>
      <c r="I23" s="374">
        <v>0.52800000000000002</v>
      </c>
      <c r="J23" s="374">
        <v>0.65700000000000003</v>
      </c>
      <c r="K23" s="374">
        <v>0.60399999999999998</v>
      </c>
      <c r="L23" s="374">
        <v>0.67700000000000005</v>
      </c>
      <c r="M23" s="374">
        <v>0.64500000000000002</v>
      </c>
      <c r="N23" s="374">
        <v>0.70299999999999996</v>
      </c>
      <c r="O23" s="374">
        <f>0.885</f>
        <v>0.88500000000000001</v>
      </c>
      <c r="P23" s="374">
        <v>0.97899999999999998</v>
      </c>
      <c r="Q23" s="374">
        <v>1.08</v>
      </c>
      <c r="R23" s="374">
        <v>1.008</v>
      </c>
      <c r="S23" s="374">
        <v>0.92400000000000004</v>
      </c>
      <c r="T23" s="374">
        <v>0.92600000000000005</v>
      </c>
      <c r="U23" s="374">
        <v>0.49</v>
      </c>
      <c r="V23" s="374">
        <v>0.27300000000000002</v>
      </c>
      <c r="W23" s="392">
        <v>0.35799999999999998</v>
      </c>
      <c r="X23" s="878">
        <f t="shared" si="2"/>
        <v>31.135531135531124</v>
      </c>
      <c r="Y23" s="304" t="s">
        <v>58</v>
      </c>
    </row>
    <row r="24" spans="1:25" ht="12.75" customHeight="1">
      <c r="A24" s="8"/>
      <c r="B24" s="10" t="s">
        <v>39</v>
      </c>
      <c r="C24" s="188"/>
      <c r="D24" s="367"/>
      <c r="E24" s="367"/>
      <c r="F24" s="367"/>
      <c r="G24" s="367"/>
      <c r="H24" s="367"/>
      <c r="I24" s="367"/>
      <c r="J24" s="367"/>
      <c r="K24" s="367"/>
      <c r="L24" s="376">
        <v>11.088659415107342</v>
      </c>
      <c r="M24" s="376">
        <v>5.4334189540724775</v>
      </c>
      <c r="N24" s="376">
        <v>3.5558148443735038</v>
      </c>
      <c r="O24" s="376">
        <v>2.9422083159890851</v>
      </c>
      <c r="P24" s="376">
        <v>3.1834551539491303</v>
      </c>
      <c r="Q24" s="376">
        <v>3.3980370952094967</v>
      </c>
      <c r="R24" s="376">
        <f>AVERAGE(N24:P24)</f>
        <v>3.2271594381039059</v>
      </c>
      <c r="S24" s="376">
        <f>AVERAGE(N24:R24)</f>
        <v>3.2613349695250244</v>
      </c>
      <c r="T24" s="376">
        <f>AVERAGE(O24:S24)</f>
        <v>3.2024389945553287</v>
      </c>
      <c r="U24" s="376">
        <f>AVERAGE(P24:T24)</f>
        <v>3.2544851302685771</v>
      </c>
      <c r="V24" s="376">
        <f>AVERAGE(S24:U24)</f>
        <v>3.2394196981163099</v>
      </c>
      <c r="W24" s="376">
        <f>AVERAGE(T24:V24)</f>
        <v>3.2321146076467389</v>
      </c>
      <c r="X24" s="877">
        <f t="shared" si="2"/>
        <v>-0.22550614462889484</v>
      </c>
      <c r="Y24" s="64" t="s">
        <v>39</v>
      </c>
    </row>
    <row r="25" spans="1:25" ht="12.75" customHeight="1">
      <c r="A25" s="8"/>
      <c r="B25" s="154" t="s">
        <v>42</v>
      </c>
      <c r="C25" s="310"/>
      <c r="D25" s="374"/>
      <c r="E25" s="374"/>
      <c r="F25" s="374"/>
      <c r="G25" s="374"/>
      <c r="H25" s="374"/>
      <c r="I25" s="374"/>
      <c r="J25" s="374"/>
      <c r="K25" s="374"/>
      <c r="L25" s="378"/>
      <c r="M25" s="378"/>
      <c r="N25" s="378"/>
      <c r="O25" s="378"/>
      <c r="P25" s="378"/>
      <c r="Q25" s="545">
        <v>1.6E-2</v>
      </c>
      <c r="R25" s="546">
        <v>2.4E-2</v>
      </c>
      <c r="S25" s="374">
        <v>3.5999999999999997E-2</v>
      </c>
      <c r="T25" s="374">
        <v>5.7000000000000002E-2</v>
      </c>
      <c r="U25" s="374">
        <v>4.9000000000000002E-2</v>
      </c>
      <c r="V25" s="374">
        <f>0.107</f>
        <v>0.107</v>
      </c>
      <c r="W25" s="392">
        <f>694/1000</f>
        <v>0.69399999999999995</v>
      </c>
      <c r="X25" s="878">
        <f t="shared" si="2"/>
        <v>548.59813084112147</v>
      </c>
      <c r="Y25" s="304" t="s">
        <v>42</v>
      </c>
    </row>
    <row r="26" spans="1:25" ht="12.75" customHeight="1">
      <c r="A26" s="8"/>
      <c r="B26" s="10" t="s">
        <v>50</v>
      </c>
      <c r="C26" s="188">
        <v>59.152999999999999</v>
      </c>
      <c r="D26" s="367">
        <v>66.941000000000003</v>
      </c>
      <c r="E26" s="367">
        <v>56.206000000000003</v>
      </c>
      <c r="F26" s="367">
        <v>53.856999999999999</v>
      </c>
      <c r="G26" s="367">
        <v>45.878</v>
      </c>
      <c r="H26" s="367">
        <v>39.131</v>
      </c>
      <c r="I26" s="367">
        <v>40.857999999999997</v>
      </c>
      <c r="J26" s="367">
        <v>48.776000000000003</v>
      </c>
      <c r="K26" s="367">
        <v>57.427</v>
      </c>
      <c r="L26" s="367">
        <v>69.593999999999994</v>
      </c>
      <c r="M26" s="367">
        <v>93.820999999999998</v>
      </c>
      <c r="N26" s="367">
        <v>90.662000000000006</v>
      </c>
      <c r="O26" s="367">
        <f>82.21</f>
        <v>82.21</v>
      </c>
      <c r="P26" s="367">
        <v>68.548000000000002</v>
      </c>
      <c r="Q26" s="367">
        <v>59.381</v>
      </c>
      <c r="R26" s="367">
        <v>62.954999999999998</v>
      </c>
      <c r="S26" s="367">
        <v>65.951999999999998</v>
      </c>
      <c r="T26" s="367">
        <f>67.842</f>
        <v>67.841999999999999</v>
      </c>
      <c r="U26" s="367">
        <v>86.825999999999993</v>
      </c>
      <c r="V26" s="367">
        <v>59.386000000000003</v>
      </c>
      <c r="W26" s="371">
        <v>62.34</v>
      </c>
      <c r="X26" s="274">
        <f t="shared" si="2"/>
        <v>4.9742363520021655</v>
      </c>
      <c r="Y26" s="64" t="s">
        <v>50</v>
      </c>
    </row>
    <row r="27" spans="1:25" ht="12.75" customHeight="1">
      <c r="A27" s="8"/>
      <c r="B27" s="154" t="s">
        <v>59</v>
      </c>
      <c r="C27" s="310">
        <v>10.742000000000001</v>
      </c>
      <c r="D27" s="374">
        <v>21.335000000000001</v>
      </c>
      <c r="E27" s="374">
        <v>20.459</v>
      </c>
      <c r="F27" s="374">
        <v>16.277999999999999</v>
      </c>
      <c r="G27" s="374">
        <v>19.914000000000001</v>
      </c>
      <c r="H27" s="374">
        <v>21.710999999999999</v>
      </c>
      <c r="I27" s="374">
        <v>27.728000000000002</v>
      </c>
      <c r="J27" s="374">
        <v>28.292000000000002</v>
      </c>
      <c r="K27" s="374">
        <v>30.933</v>
      </c>
      <c r="L27" s="374">
        <v>30.97</v>
      </c>
      <c r="M27" s="374">
        <v>26.056999999999999</v>
      </c>
      <c r="N27" s="374">
        <v>24.905999999999999</v>
      </c>
      <c r="O27" s="374">
        <f>23.916</f>
        <v>23.916</v>
      </c>
      <c r="P27" s="374">
        <v>21.094999999999999</v>
      </c>
      <c r="Q27" s="374">
        <v>16.927</v>
      </c>
      <c r="R27" s="374">
        <v>15.192</v>
      </c>
      <c r="S27" s="374">
        <v>13.76</v>
      </c>
      <c r="T27" s="374">
        <v>13.693</v>
      </c>
      <c r="U27" s="374">
        <v>15.641999999999999</v>
      </c>
      <c r="V27" s="374">
        <v>11.949</v>
      </c>
      <c r="W27" s="392">
        <v>12.743</v>
      </c>
      <c r="X27" s="878">
        <f t="shared" si="2"/>
        <v>6.6449075236421464</v>
      </c>
      <c r="Y27" s="304" t="s">
        <v>59</v>
      </c>
    </row>
    <row r="28" spans="1:25" ht="12.75" customHeight="1">
      <c r="A28" s="8"/>
      <c r="B28" s="10" t="s">
        <v>43</v>
      </c>
      <c r="C28" s="188"/>
      <c r="D28" s="367"/>
      <c r="E28" s="367"/>
      <c r="F28" s="367"/>
      <c r="G28" s="367"/>
      <c r="H28" s="367"/>
      <c r="I28" s="367">
        <v>23.309000000000001</v>
      </c>
      <c r="J28" s="367">
        <v>43.57</v>
      </c>
      <c r="K28" s="367">
        <v>91.912999999999997</v>
      </c>
      <c r="L28" s="367">
        <v>135.994</v>
      </c>
      <c r="M28" s="367">
        <v>94.031000000000006</v>
      </c>
      <c r="N28" s="367">
        <v>72.186000000000007</v>
      </c>
      <c r="O28" s="367">
        <f>69.26</f>
        <v>69.260000000000005</v>
      </c>
      <c r="P28" s="367">
        <v>59.991</v>
      </c>
      <c r="Q28" s="367">
        <v>48.749000000000002</v>
      </c>
      <c r="R28" s="367">
        <v>40.715000000000003</v>
      </c>
      <c r="S28" s="367">
        <v>30.431000000000001</v>
      </c>
      <c r="T28" s="367">
        <v>23.908000000000001</v>
      </c>
      <c r="U28" s="367">
        <v>29.632999999999999</v>
      </c>
      <c r="V28" s="367">
        <v>16.41</v>
      </c>
      <c r="W28" s="371">
        <v>19.065999999999999</v>
      </c>
      <c r="X28" s="274">
        <f t="shared" si="2"/>
        <v>16.185252894576465</v>
      </c>
      <c r="Y28" s="64" t="s">
        <v>43</v>
      </c>
    </row>
    <row r="29" spans="1:25" ht="12.75" customHeight="1">
      <c r="A29" s="8"/>
      <c r="B29" s="154" t="s">
        <v>60</v>
      </c>
      <c r="C29" s="310">
        <v>42</v>
      </c>
      <c r="D29" s="374">
        <v>14.968999999999999</v>
      </c>
      <c r="E29" s="374">
        <v>7.6360000000000001</v>
      </c>
      <c r="F29" s="374"/>
      <c r="G29" s="374"/>
      <c r="H29" s="374"/>
      <c r="I29" s="374"/>
      <c r="J29" s="374">
        <v>1.982</v>
      </c>
      <c r="K29" s="374">
        <v>7.8860000000000001</v>
      </c>
      <c r="L29" s="374">
        <v>7.2359999999999998</v>
      </c>
      <c r="M29" s="374">
        <v>5.6929999999999996</v>
      </c>
      <c r="N29" s="374">
        <v>4.6459999999999999</v>
      </c>
      <c r="O29" s="374">
        <f>3.791</f>
        <v>3.7909999999999999</v>
      </c>
      <c r="P29" s="374">
        <v>3.2330000000000001</v>
      </c>
      <c r="Q29" s="374">
        <v>2.4510000000000001</v>
      </c>
      <c r="R29" s="374">
        <v>2.3170000000000002</v>
      </c>
      <c r="S29" s="374">
        <v>2.5939999999999999</v>
      </c>
      <c r="T29" s="374">
        <v>2.6150000000000002</v>
      </c>
      <c r="U29" s="374">
        <v>3.0910000000000002</v>
      </c>
      <c r="V29" s="374">
        <v>2.5150000000000001</v>
      </c>
      <c r="W29" s="392">
        <v>2.2170000000000001</v>
      </c>
      <c r="X29" s="878">
        <f t="shared" si="2"/>
        <v>-11.848906560636181</v>
      </c>
      <c r="Y29" s="304" t="s">
        <v>60</v>
      </c>
    </row>
    <row r="30" spans="1:25" ht="12.75" customHeight="1">
      <c r="A30" s="8"/>
      <c r="B30" s="10" t="s">
        <v>44</v>
      </c>
      <c r="C30" s="188"/>
      <c r="D30" s="367"/>
      <c r="E30" s="367"/>
      <c r="F30" s="367"/>
      <c r="G30" s="367"/>
      <c r="H30" s="367"/>
      <c r="I30" s="367"/>
      <c r="J30" s="367"/>
      <c r="K30" s="367"/>
      <c r="L30" s="376"/>
      <c r="M30" s="376"/>
      <c r="N30" s="376">
        <v>1.075</v>
      </c>
      <c r="O30" s="376">
        <v>0.84500000000000008</v>
      </c>
      <c r="P30" s="376">
        <v>0.65699999999999992</v>
      </c>
      <c r="Q30" s="370">
        <v>0.106</v>
      </c>
      <c r="R30" s="367">
        <v>4.8000000000000001E-2</v>
      </c>
      <c r="S30" s="367">
        <v>2.7E-2</v>
      </c>
      <c r="T30" s="367">
        <v>2.9000000000000001E-2</v>
      </c>
      <c r="U30" s="367">
        <v>1.7999999999999999E-2</v>
      </c>
      <c r="V30" s="367">
        <v>2.9000000000000001E-2</v>
      </c>
      <c r="W30" s="371">
        <v>1.7999999999999999E-2</v>
      </c>
      <c r="X30" s="274">
        <f t="shared" si="2"/>
        <v>-37.931034482758633</v>
      </c>
      <c r="Y30" s="64" t="s">
        <v>44</v>
      </c>
    </row>
    <row r="31" spans="1:25" ht="12.75" customHeight="1">
      <c r="A31" s="8"/>
      <c r="B31" s="154" t="s">
        <v>46</v>
      </c>
      <c r="C31" s="310"/>
      <c r="D31" s="374"/>
      <c r="E31" s="374"/>
      <c r="F31" s="374">
        <v>1.7410000000000001</v>
      </c>
      <c r="G31" s="374">
        <v>1.3979999999999999</v>
      </c>
      <c r="H31" s="374">
        <v>2.2149999999999999</v>
      </c>
      <c r="I31" s="374">
        <v>3.121</v>
      </c>
      <c r="J31" s="374">
        <v>4.6890000000000001</v>
      </c>
      <c r="K31" s="374">
        <v>5.7350000000000003</v>
      </c>
      <c r="L31" s="374">
        <v>5.86</v>
      </c>
      <c r="M31" s="374">
        <v>4.5659999999999998</v>
      </c>
      <c r="N31" s="374">
        <v>3.4529999999999998</v>
      </c>
      <c r="O31" s="374">
        <f>3.433</f>
        <v>3.4329999999999998</v>
      </c>
      <c r="P31" s="374">
        <v>2.6720000000000002</v>
      </c>
      <c r="Q31" s="374">
        <v>1.9350000000000001</v>
      </c>
      <c r="R31" s="365">
        <v>2.2330000000000001</v>
      </c>
      <c r="S31" s="374">
        <v>2.2959999999999998</v>
      </c>
      <c r="T31" s="377">
        <v>2.5310000000000001</v>
      </c>
      <c r="U31" s="374">
        <v>18.588999999999999</v>
      </c>
      <c r="V31" s="374">
        <v>5.2220000000000004</v>
      </c>
      <c r="W31" s="392">
        <v>4.2859999999999996</v>
      </c>
      <c r="X31" s="878">
        <f t="shared" si="2"/>
        <v>-17.924166985829203</v>
      </c>
      <c r="Y31" s="304" t="s">
        <v>46</v>
      </c>
    </row>
    <row r="32" spans="1:25" ht="12.75" customHeight="1">
      <c r="A32" s="8"/>
      <c r="B32" s="10" t="s">
        <v>45</v>
      </c>
      <c r="C32" s="188"/>
      <c r="D32" s="367"/>
      <c r="E32" s="367"/>
      <c r="F32" s="367"/>
      <c r="G32" s="367"/>
      <c r="H32" s="367">
        <v>1.7629999999999999</v>
      </c>
      <c r="I32" s="367">
        <v>2.0369999999999999</v>
      </c>
      <c r="J32" s="367">
        <v>2.577</v>
      </c>
      <c r="K32" s="367">
        <v>3.0169999999999999</v>
      </c>
      <c r="L32" s="367">
        <v>2.6160000000000001</v>
      </c>
      <c r="M32" s="367">
        <v>2.0760000000000001</v>
      </c>
      <c r="N32" s="367">
        <v>1.8320000000000001</v>
      </c>
      <c r="O32" s="367">
        <f>1.612</f>
        <v>1.6120000000000001</v>
      </c>
      <c r="P32" s="367">
        <v>1.512</v>
      </c>
      <c r="Q32" s="367">
        <v>0.99</v>
      </c>
      <c r="R32" s="367">
        <v>0.72599999999999998</v>
      </c>
      <c r="S32" s="367">
        <v>0.55200000000000005</v>
      </c>
      <c r="T32" s="367">
        <v>0.47899999999999998</v>
      </c>
      <c r="U32" s="367">
        <v>0.38500000000000001</v>
      </c>
      <c r="V32" s="367">
        <v>0.22600000000000001</v>
      </c>
      <c r="W32" s="371">
        <v>0.33900000000000002</v>
      </c>
      <c r="X32" s="274">
        <f t="shared" si="2"/>
        <v>50</v>
      </c>
      <c r="Y32" s="64" t="s">
        <v>45</v>
      </c>
    </row>
    <row r="33" spans="1:25" ht="12.75" customHeight="1">
      <c r="A33" s="8"/>
      <c r="B33" s="154" t="s">
        <v>61</v>
      </c>
      <c r="C33" s="310"/>
      <c r="D33" s="374">
        <v>6.423</v>
      </c>
      <c r="E33" s="374">
        <v>6.7050000000000001</v>
      </c>
      <c r="F33" s="374">
        <v>8.8350000000000009</v>
      </c>
      <c r="G33" s="374">
        <v>12.750999999999999</v>
      </c>
      <c r="H33" s="374">
        <v>17.808</v>
      </c>
      <c r="I33" s="374">
        <v>20.895</v>
      </c>
      <c r="J33" s="374">
        <v>25.693000000000001</v>
      </c>
      <c r="K33" s="374">
        <v>27.448</v>
      </c>
      <c r="L33" s="374">
        <v>25.254999999999999</v>
      </c>
      <c r="M33" s="374">
        <v>21.1</v>
      </c>
      <c r="N33" s="374">
        <v>17.936</v>
      </c>
      <c r="O33" s="374">
        <f>17.25</f>
        <v>17.25</v>
      </c>
      <c r="P33" s="374">
        <v>12.547000000000001</v>
      </c>
      <c r="Q33" s="374">
        <v>8.26</v>
      </c>
      <c r="R33" s="374">
        <v>7.2380000000000004</v>
      </c>
      <c r="S33" s="374">
        <v>7.0039999999999996</v>
      </c>
      <c r="T33" s="374">
        <v>5.1660000000000004</v>
      </c>
      <c r="U33" s="374">
        <v>6.8929999999999998</v>
      </c>
      <c r="V33" s="374">
        <v>4.8949999999999996</v>
      </c>
      <c r="W33" s="392">
        <v>5.1959999999999997</v>
      </c>
      <c r="X33" s="878">
        <f t="shared" si="2"/>
        <v>6.1491317671092958</v>
      </c>
      <c r="Y33" s="304" t="s">
        <v>61</v>
      </c>
    </row>
    <row r="34" spans="1:25" ht="12.75" customHeight="1">
      <c r="A34" s="8"/>
      <c r="B34" s="11" t="s">
        <v>62</v>
      </c>
      <c r="C34" s="190">
        <v>5.7</v>
      </c>
      <c r="D34" s="383">
        <v>9.9770000000000003</v>
      </c>
      <c r="E34" s="383">
        <v>10.01</v>
      </c>
      <c r="F34" s="383">
        <v>21.297000000000001</v>
      </c>
      <c r="G34" s="383">
        <v>19.846</v>
      </c>
      <c r="H34" s="383">
        <v>13.608000000000001</v>
      </c>
      <c r="I34" s="383">
        <v>15.365</v>
      </c>
      <c r="J34" s="383">
        <v>14.994999999999999</v>
      </c>
      <c r="K34" s="383">
        <v>31.852</v>
      </c>
      <c r="L34" s="383">
        <v>31.148</v>
      </c>
      <c r="M34" s="383">
        <v>21.443000000000001</v>
      </c>
      <c r="N34" s="383">
        <v>13.253</v>
      </c>
      <c r="O34" s="383">
        <v>9.9019999999999992</v>
      </c>
      <c r="P34" s="383">
        <v>8.7759999999999998</v>
      </c>
      <c r="Q34" s="383">
        <v>7.9160000000000004</v>
      </c>
      <c r="R34" s="383">
        <v>8.6820000000000004</v>
      </c>
      <c r="S34" s="383">
        <v>10.628</v>
      </c>
      <c r="T34" s="383">
        <v>12.581</v>
      </c>
      <c r="U34" s="383">
        <v>22.16</v>
      </c>
      <c r="V34" s="383">
        <v>11.63</v>
      </c>
      <c r="W34" s="395">
        <f>16026/1000</f>
        <v>16.026</v>
      </c>
      <c r="X34" s="274">
        <f t="shared" si="2"/>
        <v>37.798796216680984</v>
      </c>
      <c r="Y34" s="65" t="s">
        <v>62</v>
      </c>
    </row>
    <row r="35" spans="1:25" ht="12.75" customHeight="1">
      <c r="A35" s="8"/>
      <c r="B35" s="155" t="s">
        <v>51</v>
      </c>
      <c r="C35" s="311">
        <v>6.2919999999999998</v>
      </c>
      <c r="D35" s="380">
        <v>48.164000000000001</v>
      </c>
      <c r="E35" s="380">
        <v>45.374000000000002</v>
      </c>
      <c r="F35" s="380">
        <v>36.271000000000001</v>
      </c>
      <c r="G35" s="380">
        <v>36.344999999999999</v>
      </c>
      <c r="H35" s="380">
        <v>27.547000000000001</v>
      </c>
      <c r="I35" s="380">
        <v>24.745000000000001</v>
      </c>
      <c r="J35" s="380">
        <v>23.55</v>
      </c>
      <c r="K35" s="380">
        <v>24.562000000000001</v>
      </c>
      <c r="L35" s="380">
        <v>24.952999999999999</v>
      </c>
      <c r="M35" s="380">
        <v>16.443999999999999</v>
      </c>
      <c r="N35" s="380">
        <v>14.53</v>
      </c>
      <c r="O35" s="380">
        <f>14.466</f>
        <v>14.465999999999999</v>
      </c>
      <c r="P35" s="380">
        <v>13.422000000000001</v>
      </c>
      <c r="Q35" s="380">
        <v>10.73</v>
      </c>
      <c r="R35" s="380">
        <v>10.628</v>
      </c>
      <c r="S35" s="380">
        <v>9.4019999999999992</v>
      </c>
      <c r="T35" s="380">
        <v>8.7479999999999993</v>
      </c>
      <c r="U35" s="380">
        <v>7.7519999999999998</v>
      </c>
      <c r="V35" s="925">
        <v>5.3819999999999997</v>
      </c>
      <c r="W35" s="679">
        <v>6.1130000000000004</v>
      </c>
      <c r="X35" s="555">
        <f t="shared" si="2"/>
        <v>13.582311408398382</v>
      </c>
      <c r="Y35" s="676" t="s">
        <v>51</v>
      </c>
    </row>
    <row r="36" spans="1:25" ht="12.75" customHeight="1">
      <c r="A36" s="8"/>
      <c r="B36" s="9" t="s">
        <v>161</v>
      </c>
      <c r="C36" s="186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7"/>
      <c r="W36" s="371"/>
      <c r="X36" s="274"/>
      <c r="Y36" s="9" t="s">
        <v>161</v>
      </c>
    </row>
    <row r="37" spans="1:25" ht="12.75" customHeight="1">
      <c r="A37" s="8"/>
      <c r="B37" s="154" t="s">
        <v>0</v>
      </c>
      <c r="C37" s="310"/>
      <c r="D37" s="374"/>
      <c r="E37" s="374"/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374"/>
      <c r="Q37" s="374"/>
      <c r="R37" s="374"/>
      <c r="S37" s="374"/>
      <c r="T37" s="374"/>
      <c r="U37" s="374"/>
      <c r="V37" s="374"/>
      <c r="W37" s="392"/>
      <c r="X37" s="878"/>
      <c r="Y37" s="154" t="s">
        <v>0</v>
      </c>
    </row>
    <row r="38" spans="1:25" ht="12.75" customHeight="1">
      <c r="A38" s="8"/>
      <c r="B38" s="10" t="s">
        <v>167</v>
      </c>
      <c r="C38" s="188"/>
      <c r="D38" s="367"/>
      <c r="E38" s="367"/>
      <c r="F38" s="367"/>
      <c r="G38" s="367"/>
      <c r="H38" s="367"/>
      <c r="I38" s="367"/>
      <c r="J38" s="367"/>
      <c r="K38" s="367"/>
      <c r="L38" s="367"/>
      <c r="M38" s="367"/>
      <c r="N38" s="367"/>
      <c r="O38" s="367"/>
      <c r="P38" s="367"/>
      <c r="Q38" s="367"/>
      <c r="R38" s="367"/>
      <c r="S38" s="367"/>
      <c r="T38" s="367"/>
      <c r="U38" s="367"/>
      <c r="V38" s="367"/>
      <c r="W38" s="371"/>
      <c r="X38" s="274"/>
      <c r="Y38" s="10" t="s">
        <v>167</v>
      </c>
    </row>
    <row r="39" spans="1:25" ht="12.75" customHeight="1">
      <c r="A39" s="8"/>
      <c r="B39" s="154" t="s">
        <v>160</v>
      </c>
      <c r="C39" s="310"/>
      <c r="D39" s="374"/>
      <c r="E39" s="374"/>
      <c r="F39" s="374"/>
      <c r="G39" s="374"/>
      <c r="H39" s="374"/>
      <c r="I39" s="374"/>
      <c r="J39" s="374"/>
      <c r="K39" s="374"/>
      <c r="L39" s="374"/>
      <c r="M39" s="374"/>
      <c r="N39" s="374">
        <v>8.7829999999999995</v>
      </c>
      <c r="O39" s="374">
        <v>6.25</v>
      </c>
      <c r="P39" s="374">
        <v>6.6219999999999999</v>
      </c>
      <c r="Q39" s="374">
        <v>5.6550000000000002</v>
      </c>
      <c r="R39" s="374">
        <f>0.532+1.338+1.134+1.935</f>
        <v>4.9390000000000001</v>
      </c>
      <c r="S39" s="374">
        <v>2.4220000000000002</v>
      </c>
      <c r="T39" s="374">
        <v>1.302</v>
      </c>
      <c r="U39" s="374">
        <v>1.6779999999999999</v>
      </c>
      <c r="V39" s="374">
        <v>1.895</v>
      </c>
      <c r="W39" s="392">
        <f>2233/1000</f>
        <v>2.2330000000000001</v>
      </c>
      <c r="X39" s="878">
        <f t="shared" si="2"/>
        <v>17.836411609498697</v>
      </c>
      <c r="Y39" s="154" t="s">
        <v>160</v>
      </c>
    </row>
    <row r="40" spans="1:25" ht="12.75" customHeight="1">
      <c r="A40" s="8"/>
      <c r="B40" s="11" t="s">
        <v>47</v>
      </c>
      <c r="C40" s="190"/>
      <c r="D40" s="383"/>
      <c r="E40" s="383"/>
      <c r="F40" s="383"/>
      <c r="G40" s="383"/>
      <c r="H40" s="383"/>
      <c r="I40" s="383"/>
      <c r="J40" s="383"/>
      <c r="K40" s="383"/>
      <c r="L40" s="383"/>
      <c r="M40" s="383">
        <v>2.4409999999999998</v>
      </c>
      <c r="N40" s="383">
        <v>1.5069999999999999</v>
      </c>
      <c r="O40" s="383">
        <f>1.537</f>
        <v>1.5369999999999999</v>
      </c>
      <c r="P40" s="383">
        <v>0.624</v>
      </c>
      <c r="Q40" s="383">
        <v>0.64400000000000002</v>
      </c>
      <c r="R40" s="383">
        <v>1.8109999999999999</v>
      </c>
      <c r="S40" s="383">
        <v>2.3319999999999999</v>
      </c>
      <c r="T40" s="383">
        <v>3.472</v>
      </c>
      <c r="U40" s="383">
        <v>18.036000000000001</v>
      </c>
      <c r="V40" s="383">
        <v>46.625</v>
      </c>
      <c r="W40" s="395">
        <f>60105/1000</f>
        <v>60.104999999999997</v>
      </c>
      <c r="X40" s="933">
        <f t="shared" si="2"/>
        <v>28.911528150134046</v>
      </c>
      <c r="Y40" s="11" t="s">
        <v>47</v>
      </c>
    </row>
    <row r="41" spans="1:25" ht="12.75" customHeight="1">
      <c r="A41" s="8"/>
      <c r="B41" s="153" t="s">
        <v>33</v>
      </c>
      <c r="C41" s="396"/>
      <c r="D41" s="384"/>
      <c r="E41" s="384"/>
      <c r="F41" s="384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74"/>
      <c r="R41" s="374"/>
      <c r="S41" s="374"/>
      <c r="T41" s="558"/>
      <c r="U41" s="374"/>
      <c r="V41" s="374"/>
      <c r="W41" s="392"/>
      <c r="X41" s="878"/>
      <c r="Y41" s="154" t="s">
        <v>33</v>
      </c>
    </row>
    <row r="42" spans="1:25" ht="12.75" customHeight="1">
      <c r="A42" s="8"/>
      <c r="B42" s="10" t="s">
        <v>63</v>
      </c>
      <c r="C42" s="188"/>
      <c r="D42" s="367"/>
      <c r="E42" s="367"/>
      <c r="F42" s="367">
        <v>13.64</v>
      </c>
      <c r="G42" s="367">
        <v>15.009</v>
      </c>
      <c r="H42" s="367">
        <v>16.37</v>
      </c>
      <c r="I42" s="367">
        <v>11.856999999999999</v>
      </c>
      <c r="J42" s="367">
        <v>11.02</v>
      </c>
      <c r="K42" s="367">
        <v>10.534000000000001</v>
      </c>
      <c r="L42" s="367">
        <v>11.438000000000001</v>
      </c>
      <c r="M42" s="367">
        <v>9.0329999999999995</v>
      </c>
      <c r="N42" s="367">
        <v>8.0579999999999998</v>
      </c>
      <c r="O42" s="367">
        <f>8.453</f>
        <v>8.4529999999999994</v>
      </c>
      <c r="P42" s="367">
        <v>8.99</v>
      </c>
      <c r="Q42" s="367">
        <v>7.5410000000000004</v>
      </c>
      <c r="R42" s="367">
        <v>7.383</v>
      </c>
      <c r="S42" s="367">
        <v>7.3550000000000004</v>
      </c>
      <c r="T42" s="367">
        <v>5.9459999999999997</v>
      </c>
      <c r="U42" s="367">
        <v>5.258</v>
      </c>
      <c r="V42" s="367">
        <v>4.1769999999999996</v>
      </c>
      <c r="W42" s="371">
        <v>3.2509999999999999</v>
      </c>
      <c r="X42" s="274">
        <f t="shared" si="2"/>
        <v>-22.169020828345694</v>
      </c>
      <c r="Y42" s="10" t="s">
        <v>63</v>
      </c>
    </row>
    <row r="43" spans="1:25" ht="12.75" customHeight="1">
      <c r="A43" s="8"/>
      <c r="B43" s="155" t="s">
        <v>34</v>
      </c>
      <c r="C43" s="311"/>
      <c r="D43" s="380">
        <v>19.358000000000001</v>
      </c>
      <c r="E43" s="380">
        <v>19.43</v>
      </c>
      <c r="F43" s="380">
        <v>18.425000000000001</v>
      </c>
      <c r="G43" s="380">
        <v>6.6420000000000003</v>
      </c>
      <c r="H43" s="380">
        <v>3.4340000000000002</v>
      </c>
      <c r="I43" s="380">
        <v>3.0859999999999999</v>
      </c>
      <c r="J43" s="380">
        <v>3.0139999999999998</v>
      </c>
      <c r="K43" s="380">
        <v>2.738</v>
      </c>
      <c r="L43" s="380">
        <v>3.1269999999999998</v>
      </c>
      <c r="M43" s="380">
        <v>2.863</v>
      </c>
      <c r="N43" s="380">
        <v>3.0990000000000002</v>
      </c>
      <c r="O43" s="380">
        <v>2.3079999999999998</v>
      </c>
      <c r="P43" s="380">
        <v>1.8740000000000001</v>
      </c>
      <c r="Q43" s="380">
        <v>1.1299999999999999</v>
      </c>
      <c r="R43" s="380">
        <v>0.86499999999999999</v>
      </c>
      <c r="S43" s="380">
        <v>0.83</v>
      </c>
      <c r="T43" s="380">
        <v>0.749</v>
      </c>
      <c r="U43" s="380">
        <v>0.67</v>
      </c>
      <c r="V43" s="374">
        <v>0.83699999999999997</v>
      </c>
      <c r="W43" s="393">
        <f>943/1000</f>
        <v>0.94299999999999995</v>
      </c>
      <c r="X43" s="878">
        <f t="shared" si="2"/>
        <v>12.664277180406216</v>
      </c>
      <c r="Y43" s="155" t="s">
        <v>34</v>
      </c>
    </row>
    <row r="44" spans="1:25" ht="12.75" customHeight="1">
      <c r="A44" s="8"/>
      <c r="B44" s="1044" t="s">
        <v>353</v>
      </c>
      <c r="C44" s="1044"/>
      <c r="D44" s="1044"/>
      <c r="E44" s="1044"/>
      <c r="F44" s="1044"/>
      <c r="G44" s="1044"/>
      <c r="H44" s="1044"/>
      <c r="I44" s="1044"/>
      <c r="J44" s="1044"/>
      <c r="K44" s="1044"/>
      <c r="L44" s="1044"/>
      <c r="M44" s="1044"/>
      <c r="N44" s="1044"/>
      <c r="O44" s="1044"/>
      <c r="P44" s="1044"/>
      <c r="Q44" s="1044"/>
      <c r="R44" s="1044"/>
      <c r="S44" s="1044"/>
      <c r="T44" s="1044"/>
      <c r="U44" s="1044"/>
      <c r="V44" s="1044"/>
      <c r="W44" s="1044"/>
      <c r="X44" s="1044"/>
    </row>
    <row r="45" spans="1:25" ht="13.5" customHeight="1">
      <c r="B45" s="180" t="s">
        <v>326</v>
      </c>
    </row>
    <row r="46" spans="1:25">
      <c r="B46" s="1068" t="s">
        <v>200</v>
      </c>
      <c r="C46" s="1068"/>
      <c r="D46" s="1068"/>
      <c r="E46" s="1068"/>
      <c r="F46" s="1068"/>
      <c r="G46" s="1068"/>
      <c r="H46" s="1068"/>
      <c r="I46" s="1068"/>
      <c r="J46" s="1068"/>
      <c r="K46" s="1068"/>
      <c r="L46" s="1068"/>
      <c r="M46" s="1068"/>
      <c r="N46" s="1068"/>
      <c r="O46" s="1068"/>
      <c r="P46" s="1068"/>
      <c r="Q46" s="1068"/>
      <c r="R46" s="1068"/>
      <c r="S46" s="1068"/>
      <c r="T46" s="1068"/>
    </row>
  </sheetData>
  <mergeCells count="5">
    <mergeCell ref="B2:X2"/>
    <mergeCell ref="B3:X3"/>
    <mergeCell ref="B44:X44"/>
    <mergeCell ref="B46:T46"/>
    <mergeCell ref="V4:W4"/>
  </mergeCells>
  <phoneticPr fontId="4" type="noConversion"/>
  <printOptions horizontalCentered="1"/>
  <pageMargins left="0.6692913385826772" right="0.28000000000000003" top="0.51181102362204722" bottom="0.27559055118110237" header="0" footer="0"/>
  <pageSetup paperSize="9" scale="5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3"/>
  <dimension ref="A1:M48"/>
  <sheetViews>
    <sheetView topLeftCell="A16" zoomScaleNormal="100" workbookViewId="0">
      <selection activeCell="Q67" sqref="Q67"/>
    </sheetView>
  </sheetViews>
  <sheetFormatPr defaultRowHeight="11.25"/>
  <cols>
    <col min="1" max="1" width="3.7109375" style="21" customWidth="1"/>
    <col min="2" max="2" width="4.140625" style="3" customWidth="1"/>
    <col min="3" max="3" width="10.85546875" style="3" customWidth="1"/>
    <col min="4" max="4" width="10" style="3" customWidth="1"/>
    <col min="5" max="10" width="8.7109375" style="3" customWidth="1"/>
    <col min="11" max="12" width="4.5703125" style="3" customWidth="1"/>
    <col min="13" max="16384" width="9.140625" style="3"/>
  </cols>
  <sheetData>
    <row r="1" spans="1:13" ht="14.25" customHeight="1">
      <c r="A1" s="27"/>
      <c r="B1" s="28"/>
      <c r="C1" s="28"/>
      <c r="D1" s="28"/>
      <c r="E1" s="28"/>
      <c r="F1" s="28"/>
      <c r="G1" s="28"/>
      <c r="H1" s="28"/>
      <c r="I1" s="28"/>
      <c r="K1" s="16" t="s">
        <v>127</v>
      </c>
      <c r="L1" s="16"/>
    </row>
    <row r="2" spans="1:13" s="54" customFormat="1" ht="30" customHeight="1">
      <c r="A2" s="88"/>
      <c r="B2" s="1039" t="s">
        <v>300</v>
      </c>
      <c r="C2" s="1039"/>
      <c r="D2" s="1039"/>
      <c r="E2" s="1039"/>
      <c r="F2" s="1039"/>
      <c r="G2" s="1039"/>
      <c r="H2" s="1039"/>
      <c r="I2" s="1039"/>
      <c r="J2" s="1039"/>
      <c r="K2" s="1039"/>
      <c r="L2" s="82"/>
    </row>
    <row r="3" spans="1:13" s="14" customFormat="1" ht="15" customHeight="1">
      <c r="A3" s="33"/>
      <c r="B3" s="1043" t="s">
        <v>197</v>
      </c>
      <c r="C3" s="1043"/>
      <c r="D3" s="1043"/>
      <c r="E3" s="1043"/>
      <c r="F3" s="1043"/>
      <c r="G3" s="1043"/>
      <c r="H3" s="1043"/>
      <c r="I3" s="1043"/>
      <c r="J3" s="1043"/>
      <c r="K3" s="1043"/>
      <c r="L3" s="586"/>
    </row>
    <row r="4" spans="1:13" s="14" customFormat="1" ht="12.75" customHeight="1">
      <c r="A4" s="33"/>
      <c r="B4" s="1090" t="s">
        <v>343</v>
      </c>
      <c r="C4" s="1090"/>
      <c r="D4" s="1090"/>
      <c r="E4" s="1090"/>
      <c r="F4" s="1090"/>
      <c r="G4" s="1090"/>
      <c r="H4" s="1090"/>
      <c r="I4" s="1090"/>
      <c r="J4" s="1090"/>
      <c r="K4" s="1090"/>
      <c r="L4" s="587"/>
      <c r="M4" s="33"/>
    </row>
    <row r="5" spans="1:13" ht="30" customHeight="1">
      <c r="C5" s="1076" t="s">
        <v>12</v>
      </c>
      <c r="D5" s="1093"/>
      <c r="E5" s="1076" t="s">
        <v>155</v>
      </c>
      <c r="F5" s="1093"/>
      <c r="G5" s="1076" t="s">
        <v>157</v>
      </c>
      <c r="H5" s="1093"/>
      <c r="I5" s="1076" t="s">
        <v>159</v>
      </c>
      <c r="J5" s="1093"/>
      <c r="K5" s="56"/>
      <c r="L5" s="56"/>
    </row>
    <row r="6" spans="1:13" ht="15" customHeight="1">
      <c r="A6" s="3"/>
      <c r="B6" s="4"/>
      <c r="C6" s="946" t="s">
        <v>13</v>
      </c>
      <c r="D6" s="945" t="s">
        <v>292</v>
      </c>
      <c r="E6" s="946" t="s">
        <v>13</v>
      </c>
      <c r="F6" s="945" t="s">
        <v>292</v>
      </c>
      <c r="G6" s="732" t="s">
        <v>13</v>
      </c>
      <c r="H6" s="733" t="s">
        <v>292</v>
      </c>
      <c r="I6" s="732" t="s">
        <v>13</v>
      </c>
      <c r="J6" s="733" t="s">
        <v>292</v>
      </c>
      <c r="K6" s="195"/>
      <c r="L6" s="54"/>
    </row>
    <row r="7" spans="1:13" ht="12.75" customHeight="1">
      <c r="A7" s="653"/>
      <c r="B7" s="48" t="s">
        <v>266</v>
      </c>
      <c r="C7" s="967">
        <f>SUM(C9:C35)</f>
        <v>12499</v>
      </c>
      <c r="D7" s="968">
        <f t="shared" ref="D7:H7" si="0">SUM(D9:D35)</f>
        <v>667.89100000000008</v>
      </c>
      <c r="E7" s="967">
        <f t="shared" si="0"/>
        <v>2887</v>
      </c>
      <c r="F7" s="968">
        <f t="shared" si="0"/>
        <v>129.46700000000001</v>
      </c>
      <c r="G7" s="967">
        <f t="shared" si="0"/>
        <v>9612</v>
      </c>
      <c r="H7" s="968">
        <f t="shared" si="0"/>
        <v>538.42399999999998</v>
      </c>
      <c r="I7" s="992"/>
      <c r="J7" s="734"/>
      <c r="K7" s="48" t="s">
        <v>266</v>
      </c>
      <c r="L7" s="54"/>
    </row>
    <row r="8" spans="1:13" ht="12.75" customHeight="1">
      <c r="A8" s="654"/>
      <c r="B8" s="652" t="s">
        <v>168</v>
      </c>
      <c r="C8" s="969">
        <f>SUM(C9:C36)</f>
        <v>13288</v>
      </c>
      <c r="D8" s="970">
        <f t="shared" ref="D8:H8" si="1">SUM(D9:D36)</f>
        <v>705.88600000000008</v>
      </c>
      <c r="E8" s="969">
        <f t="shared" si="1"/>
        <v>3072</v>
      </c>
      <c r="F8" s="968">
        <f t="shared" si="1"/>
        <v>135.57300000000001</v>
      </c>
      <c r="G8" s="969">
        <f t="shared" si="1"/>
        <v>10216</v>
      </c>
      <c r="H8" s="968">
        <f t="shared" si="1"/>
        <v>570.31299999999999</v>
      </c>
      <c r="I8" s="993"/>
      <c r="J8" s="743"/>
      <c r="K8" s="652" t="s">
        <v>168</v>
      </c>
      <c r="L8" s="54"/>
      <c r="M8" s="2"/>
    </row>
    <row r="9" spans="1:13" ht="12.75" customHeight="1">
      <c r="A9" s="8"/>
      <c r="B9" s="198" t="s">
        <v>52</v>
      </c>
      <c r="C9" s="971">
        <f>E9+G9</f>
        <v>249</v>
      </c>
      <c r="D9" s="972">
        <f>F9+H9</f>
        <v>28.455000000000002</v>
      </c>
      <c r="E9" s="724">
        <v>90</v>
      </c>
      <c r="F9" s="973">
        <f>10044/1000</f>
        <v>10.044</v>
      </c>
      <c r="G9" s="724">
        <v>159</v>
      </c>
      <c r="H9" s="973">
        <f>18411/1000</f>
        <v>18.411000000000001</v>
      </c>
      <c r="I9" s="965">
        <f>G9/C9</f>
        <v>0.63855421686746983</v>
      </c>
      <c r="J9" s="966">
        <f>H9/D9</f>
        <v>0.64702161307327355</v>
      </c>
      <c r="K9" s="198" t="s">
        <v>52</v>
      </c>
      <c r="L9" s="54"/>
    </row>
    <row r="10" spans="1:13" ht="12.75" customHeight="1">
      <c r="A10" s="8"/>
      <c r="B10" s="197" t="s">
        <v>35</v>
      </c>
      <c r="C10" s="803">
        <f t="shared" ref="C10:C44" si="2">E10+G10</f>
        <v>74</v>
      </c>
      <c r="D10" s="974">
        <f t="shared" ref="D10:D44" si="3">F10+H10</f>
        <v>1.7789999999999999</v>
      </c>
      <c r="E10" s="346">
        <v>14</v>
      </c>
      <c r="F10" s="974">
        <f>119/1000</f>
        <v>0.11899999999999999</v>
      </c>
      <c r="G10" s="346">
        <v>60</v>
      </c>
      <c r="H10" s="974">
        <f>1660/1000</f>
        <v>1.66</v>
      </c>
      <c r="I10" s="994">
        <f t="shared" ref="I10:I44" si="4">G10/C10</f>
        <v>0.81081081081081086</v>
      </c>
      <c r="J10" s="994">
        <f t="shared" ref="J10:J44" si="5">H10/D10</f>
        <v>0.93310848791455869</v>
      </c>
      <c r="K10" s="197" t="s">
        <v>35</v>
      </c>
      <c r="L10" s="54"/>
    </row>
    <row r="11" spans="1:13" ht="12.75" customHeight="1">
      <c r="A11" s="8"/>
      <c r="B11" s="198" t="s">
        <v>37</v>
      </c>
      <c r="C11" s="964"/>
      <c r="D11" s="976" t="s">
        <v>65</v>
      </c>
      <c r="E11" s="724" t="s">
        <v>65</v>
      </c>
      <c r="F11" s="973" t="s">
        <v>65</v>
      </c>
      <c r="G11" s="724" t="s">
        <v>65</v>
      </c>
      <c r="H11" s="973" t="s">
        <v>65</v>
      </c>
      <c r="I11" s="966" t="s">
        <v>65</v>
      </c>
      <c r="J11" s="995" t="s">
        <v>65</v>
      </c>
      <c r="K11" s="198" t="s">
        <v>37</v>
      </c>
      <c r="L11" s="54"/>
      <c r="M11" s="2"/>
    </row>
    <row r="12" spans="1:13" ht="12.75" customHeight="1">
      <c r="A12" s="8"/>
      <c r="B12" s="197" t="s">
        <v>48</v>
      </c>
      <c r="C12" s="803">
        <f t="shared" si="2"/>
        <v>882</v>
      </c>
      <c r="D12" s="974">
        <f t="shared" si="3"/>
        <v>45.176000000000002</v>
      </c>
      <c r="E12" s="346">
        <f>361</f>
        <v>361</v>
      </c>
      <c r="F12" s="974">
        <f>20410/1000</f>
        <v>20.41</v>
      </c>
      <c r="G12" s="346">
        <f>521</f>
        <v>521</v>
      </c>
      <c r="H12" s="974">
        <f>24766/1000</f>
        <v>24.765999999999998</v>
      </c>
      <c r="I12" s="994">
        <f t="shared" si="4"/>
        <v>0.59070294784580502</v>
      </c>
      <c r="J12" s="994">
        <f t="shared" si="5"/>
        <v>0.54821143970249686</v>
      </c>
      <c r="K12" s="197" t="s">
        <v>48</v>
      </c>
      <c r="L12" s="54"/>
      <c r="M12" s="2"/>
    </row>
    <row r="13" spans="1:13" ht="12.75" customHeight="1">
      <c r="A13" s="8"/>
      <c r="B13" s="198" t="s">
        <v>53</v>
      </c>
      <c r="C13" s="971">
        <f t="shared" si="2"/>
        <v>2626</v>
      </c>
      <c r="D13" s="973">
        <f t="shared" si="3"/>
        <v>89.097999999999999</v>
      </c>
      <c r="E13" s="724">
        <f>177</f>
        <v>177</v>
      </c>
      <c r="F13" s="973">
        <f>8.227</f>
        <v>8.2270000000000003</v>
      </c>
      <c r="G13" s="724">
        <f>2449</f>
        <v>2449</v>
      </c>
      <c r="H13" s="973">
        <f>80.871</f>
        <v>80.870999999999995</v>
      </c>
      <c r="I13" s="965">
        <f t="shared" si="4"/>
        <v>0.93259710586443256</v>
      </c>
      <c r="J13" s="966">
        <f t="shared" si="5"/>
        <v>0.90766347168286599</v>
      </c>
      <c r="K13" s="198" t="s">
        <v>53</v>
      </c>
      <c r="L13" s="54"/>
    </row>
    <row r="14" spans="1:13" ht="12.75" customHeight="1">
      <c r="A14" s="8"/>
      <c r="B14" s="197" t="s">
        <v>38</v>
      </c>
      <c r="C14" s="803">
        <f t="shared" si="2"/>
        <v>83</v>
      </c>
      <c r="D14" s="974">
        <f t="shared" si="3"/>
        <v>0.65500000000000003</v>
      </c>
      <c r="E14" s="346">
        <f>9</f>
        <v>9</v>
      </c>
      <c r="F14" s="974">
        <v>1.7000000000000001E-2</v>
      </c>
      <c r="G14" s="346">
        <f>74</f>
        <v>74</v>
      </c>
      <c r="H14" s="974">
        <v>0.63800000000000001</v>
      </c>
      <c r="I14" s="994">
        <f t="shared" si="4"/>
        <v>0.89156626506024095</v>
      </c>
      <c r="J14" s="994">
        <f t="shared" si="5"/>
        <v>0.97404580152671749</v>
      </c>
      <c r="K14" s="197" t="s">
        <v>38</v>
      </c>
      <c r="L14" s="54"/>
      <c r="M14" s="2"/>
    </row>
    <row r="15" spans="1:13" ht="12.75" customHeight="1">
      <c r="A15" s="8"/>
      <c r="B15" s="198" t="s">
        <v>56</v>
      </c>
      <c r="C15" s="971">
        <f t="shared" si="2"/>
        <v>96</v>
      </c>
      <c r="D15" s="973">
        <f t="shared" si="3"/>
        <v>1.7320000000000002</v>
      </c>
      <c r="E15" s="724">
        <f>40</f>
        <v>40</v>
      </c>
      <c r="F15" s="973">
        <v>0.37</v>
      </c>
      <c r="G15" s="724">
        <v>56</v>
      </c>
      <c r="H15" s="973">
        <f>1.362</f>
        <v>1.3620000000000001</v>
      </c>
      <c r="I15" s="965">
        <f t="shared" si="4"/>
        <v>0.58333333333333337</v>
      </c>
      <c r="J15" s="966">
        <f t="shared" si="5"/>
        <v>0.78637413394919164</v>
      </c>
      <c r="K15" s="198" t="s">
        <v>56</v>
      </c>
      <c r="L15" s="54"/>
    </row>
    <row r="16" spans="1:13" ht="12.75" customHeight="1">
      <c r="A16" s="8"/>
      <c r="B16" s="197" t="s">
        <v>49</v>
      </c>
      <c r="C16" s="803">
        <f t="shared" si="2"/>
        <v>4926</v>
      </c>
      <c r="D16" s="974">
        <f t="shared" si="3"/>
        <v>394.59399999999999</v>
      </c>
      <c r="E16" s="346">
        <f>688</f>
        <v>688</v>
      </c>
      <c r="F16" s="974">
        <f>65.545</f>
        <v>65.545000000000002</v>
      </c>
      <c r="G16" s="346">
        <v>4238</v>
      </c>
      <c r="H16" s="974">
        <f>329.049</f>
        <v>329.04899999999998</v>
      </c>
      <c r="I16" s="994">
        <f t="shared" si="4"/>
        <v>0.86033292732440114</v>
      </c>
      <c r="J16" s="994">
        <f t="shared" si="5"/>
        <v>0.83389255792029271</v>
      </c>
      <c r="K16" s="197" t="s">
        <v>49</v>
      </c>
      <c r="L16" s="54"/>
    </row>
    <row r="17" spans="1:12" ht="12.75" customHeight="1">
      <c r="A17" s="8"/>
      <c r="B17" s="198" t="s">
        <v>54</v>
      </c>
      <c r="C17" s="971">
        <f t="shared" si="2"/>
        <v>197</v>
      </c>
      <c r="D17" s="973">
        <f t="shared" si="3"/>
        <v>3.4580000000000002</v>
      </c>
      <c r="E17" s="724">
        <v>86</v>
      </c>
      <c r="F17" s="973">
        <v>0.51400000000000001</v>
      </c>
      <c r="G17" s="724">
        <v>111</v>
      </c>
      <c r="H17" s="973">
        <f>2.944</f>
        <v>2.944</v>
      </c>
      <c r="I17" s="965">
        <f t="shared" si="4"/>
        <v>0.56345177664974622</v>
      </c>
      <c r="J17" s="966">
        <f t="shared" si="5"/>
        <v>0.85135916714864079</v>
      </c>
      <c r="K17" s="198" t="s">
        <v>54</v>
      </c>
      <c r="L17" s="54"/>
    </row>
    <row r="18" spans="1:12" ht="12.75" customHeight="1">
      <c r="A18" s="8"/>
      <c r="B18" s="197" t="s">
        <v>55</v>
      </c>
      <c r="C18" s="803">
        <f t="shared" si="2"/>
        <v>321</v>
      </c>
      <c r="D18" s="974">
        <f t="shared" si="3"/>
        <v>16.225999999999999</v>
      </c>
      <c r="E18" s="346">
        <f>118</f>
        <v>118</v>
      </c>
      <c r="F18" s="974">
        <f>3.528</f>
        <v>3.528</v>
      </c>
      <c r="G18" s="346">
        <v>203</v>
      </c>
      <c r="H18" s="974">
        <f>12.698</f>
        <v>12.698</v>
      </c>
      <c r="I18" s="994">
        <f t="shared" si="4"/>
        <v>0.63239875389408096</v>
      </c>
      <c r="J18" s="994">
        <f t="shared" si="5"/>
        <v>0.78257118205349441</v>
      </c>
      <c r="K18" s="197" t="s">
        <v>55</v>
      </c>
      <c r="L18" s="54"/>
    </row>
    <row r="19" spans="1:12" ht="12.75" customHeight="1">
      <c r="A19" s="8"/>
      <c r="B19" s="312" t="s">
        <v>66</v>
      </c>
      <c r="C19" s="971">
        <f t="shared" si="2"/>
        <v>81</v>
      </c>
      <c r="D19" s="973">
        <f t="shared" si="3"/>
        <v>2.39</v>
      </c>
      <c r="E19" s="345">
        <f>56</f>
        <v>56</v>
      </c>
      <c r="F19" s="977">
        <f>1.699</f>
        <v>1.6990000000000001</v>
      </c>
      <c r="G19" s="345">
        <v>25</v>
      </c>
      <c r="H19" s="977">
        <v>0.69099999999999995</v>
      </c>
      <c r="I19" s="965">
        <f t="shared" si="4"/>
        <v>0.30864197530864196</v>
      </c>
      <c r="J19" s="966">
        <f t="shared" si="5"/>
        <v>0.28912133891213387</v>
      </c>
      <c r="K19" s="312" t="s">
        <v>66</v>
      </c>
      <c r="L19" s="54"/>
    </row>
    <row r="20" spans="1:12" ht="12.75" customHeight="1">
      <c r="A20" s="8"/>
      <c r="B20" s="197" t="s">
        <v>57</v>
      </c>
      <c r="C20" s="803">
        <f t="shared" si="2"/>
        <v>1103</v>
      </c>
      <c r="D20" s="974">
        <f t="shared" si="3"/>
        <v>50.159000000000006</v>
      </c>
      <c r="E20" s="346">
        <v>417</v>
      </c>
      <c r="F20" s="974">
        <f>10.364</f>
        <v>10.364000000000001</v>
      </c>
      <c r="G20" s="346">
        <v>686</v>
      </c>
      <c r="H20" s="974">
        <f>39.795</f>
        <v>39.795000000000002</v>
      </c>
      <c r="I20" s="994">
        <f t="shared" si="4"/>
        <v>0.62194016319129641</v>
      </c>
      <c r="J20" s="994">
        <f t="shared" si="5"/>
        <v>0.79337706094619109</v>
      </c>
      <c r="K20" s="197" t="s">
        <v>57</v>
      </c>
      <c r="L20" s="54"/>
    </row>
    <row r="21" spans="1:12" ht="12.75" customHeight="1">
      <c r="A21" s="8"/>
      <c r="B21" s="312" t="s">
        <v>36</v>
      </c>
      <c r="C21" s="971">
        <f t="shared" si="2"/>
        <v>155</v>
      </c>
      <c r="D21" s="973">
        <f t="shared" si="3"/>
        <v>6.0230000000000006</v>
      </c>
      <c r="E21" s="345">
        <f>48</f>
        <v>48</v>
      </c>
      <c r="F21" s="977">
        <f>1.801</f>
        <v>1.8009999999999999</v>
      </c>
      <c r="G21" s="345">
        <f>107</f>
        <v>107</v>
      </c>
      <c r="H21" s="977">
        <f>4.222</f>
        <v>4.2220000000000004</v>
      </c>
      <c r="I21" s="965">
        <f t="shared" si="4"/>
        <v>0.69032258064516128</v>
      </c>
      <c r="J21" s="966">
        <f t="shared" si="5"/>
        <v>0.70097957828324753</v>
      </c>
      <c r="K21" s="312" t="s">
        <v>36</v>
      </c>
      <c r="L21" s="54"/>
    </row>
    <row r="22" spans="1:12" ht="12.75" customHeight="1">
      <c r="A22" s="8"/>
      <c r="B22" s="197" t="s">
        <v>40</v>
      </c>
      <c r="C22" s="803">
        <f t="shared" si="2"/>
        <v>50</v>
      </c>
      <c r="D22" s="974">
        <f t="shared" si="3"/>
        <v>0.28500000000000003</v>
      </c>
      <c r="E22" s="346">
        <f>3</f>
        <v>3</v>
      </c>
      <c r="F22" s="974">
        <f>0.007</f>
        <v>7.0000000000000001E-3</v>
      </c>
      <c r="G22" s="346">
        <f>47</f>
        <v>47</v>
      </c>
      <c r="H22" s="974">
        <f>0.278</f>
        <v>0.27800000000000002</v>
      </c>
      <c r="I22" s="994">
        <f t="shared" si="4"/>
        <v>0.94</v>
      </c>
      <c r="J22" s="994">
        <f t="shared" si="5"/>
        <v>0.9754385964912281</v>
      </c>
      <c r="K22" s="197" t="s">
        <v>40</v>
      </c>
      <c r="L22" s="54"/>
    </row>
    <row r="23" spans="1:12" ht="12.75" customHeight="1">
      <c r="A23" s="8"/>
      <c r="B23" s="312" t="s">
        <v>41</v>
      </c>
      <c r="C23" s="971">
        <f t="shared" si="2"/>
        <v>52</v>
      </c>
      <c r="D23" s="973">
        <f t="shared" si="3"/>
        <v>0.22999999999999998</v>
      </c>
      <c r="E23" s="345">
        <f>17</f>
        <v>17</v>
      </c>
      <c r="F23" s="977">
        <f>0.103</f>
        <v>0.10299999999999999</v>
      </c>
      <c r="G23" s="345">
        <f>35</f>
        <v>35</v>
      </c>
      <c r="H23" s="977">
        <f>0.127</f>
        <v>0.127</v>
      </c>
      <c r="I23" s="965">
        <f t="shared" si="4"/>
        <v>0.67307692307692313</v>
      </c>
      <c r="J23" s="966">
        <f t="shared" si="5"/>
        <v>0.55217391304347829</v>
      </c>
      <c r="K23" s="312" t="s">
        <v>41</v>
      </c>
      <c r="L23" s="54"/>
    </row>
    <row r="24" spans="1:12" ht="12.75" customHeight="1">
      <c r="A24" s="8"/>
      <c r="B24" s="197" t="s">
        <v>58</v>
      </c>
      <c r="C24" s="463">
        <f>G24</f>
        <v>12</v>
      </c>
      <c r="D24" s="978">
        <f>H24</f>
        <v>1.2010000000000001</v>
      </c>
      <c r="E24" s="464" t="s">
        <v>65</v>
      </c>
      <c r="F24" s="979" t="s">
        <v>65</v>
      </c>
      <c r="G24" s="346">
        <v>12</v>
      </c>
      <c r="H24" s="974">
        <f>1.201</f>
        <v>1.2010000000000001</v>
      </c>
      <c r="I24" s="994">
        <f t="shared" si="4"/>
        <v>1</v>
      </c>
      <c r="J24" s="994">
        <f t="shared" si="5"/>
        <v>1</v>
      </c>
      <c r="K24" s="197" t="s">
        <v>58</v>
      </c>
      <c r="L24" s="54"/>
    </row>
    <row r="25" spans="1:12" ht="12.75" customHeight="1">
      <c r="A25" s="8"/>
      <c r="B25" s="312" t="s">
        <v>39</v>
      </c>
      <c r="C25" s="345" t="s">
        <v>65</v>
      </c>
      <c r="D25" s="736" t="s">
        <v>65</v>
      </c>
      <c r="E25" s="345" t="s">
        <v>65</v>
      </c>
      <c r="F25" s="977" t="s">
        <v>65</v>
      </c>
      <c r="G25" s="345" t="s">
        <v>65</v>
      </c>
      <c r="H25" s="977" t="s">
        <v>65</v>
      </c>
      <c r="I25" s="965" t="s">
        <v>65</v>
      </c>
      <c r="J25" s="966" t="s">
        <v>65</v>
      </c>
      <c r="K25" s="10" t="s">
        <v>65</v>
      </c>
      <c r="L25" s="54"/>
    </row>
    <row r="26" spans="1:12" ht="12.75" customHeight="1">
      <c r="A26" s="8"/>
      <c r="B26" s="197" t="s">
        <v>42</v>
      </c>
      <c r="C26" s="803">
        <f t="shared" si="2"/>
        <v>45</v>
      </c>
      <c r="D26" s="974">
        <f t="shared" si="3"/>
        <v>0.95700000000000007</v>
      </c>
      <c r="E26" s="346">
        <v>28</v>
      </c>
      <c r="F26" s="974">
        <f>0.334</f>
        <v>0.33400000000000002</v>
      </c>
      <c r="G26" s="346">
        <f>17</f>
        <v>17</v>
      </c>
      <c r="H26" s="974">
        <f>0.623</f>
        <v>0.623</v>
      </c>
      <c r="I26" s="994">
        <f t="shared" si="4"/>
        <v>0.37777777777777777</v>
      </c>
      <c r="J26" s="994">
        <f t="shared" si="5"/>
        <v>0.65099268547544409</v>
      </c>
      <c r="K26" s="197" t="s">
        <v>42</v>
      </c>
      <c r="L26" s="54"/>
    </row>
    <row r="27" spans="1:12" ht="12.75" customHeight="1">
      <c r="A27" s="8"/>
      <c r="B27" s="312" t="s">
        <v>50</v>
      </c>
      <c r="C27" s="971">
        <f t="shared" si="2"/>
        <v>896</v>
      </c>
      <c r="D27" s="973">
        <f t="shared" si="3"/>
        <v>11.779</v>
      </c>
      <c r="E27" s="345">
        <v>566</v>
      </c>
      <c r="F27" s="977">
        <f>4.704</f>
        <v>4.7039999999999997</v>
      </c>
      <c r="G27" s="345">
        <f>330</f>
        <v>330</v>
      </c>
      <c r="H27" s="977">
        <f>7.075</f>
        <v>7.0750000000000002</v>
      </c>
      <c r="I27" s="965">
        <f t="shared" si="4"/>
        <v>0.36830357142857145</v>
      </c>
      <c r="J27" s="966">
        <f t="shared" si="5"/>
        <v>0.60064521606248411</v>
      </c>
      <c r="K27" s="312" t="s">
        <v>50</v>
      </c>
      <c r="L27" s="54"/>
    </row>
    <row r="28" spans="1:12" ht="12.75" customHeight="1">
      <c r="A28" s="8"/>
      <c r="B28" s="197" t="s">
        <v>59</v>
      </c>
      <c r="C28" s="429">
        <f>G28</f>
        <v>4</v>
      </c>
      <c r="D28" s="974">
        <f>H28</f>
        <v>3.1E-2</v>
      </c>
      <c r="E28" s="464" t="s">
        <v>65</v>
      </c>
      <c r="F28" s="979" t="s">
        <v>65</v>
      </c>
      <c r="G28" s="346">
        <v>4</v>
      </c>
      <c r="H28" s="974">
        <f>0.031</f>
        <v>3.1E-2</v>
      </c>
      <c r="I28" s="994">
        <f t="shared" si="4"/>
        <v>1</v>
      </c>
      <c r="J28" s="994">
        <f t="shared" si="5"/>
        <v>1</v>
      </c>
      <c r="K28" s="197" t="s">
        <v>59</v>
      </c>
      <c r="L28" s="54"/>
    </row>
    <row r="29" spans="1:12" ht="12.75" customHeight="1">
      <c r="A29" s="8"/>
      <c r="B29" s="312" t="s">
        <v>43</v>
      </c>
      <c r="C29" s="971">
        <f t="shared" si="2"/>
        <v>111</v>
      </c>
      <c r="D29" s="973">
        <f t="shared" si="3"/>
        <v>2.6720000000000002</v>
      </c>
      <c r="E29" s="345">
        <v>4</v>
      </c>
      <c r="F29" s="977">
        <f>0.011</f>
        <v>1.0999999999999999E-2</v>
      </c>
      <c r="G29" s="345">
        <v>107</v>
      </c>
      <c r="H29" s="977">
        <f>2.661</f>
        <v>2.661</v>
      </c>
      <c r="I29" s="965">
        <f t="shared" si="4"/>
        <v>0.963963963963964</v>
      </c>
      <c r="J29" s="966">
        <f t="shared" si="5"/>
        <v>0.99588323353293406</v>
      </c>
      <c r="K29" s="312" t="s">
        <v>43</v>
      </c>
      <c r="L29" s="54"/>
    </row>
    <row r="30" spans="1:12" ht="12.75" customHeight="1">
      <c r="A30" s="8"/>
      <c r="B30" s="197" t="s">
        <v>60</v>
      </c>
      <c r="C30" s="803">
        <f t="shared" si="2"/>
        <v>50</v>
      </c>
      <c r="D30" s="974">
        <f t="shared" si="3"/>
        <v>1.49</v>
      </c>
      <c r="E30" s="346">
        <v>21</v>
      </c>
      <c r="F30" s="974">
        <f>0.117</f>
        <v>0.11700000000000001</v>
      </c>
      <c r="G30" s="346">
        <f>29</f>
        <v>29</v>
      </c>
      <c r="H30" s="974">
        <f>1.373</f>
        <v>1.373</v>
      </c>
      <c r="I30" s="994">
        <f t="shared" si="4"/>
        <v>0.57999999999999996</v>
      </c>
      <c r="J30" s="994">
        <f t="shared" si="5"/>
        <v>0.92147651006711406</v>
      </c>
      <c r="K30" s="197" t="s">
        <v>60</v>
      </c>
      <c r="L30" s="54"/>
    </row>
    <row r="31" spans="1:12" ht="12.75" customHeight="1">
      <c r="A31" s="8"/>
      <c r="B31" s="312" t="s">
        <v>44</v>
      </c>
      <c r="C31" s="971">
        <f t="shared" si="2"/>
        <v>84</v>
      </c>
      <c r="D31" s="973">
        <f t="shared" si="3"/>
        <v>0.99299999999999999</v>
      </c>
      <c r="E31" s="345">
        <v>2</v>
      </c>
      <c r="F31" s="977">
        <f>0.024</f>
        <v>2.4E-2</v>
      </c>
      <c r="G31" s="345">
        <v>82</v>
      </c>
      <c r="H31" s="977">
        <f>0.969</f>
        <v>0.96899999999999997</v>
      </c>
      <c r="I31" s="965">
        <f t="shared" si="4"/>
        <v>0.97619047619047616</v>
      </c>
      <c r="J31" s="966">
        <f t="shared" si="5"/>
        <v>0.97583081570996977</v>
      </c>
      <c r="K31" s="312" t="s">
        <v>44</v>
      </c>
      <c r="L31" s="54"/>
    </row>
    <row r="32" spans="1:12" ht="12.75" customHeight="1">
      <c r="A32" s="8"/>
      <c r="B32" s="197" t="s">
        <v>46</v>
      </c>
      <c r="C32" s="463">
        <f>G32</f>
        <v>2</v>
      </c>
      <c r="D32" s="978">
        <f>H32</f>
        <v>8.0000000000000002E-3</v>
      </c>
      <c r="E32" s="464" t="s">
        <v>65</v>
      </c>
      <c r="F32" s="979" t="s">
        <v>65</v>
      </c>
      <c r="G32" s="429">
        <v>2</v>
      </c>
      <c r="H32" s="974">
        <f>0.008</f>
        <v>8.0000000000000002E-3</v>
      </c>
      <c r="I32" s="994">
        <f t="shared" si="4"/>
        <v>1</v>
      </c>
      <c r="J32" s="994">
        <f t="shared" si="5"/>
        <v>1</v>
      </c>
      <c r="K32" s="197" t="s">
        <v>46</v>
      </c>
      <c r="L32" s="54"/>
    </row>
    <row r="33" spans="1:12" ht="12.75" customHeight="1">
      <c r="A33" s="8"/>
      <c r="B33" s="312" t="s">
        <v>45</v>
      </c>
      <c r="C33" s="735"/>
      <c r="D33" s="736" t="s">
        <v>65</v>
      </c>
      <c r="E33" s="757" t="s">
        <v>65</v>
      </c>
      <c r="F33" s="973" t="s">
        <v>65</v>
      </c>
      <c r="G33" s="345" t="s">
        <v>65</v>
      </c>
      <c r="H33" s="977" t="s">
        <v>65</v>
      </c>
      <c r="I33" s="965" t="s">
        <v>65</v>
      </c>
      <c r="J33" s="966" t="s">
        <v>65</v>
      </c>
      <c r="K33" s="312" t="s">
        <v>45</v>
      </c>
      <c r="L33" s="54"/>
    </row>
    <row r="34" spans="1:12" ht="12.75" customHeight="1">
      <c r="A34" s="8"/>
      <c r="B34" s="197" t="s">
        <v>61</v>
      </c>
      <c r="C34" s="803">
        <f t="shared" si="2"/>
        <v>104</v>
      </c>
      <c r="D34" s="974">
        <f t="shared" si="3"/>
        <v>1.8840000000000001</v>
      </c>
      <c r="E34" s="346">
        <v>64</v>
      </c>
      <c r="F34" s="974">
        <f>0.669</f>
        <v>0.66900000000000004</v>
      </c>
      <c r="G34" s="346">
        <v>40</v>
      </c>
      <c r="H34" s="974">
        <f>1.215</f>
        <v>1.2150000000000001</v>
      </c>
      <c r="I34" s="994">
        <f t="shared" si="4"/>
        <v>0.38461538461538464</v>
      </c>
      <c r="J34" s="994">
        <f t="shared" si="5"/>
        <v>0.64490445859872614</v>
      </c>
      <c r="K34" s="197" t="s">
        <v>61</v>
      </c>
      <c r="L34" s="54"/>
    </row>
    <row r="35" spans="1:12" ht="12.75" customHeight="1">
      <c r="A35" s="8"/>
      <c r="B35" s="312" t="s">
        <v>62</v>
      </c>
      <c r="C35" s="971">
        <f t="shared" si="2"/>
        <v>296</v>
      </c>
      <c r="D35" s="973">
        <f t="shared" si="3"/>
        <v>6.6160000000000005</v>
      </c>
      <c r="E35" s="345">
        <v>78</v>
      </c>
      <c r="F35" s="977">
        <f>0.86</f>
        <v>0.86</v>
      </c>
      <c r="G35" s="345">
        <v>218</v>
      </c>
      <c r="H35" s="977">
        <f>5.756</f>
        <v>5.7560000000000002</v>
      </c>
      <c r="I35" s="965">
        <f t="shared" si="4"/>
        <v>0.73648648648648651</v>
      </c>
      <c r="J35" s="996">
        <f t="shared" si="5"/>
        <v>0.87001209189842799</v>
      </c>
      <c r="K35" s="501" t="s">
        <v>62</v>
      </c>
      <c r="L35" s="54"/>
    </row>
    <row r="36" spans="1:12" ht="12.75" customHeight="1">
      <c r="A36" s="8"/>
      <c r="B36" s="656" t="s">
        <v>51</v>
      </c>
      <c r="C36" s="980">
        <f t="shared" si="2"/>
        <v>789</v>
      </c>
      <c r="D36" s="981">
        <f t="shared" si="3"/>
        <v>37.994999999999997</v>
      </c>
      <c r="E36" s="674">
        <v>185</v>
      </c>
      <c r="F36" s="981">
        <f>6.106</f>
        <v>6.1059999999999999</v>
      </c>
      <c r="G36" s="674">
        <v>604</v>
      </c>
      <c r="H36" s="981">
        <f>31.889</f>
        <v>31.888999999999999</v>
      </c>
      <c r="I36" s="997">
        <f t="shared" si="4"/>
        <v>0.76552598225602031</v>
      </c>
      <c r="J36" s="998">
        <f t="shared" si="5"/>
        <v>0.83929464403210952</v>
      </c>
      <c r="K36" s="199" t="s">
        <v>51</v>
      </c>
      <c r="L36" s="54"/>
    </row>
    <row r="37" spans="1:12" ht="12.75" customHeight="1">
      <c r="A37" s="8"/>
      <c r="B37" s="312" t="s">
        <v>161</v>
      </c>
      <c r="C37" s="453">
        <f>E37</f>
        <v>4</v>
      </c>
      <c r="D37" s="982">
        <f>F37</f>
        <v>0.14000000000000001</v>
      </c>
      <c r="E37" s="345">
        <v>4</v>
      </c>
      <c r="F37" s="977">
        <f>0.14</f>
        <v>0.14000000000000001</v>
      </c>
      <c r="G37" s="345" t="s">
        <v>65</v>
      </c>
      <c r="H37" s="977" t="s">
        <v>65</v>
      </c>
      <c r="I37" s="999">
        <v>0</v>
      </c>
      <c r="J37" s="999">
        <v>0</v>
      </c>
      <c r="K37" s="312" t="s">
        <v>161</v>
      </c>
      <c r="L37" s="54"/>
    </row>
    <row r="38" spans="1:12" ht="12.75" customHeight="1">
      <c r="A38" s="8"/>
      <c r="B38" s="197" t="s">
        <v>0</v>
      </c>
      <c r="C38" s="975" t="s">
        <v>65</v>
      </c>
      <c r="D38" s="983" t="s">
        <v>65</v>
      </c>
      <c r="E38" s="984" t="s">
        <v>65</v>
      </c>
      <c r="F38" s="985" t="s">
        <v>65</v>
      </c>
      <c r="G38" s="346" t="s">
        <v>65</v>
      </c>
      <c r="H38" s="986" t="s">
        <v>65</v>
      </c>
      <c r="I38" s="1000" t="s">
        <v>65</v>
      </c>
      <c r="J38" s="994" t="s">
        <v>65</v>
      </c>
      <c r="K38" s="197" t="s">
        <v>0</v>
      </c>
      <c r="L38" s="54"/>
    </row>
    <row r="39" spans="1:12" ht="12.75" customHeight="1">
      <c r="A39" s="8"/>
      <c r="B39" s="312" t="s">
        <v>167</v>
      </c>
      <c r="C39" s="971">
        <f t="shared" si="2"/>
        <v>27</v>
      </c>
      <c r="D39" s="973">
        <f t="shared" si="3"/>
        <v>9.1999999999999998E-2</v>
      </c>
      <c r="E39" s="345">
        <v>12</v>
      </c>
      <c r="F39" s="977">
        <f>0.03</f>
        <v>0.03</v>
      </c>
      <c r="G39" s="345">
        <v>15</v>
      </c>
      <c r="H39" s="977">
        <f>0.062</f>
        <v>6.2E-2</v>
      </c>
      <c r="I39" s="965">
        <f>G39/C39</f>
        <v>0.55555555555555558</v>
      </c>
      <c r="J39" s="966">
        <f>H39/D39</f>
        <v>0.67391304347826086</v>
      </c>
      <c r="K39" s="312" t="s">
        <v>167</v>
      </c>
      <c r="L39" s="54"/>
    </row>
    <row r="40" spans="1:12" ht="12.75" customHeight="1">
      <c r="A40" s="8"/>
      <c r="B40" s="197" t="s">
        <v>160</v>
      </c>
      <c r="C40" s="975" t="s">
        <v>65</v>
      </c>
      <c r="D40" s="983" t="s">
        <v>65</v>
      </c>
      <c r="E40" s="975" t="s">
        <v>65</v>
      </c>
      <c r="F40" s="983" t="s">
        <v>65</v>
      </c>
      <c r="G40" s="975" t="s">
        <v>65</v>
      </c>
      <c r="H40" s="975" t="s">
        <v>65</v>
      </c>
      <c r="I40" s="994" t="s">
        <v>65</v>
      </c>
      <c r="J40" s="994" t="s">
        <v>65</v>
      </c>
      <c r="K40" s="197" t="s">
        <v>160</v>
      </c>
      <c r="L40" s="54"/>
    </row>
    <row r="41" spans="1:12" ht="12.75" customHeight="1">
      <c r="A41" s="8"/>
      <c r="B41" s="501" t="s">
        <v>47</v>
      </c>
      <c r="C41" s="987">
        <f t="shared" si="2"/>
        <v>1496</v>
      </c>
      <c r="D41" s="988">
        <f t="shared" si="3"/>
        <v>28.771999999999998</v>
      </c>
      <c r="E41" s="357">
        <v>402</v>
      </c>
      <c r="F41" s="989">
        <f>6.09</f>
        <v>6.09</v>
      </c>
      <c r="G41" s="357">
        <v>1094</v>
      </c>
      <c r="H41" s="989">
        <f>22.682</f>
        <v>22.681999999999999</v>
      </c>
      <c r="I41" s="1001">
        <f t="shared" si="4"/>
        <v>0.73128342245989308</v>
      </c>
      <c r="J41" s="1002">
        <f t="shared" si="5"/>
        <v>0.78833588210760464</v>
      </c>
      <c r="K41" s="501" t="s">
        <v>47</v>
      </c>
      <c r="L41" s="54"/>
    </row>
    <row r="42" spans="1:12" ht="12.75" customHeight="1">
      <c r="A42" s="8"/>
      <c r="B42" s="197" t="s">
        <v>33</v>
      </c>
      <c r="C42" s="803">
        <f t="shared" si="2"/>
        <v>14</v>
      </c>
      <c r="D42" s="974">
        <f t="shared" si="3"/>
        <v>8.6000000000000007E-2</v>
      </c>
      <c r="E42" s="346">
        <v>3</v>
      </c>
      <c r="F42" s="974">
        <f>0.001</f>
        <v>1E-3</v>
      </c>
      <c r="G42" s="346">
        <v>11</v>
      </c>
      <c r="H42" s="990">
        <f>0.085</f>
        <v>8.5000000000000006E-2</v>
      </c>
      <c r="I42" s="994">
        <f t="shared" si="4"/>
        <v>0.7857142857142857</v>
      </c>
      <c r="J42" s="994">
        <f t="shared" si="5"/>
        <v>0.98837209302325579</v>
      </c>
      <c r="K42" s="197" t="s">
        <v>33</v>
      </c>
      <c r="L42" s="54"/>
    </row>
    <row r="43" spans="1:12" ht="12.75" customHeight="1">
      <c r="A43" s="8"/>
      <c r="B43" s="312" t="s">
        <v>63</v>
      </c>
      <c r="C43" s="971">
        <f t="shared" si="2"/>
        <v>1741</v>
      </c>
      <c r="D43" s="973">
        <f t="shared" si="3"/>
        <v>81.013999999999996</v>
      </c>
      <c r="E43" s="345">
        <v>619</v>
      </c>
      <c r="F43" s="977">
        <f>18.437</f>
        <v>18.437000000000001</v>
      </c>
      <c r="G43" s="345">
        <v>1122</v>
      </c>
      <c r="H43" s="977">
        <f>62.577</f>
        <v>62.576999999999998</v>
      </c>
      <c r="I43" s="965">
        <f t="shared" si="4"/>
        <v>0.64445720850086152</v>
      </c>
      <c r="J43" s="966">
        <f t="shared" si="5"/>
        <v>0.7724220505097884</v>
      </c>
      <c r="K43" s="312" t="s">
        <v>63</v>
      </c>
      <c r="L43" s="54"/>
    </row>
    <row r="44" spans="1:12" ht="12.75" customHeight="1">
      <c r="A44" s="8"/>
      <c r="B44" s="199" t="s">
        <v>34</v>
      </c>
      <c r="C44" s="813">
        <f t="shared" si="2"/>
        <v>181</v>
      </c>
      <c r="D44" s="991">
        <f t="shared" si="3"/>
        <v>8.6519999999999992</v>
      </c>
      <c r="E44" s="355">
        <f>21</f>
        <v>21</v>
      </c>
      <c r="F44" s="991">
        <f>0.975</f>
        <v>0.97499999999999998</v>
      </c>
      <c r="G44" s="355">
        <v>160</v>
      </c>
      <c r="H44" s="991">
        <f>7.677</f>
        <v>7.6769999999999996</v>
      </c>
      <c r="I44" s="994">
        <f t="shared" si="4"/>
        <v>0.88397790055248615</v>
      </c>
      <c r="J44" s="994">
        <f t="shared" si="5"/>
        <v>0.88730929264909852</v>
      </c>
      <c r="K44" s="199" t="s">
        <v>34</v>
      </c>
      <c r="L44" s="54"/>
    </row>
    <row r="45" spans="1:12" ht="12.75" customHeight="1">
      <c r="A45" s="8"/>
      <c r="B45" s="1092" t="s">
        <v>182</v>
      </c>
      <c r="C45" s="1092"/>
      <c r="D45" s="1092"/>
      <c r="E45" s="1092"/>
      <c r="F45" s="1092"/>
      <c r="G45" s="1092"/>
      <c r="H45" s="1092"/>
      <c r="I45" s="1092"/>
      <c r="J45" s="1092"/>
      <c r="K45" s="45"/>
      <c r="L45" s="54"/>
    </row>
    <row r="46" spans="1:12" ht="13.5" customHeight="1">
      <c r="B46" s="1067" t="s">
        <v>326</v>
      </c>
      <c r="C46" s="1067"/>
      <c r="D46" s="196"/>
      <c r="E46" s="196"/>
      <c r="F46" s="196"/>
      <c r="G46" s="196"/>
      <c r="H46" s="196"/>
      <c r="I46" s="196"/>
      <c r="J46" s="196"/>
      <c r="K46" s="196"/>
      <c r="L46" s="54"/>
    </row>
    <row r="47" spans="1:12" ht="10.5" customHeight="1">
      <c r="B47" s="1091" t="s">
        <v>156</v>
      </c>
      <c r="C47" s="1091"/>
      <c r="D47" s="1091"/>
      <c r="E47" s="1091"/>
      <c r="F47" s="1091"/>
      <c r="G47" s="1091"/>
      <c r="H47" s="1091"/>
      <c r="I47" s="1091"/>
      <c r="J47" s="1091"/>
      <c r="K47" s="1091"/>
    </row>
    <row r="48" spans="1:12" ht="24.75" customHeight="1"/>
  </sheetData>
  <mergeCells count="10">
    <mergeCell ref="B2:K2"/>
    <mergeCell ref="B3:K3"/>
    <mergeCell ref="B4:K4"/>
    <mergeCell ref="B47:K47"/>
    <mergeCell ref="B45:J45"/>
    <mergeCell ref="C5:D5"/>
    <mergeCell ref="E5:F5"/>
    <mergeCell ref="G5:H5"/>
    <mergeCell ref="I5:J5"/>
    <mergeCell ref="B46:C46"/>
  </mergeCells>
  <phoneticPr fontId="4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4"/>
  <dimension ref="A1:Z23"/>
  <sheetViews>
    <sheetView topLeftCell="L1" zoomScaleNormal="100" workbookViewId="0">
      <selection activeCell="X20" sqref="X20"/>
    </sheetView>
  </sheetViews>
  <sheetFormatPr defaultRowHeight="12.75"/>
  <cols>
    <col min="1" max="1" width="1.85546875" customWidth="1"/>
    <col min="2" max="2" width="17.140625" customWidth="1"/>
    <col min="3" max="12" width="9.7109375" customWidth="1"/>
    <col min="13" max="15" width="9.140625" customWidth="1"/>
    <col min="16" max="18" width="9.28515625" customWidth="1"/>
    <col min="19" max="19" width="10.42578125" customWidth="1"/>
    <col min="20" max="24" width="8.7109375" customWidth="1"/>
    <col min="25" max="25" width="2" customWidth="1"/>
  </cols>
  <sheetData>
    <row r="1" spans="2:26" ht="14.25" customHeight="1">
      <c r="B1" s="1095"/>
      <c r="C1" s="1095"/>
      <c r="L1" s="16"/>
      <c r="M1" s="1098" t="s">
        <v>128</v>
      </c>
      <c r="N1" s="1098"/>
      <c r="O1" s="1098"/>
      <c r="P1" s="1098"/>
      <c r="Q1" s="1098"/>
      <c r="R1" s="1098"/>
      <c r="S1" s="1098"/>
      <c r="T1" s="1098"/>
      <c r="U1" s="1098"/>
      <c r="V1" s="1098"/>
      <c r="W1" s="1098"/>
      <c r="X1" s="1098"/>
      <c r="Y1" s="1098"/>
    </row>
    <row r="2" spans="2:26" s="41" customFormat="1" ht="30" customHeight="1">
      <c r="B2" s="1105" t="s">
        <v>301</v>
      </c>
      <c r="C2" s="1105"/>
      <c r="D2" s="1105"/>
      <c r="E2" s="1105"/>
      <c r="F2" s="1105"/>
      <c r="G2" s="1105"/>
      <c r="H2" s="1105"/>
      <c r="I2" s="1105"/>
      <c r="J2" s="1105"/>
      <c r="K2" s="1105"/>
      <c r="L2" s="1105"/>
      <c r="M2" s="1105"/>
      <c r="N2" s="1105"/>
      <c r="O2" s="1105"/>
      <c r="P2" s="1105"/>
      <c r="Q2" s="1105"/>
      <c r="R2" s="1105"/>
      <c r="S2" s="1105"/>
      <c r="T2" s="1105"/>
      <c r="U2" s="1105"/>
      <c r="V2" s="1105"/>
      <c r="W2" s="1105"/>
      <c r="X2" s="935"/>
    </row>
    <row r="3" spans="2:26" ht="20.100000000000001" customHeight="1">
      <c r="B3" s="1099" t="s">
        <v>85</v>
      </c>
      <c r="C3" s="1100"/>
      <c r="D3" s="1100"/>
      <c r="E3" s="1100"/>
      <c r="F3" s="1100"/>
      <c r="G3" s="1100"/>
      <c r="H3" s="1100"/>
      <c r="I3" s="1100"/>
      <c r="J3" s="1100"/>
      <c r="K3" s="1100"/>
      <c r="L3" s="1100"/>
      <c r="M3" s="1100"/>
      <c r="N3" s="1100"/>
      <c r="O3" s="1100"/>
      <c r="P3" s="1100"/>
      <c r="Q3" s="1100"/>
      <c r="R3" s="1100"/>
      <c r="S3" s="1100"/>
      <c r="T3" s="1100"/>
      <c r="U3" s="1100"/>
      <c r="V3" s="1100"/>
      <c r="W3" s="1100"/>
      <c r="X3" s="1100"/>
      <c r="Y3" s="1101"/>
    </row>
    <row r="4" spans="2:26" ht="9.75" customHeight="1">
      <c r="B4" s="1096" t="s">
        <v>86</v>
      </c>
      <c r="C4" s="200" t="s">
        <v>84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937"/>
      <c r="Y4" s="182"/>
    </row>
    <row r="5" spans="2:26" ht="15" customHeight="1">
      <c r="B5" s="1096"/>
      <c r="C5" s="201">
        <v>1995</v>
      </c>
      <c r="D5" s="202">
        <v>2000</v>
      </c>
      <c r="E5" s="202">
        <v>2001</v>
      </c>
      <c r="F5" s="202">
        <v>2002</v>
      </c>
      <c r="G5" s="202">
        <v>2003</v>
      </c>
      <c r="H5" s="202">
        <v>2004</v>
      </c>
      <c r="I5" s="202">
        <v>2005</v>
      </c>
      <c r="J5" s="202">
        <v>2006</v>
      </c>
      <c r="K5" s="202">
        <v>2007</v>
      </c>
      <c r="L5" s="202">
        <v>2008</v>
      </c>
      <c r="M5" s="202">
        <v>2009</v>
      </c>
      <c r="N5" s="202">
        <v>2010</v>
      </c>
      <c r="O5" s="202">
        <v>2011</v>
      </c>
      <c r="P5" s="202">
        <v>2012</v>
      </c>
      <c r="Q5" s="202">
        <v>2013</v>
      </c>
      <c r="R5" s="202">
        <v>2014</v>
      </c>
      <c r="S5" s="202">
        <v>2015</v>
      </c>
      <c r="T5" s="202">
        <v>2016</v>
      </c>
      <c r="U5" s="202">
        <v>2017</v>
      </c>
      <c r="V5" s="202">
        <v>2018</v>
      </c>
      <c r="W5" s="202">
        <v>2019</v>
      </c>
      <c r="X5" s="202">
        <v>2020</v>
      </c>
      <c r="Y5" s="203"/>
    </row>
    <row r="6" spans="2:26" ht="15" customHeight="1">
      <c r="B6" s="1097"/>
      <c r="C6" s="1102" t="s">
        <v>147</v>
      </c>
      <c r="D6" s="1103"/>
      <c r="E6" s="1103"/>
      <c r="F6" s="1103"/>
      <c r="G6" s="1103"/>
      <c r="H6" s="1103"/>
      <c r="I6" s="1103"/>
      <c r="J6" s="1103"/>
      <c r="K6" s="1103"/>
      <c r="L6" s="1103"/>
      <c r="M6" s="1103"/>
      <c r="N6" s="1103"/>
      <c r="O6" s="1103"/>
      <c r="P6" s="1103"/>
      <c r="Q6" s="1103"/>
      <c r="R6" s="1103"/>
      <c r="S6" s="1103"/>
      <c r="T6" s="1103"/>
      <c r="U6" s="1103"/>
      <c r="V6" s="1103"/>
      <c r="W6" s="1103"/>
      <c r="X6" s="1103"/>
      <c r="Y6" s="1104"/>
    </row>
    <row r="7" spans="2:26" ht="20.100000000000001" customHeight="1">
      <c r="B7" s="205" t="s">
        <v>14</v>
      </c>
      <c r="C7" s="206">
        <v>311.24599999999998</v>
      </c>
      <c r="D7" s="207">
        <v>350.13600000000002</v>
      </c>
      <c r="E7" s="207">
        <v>361.42200000000003</v>
      </c>
      <c r="F7" s="207">
        <v>372.28</v>
      </c>
      <c r="G7" s="207">
        <v>371.67200000000003</v>
      </c>
      <c r="H7" s="207">
        <v>383.18099999999998</v>
      </c>
      <c r="I7" s="207">
        <v>400.947</v>
      </c>
      <c r="J7" s="207">
        <v>420.62400000000002</v>
      </c>
      <c r="K7" s="207">
        <v>465.14699999999999</v>
      </c>
      <c r="L7" s="207">
        <v>480.86900000000003</v>
      </c>
      <c r="M7" s="207">
        <v>507.666</v>
      </c>
      <c r="N7" s="207">
        <f>501.075+17.201</f>
        <v>518.27599999999995</v>
      </c>
      <c r="O7" s="207">
        <v>552.96999999999991</v>
      </c>
      <c r="P7" s="207">
        <v>601.00900000000001</v>
      </c>
      <c r="Q7" s="207">
        <v>669.86400000000003</v>
      </c>
      <c r="R7" s="207">
        <v>696.4</v>
      </c>
      <c r="S7" s="207">
        <v>739.1</v>
      </c>
      <c r="T7" s="207">
        <v>773.53499999999997</v>
      </c>
      <c r="U7" s="207">
        <v>807.3889999999999</v>
      </c>
      <c r="V7" s="207">
        <v>805.649</v>
      </c>
      <c r="W7" s="207">
        <v>843.06200000000001</v>
      </c>
      <c r="X7" s="207">
        <f>28.772+837.463</f>
        <v>866.23500000000001</v>
      </c>
      <c r="Y7" s="208"/>
      <c r="Z7" s="227"/>
    </row>
    <row r="8" spans="2:26" ht="20.100000000000001" customHeight="1">
      <c r="B8" s="209" t="s">
        <v>275</v>
      </c>
      <c r="C8" s="210">
        <v>223.56400000000002</v>
      </c>
      <c r="D8" s="211">
        <v>257.97500000000002</v>
      </c>
      <c r="E8" s="211">
        <v>266.34699999999998</v>
      </c>
      <c r="F8" s="211">
        <v>274.61200000000002</v>
      </c>
      <c r="G8" s="211">
        <v>277.38600000000002</v>
      </c>
      <c r="H8" s="211">
        <v>292.79100000000005</v>
      </c>
      <c r="I8" s="211">
        <v>316.85000000000002</v>
      </c>
      <c r="J8" s="211">
        <v>332.11</v>
      </c>
      <c r="K8" s="211">
        <v>368.48599999999999</v>
      </c>
      <c r="L8" s="211">
        <v>392.05200000000002</v>
      </c>
      <c r="M8" s="211">
        <v>417.89499999999998</v>
      </c>
      <c r="N8" s="211">
        <v>432.24599999999998</v>
      </c>
      <c r="O8" s="211">
        <v>460.399</v>
      </c>
      <c r="P8" s="313">
        <v>468.30100000000004</v>
      </c>
      <c r="Q8" s="211">
        <v>523.19999999999993</v>
      </c>
      <c r="R8" s="211">
        <v>553.21899999999994</v>
      </c>
      <c r="S8" s="211">
        <v>578.15700000000004</v>
      </c>
      <c r="T8" s="211">
        <v>598.63300000000004</v>
      </c>
      <c r="U8" s="211">
        <v>615.56499999999994</v>
      </c>
      <c r="V8" s="211">
        <v>642.827</v>
      </c>
      <c r="W8" s="211">
        <v>654.90100000000007</v>
      </c>
      <c r="X8" s="211">
        <f>sea_fleet_eu!D7</f>
        <v>667.89100000000008</v>
      </c>
      <c r="Y8" s="212"/>
    </row>
    <row r="9" spans="2:26" ht="20.100000000000001" customHeight="1">
      <c r="B9" s="213" t="s">
        <v>15</v>
      </c>
      <c r="C9" s="214">
        <v>51.024000000000001</v>
      </c>
      <c r="D9" s="215">
        <v>49.412999999999997</v>
      </c>
      <c r="E9" s="215">
        <v>45.368000000000002</v>
      </c>
      <c r="F9" s="215">
        <v>42.62</v>
      </c>
      <c r="G9" s="215">
        <v>45.817999999999998</v>
      </c>
      <c r="H9" s="215">
        <v>49.67</v>
      </c>
      <c r="I9" s="215">
        <v>45.414000000000001</v>
      </c>
      <c r="J9" s="215">
        <v>51.569000000000003</v>
      </c>
      <c r="K9" s="215">
        <v>49.341999999999999</v>
      </c>
      <c r="L9" s="215">
        <v>49.689</v>
      </c>
      <c r="M9" s="215">
        <v>52.244</v>
      </c>
      <c r="N9" s="216">
        <f>34.867+15.672</f>
        <v>50.539000000000001</v>
      </c>
      <c r="O9" s="216">
        <v>56.033000000000001</v>
      </c>
      <c r="P9" s="216">
        <v>62.972999999999999</v>
      </c>
      <c r="Q9" s="216">
        <v>69.063999999999993</v>
      </c>
      <c r="R9" s="216">
        <v>70.210999999999999</v>
      </c>
      <c r="S9" s="216">
        <v>82.881</v>
      </c>
      <c r="T9" s="216">
        <v>91.418999999999997</v>
      </c>
      <c r="U9" s="216">
        <v>97.637</v>
      </c>
      <c r="V9" s="216">
        <v>88.227999999999994</v>
      </c>
      <c r="W9" s="216">
        <v>93.242999999999995</v>
      </c>
      <c r="X9" s="216">
        <f>55.448+32.439</f>
        <v>87.887</v>
      </c>
      <c r="Y9" s="217"/>
    </row>
    <row r="10" spans="2:26" ht="20.100000000000001" customHeight="1">
      <c r="B10" s="213" t="s">
        <v>16</v>
      </c>
      <c r="C10" s="214">
        <v>18.690999999999999</v>
      </c>
      <c r="D10" s="215">
        <v>15.679</v>
      </c>
      <c r="E10" s="215">
        <v>14.335000000000001</v>
      </c>
      <c r="F10" s="215">
        <v>15.473000000000001</v>
      </c>
      <c r="G10" s="215">
        <v>14.599</v>
      </c>
      <c r="H10" s="215">
        <v>12.605</v>
      </c>
      <c r="I10" s="215">
        <v>14.422000000000001</v>
      </c>
      <c r="J10" s="215">
        <v>12.314</v>
      </c>
      <c r="K10" s="215">
        <v>12.398</v>
      </c>
      <c r="L10" s="215">
        <v>13.47</v>
      </c>
      <c r="M10" s="215">
        <v>13.99</v>
      </c>
      <c r="N10" s="215">
        <f>81.406-N9</f>
        <v>30.867000000000004</v>
      </c>
      <c r="O10" s="215">
        <v>47.054999999999993</v>
      </c>
      <c r="P10" s="215">
        <v>47.548000000000002</v>
      </c>
      <c r="Q10" s="215">
        <v>22.651</v>
      </c>
      <c r="R10" s="215">
        <v>31.838000000000001</v>
      </c>
      <c r="S10" s="215">
        <v>29.608000000000004</v>
      </c>
      <c r="T10" s="215">
        <v>26.721000000000004</v>
      </c>
      <c r="U10" s="215">
        <v>26.254000000000005</v>
      </c>
      <c r="V10" s="215">
        <v>26.115000000000009</v>
      </c>
      <c r="W10" s="215">
        <v>27.835000000000008</v>
      </c>
      <c r="X10" s="215">
        <f>121.496-X9</f>
        <v>33.608999999999995</v>
      </c>
      <c r="Y10" s="217"/>
    </row>
    <row r="11" spans="2:26" ht="20.100000000000001" customHeight="1">
      <c r="B11" s="213" t="s">
        <v>17</v>
      </c>
      <c r="C11" s="214">
        <v>246.72200000000001</v>
      </c>
      <c r="D11" s="215">
        <v>292.72199999999998</v>
      </c>
      <c r="E11" s="215">
        <v>301.20699999999999</v>
      </c>
      <c r="F11" s="215">
        <v>304.7</v>
      </c>
      <c r="G11" s="215">
        <v>313.80799999999999</v>
      </c>
      <c r="H11" s="215">
        <v>329.48500000000001</v>
      </c>
      <c r="I11" s="215">
        <v>361.31099999999998</v>
      </c>
      <c r="J11" s="215">
        <v>399.41899999999998</v>
      </c>
      <c r="K11" s="215">
        <v>423.42500000000001</v>
      </c>
      <c r="L11" s="215">
        <v>462.661</v>
      </c>
      <c r="M11" s="215">
        <v>497.78800000000001</v>
      </c>
      <c r="N11" s="215">
        <f>548.037-17.201+1.61</f>
        <v>532.44600000000003</v>
      </c>
      <c r="O11" s="215">
        <v>560.3900000000001</v>
      </c>
      <c r="P11" s="215">
        <v>607.47500000000002</v>
      </c>
      <c r="Q11" s="215">
        <v>748.36599999999999</v>
      </c>
      <c r="R11" s="215">
        <v>780.82600000000002</v>
      </c>
      <c r="S11" s="215">
        <v>805.59399999999994</v>
      </c>
      <c r="T11" s="215">
        <v>819.71199999999999</v>
      </c>
      <c r="U11" s="215">
        <v>855.30899999999997</v>
      </c>
      <c r="V11" s="215">
        <v>887.85</v>
      </c>
      <c r="W11" s="215">
        <v>931.77300000000002</v>
      </c>
      <c r="X11" s="215">
        <f>5.952+1006.21-sea_fleet_eu!D41</f>
        <v>983.39</v>
      </c>
      <c r="Y11" s="217"/>
    </row>
    <row r="12" spans="2:26" ht="20.100000000000001" customHeight="1">
      <c r="B12" s="213" t="s">
        <v>18</v>
      </c>
      <c r="C12" s="214">
        <v>6.742</v>
      </c>
      <c r="D12" s="215">
        <v>7.1210000000000004</v>
      </c>
      <c r="E12" s="215">
        <v>5.4390000000000001</v>
      </c>
      <c r="F12" s="215">
        <v>5.1230000000000002</v>
      </c>
      <c r="G12" s="215">
        <v>4.8310000000000004</v>
      </c>
      <c r="H12" s="215">
        <v>4.7270000000000003</v>
      </c>
      <c r="I12" s="215">
        <v>5.1420000000000003</v>
      </c>
      <c r="J12" s="215">
        <v>5.0389999999999997</v>
      </c>
      <c r="K12" s="215">
        <v>5.016</v>
      </c>
      <c r="L12" s="215">
        <v>5.07</v>
      </c>
      <c r="M12" s="215">
        <v>5.04</v>
      </c>
      <c r="N12" s="215">
        <f>6.981</f>
        <v>6.9809999999999999</v>
      </c>
      <c r="O12" s="215">
        <v>7.5860000000000003</v>
      </c>
      <c r="P12" s="215">
        <v>8.8179999999999996</v>
      </c>
      <c r="Q12" s="215">
        <v>12.753</v>
      </c>
      <c r="R12" s="215">
        <v>13.64</v>
      </c>
      <c r="S12" s="215">
        <v>13.451000000000001</v>
      </c>
      <c r="T12" s="215">
        <v>13.689</v>
      </c>
      <c r="U12" s="215">
        <v>14.683</v>
      </c>
      <c r="V12" s="215">
        <v>15.183</v>
      </c>
      <c r="W12" s="215">
        <v>15.183</v>
      </c>
      <c r="X12" s="215">
        <f>15.529</f>
        <v>15.529</v>
      </c>
      <c r="Y12" s="217"/>
    </row>
    <row r="13" spans="2:26" ht="20.100000000000001" customHeight="1">
      <c r="B13" s="213" t="s">
        <v>19</v>
      </c>
      <c r="C13" s="218">
        <v>37.956000000000003</v>
      </c>
      <c r="D13" s="215">
        <v>38.115000000000002</v>
      </c>
      <c r="E13" s="215">
        <v>42.411999999999999</v>
      </c>
      <c r="F13" s="215">
        <v>51.149000000000051</v>
      </c>
      <c r="G13" s="215">
        <v>57.487000000000002</v>
      </c>
      <c r="H13" s="215">
        <v>52.56</v>
      </c>
      <c r="I13" s="215">
        <v>52.686999999999998</v>
      </c>
      <c r="J13" s="215">
        <v>47.4</v>
      </c>
      <c r="K13" s="215">
        <v>45.79</v>
      </c>
      <c r="L13" s="215">
        <v>59.274000000000001</v>
      </c>
      <c r="M13" s="215">
        <v>67.647000000000006</v>
      </c>
      <c r="N13" s="215">
        <v>86.555000000000007</v>
      </c>
      <c r="O13" s="215">
        <v>116.621</v>
      </c>
      <c r="P13" s="215">
        <v>126.018</v>
      </c>
      <c r="Q13" s="215">
        <v>8.1780000000000008</v>
      </c>
      <c r="R13" s="215">
        <v>3.0070000000000001</v>
      </c>
      <c r="S13" s="215">
        <v>4.5609999999999999</v>
      </c>
      <c r="T13" s="215">
        <v>7.3849999999999998</v>
      </c>
      <c r="U13" s="215">
        <v>4.7859999999999996</v>
      </c>
      <c r="V13" s="215">
        <v>3.0249999999999999</v>
      </c>
      <c r="W13" s="215">
        <v>5.8520000000000003</v>
      </c>
      <c r="X13" s="215">
        <f>5.607</f>
        <v>5.6070000000000002</v>
      </c>
      <c r="Y13" s="217"/>
      <c r="Z13" s="947"/>
    </row>
    <row r="14" spans="2:26" ht="20.100000000000001" customHeight="1">
      <c r="B14" s="230" t="s">
        <v>276</v>
      </c>
      <c r="C14" s="502">
        <v>672.38099999999997</v>
      </c>
      <c r="D14" s="503">
        <v>753.226</v>
      </c>
      <c r="E14" s="503">
        <v>770.18299999999999</v>
      </c>
      <c r="F14" s="503">
        <v>791.34500000000003</v>
      </c>
      <c r="G14" s="503">
        <v>808.21500000000003</v>
      </c>
      <c r="H14" s="503">
        <v>832.22799999999995</v>
      </c>
      <c r="I14" s="503">
        <f>827.237+52.686</f>
        <v>879.923</v>
      </c>
      <c r="J14" s="503">
        <v>936.36300000000006</v>
      </c>
      <c r="K14" s="503">
        <v>1001.1180000000001</v>
      </c>
      <c r="L14" s="503">
        <v>1071.0329999999999</v>
      </c>
      <c r="M14" s="503">
        <v>1144.375</v>
      </c>
      <c r="N14" s="503">
        <f>1225.665</f>
        <v>1225.665</v>
      </c>
      <c r="O14" s="503">
        <v>1340.655</v>
      </c>
      <c r="P14" s="503">
        <v>1453.8420000000001</v>
      </c>
      <c r="Q14" s="503">
        <v>1530.8760000000002</v>
      </c>
      <c r="R14" s="503">
        <v>1595.922</v>
      </c>
      <c r="S14" s="503">
        <v>1675.1949999999999</v>
      </c>
      <c r="T14" s="503">
        <v>1732.461</v>
      </c>
      <c r="U14" s="503">
        <v>1806.058</v>
      </c>
      <c r="V14" s="503">
        <v>1826.0500000000002</v>
      </c>
      <c r="W14" s="503">
        <v>1872.817</v>
      </c>
      <c r="X14" s="503">
        <f>1961.597</f>
        <v>1961.597</v>
      </c>
      <c r="Y14" s="219"/>
      <c r="Z14" s="227"/>
    </row>
    <row r="15" spans="2:26" ht="20.100000000000001" customHeight="1">
      <c r="B15" s="220"/>
      <c r="C15" s="1106" t="s">
        <v>87</v>
      </c>
      <c r="D15" s="1107"/>
      <c r="E15" s="1107"/>
      <c r="F15" s="1107"/>
      <c r="G15" s="1107"/>
      <c r="H15" s="1107"/>
      <c r="I15" s="1107"/>
      <c r="J15" s="1107"/>
      <c r="K15" s="1107"/>
      <c r="L15" s="1107"/>
      <c r="M15" s="1107"/>
      <c r="N15" s="1107"/>
      <c r="O15" s="1107"/>
      <c r="P15" s="1107"/>
      <c r="Q15" s="1107"/>
      <c r="R15" s="1107"/>
      <c r="S15" s="1107"/>
      <c r="T15" s="1107"/>
      <c r="U15" s="1107"/>
      <c r="V15" s="1107"/>
      <c r="W15" s="1107"/>
      <c r="X15" s="1107"/>
      <c r="Y15" s="1108"/>
    </row>
    <row r="16" spans="2:26" ht="20.100000000000001" customHeight="1">
      <c r="B16" s="46" t="s">
        <v>277</v>
      </c>
      <c r="C16" s="221">
        <f t="shared" ref="C16:N16" si="0">C8/C14</f>
        <v>0.33249601044645821</v>
      </c>
      <c r="D16" s="222">
        <f t="shared" si="0"/>
        <v>0.34249348801023866</v>
      </c>
      <c r="E16" s="222">
        <f t="shared" si="0"/>
        <v>0.34582300570124241</v>
      </c>
      <c r="F16" s="222">
        <f t="shared" si="0"/>
        <v>0.34701931521649854</v>
      </c>
      <c r="G16" s="222">
        <f t="shared" si="0"/>
        <v>0.34320818099144412</v>
      </c>
      <c r="H16" s="222">
        <f t="shared" si="0"/>
        <v>0.35181584854150555</v>
      </c>
      <c r="I16" s="222">
        <f t="shared" si="0"/>
        <v>0.36008832591033535</v>
      </c>
      <c r="J16" s="222">
        <f t="shared" si="0"/>
        <v>0.35468082356949177</v>
      </c>
      <c r="K16" s="222">
        <f t="shared" si="0"/>
        <v>0.36807449271714221</v>
      </c>
      <c r="L16" s="222">
        <f t="shared" si="0"/>
        <v>0.36605034578766488</v>
      </c>
      <c r="M16" s="223">
        <f t="shared" si="0"/>
        <v>0.36517312943746583</v>
      </c>
      <c r="N16" s="223">
        <f t="shared" si="0"/>
        <v>0.35266243223066662</v>
      </c>
      <c r="O16" s="223">
        <v>0.34341348072397448</v>
      </c>
      <c r="P16" s="314">
        <f>P8/P14</f>
        <v>0.32211271926385399</v>
      </c>
      <c r="Q16" s="948">
        <f t="shared" ref="Q16:W16" si="1">Q8/Q14</f>
        <v>0.34176510703675533</v>
      </c>
      <c r="R16" s="223">
        <f t="shared" si="1"/>
        <v>0.34664538743121526</v>
      </c>
      <c r="S16" s="948">
        <f t="shared" si="1"/>
        <v>0.34512817910750693</v>
      </c>
      <c r="T16" s="948">
        <f t="shared" si="1"/>
        <v>0.34553909150047246</v>
      </c>
      <c r="U16" s="948">
        <f t="shared" si="1"/>
        <v>0.34083346160533046</v>
      </c>
      <c r="V16" s="948">
        <f t="shared" si="1"/>
        <v>0.35203143396949699</v>
      </c>
      <c r="W16" s="948">
        <f t="shared" si="1"/>
        <v>0.34968766302313575</v>
      </c>
      <c r="X16" s="948">
        <f>X8/X14</f>
        <v>0.34048328989083898</v>
      </c>
      <c r="Y16" s="224"/>
    </row>
    <row r="17" spans="1:25" ht="20.100000000000001" customHeight="1">
      <c r="B17" s="47" t="s">
        <v>278</v>
      </c>
      <c r="C17" s="225">
        <v>0.56499999999999995</v>
      </c>
      <c r="D17" s="226">
        <v>0.68100000000000005</v>
      </c>
      <c r="E17" s="226">
        <v>0.66400000000000003</v>
      </c>
      <c r="F17" s="226">
        <v>0.66800000000000004</v>
      </c>
      <c r="G17" s="226">
        <v>0.67800000000000005</v>
      </c>
      <c r="H17" s="226">
        <v>0.67800000000000005</v>
      </c>
      <c r="I17" s="590">
        <v>0.67800000000000005</v>
      </c>
      <c r="J17" s="590">
        <v>0.67700000000000005</v>
      </c>
      <c r="K17" s="590">
        <v>0.69299999999999995</v>
      </c>
      <c r="L17" s="590">
        <v>0.68600000000000005</v>
      </c>
      <c r="M17" s="591">
        <v>0.69399999999999995</v>
      </c>
      <c r="N17" s="591">
        <v>0.69399999999999995</v>
      </c>
      <c r="O17" s="591">
        <v>0.69108534119318255</v>
      </c>
      <c r="P17" s="592">
        <v>0.70584626637644754</v>
      </c>
      <c r="Q17" s="591"/>
      <c r="R17" s="591">
        <v>0.7401988063273004</v>
      </c>
      <c r="S17" s="591">
        <v>0.75492007738155742</v>
      </c>
      <c r="T17" s="591">
        <v>0.77730134199334822</v>
      </c>
      <c r="U17" s="591">
        <v>0.78477425552353486</v>
      </c>
      <c r="V17" s="591">
        <v>0.78949299746105062</v>
      </c>
      <c r="W17" s="591">
        <v>0.801806685285257</v>
      </c>
      <c r="X17" s="591">
        <f>sea_fleet_eu!H7/sea_fleet_eu!D7</f>
        <v>0.80615549543263787</v>
      </c>
      <c r="Y17" s="593"/>
    </row>
    <row r="18" spans="1:25" ht="21.75" customHeight="1">
      <c r="B18" s="1092" t="s">
        <v>173</v>
      </c>
      <c r="C18" s="1092"/>
      <c r="D18" s="1092"/>
      <c r="E18" s="1092"/>
      <c r="F18" s="1092"/>
      <c r="G18" s="1092"/>
      <c r="H18" s="1092"/>
      <c r="I18" s="1092"/>
      <c r="J18" s="1092"/>
      <c r="K18" s="1092"/>
      <c r="L18" s="1092"/>
      <c r="M18" s="1092"/>
      <c r="N18" s="1092"/>
      <c r="O18" s="1092"/>
      <c r="P18" s="1092"/>
      <c r="Q18" s="1092"/>
      <c r="R18" s="1092"/>
      <c r="S18" s="1092"/>
      <c r="T18" s="1092"/>
      <c r="U18" s="1092"/>
      <c r="V18" s="1092"/>
      <c r="W18" s="1092"/>
      <c r="X18" s="936"/>
    </row>
    <row r="19" spans="1:25" ht="15" customHeight="1">
      <c r="B19" s="1109" t="s">
        <v>329</v>
      </c>
      <c r="C19" s="1109"/>
      <c r="D19" s="1109"/>
      <c r="E19" s="1109"/>
      <c r="F19" s="1109"/>
      <c r="G19" s="1109"/>
      <c r="H19" s="1109"/>
      <c r="I19" s="1109"/>
      <c r="J19" s="1109"/>
      <c r="K19" s="1048"/>
      <c r="L19" s="1048"/>
      <c r="T19" s="227"/>
      <c r="U19" s="227"/>
      <c r="V19" s="227"/>
      <c r="W19" s="227"/>
      <c r="X19" s="227"/>
    </row>
    <row r="20" spans="1:25" ht="13.5" customHeight="1">
      <c r="B20" s="1110" t="s">
        <v>136</v>
      </c>
      <c r="C20" s="1110"/>
      <c r="D20" s="1110"/>
      <c r="E20" s="1110"/>
      <c r="F20" s="1110"/>
      <c r="G20" s="1110"/>
      <c r="H20" s="1110"/>
      <c r="I20" s="1110"/>
      <c r="J20" s="1110"/>
      <c r="K20" s="1111"/>
      <c r="L20" s="1111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</row>
    <row r="21" spans="1:25" ht="16.5" customHeight="1">
      <c r="B21" s="1094" t="s">
        <v>293</v>
      </c>
      <c r="C21" s="1094"/>
      <c r="D21" s="1094"/>
      <c r="E21" s="1094"/>
      <c r="F21" s="1094"/>
      <c r="G21" s="1094"/>
      <c r="H21" s="1094"/>
      <c r="I21" s="1094"/>
      <c r="J21" s="1094"/>
      <c r="K21" s="1094"/>
      <c r="L21" s="1094"/>
      <c r="M21" s="1094"/>
      <c r="N21" s="1094"/>
      <c r="O21" s="1094"/>
      <c r="P21" s="1094"/>
      <c r="Q21" s="1094"/>
      <c r="R21" s="1094"/>
      <c r="S21" s="1094"/>
      <c r="T21" s="1094"/>
      <c r="U21" s="1094"/>
      <c r="V21" s="1094"/>
      <c r="W21" s="1094"/>
      <c r="X21" s="938"/>
    </row>
    <row r="22" spans="1:25" ht="15" customHeight="1">
      <c r="A22" s="1"/>
      <c r="B22" s="279" t="s">
        <v>274</v>
      </c>
      <c r="C22" s="279"/>
      <c r="D22" s="279"/>
      <c r="E22" s="279"/>
      <c r="F22" s="279"/>
      <c r="G22" s="279"/>
      <c r="H22" s="279"/>
      <c r="I22" s="279"/>
      <c r="J22" s="279"/>
      <c r="K22" s="279"/>
      <c r="L22" s="451"/>
      <c r="M22" s="227"/>
    </row>
    <row r="23" spans="1:25" ht="24.75" customHeight="1">
      <c r="A23" s="1"/>
      <c r="B23" s="1094" t="s">
        <v>165</v>
      </c>
      <c r="C23" s="1094"/>
      <c r="D23" s="1094"/>
      <c r="E23" s="1094"/>
      <c r="F23" s="1094"/>
      <c r="G23" s="1094"/>
      <c r="H23" s="1094"/>
      <c r="I23" s="1094"/>
      <c r="J23" s="1094"/>
      <c r="K23" s="1094"/>
      <c r="L23" s="1094"/>
      <c r="M23" s="1094"/>
      <c r="N23" s="1094"/>
      <c r="O23" s="1094"/>
      <c r="P23" s="1094"/>
      <c r="Q23" s="1094"/>
      <c r="R23" s="1094"/>
      <c r="S23" s="1094"/>
      <c r="T23" s="1094"/>
      <c r="U23" s="1094"/>
      <c r="V23" s="1094"/>
      <c r="W23" s="1094"/>
      <c r="X23" s="938"/>
    </row>
  </sheetData>
  <mergeCells count="12">
    <mergeCell ref="B23:W23"/>
    <mergeCell ref="B1:C1"/>
    <mergeCell ref="B4:B6"/>
    <mergeCell ref="M1:Y1"/>
    <mergeCell ref="B3:Y3"/>
    <mergeCell ref="C6:Y6"/>
    <mergeCell ref="B2:W2"/>
    <mergeCell ref="C15:Y15"/>
    <mergeCell ref="B19:L19"/>
    <mergeCell ref="B20:L20"/>
    <mergeCell ref="B18:W18"/>
    <mergeCell ref="B21:W21"/>
  </mergeCells>
  <phoneticPr fontId="4" type="noConversion"/>
  <printOptions horizontalCentered="1"/>
  <pageMargins left="0.6692913385826772" right="0.6692913385826772" top="0.51181102362204722" bottom="0.27559055118110237" header="0" footer="0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5"/>
  <dimension ref="B1:L47"/>
  <sheetViews>
    <sheetView topLeftCell="A33" zoomScaleNormal="100" workbookViewId="0">
      <selection activeCell="O6" sqref="O6"/>
    </sheetView>
  </sheetViews>
  <sheetFormatPr defaultRowHeight="12.75"/>
  <cols>
    <col min="1" max="1" width="1.85546875" customWidth="1"/>
    <col min="2" max="2" width="22.7109375" customWidth="1"/>
    <col min="3" max="3" width="8" customWidth="1"/>
    <col min="4" max="4" width="1.7109375" customWidth="1"/>
    <col min="5" max="5" width="6.7109375" customWidth="1"/>
    <col min="6" max="6" width="1.7109375" customWidth="1"/>
    <col min="7" max="7" width="5.7109375" customWidth="1"/>
    <col min="8" max="8" width="12.42578125" customWidth="1"/>
    <col min="9" max="9" width="1.7109375" customWidth="1"/>
    <col min="10" max="10" width="9.7109375" customWidth="1"/>
    <col min="11" max="11" width="1.7109375" customWidth="1"/>
    <col min="12" max="12" width="7.28515625" customWidth="1"/>
  </cols>
  <sheetData>
    <row r="1" spans="2:12" ht="14.25" customHeight="1">
      <c r="B1" s="1095"/>
      <c r="C1" s="1095"/>
      <c r="D1" s="96"/>
      <c r="E1" s="60"/>
      <c r="L1" s="260" t="s">
        <v>129</v>
      </c>
    </row>
    <row r="2" spans="2:12" s="41" customFormat="1" ht="30" customHeight="1">
      <c r="B2" s="1085" t="s">
        <v>301</v>
      </c>
      <c r="C2" s="1085"/>
      <c r="D2" s="1085"/>
      <c r="E2" s="1085"/>
      <c r="F2" s="1085"/>
      <c r="G2" s="1085"/>
      <c r="H2" s="1085"/>
      <c r="I2" s="1085"/>
      <c r="J2" s="1085"/>
      <c r="K2" s="1085"/>
      <c r="L2" s="1085"/>
    </row>
    <row r="3" spans="2:12" s="80" customFormat="1" ht="30" customHeight="1">
      <c r="B3" s="1124" t="s">
        <v>106</v>
      </c>
      <c r="C3" s="1124"/>
      <c r="D3" s="1124"/>
      <c r="E3" s="1124"/>
      <c r="F3" s="1124"/>
      <c r="G3" s="1124"/>
      <c r="H3" s="1124"/>
      <c r="I3" s="1124"/>
      <c r="J3" s="1124"/>
      <c r="K3" s="1124"/>
      <c r="L3" s="1124"/>
    </row>
    <row r="4" spans="2:12" ht="20.100000000000001" customHeight="1">
      <c r="B4" s="228" t="s">
        <v>343</v>
      </c>
      <c r="C4" s="1076" t="s">
        <v>13</v>
      </c>
      <c r="D4" s="1077"/>
      <c r="E4" s="1077"/>
      <c r="F4" s="1077"/>
      <c r="G4" s="1093"/>
      <c r="H4" s="1076" t="s">
        <v>294</v>
      </c>
      <c r="I4" s="1077"/>
      <c r="J4" s="1077"/>
      <c r="K4" s="1077"/>
      <c r="L4" s="1093"/>
    </row>
    <row r="5" spans="2:12" ht="20.100000000000001" customHeight="1">
      <c r="B5" s="204" t="s">
        <v>198</v>
      </c>
      <c r="C5" s="1115" t="s">
        <v>67</v>
      </c>
      <c r="D5" s="1116"/>
      <c r="E5" s="1117" t="s">
        <v>266</v>
      </c>
      <c r="F5" s="1118"/>
      <c r="G5" s="229" t="s">
        <v>92</v>
      </c>
      <c r="H5" s="1115" t="s">
        <v>67</v>
      </c>
      <c r="I5" s="1116"/>
      <c r="J5" s="1117" t="s">
        <v>266</v>
      </c>
      <c r="K5" s="1118"/>
      <c r="L5" s="229" t="s">
        <v>92</v>
      </c>
    </row>
    <row r="6" spans="2:12" ht="30" customHeight="1">
      <c r="B6" s="230" t="s">
        <v>98</v>
      </c>
      <c r="C6" s="680">
        <f>45374</f>
        <v>45374</v>
      </c>
      <c r="D6" s="504"/>
      <c r="E6" s="505">
        <f>sea_fleet_eu!C7</f>
        <v>12499</v>
      </c>
      <c r="F6" s="231"/>
      <c r="G6" s="232">
        <f>E6/C6</f>
        <v>0.27546612597522813</v>
      </c>
      <c r="H6" s="680">
        <f>sea_world_region!X14*1000</f>
        <v>1961597</v>
      </c>
      <c r="I6" s="518"/>
      <c r="J6" s="680">
        <f>sea_world_region!X8*1000</f>
        <v>667891.00000000012</v>
      </c>
      <c r="K6" s="505"/>
      <c r="L6" s="232">
        <f>J6/H6</f>
        <v>0.34048328989083898</v>
      </c>
    </row>
    <row r="7" spans="2:12" ht="24.95" customHeight="1">
      <c r="B7" s="233" t="s">
        <v>107</v>
      </c>
      <c r="C7" s="506">
        <f t="shared" ref="C7" si="0">C9+C10+C11</f>
        <v>13161</v>
      </c>
      <c r="D7" s="507"/>
      <c r="E7" s="508">
        <f>E9+E10+E11</f>
        <v>3489</v>
      </c>
      <c r="F7" s="179"/>
      <c r="G7" s="234">
        <f t="shared" ref="G7:G23" si="1">E7/C7</f>
        <v>0.2651014360610896</v>
      </c>
      <c r="H7" s="506">
        <v>717527</v>
      </c>
      <c r="I7" s="519"/>
      <c r="J7" s="508">
        <f>263255-8748</f>
        <v>254507</v>
      </c>
      <c r="K7" s="508"/>
      <c r="L7" s="235">
        <f t="shared" ref="L7:L23" si="2">J7/H7</f>
        <v>0.35470024124527716</v>
      </c>
    </row>
    <row r="8" spans="2:12" ht="11.1" customHeight="1">
      <c r="B8" s="236" t="s">
        <v>73</v>
      </c>
      <c r="C8" s="509"/>
      <c r="D8" s="510"/>
      <c r="E8" s="511"/>
      <c r="F8" s="58"/>
      <c r="G8" s="237"/>
      <c r="H8" s="509"/>
      <c r="I8" s="510"/>
      <c r="J8" s="520"/>
      <c r="K8" s="520"/>
      <c r="L8" s="239"/>
    </row>
    <row r="9" spans="2:12" ht="22.5" customHeight="1">
      <c r="B9" s="240" t="s">
        <v>174</v>
      </c>
      <c r="C9" s="509">
        <f>6149</f>
        <v>6149</v>
      </c>
      <c r="D9" s="510"/>
      <c r="E9" s="511">
        <f>1592-85</f>
        <v>1507</v>
      </c>
      <c r="F9" s="58"/>
      <c r="G9" s="237">
        <f t="shared" si="1"/>
        <v>0.24508050089445438</v>
      </c>
      <c r="H9" s="509">
        <f>520506</f>
        <v>520506</v>
      </c>
      <c r="I9" s="510"/>
      <c r="J9" s="520">
        <f>198279-7231</f>
        <v>191048</v>
      </c>
      <c r="K9" s="520"/>
      <c r="L9" s="239">
        <f t="shared" si="2"/>
        <v>0.36704283908350721</v>
      </c>
    </row>
    <row r="10" spans="2:12" ht="15" customHeight="1">
      <c r="B10" s="240" t="s">
        <v>175</v>
      </c>
      <c r="C10" s="509">
        <f>5195</f>
        <v>5195</v>
      </c>
      <c r="D10" s="510"/>
      <c r="E10" s="511">
        <f>1604-95</f>
        <v>1509</v>
      </c>
      <c r="F10" s="58"/>
      <c r="G10" s="237">
        <f t="shared" si="1"/>
        <v>0.29047160731472571</v>
      </c>
      <c r="H10" s="509">
        <f>121068</f>
        <v>121068</v>
      </c>
      <c r="I10" s="510"/>
      <c r="J10" s="520">
        <f>46542-2159</f>
        <v>44383</v>
      </c>
      <c r="K10" s="521"/>
      <c r="L10" s="239">
        <f t="shared" si="2"/>
        <v>0.36659563220669378</v>
      </c>
    </row>
    <row r="11" spans="2:12" ht="15" customHeight="1">
      <c r="B11" s="240" t="s">
        <v>76</v>
      </c>
      <c r="C11" s="509">
        <v>1817</v>
      </c>
      <c r="D11" s="510"/>
      <c r="E11" s="511">
        <f>514-41</f>
        <v>473</v>
      </c>
      <c r="F11" s="58"/>
      <c r="G11" s="237">
        <f t="shared" si="1"/>
        <v>0.26031920748486514</v>
      </c>
      <c r="H11" s="520">
        <v>73280</v>
      </c>
      <c r="I11" s="510"/>
      <c r="J11" s="520">
        <f>J7-J9-J10</f>
        <v>19076</v>
      </c>
      <c r="K11" s="521"/>
      <c r="L11" s="239">
        <f t="shared" si="2"/>
        <v>0.26031659388646289</v>
      </c>
    </row>
    <row r="12" spans="2:12" ht="24.95" customHeight="1">
      <c r="B12" s="241" t="s">
        <v>21</v>
      </c>
      <c r="C12" s="681">
        <v>11716</v>
      </c>
      <c r="D12" s="512"/>
      <c r="E12" s="682">
        <f>3284-169</f>
        <v>3115</v>
      </c>
      <c r="F12" s="242"/>
      <c r="G12" s="232">
        <f t="shared" si="1"/>
        <v>0.26587572550358485</v>
      </c>
      <c r="H12" s="681">
        <v>848811</v>
      </c>
      <c r="I12" s="512"/>
      <c r="J12" s="683">
        <f>260648-13532</f>
        <v>247116</v>
      </c>
      <c r="K12" s="522"/>
      <c r="L12" s="243">
        <f t="shared" si="2"/>
        <v>0.29113194810152082</v>
      </c>
    </row>
    <row r="13" spans="2:12" ht="9.75" hidden="1" customHeight="1">
      <c r="B13" s="236" t="s">
        <v>73</v>
      </c>
      <c r="C13" s="509"/>
      <c r="D13" s="510"/>
      <c r="E13" s="511"/>
      <c r="F13" s="58"/>
      <c r="G13" s="232" t="e">
        <f t="shared" si="1"/>
        <v>#DIV/0!</v>
      </c>
      <c r="H13" s="509"/>
      <c r="I13" s="510"/>
      <c r="J13" s="520"/>
      <c r="K13" s="520"/>
      <c r="L13" s="239" t="e">
        <f t="shared" si="2"/>
        <v>#DIV/0!</v>
      </c>
    </row>
    <row r="14" spans="2:12" ht="15" hidden="1" customHeight="1">
      <c r="B14" s="244" t="s">
        <v>77</v>
      </c>
      <c r="C14" s="513"/>
      <c r="D14" s="514"/>
      <c r="E14" s="515"/>
      <c r="F14" s="57"/>
      <c r="G14" s="232" t="e">
        <f t="shared" si="1"/>
        <v>#DIV/0!</v>
      </c>
      <c r="H14" s="513"/>
      <c r="I14" s="514"/>
      <c r="J14" s="523"/>
      <c r="K14" s="523"/>
      <c r="L14" s="245" t="e">
        <f t="shared" si="2"/>
        <v>#DIV/0!</v>
      </c>
    </row>
    <row r="15" spans="2:12" ht="24.95" customHeight="1">
      <c r="B15" s="230" t="s">
        <v>78</v>
      </c>
      <c r="C15" s="680">
        <v>5338</v>
      </c>
      <c r="D15" s="516"/>
      <c r="E15" s="684">
        <f>2564-191</f>
        <v>2373</v>
      </c>
      <c r="F15" s="246"/>
      <c r="G15" s="232">
        <f t="shared" si="1"/>
        <v>0.44454852004496065</v>
      </c>
      <c r="H15" s="680">
        <v>274623</v>
      </c>
      <c r="I15" s="516"/>
      <c r="J15" s="505">
        <f>146212-11237</f>
        <v>134975</v>
      </c>
      <c r="K15" s="524"/>
      <c r="L15" s="247">
        <f t="shared" si="2"/>
        <v>0.49149197263157129</v>
      </c>
    </row>
    <row r="16" spans="2:12" ht="24.95" customHeight="1">
      <c r="B16" s="230" t="s">
        <v>22</v>
      </c>
      <c r="C16" s="506">
        <v>12531</v>
      </c>
      <c r="D16" s="517"/>
      <c r="E16" s="508">
        <f>2894-162</f>
        <v>2732</v>
      </c>
      <c r="F16" s="59"/>
      <c r="G16" s="234">
        <f t="shared" si="1"/>
        <v>0.21801931210597716</v>
      </c>
      <c r="H16" s="506">
        <v>113814</v>
      </c>
      <c r="I16" s="517"/>
      <c r="J16" s="508">
        <f>30256-1672</f>
        <v>28584</v>
      </c>
      <c r="K16" s="525"/>
      <c r="L16" s="248">
        <f t="shared" si="2"/>
        <v>0.25114660762296376</v>
      </c>
    </row>
    <row r="17" spans="2:12" ht="11.1" customHeight="1">
      <c r="B17" s="236" t="s">
        <v>73</v>
      </c>
      <c r="C17" s="509"/>
      <c r="D17" s="510"/>
      <c r="E17" s="511"/>
      <c r="F17" s="58"/>
      <c r="G17" s="237"/>
      <c r="H17" s="509"/>
      <c r="I17" s="510"/>
      <c r="J17" s="520"/>
      <c r="K17" s="520"/>
      <c r="L17" s="239"/>
    </row>
    <row r="18" spans="2:12" ht="15" customHeight="1">
      <c r="B18" s="240" t="s">
        <v>176</v>
      </c>
      <c r="C18" s="509">
        <v>8446</v>
      </c>
      <c r="D18" s="510"/>
      <c r="E18" s="685">
        <v>1578</v>
      </c>
      <c r="F18" s="58"/>
      <c r="G18" s="237">
        <f t="shared" si="1"/>
        <v>0.18683400426237273</v>
      </c>
      <c r="H18" s="509">
        <v>44733</v>
      </c>
      <c r="I18" s="510"/>
      <c r="J18" s="685">
        <v>9154.509</v>
      </c>
      <c r="K18" s="520"/>
      <c r="L18" s="239">
        <f t="shared" si="2"/>
        <v>0.20464777680906712</v>
      </c>
    </row>
    <row r="19" spans="2:12" ht="15" customHeight="1">
      <c r="B19" s="240" t="s">
        <v>177</v>
      </c>
      <c r="C19" s="509">
        <v>1765</v>
      </c>
      <c r="D19" s="510"/>
      <c r="E19" s="685">
        <v>641</v>
      </c>
      <c r="F19" s="58"/>
      <c r="G19" s="237">
        <f t="shared" si="1"/>
        <v>0.36317280453257789</v>
      </c>
      <c r="H19" s="509">
        <v>45385</v>
      </c>
      <c r="I19" s="510"/>
      <c r="J19" s="685">
        <v>12975.013999999999</v>
      </c>
      <c r="K19" s="520"/>
      <c r="L19" s="239">
        <f t="shared" si="2"/>
        <v>0.28588771620579484</v>
      </c>
    </row>
    <row r="20" spans="2:12" ht="15" customHeight="1">
      <c r="B20" s="240" t="s">
        <v>178</v>
      </c>
      <c r="C20" s="509">
        <v>771</v>
      </c>
      <c r="D20" s="510"/>
      <c r="E20" s="657">
        <v>79</v>
      </c>
      <c r="F20" s="58"/>
      <c r="G20" s="237">
        <f t="shared" si="1"/>
        <v>0.10246433203631647</v>
      </c>
      <c r="H20" s="509">
        <v>12441</v>
      </c>
      <c r="I20" s="510"/>
      <c r="J20" s="521">
        <v>1205.557</v>
      </c>
      <c r="K20" s="520"/>
      <c r="L20" s="239">
        <f t="shared" si="2"/>
        <v>9.6901937143316449E-2</v>
      </c>
    </row>
    <row r="21" spans="2:12" ht="15" customHeight="1">
      <c r="B21" s="240" t="s">
        <v>74</v>
      </c>
      <c r="C21" s="509">
        <v>626</v>
      </c>
      <c r="D21" s="510"/>
      <c r="E21" s="657">
        <v>147</v>
      </c>
      <c r="F21" s="58"/>
      <c r="G21" s="237">
        <f t="shared" si="1"/>
        <v>0.23482428115015974</v>
      </c>
      <c r="H21" s="509">
        <v>3837</v>
      </c>
      <c r="I21" s="510"/>
      <c r="J21" s="521">
        <v>1353.9870000000001</v>
      </c>
      <c r="K21" s="520"/>
      <c r="L21" s="239">
        <f t="shared" si="2"/>
        <v>0.35287646598905398</v>
      </c>
    </row>
    <row r="22" spans="2:12" ht="15" customHeight="1">
      <c r="B22" s="249" t="s">
        <v>179</v>
      </c>
      <c r="C22" s="513">
        <v>923</v>
      </c>
      <c r="D22" s="514"/>
      <c r="E22" s="686">
        <v>287</v>
      </c>
      <c r="F22" s="57"/>
      <c r="G22" s="237">
        <f t="shared" si="1"/>
        <v>0.31094257854821233</v>
      </c>
      <c r="H22" s="513">
        <v>7417</v>
      </c>
      <c r="I22" s="514"/>
      <c r="J22" s="686">
        <v>3894.8739999999998</v>
      </c>
      <c r="K22" s="523"/>
      <c r="L22" s="245">
        <f t="shared" si="2"/>
        <v>0.52512794930564921</v>
      </c>
    </row>
    <row r="23" spans="2:12" ht="24.95" customHeight="1">
      <c r="B23" s="230" t="s">
        <v>108</v>
      </c>
      <c r="C23" s="680">
        <v>2471</v>
      </c>
      <c r="D23" s="516"/>
      <c r="E23" s="684">
        <f>756-10</f>
        <v>746</v>
      </c>
      <c r="F23" s="246"/>
      <c r="G23" s="232">
        <f t="shared" si="1"/>
        <v>0.30190206394172397</v>
      </c>
      <c r="H23" s="680">
        <v>6825</v>
      </c>
      <c r="I23" s="516"/>
      <c r="J23" s="505">
        <f>2434-59</f>
        <v>2375</v>
      </c>
      <c r="K23" s="524"/>
      <c r="L23" s="247">
        <f t="shared" si="2"/>
        <v>0.34798534798534797</v>
      </c>
    </row>
    <row r="24" spans="2:12" ht="15" customHeight="1">
      <c r="B24" s="250"/>
      <c r="C24" s="251"/>
      <c r="D24" s="58"/>
      <c r="E24" s="251"/>
      <c r="F24" s="58"/>
      <c r="G24" s="58"/>
      <c r="H24" s="251"/>
      <c r="I24" s="189"/>
      <c r="J24" s="251"/>
      <c r="K24" s="238"/>
      <c r="L24" s="238"/>
    </row>
    <row r="25" spans="2:12" s="41" customFormat="1" ht="30" customHeight="1">
      <c r="B25" s="1121" t="s">
        <v>137</v>
      </c>
      <c r="C25" s="1121"/>
      <c r="D25" s="1121"/>
      <c r="E25" s="1121"/>
      <c r="F25" s="1121"/>
      <c r="G25" s="1121"/>
      <c r="H25" s="1121"/>
      <c r="I25" s="1121"/>
      <c r="J25" s="1121"/>
      <c r="K25" s="1121"/>
      <c r="L25" s="1121"/>
    </row>
    <row r="26" spans="2:12" ht="20.100000000000001" customHeight="1">
      <c r="B26" s="228" t="s">
        <v>343</v>
      </c>
      <c r="C26" s="1076" t="s">
        <v>13</v>
      </c>
      <c r="D26" s="1077"/>
      <c r="E26" s="1077"/>
      <c r="F26" s="1077"/>
      <c r="G26" s="1093"/>
      <c r="H26" s="1076" t="s">
        <v>295</v>
      </c>
      <c r="I26" s="1077"/>
      <c r="J26" s="1077"/>
      <c r="K26" s="1077"/>
      <c r="L26" s="1093"/>
    </row>
    <row r="27" spans="2:12" ht="20.100000000000001" customHeight="1">
      <c r="B27" s="204" t="s">
        <v>20</v>
      </c>
      <c r="C27" s="1115" t="s">
        <v>67</v>
      </c>
      <c r="D27" s="1116"/>
      <c r="E27" s="1119" t="s">
        <v>266</v>
      </c>
      <c r="F27" s="1120"/>
      <c r="G27" s="1007" t="s">
        <v>92</v>
      </c>
      <c r="H27" s="1122" t="s">
        <v>67</v>
      </c>
      <c r="I27" s="1123"/>
      <c r="J27" s="1119" t="s">
        <v>266</v>
      </c>
      <c r="K27" s="1120"/>
      <c r="L27" s="229" t="s">
        <v>92</v>
      </c>
    </row>
    <row r="28" spans="2:12" ht="30" customHeight="1">
      <c r="B28" s="241" t="s">
        <v>68</v>
      </c>
      <c r="C28" s="687">
        <v>5057</v>
      </c>
      <c r="D28" s="688"/>
      <c r="E28" s="689">
        <f>1442-101</f>
        <v>1341</v>
      </c>
      <c r="F28" s="690"/>
      <c r="G28" s="692">
        <f>E28/C28</f>
        <v>0.26517698240063281</v>
      </c>
      <c r="H28" s="687">
        <v>43818</v>
      </c>
      <c r="I28" s="688"/>
      <c r="J28" s="689">
        <f>18741-1526</f>
        <v>17215</v>
      </c>
      <c r="K28" s="691"/>
      <c r="L28" s="692">
        <v>0.42321129456807849</v>
      </c>
    </row>
    <row r="29" spans="2:12" ht="24.95" customHeight="1">
      <c r="B29" s="252" t="s">
        <v>109</v>
      </c>
      <c r="C29" s="693">
        <f>2978</f>
        <v>2978</v>
      </c>
      <c r="D29" s="694"/>
      <c r="E29" s="695">
        <f>914-76</f>
        <v>838</v>
      </c>
      <c r="F29" s="696"/>
      <c r="G29" s="699">
        <f t="shared" ref="G29:G30" si="3">E29/C29</f>
        <v>0.28139691067830758</v>
      </c>
      <c r="H29" s="693">
        <v>18308</v>
      </c>
      <c r="I29" s="697"/>
      <c r="J29" s="697">
        <f>9887-627</f>
        <v>9260</v>
      </c>
      <c r="K29" s="698"/>
      <c r="L29" s="699">
        <v>0.48754725372470537</v>
      </c>
    </row>
    <row r="30" spans="2:12" ht="24.95" customHeight="1">
      <c r="B30" s="244" t="s">
        <v>150</v>
      </c>
      <c r="C30" s="700">
        <v>2079</v>
      </c>
      <c r="D30" s="701"/>
      <c r="E30" s="702">
        <f>528-25</f>
        <v>503</v>
      </c>
      <c r="F30" s="703"/>
      <c r="G30" s="699">
        <f t="shared" si="3"/>
        <v>0.24194324194324193</v>
      </c>
      <c r="H30" s="700">
        <f>25510</f>
        <v>25510</v>
      </c>
      <c r="I30" s="705"/>
      <c r="J30" s="705">
        <f>8854-900</f>
        <v>7954</v>
      </c>
      <c r="K30" s="706"/>
      <c r="L30" s="699">
        <v>0.30005881858667338</v>
      </c>
    </row>
    <row r="31" spans="2:12" ht="15" customHeight="1">
      <c r="B31" s="253"/>
      <c r="C31" s="254"/>
      <c r="D31" s="254"/>
      <c r="E31" s="254"/>
      <c r="F31" s="254"/>
      <c r="G31" s="255"/>
      <c r="H31" s="254"/>
      <c r="I31" s="256"/>
      <c r="J31" s="254"/>
      <c r="K31" s="256"/>
      <c r="L31" s="257"/>
    </row>
    <row r="32" spans="2:12" s="41" customFormat="1" ht="30" customHeight="1">
      <c r="B32" s="1114" t="s">
        <v>138</v>
      </c>
      <c r="C32" s="1114"/>
      <c r="D32" s="1114"/>
      <c r="E32" s="1114"/>
      <c r="F32" s="1114"/>
      <c r="G32" s="1114"/>
      <c r="H32" s="1114"/>
      <c r="I32" s="1114"/>
      <c r="J32" s="1114"/>
      <c r="K32" s="1114"/>
      <c r="L32" s="1114"/>
    </row>
    <row r="33" spans="2:12" ht="20.100000000000001" customHeight="1">
      <c r="B33" s="228" t="s">
        <v>355</v>
      </c>
      <c r="C33" s="1076" t="s">
        <v>13</v>
      </c>
      <c r="D33" s="1077"/>
      <c r="E33" s="1077"/>
      <c r="F33" s="1077"/>
      <c r="G33" s="1093"/>
      <c r="H33" s="1076" t="s">
        <v>295</v>
      </c>
      <c r="I33" s="1077"/>
      <c r="J33" s="1077"/>
      <c r="K33" s="1077"/>
      <c r="L33" s="1093"/>
    </row>
    <row r="34" spans="2:12" ht="20.100000000000001" customHeight="1">
      <c r="B34" s="204" t="s">
        <v>23</v>
      </c>
      <c r="C34" s="1115" t="s">
        <v>67</v>
      </c>
      <c r="D34" s="1116"/>
      <c r="E34" s="1117" t="s">
        <v>266</v>
      </c>
      <c r="F34" s="1118"/>
      <c r="G34" s="229" t="s">
        <v>92</v>
      </c>
      <c r="H34" s="1115" t="s">
        <v>67</v>
      </c>
      <c r="I34" s="1116"/>
      <c r="J34" s="1117" t="s">
        <v>266</v>
      </c>
      <c r="K34" s="1118"/>
      <c r="L34" s="229" t="s">
        <v>92</v>
      </c>
    </row>
    <row r="35" spans="2:12" ht="30" customHeight="1">
      <c r="B35" s="249"/>
      <c r="C35" s="714">
        <v>349</v>
      </c>
      <c r="D35" s="715"/>
      <c r="E35" s="716">
        <f>46+28+17+10+5+1+1+2</f>
        <v>110</v>
      </c>
      <c r="F35" s="703"/>
      <c r="G35" s="704"/>
      <c r="H35" s="717">
        <v>24018</v>
      </c>
      <c r="I35" s="718"/>
      <c r="J35" s="719">
        <f>3728+2624+1076+109+98+35+15+8</f>
        <v>7693</v>
      </c>
      <c r="K35" s="706"/>
      <c r="L35" s="720">
        <f>J35/H35</f>
        <v>0.320301440586227</v>
      </c>
    </row>
    <row r="36" spans="2:12" ht="15.75" customHeight="1">
      <c r="B36" s="1067" t="s">
        <v>148</v>
      </c>
      <c r="C36" s="1067"/>
      <c r="D36" s="1067"/>
      <c r="E36" s="1067"/>
      <c r="F36" s="1067"/>
      <c r="G36" s="1067"/>
      <c r="H36" s="1067"/>
      <c r="I36" s="1067"/>
      <c r="J36" s="1067"/>
      <c r="K36" s="45"/>
    </row>
    <row r="37" spans="2:12" ht="15" customHeight="1">
      <c r="B37" s="258" t="s">
        <v>326</v>
      </c>
      <c r="C37" s="259"/>
      <c r="D37" s="259"/>
      <c r="E37" s="259"/>
      <c r="F37" s="259"/>
      <c r="G37" s="259"/>
      <c r="H37" s="259"/>
      <c r="I37" s="259"/>
      <c r="J37" s="259"/>
      <c r="K37" s="259"/>
    </row>
    <row r="38" spans="2:12" ht="15" customHeight="1">
      <c r="B38" s="54" t="s">
        <v>180</v>
      </c>
      <c r="C38" s="259"/>
      <c r="D38" s="259"/>
      <c r="E38" s="259"/>
      <c r="F38" s="259"/>
      <c r="G38" s="259"/>
      <c r="H38" s="259"/>
      <c r="I38" s="259"/>
      <c r="J38" s="259"/>
      <c r="K38" s="259"/>
    </row>
    <row r="39" spans="2:12" ht="13.5" customHeight="1">
      <c r="B39" s="1112" t="s">
        <v>183</v>
      </c>
      <c r="C39" s="1113"/>
      <c r="D39" s="1113"/>
      <c r="E39" s="1113"/>
      <c r="F39" s="1113"/>
      <c r="G39" s="1113"/>
      <c r="H39" s="1113"/>
      <c r="I39" s="1113"/>
      <c r="J39" s="1113"/>
      <c r="K39" s="1113"/>
      <c r="L39" s="1113"/>
    </row>
    <row r="40" spans="2:12" ht="12.75" customHeight="1">
      <c r="B40" s="54" t="s">
        <v>75</v>
      </c>
      <c r="C40" s="60"/>
      <c r="D40" s="60"/>
    </row>
    <row r="41" spans="2:12" ht="12.75" customHeight="1">
      <c r="B41" s="54" t="s">
        <v>79</v>
      </c>
    </row>
    <row r="42" spans="2:12" ht="12.75" customHeight="1"/>
    <row r="43" spans="2:12">
      <c r="B43" s="3"/>
    </row>
    <row r="45" spans="2:12">
      <c r="B45" s="260"/>
    </row>
    <row r="47" spans="2:12">
      <c r="B47" s="260"/>
    </row>
  </sheetData>
  <mergeCells count="25">
    <mergeCell ref="B1:C1"/>
    <mergeCell ref="B2:L2"/>
    <mergeCell ref="B3:L3"/>
    <mergeCell ref="C4:G4"/>
    <mergeCell ref="H4:L4"/>
    <mergeCell ref="J27:K27"/>
    <mergeCell ref="C5:D5"/>
    <mergeCell ref="E5:F5"/>
    <mergeCell ref="H5:I5"/>
    <mergeCell ref="J5:K5"/>
    <mergeCell ref="B25:L25"/>
    <mergeCell ref="C26:G26"/>
    <mergeCell ref="H26:L26"/>
    <mergeCell ref="C27:D27"/>
    <mergeCell ref="E27:F27"/>
    <mergeCell ref="H27:I27"/>
    <mergeCell ref="B39:L39"/>
    <mergeCell ref="B36:J36"/>
    <mergeCell ref="B32:L32"/>
    <mergeCell ref="C33:G33"/>
    <mergeCell ref="H33:L33"/>
    <mergeCell ref="C34:D34"/>
    <mergeCell ref="E34:F34"/>
    <mergeCell ref="H34:I34"/>
    <mergeCell ref="J34:K34"/>
  </mergeCells>
  <phoneticPr fontId="4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2"/>
  <dimension ref="A1:J49"/>
  <sheetViews>
    <sheetView zoomScaleNormal="100" workbookViewId="0">
      <selection activeCell="P9" sqref="P9"/>
    </sheetView>
  </sheetViews>
  <sheetFormatPr defaultRowHeight="11.25"/>
  <cols>
    <col min="1" max="1" width="3.7109375" style="3" customWidth="1"/>
    <col min="2" max="2" width="4.5703125" style="23" customWidth="1"/>
    <col min="3" max="6" width="8.7109375" style="23" customWidth="1"/>
    <col min="7" max="7" width="8.7109375" style="658" customWidth="1"/>
    <col min="8" max="8" width="1.7109375" style="23" customWidth="1"/>
    <col min="9" max="9" width="4.85546875" style="23" customWidth="1"/>
    <col min="10" max="10" width="4.7109375" style="3" customWidth="1"/>
    <col min="11" max="16384" width="9.140625" style="3"/>
  </cols>
  <sheetData>
    <row r="1" spans="1:10" ht="14.25" customHeight="1">
      <c r="B1" s="22"/>
      <c r="C1" s="22"/>
      <c r="D1" s="22"/>
      <c r="E1" s="22"/>
      <c r="F1" s="22"/>
      <c r="I1" s="261" t="s">
        <v>130</v>
      </c>
    </row>
    <row r="2" spans="1:10" s="54" customFormat="1" ht="30" customHeight="1">
      <c r="B2" s="1125" t="s">
        <v>302</v>
      </c>
      <c r="C2" s="1125"/>
      <c r="D2" s="1125"/>
      <c r="E2" s="1125"/>
      <c r="F2" s="1125"/>
      <c r="G2" s="1125"/>
      <c r="H2" s="1125"/>
      <c r="I2" s="1125"/>
    </row>
    <row r="3" spans="1:10" ht="15" customHeight="1">
      <c r="B3" s="1126" t="s">
        <v>303</v>
      </c>
      <c r="C3" s="1126"/>
      <c r="D3" s="1126"/>
      <c r="E3" s="1126"/>
      <c r="F3" s="1126"/>
      <c r="G3" s="1126"/>
      <c r="H3" s="1126"/>
      <c r="I3" s="1126"/>
      <c r="J3" s="2"/>
    </row>
    <row r="4" spans="1:10" ht="12.75" customHeight="1">
      <c r="B4" s="1127" t="s">
        <v>331</v>
      </c>
      <c r="C4" s="1128"/>
      <c r="D4" s="1128"/>
      <c r="E4" s="1128"/>
      <c r="F4" s="1128"/>
      <c r="G4" s="1128"/>
      <c r="H4" s="1128"/>
      <c r="I4" s="1128"/>
      <c r="J4" s="2"/>
    </row>
    <row r="5" spans="1:10" ht="15" customHeight="1">
      <c r="C5" s="1130" t="s">
        <v>24</v>
      </c>
      <c r="D5" s="1131"/>
      <c r="E5" s="1131"/>
      <c r="F5" s="1131"/>
      <c r="G5" s="1131"/>
      <c r="H5" s="1132"/>
    </row>
    <row r="6" spans="1:10" ht="33" customHeight="1">
      <c r="C6" s="262" t="s">
        <v>25</v>
      </c>
      <c r="D6" s="263" t="s">
        <v>26</v>
      </c>
      <c r="E6" s="263" t="s">
        <v>27</v>
      </c>
      <c r="F6" s="264" t="s">
        <v>28</v>
      </c>
      <c r="G6" s="1102" t="s">
        <v>68</v>
      </c>
      <c r="H6" s="1104"/>
      <c r="I6" s="22"/>
      <c r="J6" s="2"/>
    </row>
    <row r="7" spans="1:10" ht="15" customHeight="1">
      <c r="B7" s="50" t="s">
        <v>266</v>
      </c>
      <c r="C7" s="843">
        <f>SUM(C9:C35)</f>
        <v>113</v>
      </c>
      <c r="D7" s="843">
        <f>SUM(D9:D35)</f>
        <v>666</v>
      </c>
      <c r="E7" s="843">
        <f>SUM(E9:E35)</f>
        <v>1315</v>
      </c>
      <c r="F7" s="843">
        <f>SUM(F9:F35)</f>
        <v>329</v>
      </c>
      <c r="G7" s="828">
        <f>SUM(C7:F7)</f>
        <v>2423</v>
      </c>
      <c r="H7" s="829"/>
      <c r="I7" s="50" t="s">
        <v>266</v>
      </c>
      <c r="J7" s="297"/>
    </row>
    <row r="8" spans="1:10" ht="12.75" customHeight="1">
      <c r="B8" s="153" t="s">
        <v>168</v>
      </c>
      <c r="C8" s="843">
        <f>SUM(C9:C36)</f>
        <v>144</v>
      </c>
      <c r="D8" s="843">
        <f>SUM(D9:D36)</f>
        <v>705</v>
      </c>
      <c r="E8" s="843">
        <f>SUM(E9:E36)</f>
        <v>1527</v>
      </c>
      <c r="F8" s="843">
        <f>SUM(F9:F36)</f>
        <v>400</v>
      </c>
      <c r="G8" s="828">
        <f t="shared" ref="G8:G45" si="0">SUM(C8:F8)</f>
        <v>2776</v>
      </c>
      <c r="H8" s="829"/>
      <c r="I8" s="153" t="s">
        <v>168</v>
      </c>
      <c r="J8" s="35"/>
    </row>
    <row r="9" spans="1:10" ht="12.75" customHeight="1">
      <c r="B9" s="9" t="s">
        <v>52</v>
      </c>
      <c r="C9" s="844">
        <v>1</v>
      </c>
      <c r="D9" s="845">
        <v>15</v>
      </c>
      <c r="E9" s="845">
        <v>15</v>
      </c>
      <c r="F9" s="846">
        <v>15</v>
      </c>
      <c r="G9" s="830">
        <f t="shared" si="0"/>
        <v>46</v>
      </c>
      <c r="H9" s="831"/>
      <c r="I9" s="9" t="s">
        <v>52</v>
      </c>
      <c r="J9" s="35"/>
    </row>
    <row r="10" spans="1:10" ht="12.75" customHeight="1">
      <c r="A10" s="8"/>
      <c r="B10" s="49" t="s">
        <v>35</v>
      </c>
      <c r="C10" s="847"/>
      <c r="D10" s="848">
        <v>14</v>
      </c>
      <c r="E10" s="848">
        <v>10</v>
      </c>
      <c r="F10" s="849">
        <v>1</v>
      </c>
      <c r="G10" s="832">
        <f t="shared" si="0"/>
        <v>25</v>
      </c>
      <c r="H10" s="833"/>
      <c r="I10" s="49" t="s">
        <v>35</v>
      </c>
      <c r="J10" s="19"/>
    </row>
    <row r="11" spans="1:10" ht="12.75" customHeight="1">
      <c r="A11" s="8"/>
      <c r="B11" s="10" t="s">
        <v>37</v>
      </c>
      <c r="C11" s="850">
        <v>4</v>
      </c>
      <c r="D11" s="489">
        <v>5</v>
      </c>
      <c r="E11" s="489">
        <v>17</v>
      </c>
      <c r="F11" s="851"/>
      <c r="G11" s="830">
        <f t="shared" si="0"/>
        <v>26</v>
      </c>
      <c r="H11" s="831"/>
      <c r="I11" s="10" t="s">
        <v>37</v>
      </c>
      <c r="J11" s="19"/>
    </row>
    <row r="12" spans="1:10" ht="12.75" customHeight="1">
      <c r="A12" s="8"/>
      <c r="B12" s="49" t="s">
        <v>48</v>
      </c>
      <c r="C12" s="847">
        <v>10</v>
      </c>
      <c r="D12" s="848">
        <v>7</v>
      </c>
      <c r="E12" s="848">
        <v>4</v>
      </c>
      <c r="F12" s="849">
        <v>2</v>
      </c>
      <c r="G12" s="832">
        <f t="shared" si="0"/>
        <v>23</v>
      </c>
      <c r="H12" s="833"/>
      <c r="I12" s="49" t="s">
        <v>48</v>
      </c>
      <c r="J12" s="19"/>
    </row>
    <row r="13" spans="1:10" ht="12.75" customHeight="1">
      <c r="A13" s="8"/>
      <c r="B13" s="10" t="s">
        <v>53</v>
      </c>
      <c r="C13" s="850">
        <v>9</v>
      </c>
      <c r="D13" s="489">
        <v>78</v>
      </c>
      <c r="E13" s="489">
        <v>105</v>
      </c>
      <c r="F13" s="851">
        <v>54</v>
      </c>
      <c r="G13" s="830">
        <f t="shared" si="0"/>
        <v>246</v>
      </c>
      <c r="H13" s="831"/>
      <c r="I13" s="10" t="s">
        <v>53</v>
      </c>
      <c r="J13" s="19"/>
    </row>
    <row r="14" spans="1:10" ht="12.75" customHeight="1">
      <c r="A14" s="8"/>
      <c r="B14" s="49" t="s">
        <v>38</v>
      </c>
      <c r="C14" s="847">
        <v>2</v>
      </c>
      <c r="D14" s="848">
        <v>2</v>
      </c>
      <c r="E14" s="848"/>
      <c r="F14" s="849"/>
      <c r="G14" s="832">
        <f t="shared" si="0"/>
        <v>4</v>
      </c>
      <c r="H14" s="833"/>
      <c r="I14" s="49" t="s">
        <v>38</v>
      </c>
      <c r="J14" s="19"/>
    </row>
    <row r="15" spans="1:10" ht="12.75" customHeight="1">
      <c r="A15" s="8"/>
      <c r="B15" s="10" t="s">
        <v>56</v>
      </c>
      <c r="C15" s="850">
        <v>1</v>
      </c>
      <c r="D15" s="489">
        <v>11</v>
      </c>
      <c r="E15" s="489">
        <v>286</v>
      </c>
      <c r="F15" s="851">
        <v>8</v>
      </c>
      <c r="G15" s="830">
        <f t="shared" si="0"/>
        <v>306</v>
      </c>
      <c r="H15" s="831"/>
      <c r="I15" s="10" t="s">
        <v>56</v>
      </c>
      <c r="J15" s="19"/>
    </row>
    <row r="16" spans="1:10" ht="12.75" customHeight="1">
      <c r="A16" s="8"/>
      <c r="B16" s="49" t="s">
        <v>49</v>
      </c>
      <c r="C16" s="852">
        <v>8</v>
      </c>
      <c r="D16" s="848">
        <v>12</v>
      </c>
      <c r="E16" s="848">
        <v>45</v>
      </c>
      <c r="F16" s="849"/>
      <c r="G16" s="832">
        <f t="shared" si="0"/>
        <v>65</v>
      </c>
      <c r="H16" s="833"/>
      <c r="I16" s="49" t="s">
        <v>49</v>
      </c>
      <c r="J16" s="19"/>
    </row>
    <row r="17" spans="1:10" ht="12.75" customHeight="1">
      <c r="A17" s="8"/>
      <c r="B17" s="10" t="s">
        <v>54</v>
      </c>
      <c r="C17" s="850">
        <v>5</v>
      </c>
      <c r="D17" s="489">
        <v>91</v>
      </c>
      <c r="E17" s="489">
        <v>130</v>
      </c>
      <c r="F17" s="851">
        <v>47</v>
      </c>
      <c r="G17" s="830">
        <f t="shared" si="0"/>
        <v>273</v>
      </c>
      <c r="H17" s="831"/>
      <c r="I17" s="10" t="s">
        <v>54</v>
      </c>
      <c r="J17" s="19"/>
    </row>
    <row r="18" spans="1:10" ht="12.75" customHeight="1">
      <c r="A18" s="8"/>
      <c r="B18" s="49" t="s">
        <v>55</v>
      </c>
      <c r="C18" s="847">
        <v>35</v>
      </c>
      <c r="D18" s="848">
        <v>95</v>
      </c>
      <c r="E18" s="848">
        <v>92</v>
      </c>
      <c r="F18" s="849">
        <v>76</v>
      </c>
      <c r="G18" s="832">
        <f t="shared" si="0"/>
        <v>298</v>
      </c>
      <c r="H18" s="833"/>
      <c r="I18" s="49" t="s">
        <v>55</v>
      </c>
      <c r="J18" s="19"/>
    </row>
    <row r="19" spans="1:10" ht="12.75" customHeight="1">
      <c r="A19" s="8"/>
      <c r="B19" s="10" t="s">
        <v>66</v>
      </c>
      <c r="C19" s="850">
        <v>1</v>
      </c>
      <c r="D19" s="489">
        <v>9</v>
      </c>
      <c r="E19" s="489">
        <v>2</v>
      </c>
      <c r="F19" s="851"/>
      <c r="G19" s="830">
        <f t="shared" si="0"/>
        <v>12</v>
      </c>
      <c r="H19" s="831"/>
      <c r="I19" s="10" t="s">
        <v>66</v>
      </c>
      <c r="J19" s="19"/>
    </row>
    <row r="20" spans="1:10" ht="12.75" customHeight="1">
      <c r="A20" s="8"/>
      <c r="B20" s="154" t="s">
        <v>57</v>
      </c>
      <c r="C20" s="852"/>
      <c r="D20" s="848">
        <v>49</v>
      </c>
      <c r="E20" s="848">
        <v>24</v>
      </c>
      <c r="F20" s="849">
        <v>9</v>
      </c>
      <c r="G20" s="832">
        <f t="shared" si="0"/>
        <v>82</v>
      </c>
      <c r="H20" s="834"/>
      <c r="I20" s="154" t="s">
        <v>57</v>
      </c>
      <c r="J20" s="19"/>
    </row>
    <row r="21" spans="1:10" ht="12.75" customHeight="1">
      <c r="A21" s="8"/>
      <c r="B21" s="10" t="s">
        <v>36</v>
      </c>
      <c r="C21" s="850"/>
      <c r="D21" s="489">
        <v>1</v>
      </c>
      <c r="E21" s="489"/>
      <c r="F21" s="851"/>
      <c r="G21" s="830">
        <f t="shared" si="0"/>
        <v>1</v>
      </c>
      <c r="H21" s="831"/>
      <c r="I21" s="10" t="s">
        <v>36</v>
      </c>
      <c r="J21" s="19"/>
    </row>
    <row r="22" spans="1:10" ht="12.75" customHeight="1">
      <c r="A22" s="8"/>
      <c r="B22" s="154" t="s">
        <v>40</v>
      </c>
      <c r="C22" s="852">
        <v>1</v>
      </c>
      <c r="D22" s="848">
        <v>23</v>
      </c>
      <c r="E22" s="848">
        <v>3</v>
      </c>
      <c r="F22" s="849"/>
      <c r="G22" s="832">
        <f t="shared" si="0"/>
        <v>27</v>
      </c>
      <c r="H22" s="834"/>
      <c r="I22" s="154" t="s">
        <v>40</v>
      </c>
      <c r="J22" s="19"/>
    </row>
    <row r="23" spans="1:10" ht="12.75" customHeight="1">
      <c r="A23" s="8"/>
      <c r="B23" s="10" t="s">
        <v>41</v>
      </c>
      <c r="C23" s="850">
        <v>3</v>
      </c>
      <c r="D23" s="489">
        <v>1</v>
      </c>
      <c r="E23" s="489">
        <v>5</v>
      </c>
      <c r="F23" s="851">
        <v>1</v>
      </c>
      <c r="G23" s="830">
        <f t="shared" si="0"/>
        <v>10</v>
      </c>
      <c r="H23" s="831"/>
      <c r="I23" s="10" t="s">
        <v>41</v>
      </c>
      <c r="J23" s="19"/>
    </row>
    <row r="24" spans="1:10" ht="12.75" customHeight="1">
      <c r="A24" s="8"/>
      <c r="B24" s="154" t="s">
        <v>58</v>
      </c>
      <c r="C24" s="852"/>
      <c r="D24" s="848">
        <v>9</v>
      </c>
      <c r="E24" s="848">
        <v>4</v>
      </c>
      <c r="F24" s="849"/>
      <c r="G24" s="832">
        <f t="shared" si="0"/>
        <v>13</v>
      </c>
      <c r="H24" s="834"/>
      <c r="I24" s="154" t="s">
        <v>58</v>
      </c>
      <c r="J24" s="19"/>
    </row>
    <row r="25" spans="1:10" ht="12.75" customHeight="1">
      <c r="A25" s="8"/>
      <c r="B25" s="10" t="s">
        <v>39</v>
      </c>
      <c r="C25" s="850">
        <v>1</v>
      </c>
      <c r="D25" s="489"/>
      <c r="E25" s="489">
        <v>90</v>
      </c>
      <c r="F25" s="851"/>
      <c r="G25" s="830">
        <f t="shared" si="0"/>
        <v>91</v>
      </c>
      <c r="H25" s="831"/>
      <c r="I25" s="10" t="s">
        <v>39</v>
      </c>
      <c r="J25" s="19"/>
    </row>
    <row r="26" spans="1:10" ht="12.75" customHeight="1">
      <c r="A26" s="8"/>
      <c r="B26" s="154" t="s">
        <v>42</v>
      </c>
      <c r="C26" s="1003">
        <v>1</v>
      </c>
      <c r="D26" s="1004">
        <v>1</v>
      </c>
      <c r="E26" s="1004">
        <v>140</v>
      </c>
      <c r="F26" s="1005">
        <v>2</v>
      </c>
      <c r="G26" s="832">
        <f t="shared" si="0"/>
        <v>144</v>
      </c>
      <c r="H26" s="834"/>
      <c r="I26" s="154" t="s">
        <v>42</v>
      </c>
      <c r="J26" s="19"/>
    </row>
    <row r="27" spans="1:10" ht="12.75" customHeight="1">
      <c r="A27" s="8"/>
      <c r="B27" s="10" t="s">
        <v>50</v>
      </c>
      <c r="C27" s="850">
        <v>5</v>
      </c>
      <c r="D27" s="489">
        <v>65</v>
      </c>
      <c r="E27" s="489">
        <v>63</v>
      </c>
      <c r="F27" s="851">
        <v>61</v>
      </c>
      <c r="G27" s="830">
        <f t="shared" si="0"/>
        <v>194</v>
      </c>
      <c r="H27" s="831"/>
      <c r="I27" s="10" t="s">
        <v>50</v>
      </c>
      <c r="J27" s="19"/>
    </row>
    <row r="28" spans="1:10" ht="12.75" customHeight="1">
      <c r="A28" s="8"/>
      <c r="B28" s="154" t="s">
        <v>59</v>
      </c>
      <c r="C28" s="852">
        <v>3</v>
      </c>
      <c r="D28" s="848">
        <v>31</v>
      </c>
      <c r="E28" s="848">
        <v>77</v>
      </c>
      <c r="F28" s="849">
        <v>3</v>
      </c>
      <c r="G28" s="832">
        <f t="shared" si="0"/>
        <v>114</v>
      </c>
      <c r="H28" s="834"/>
      <c r="I28" s="154" t="s">
        <v>59</v>
      </c>
      <c r="J28" s="19"/>
    </row>
    <row r="29" spans="1:10" ht="12.75" customHeight="1">
      <c r="A29" s="8"/>
      <c r="B29" s="10" t="s">
        <v>43</v>
      </c>
      <c r="C29" s="850">
        <v>3</v>
      </c>
      <c r="D29" s="489">
        <v>41</v>
      </c>
      <c r="E29" s="489">
        <v>74</v>
      </c>
      <c r="F29" s="851">
        <v>8</v>
      </c>
      <c r="G29" s="830">
        <f t="shared" si="0"/>
        <v>126</v>
      </c>
      <c r="H29" s="831"/>
      <c r="I29" s="10" t="s">
        <v>43</v>
      </c>
      <c r="J29" s="19"/>
    </row>
    <row r="30" spans="1:10" ht="12.75" customHeight="1">
      <c r="A30" s="8"/>
      <c r="B30" s="154" t="s">
        <v>60</v>
      </c>
      <c r="C30" s="852">
        <v>5</v>
      </c>
      <c r="D30" s="848">
        <v>33</v>
      </c>
      <c r="E30" s="848">
        <v>42</v>
      </c>
      <c r="F30" s="849">
        <v>21</v>
      </c>
      <c r="G30" s="832">
        <f t="shared" si="0"/>
        <v>101</v>
      </c>
      <c r="H30" s="834"/>
      <c r="I30" s="154" t="s">
        <v>60</v>
      </c>
      <c r="J30" s="19"/>
    </row>
    <row r="31" spans="1:10" ht="12.75" customHeight="1">
      <c r="A31" s="8"/>
      <c r="B31" s="10" t="s">
        <v>44</v>
      </c>
      <c r="C31" s="850">
        <v>1</v>
      </c>
      <c r="D31" s="489">
        <v>16</v>
      </c>
      <c r="E31" s="489">
        <v>13</v>
      </c>
      <c r="F31" s="851"/>
      <c r="G31" s="830">
        <f t="shared" si="0"/>
        <v>30</v>
      </c>
      <c r="H31" s="831"/>
      <c r="I31" s="10" t="s">
        <v>44</v>
      </c>
      <c r="J31" s="19"/>
    </row>
    <row r="32" spans="1:10" ht="12.75" customHeight="1">
      <c r="A32" s="8"/>
      <c r="B32" s="154" t="s">
        <v>46</v>
      </c>
      <c r="C32" s="852">
        <v>4</v>
      </c>
      <c r="D32" s="848">
        <v>1</v>
      </c>
      <c r="E32" s="848"/>
      <c r="F32" s="849"/>
      <c r="G32" s="832">
        <f t="shared" si="0"/>
        <v>5</v>
      </c>
      <c r="H32" s="834"/>
      <c r="I32" s="154" t="s">
        <v>46</v>
      </c>
      <c r="J32" s="19"/>
    </row>
    <row r="33" spans="1:10" ht="12.75" customHeight="1">
      <c r="A33" s="8"/>
      <c r="B33" s="10" t="s">
        <v>45</v>
      </c>
      <c r="C33" s="850"/>
      <c r="D33" s="489"/>
      <c r="E33" s="489">
        <v>3</v>
      </c>
      <c r="F33" s="851"/>
      <c r="G33" s="830">
        <f t="shared" si="0"/>
        <v>3</v>
      </c>
      <c r="H33" s="831"/>
      <c r="I33" s="10" t="s">
        <v>45</v>
      </c>
      <c r="J33" s="19"/>
    </row>
    <row r="34" spans="1:10" ht="12.75" customHeight="1">
      <c r="A34" s="8"/>
      <c r="B34" s="154" t="s">
        <v>61</v>
      </c>
      <c r="C34" s="852"/>
      <c r="D34" s="848">
        <v>26</v>
      </c>
      <c r="E34" s="848">
        <v>4</v>
      </c>
      <c r="F34" s="849">
        <v>13</v>
      </c>
      <c r="G34" s="832">
        <f t="shared" si="0"/>
        <v>43</v>
      </c>
      <c r="H34" s="834"/>
      <c r="I34" s="154" t="s">
        <v>61</v>
      </c>
      <c r="J34" s="19"/>
    </row>
    <row r="35" spans="1:10" ht="12.75" customHeight="1">
      <c r="A35" s="8"/>
      <c r="B35" s="11" t="s">
        <v>62</v>
      </c>
      <c r="C35" s="853">
        <v>10</v>
      </c>
      <c r="D35" s="854">
        <v>30</v>
      </c>
      <c r="E35" s="854">
        <v>67</v>
      </c>
      <c r="F35" s="855">
        <v>8</v>
      </c>
      <c r="G35" s="835">
        <f t="shared" si="0"/>
        <v>115</v>
      </c>
      <c r="H35" s="836"/>
      <c r="I35" s="11" t="s">
        <v>62</v>
      </c>
      <c r="J35" s="721"/>
    </row>
    <row r="36" spans="1:10" ht="12.75" customHeight="1">
      <c r="A36" s="8"/>
      <c r="B36" s="155" t="s">
        <v>51</v>
      </c>
      <c r="C36" s="856">
        <v>31</v>
      </c>
      <c r="D36" s="485">
        <v>39</v>
      </c>
      <c r="E36" s="485">
        <v>212</v>
      </c>
      <c r="F36" s="857">
        <v>71</v>
      </c>
      <c r="G36" s="837">
        <f t="shared" si="0"/>
        <v>353</v>
      </c>
      <c r="H36" s="838"/>
      <c r="I36" s="155" t="s">
        <v>51</v>
      </c>
      <c r="J36" s="19"/>
    </row>
    <row r="37" spans="1:10" ht="12.75" customHeight="1">
      <c r="A37" s="8"/>
      <c r="B37" s="10" t="s">
        <v>161</v>
      </c>
      <c r="C37" s="850"/>
      <c r="D37" s="489"/>
      <c r="E37" s="489"/>
      <c r="F37" s="851"/>
      <c r="G37" s="830">
        <f t="shared" si="0"/>
        <v>0</v>
      </c>
      <c r="H37" s="831"/>
      <c r="I37" s="10" t="s">
        <v>161</v>
      </c>
      <c r="J37" s="19"/>
    </row>
    <row r="38" spans="1:10" ht="12.75" customHeight="1">
      <c r="A38" s="8"/>
      <c r="B38" s="154" t="s">
        <v>0</v>
      </c>
      <c r="C38" s="852"/>
      <c r="D38" s="848"/>
      <c r="E38" s="848"/>
      <c r="F38" s="849"/>
      <c r="G38" s="839"/>
      <c r="H38" s="834"/>
      <c r="I38" s="154" t="s">
        <v>0</v>
      </c>
      <c r="J38" s="19"/>
    </row>
    <row r="39" spans="1:10" ht="12.75" customHeight="1">
      <c r="A39" s="8"/>
      <c r="B39" s="10" t="s">
        <v>167</v>
      </c>
      <c r="C39" s="850"/>
      <c r="D39" s="489">
        <v>1</v>
      </c>
      <c r="E39" s="489">
        <v>4</v>
      </c>
      <c r="F39" s="851"/>
      <c r="G39" s="830">
        <f>SUM(C39:F39)</f>
        <v>5</v>
      </c>
      <c r="H39" s="831"/>
      <c r="I39" s="10" t="s">
        <v>167</v>
      </c>
      <c r="J39" s="19"/>
    </row>
    <row r="40" spans="1:10" ht="12.75" customHeight="1">
      <c r="A40" s="8"/>
      <c r="B40" s="154" t="s">
        <v>160</v>
      </c>
      <c r="C40" s="852"/>
      <c r="D40" s="848">
        <v>14</v>
      </c>
      <c r="E40" s="848">
        <v>1</v>
      </c>
      <c r="F40" s="849">
        <v>1</v>
      </c>
      <c r="G40" s="832">
        <f t="shared" si="0"/>
        <v>16</v>
      </c>
      <c r="H40" s="834"/>
      <c r="I40" s="154" t="s">
        <v>160</v>
      </c>
      <c r="J40" s="19"/>
    </row>
    <row r="41" spans="1:10" ht="12.75" customHeight="1">
      <c r="A41" s="8"/>
      <c r="B41" s="11" t="s">
        <v>47</v>
      </c>
      <c r="C41" s="853">
        <v>2</v>
      </c>
      <c r="D41" s="854">
        <v>5</v>
      </c>
      <c r="E41" s="854">
        <v>257</v>
      </c>
      <c r="F41" s="855">
        <v>67</v>
      </c>
      <c r="G41" s="840">
        <f t="shared" si="0"/>
        <v>331</v>
      </c>
      <c r="H41" s="836"/>
      <c r="I41" s="11" t="s">
        <v>47</v>
      </c>
      <c r="J41" s="19"/>
    </row>
    <row r="42" spans="1:10" ht="12.75" customHeight="1">
      <c r="A42" s="8"/>
      <c r="B42" s="153" t="s">
        <v>33</v>
      </c>
      <c r="C42" s="852">
        <v>9</v>
      </c>
      <c r="D42" s="848">
        <v>2</v>
      </c>
      <c r="E42" s="848">
        <v>5</v>
      </c>
      <c r="F42" s="849">
        <v>4</v>
      </c>
      <c r="G42" s="832">
        <f t="shared" si="0"/>
        <v>20</v>
      </c>
      <c r="H42" s="834"/>
      <c r="I42" s="153" t="s">
        <v>33</v>
      </c>
      <c r="J42" s="19"/>
    </row>
    <row r="43" spans="1:10" ht="12.75" customHeight="1">
      <c r="A43" s="8"/>
      <c r="B43" s="10" t="s">
        <v>72</v>
      </c>
      <c r="C43" s="850"/>
      <c r="D43" s="489"/>
      <c r="E43" s="489"/>
      <c r="F43" s="851"/>
      <c r="G43" s="830"/>
      <c r="H43" s="831"/>
      <c r="I43" s="10" t="s">
        <v>72</v>
      </c>
      <c r="J43" s="19"/>
    </row>
    <row r="44" spans="1:10" ht="12.75" customHeight="1">
      <c r="A44" s="8"/>
      <c r="B44" s="154" t="s">
        <v>63</v>
      </c>
      <c r="C44" s="852">
        <v>33</v>
      </c>
      <c r="D44" s="848">
        <v>13</v>
      </c>
      <c r="E44" s="848">
        <v>5</v>
      </c>
      <c r="F44" s="849"/>
      <c r="G44" s="839">
        <f t="shared" si="0"/>
        <v>51</v>
      </c>
      <c r="H44" s="834"/>
      <c r="I44" s="154" t="s">
        <v>63</v>
      </c>
      <c r="J44" s="19"/>
    </row>
    <row r="45" spans="1:10" ht="12.75" customHeight="1">
      <c r="A45" s="8"/>
      <c r="B45" s="598" t="s">
        <v>34</v>
      </c>
      <c r="C45" s="858">
        <v>10</v>
      </c>
      <c r="D45" s="859">
        <v>36</v>
      </c>
      <c r="E45" s="859">
        <v>46</v>
      </c>
      <c r="F45" s="860">
        <v>13</v>
      </c>
      <c r="G45" s="841">
        <f t="shared" si="0"/>
        <v>105</v>
      </c>
      <c r="H45" s="842"/>
      <c r="I45" s="598" t="s">
        <v>34</v>
      </c>
      <c r="J45" s="19"/>
    </row>
    <row r="46" spans="1:10" ht="15.75" customHeight="1">
      <c r="B46" s="1133" t="s">
        <v>196</v>
      </c>
      <c r="C46" s="1133"/>
      <c r="D46" s="1133"/>
      <c r="E46" s="1133"/>
      <c r="F46" s="1133"/>
      <c r="G46" s="1133"/>
      <c r="H46" s="1133"/>
      <c r="I46" s="1133"/>
      <c r="J46" s="15"/>
    </row>
    <row r="47" spans="1:10" ht="11.25" customHeight="1">
      <c r="B47" s="1134" t="s">
        <v>326</v>
      </c>
      <c r="C47" s="1134"/>
      <c r="J47" s="12"/>
    </row>
    <row r="48" spans="1:10" ht="12.75" customHeight="1">
      <c r="B48" s="1129" t="s">
        <v>69</v>
      </c>
      <c r="C48" s="1129"/>
      <c r="D48" s="1129"/>
      <c r="E48" s="1129"/>
      <c r="F48" s="1129"/>
      <c r="G48" s="1129"/>
      <c r="H48" s="267"/>
    </row>
    <row r="49" spans="2:8" ht="12.75" customHeight="1">
      <c r="B49" s="268" t="s">
        <v>101</v>
      </c>
      <c r="C49" s="268"/>
      <c r="D49" s="268"/>
      <c r="E49" s="268"/>
      <c r="F49" s="268"/>
      <c r="G49" s="659"/>
      <c r="H49" s="268"/>
    </row>
  </sheetData>
  <mergeCells count="8">
    <mergeCell ref="B2:I2"/>
    <mergeCell ref="B3:I3"/>
    <mergeCell ref="B4:I4"/>
    <mergeCell ref="B48:G48"/>
    <mergeCell ref="C5:H5"/>
    <mergeCell ref="G6:H6"/>
    <mergeCell ref="B46:I46"/>
    <mergeCell ref="B47:C47"/>
  </mergeCells>
  <phoneticPr fontId="4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4"/>
  <dimension ref="A1:J52"/>
  <sheetViews>
    <sheetView workbookViewId="0">
      <selection activeCell="Z12" sqref="Z12"/>
    </sheetView>
  </sheetViews>
  <sheetFormatPr defaultRowHeight="11.25"/>
  <cols>
    <col min="1" max="1" width="3.7109375" style="3" customWidth="1"/>
    <col min="2" max="2" width="5.42578125" style="3" customWidth="1"/>
    <col min="3" max="7" width="10.7109375" style="3" customWidth="1"/>
    <col min="8" max="8" width="1.7109375" style="3" customWidth="1"/>
    <col min="9" max="9" width="5.140625" style="3" customWidth="1"/>
    <col min="10" max="10" width="4.7109375" style="3" customWidth="1"/>
    <col min="11" max="16384" width="9.140625" style="3"/>
  </cols>
  <sheetData>
    <row r="1" spans="1:10" ht="15.75">
      <c r="B1" s="2"/>
      <c r="C1" s="2"/>
      <c r="D1" s="2"/>
      <c r="E1" s="2"/>
      <c r="F1" s="2"/>
      <c r="I1" s="17" t="s">
        <v>131</v>
      </c>
    </row>
    <row r="2" spans="1:10" s="54" customFormat="1" ht="15.75" customHeight="1">
      <c r="B2" s="1060" t="s">
        <v>304</v>
      </c>
      <c r="C2" s="1060"/>
      <c r="D2" s="1060"/>
      <c r="E2" s="1060"/>
      <c r="F2" s="1060"/>
      <c r="G2" s="1060"/>
      <c r="H2" s="1060"/>
      <c r="I2" s="1060"/>
    </row>
    <row r="3" spans="1:10" s="79" customFormat="1" ht="12.75" customHeight="1">
      <c r="B3" s="1061" t="s">
        <v>303</v>
      </c>
      <c r="C3" s="1061"/>
      <c r="D3" s="1061"/>
      <c r="E3" s="1061"/>
      <c r="F3" s="1061"/>
      <c r="G3" s="1061"/>
      <c r="H3" s="1061"/>
      <c r="I3" s="1061"/>
    </row>
    <row r="4" spans="1:10" ht="12">
      <c r="B4" s="1140" t="s">
        <v>331</v>
      </c>
      <c r="C4" s="1141"/>
      <c r="D4" s="1141"/>
      <c r="E4" s="1141"/>
      <c r="F4" s="1141"/>
      <c r="G4" s="1141"/>
      <c r="H4" s="1141"/>
      <c r="I4" s="1141"/>
    </row>
    <row r="5" spans="1:10" ht="45" customHeight="1">
      <c r="B5" s="23"/>
      <c r="C5" s="1137" t="s">
        <v>29</v>
      </c>
      <c r="D5" s="1138"/>
      <c r="E5" s="269" t="s">
        <v>30</v>
      </c>
      <c r="F5" s="1136" t="s">
        <v>31</v>
      </c>
      <c r="G5" s="1137" t="s">
        <v>32</v>
      </c>
      <c r="H5" s="1138"/>
      <c r="I5" s="23"/>
    </row>
    <row r="6" spans="1:10" ht="32.25" customHeight="1">
      <c r="B6" s="23"/>
      <c r="C6" s="95" t="s">
        <v>170</v>
      </c>
      <c r="D6" s="93" t="s">
        <v>171</v>
      </c>
      <c r="E6" s="94" t="s">
        <v>94</v>
      </c>
      <c r="F6" s="1096"/>
      <c r="G6" s="1142"/>
      <c r="H6" s="1143"/>
      <c r="I6" s="22"/>
    </row>
    <row r="7" spans="1:10">
      <c r="B7" s="23"/>
      <c r="C7" s="90" t="s">
        <v>95</v>
      </c>
      <c r="D7" s="91" t="s">
        <v>95</v>
      </c>
      <c r="E7" s="92" t="s">
        <v>96</v>
      </c>
      <c r="F7" s="229"/>
      <c r="G7" s="1144"/>
      <c r="H7" s="1145"/>
      <c r="I7" s="22"/>
    </row>
    <row r="8" spans="1:10" ht="13.5" customHeight="1">
      <c r="B8" s="153" t="s">
        <v>266</v>
      </c>
      <c r="C8" s="861">
        <f>SUM(C10:C36)</f>
        <v>115</v>
      </c>
      <c r="D8" s="861">
        <f>SUM(D10:D36)</f>
        <v>251</v>
      </c>
      <c r="E8" s="861">
        <f>SUM(E10:E36)</f>
        <v>19</v>
      </c>
      <c r="F8" s="861">
        <f>SUM(F10:F36)</f>
        <v>120</v>
      </c>
      <c r="G8" s="861">
        <f>SUM(G10:G36)</f>
        <v>1828</v>
      </c>
      <c r="H8" s="153"/>
      <c r="I8" s="153" t="s">
        <v>266</v>
      </c>
    </row>
    <row r="9" spans="1:10">
      <c r="B9" s="50" t="s">
        <v>168</v>
      </c>
      <c r="C9" s="861">
        <f>SUM(C10:C37)</f>
        <v>124</v>
      </c>
      <c r="D9" s="861">
        <f>SUM(D10:D37)</f>
        <v>297</v>
      </c>
      <c r="E9" s="861">
        <f>SUM(E10:E37)</f>
        <v>19</v>
      </c>
      <c r="F9" s="861">
        <f>SUM(F10:F37)</f>
        <v>138</v>
      </c>
      <c r="G9" s="861">
        <f>SUM(G10:G37)</f>
        <v>2149</v>
      </c>
      <c r="H9" s="265"/>
      <c r="I9" s="50" t="s">
        <v>168</v>
      </c>
      <c r="J9" s="35"/>
    </row>
    <row r="10" spans="1:10">
      <c r="B10" s="9" t="s">
        <v>52</v>
      </c>
      <c r="C10" s="862">
        <v>1</v>
      </c>
      <c r="D10" s="862">
        <v>36</v>
      </c>
      <c r="E10" s="862"/>
      <c r="F10" s="862"/>
      <c r="G10" s="862">
        <v>63</v>
      </c>
      <c r="H10" s="266"/>
      <c r="I10" s="9" t="s">
        <v>52</v>
      </c>
      <c r="J10" s="35"/>
    </row>
    <row r="11" spans="1:10">
      <c r="A11" s="8"/>
      <c r="B11" s="49" t="s">
        <v>35</v>
      </c>
      <c r="C11" s="863"/>
      <c r="D11" s="864">
        <v>6</v>
      </c>
      <c r="E11" s="864"/>
      <c r="F11" s="864"/>
      <c r="G11" s="864">
        <v>15</v>
      </c>
      <c r="H11" s="89"/>
      <c r="I11" s="49" t="s">
        <v>35</v>
      </c>
    </row>
    <row r="12" spans="1:10">
      <c r="A12" s="8"/>
      <c r="B12" s="10" t="s">
        <v>37</v>
      </c>
      <c r="C12" s="865"/>
      <c r="D12" s="865"/>
      <c r="E12" s="865"/>
      <c r="F12" s="865">
        <v>1</v>
      </c>
      <c r="G12" s="1006">
        <v>62</v>
      </c>
      <c r="H12" s="118"/>
      <c r="I12" s="10" t="s">
        <v>37</v>
      </c>
      <c r="J12" s="2"/>
    </row>
    <row r="13" spans="1:10">
      <c r="A13" s="8"/>
      <c r="B13" s="49" t="s">
        <v>48</v>
      </c>
      <c r="C13" s="864">
        <v>4</v>
      </c>
      <c r="D13" s="864">
        <v>14</v>
      </c>
      <c r="E13" s="864">
        <v>7</v>
      </c>
      <c r="F13" s="864">
        <v>1</v>
      </c>
      <c r="G13" s="864">
        <v>69</v>
      </c>
      <c r="H13" s="89"/>
      <c r="I13" s="49" t="s">
        <v>48</v>
      </c>
    </row>
    <row r="14" spans="1:10">
      <c r="A14" s="8"/>
      <c r="B14" s="10" t="s">
        <v>53</v>
      </c>
      <c r="C14" s="865">
        <v>4</v>
      </c>
      <c r="D14" s="865">
        <v>88</v>
      </c>
      <c r="E14" s="865"/>
      <c r="F14" s="865">
        <v>46</v>
      </c>
      <c r="G14" s="865">
        <v>440</v>
      </c>
      <c r="H14" s="118"/>
      <c r="I14" s="10" t="s">
        <v>53</v>
      </c>
    </row>
    <row r="15" spans="1:10">
      <c r="A15" s="8"/>
      <c r="B15" s="49" t="s">
        <v>38</v>
      </c>
      <c r="C15" s="864">
        <v>9</v>
      </c>
      <c r="D15" s="864"/>
      <c r="E15" s="864"/>
      <c r="F15" s="864"/>
      <c r="G15" s="864">
        <v>14</v>
      </c>
      <c r="H15" s="89"/>
      <c r="I15" s="49" t="s">
        <v>38</v>
      </c>
    </row>
    <row r="16" spans="1:10">
      <c r="A16" s="8"/>
      <c r="B16" s="10" t="s">
        <v>56</v>
      </c>
      <c r="C16" s="865">
        <v>14</v>
      </c>
      <c r="D16" s="865">
        <v>15</v>
      </c>
      <c r="E16" s="865"/>
      <c r="F16" s="865"/>
      <c r="G16" s="865">
        <v>28</v>
      </c>
      <c r="H16" s="118"/>
      <c r="I16" s="10" t="s">
        <v>56</v>
      </c>
    </row>
    <row r="17" spans="1:9">
      <c r="A17" s="8"/>
      <c r="B17" s="49" t="s">
        <v>49</v>
      </c>
      <c r="C17" s="864">
        <v>5</v>
      </c>
      <c r="D17" s="864">
        <v>1</v>
      </c>
      <c r="E17" s="864"/>
      <c r="F17" s="864">
        <v>3</v>
      </c>
      <c r="G17" s="864">
        <v>16</v>
      </c>
      <c r="H17" s="89"/>
      <c r="I17" s="49" t="s">
        <v>49</v>
      </c>
    </row>
    <row r="18" spans="1:9">
      <c r="A18" s="8"/>
      <c r="B18" s="10" t="s">
        <v>54</v>
      </c>
      <c r="C18" s="865">
        <v>27</v>
      </c>
      <c r="D18" s="865">
        <v>11</v>
      </c>
      <c r="E18" s="865">
        <v>5</v>
      </c>
      <c r="F18" s="865">
        <v>9</v>
      </c>
      <c r="G18" s="865">
        <v>62</v>
      </c>
      <c r="H18" s="118"/>
      <c r="I18" s="10" t="s">
        <v>54</v>
      </c>
    </row>
    <row r="19" spans="1:9">
      <c r="A19" s="8"/>
      <c r="B19" s="49" t="s">
        <v>55</v>
      </c>
      <c r="C19" s="864"/>
      <c r="D19" s="864">
        <v>19</v>
      </c>
      <c r="E19" s="864">
        <v>2</v>
      </c>
      <c r="F19" s="864">
        <v>2</v>
      </c>
      <c r="G19" s="864">
        <v>143</v>
      </c>
      <c r="H19" s="89"/>
      <c r="I19" s="49" t="s">
        <v>55</v>
      </c>
    </row>
    <row r="20" spans="1:9">
      <c r="A20" s="8"/>
      <c r="B20" s="10" t="s">
        <v>66</v>
      </c>
      <c r="C20" s="865"/>
      <c r="D20" s="865"/>
      <c r="E20" s="865"/>
      <c r="F20" s="865"/>
      <c r="G20" s="865">
        <v>16</v>
      </c>
      <c r="H20" s="118"/>
      <c r="I20" s="10" t="s">
        <v>66</v>
      </c>
    </row>
    <row r="21" spans="1:9">
      <c r="A21" s="8"/>
      <c r="B21" s="154" t="s">
        <v>57</v>
      </c>
      <c r="C21" s="864">
        <v>3</v>
      </c>
      <c r="D21" s="864">
        <v>9</v>
      </c>
      <c r="E21" s="864"/>
      <c r="F21" s="864">
        <v>19</v>
      </c>
      <c r="G21" s="864">
        <v>72</v>
      </c>
      <c r="H21" s="315"/>
      <c r="I21" s="154" t="s">
        <v>57</v>
      </c>
    </row>
    <row r="22" spans="1:9">
      <c r="A22" s="8"/>
      <c r="B22" s="10" t="s">
        <v>36</v>
      </c>
      <c r="C22" s="865"/>
      <c r="D22" s="865"/>
      <c r="E22" s="865"/>
      <c r="F22" s="865"/>
      <c r="G22" s="865">
        <v>12</v>
      </c>
      <c r="H22" s="118"/>
      <c r="I22" s="10" t="s">
        <v>36</v>
      </c>
    </row>
    <row r="23" spans="1:9">
      <c r="A23" s="8"/>
      <c r="B23" s="154" t="s">
        <v>40</v>
      </c>
      <c r="C23" s="864">
        <v>2</v>
      </c>
      <c r="D23" s="864"/>
      <c r="E23" s="864"/>
      <c r="F23" s="864"/>
      <c r="G23" s="864">
        <v>1</v>
      </c>
      <c r="H23" s="315"/>
      <c r="I23" s="154" t="s">
        <v>40</v>
      </c>
    </row>
    <row r="24" spans="1:9">
      <c r="A24" s="8"/>
      <c r="B24" s="10" t="s">
        <v>41</v>
      </c>
      <c r="C24" s="865"/>
      <c r="D24" s="865">
        <v>1</v>
      </c>
      <c r="E24" s="865">
        <v>3</v>
      </c>
      <c r="F24" s="865">
        <v>1</v>
      </c>
      <c r="G24" s="865">
        <v>12</v>
      </c>
      <c r="H24" s="118"/>
      <c r="I24" s="10" t="s">
        <v>41</v>
      </c>
    </row>
    <row r="25" spans="1:9">
      <c r="A25" s="8"/>
      <c r="B25" s="154" t="s">
        <v>58</v>
      </c>
      <c r="C25" s="864">
        <v>1</v>
      </c>
      <c r="D25" s="864">
        <v>26</v>
      </c>
      <c r="E25" s="864"/>
      <c r="F25" s="864">
        <v>6</v>
      </c>
      <c r="G25" s="864">
        <v>84</v>
      </c>
      <c r="H25" s="315"/>
      <c r="I25" s="154" t="s">
        <v>58</v>
      </c>
    </row>
    <row r="26" spans="1:9">
      <c r="A26" s="8"/>
      <c r="B26" s="10" t="s">
        <v>39</v>
      </c>
      <c r="C26" s="865">
        <v>6</v>
      </c>
      <c r="D26" s="865">
        <v>2</v>
      </c>
      <c r="E26" s="865">
        <v>1</v>
      </c>
      <c r="F26" s="865"/>
      <c r="G26" s="865">
        <v>15</v>
      </c>
      <c r="H26" s="118"/>
      <c r="I26" s="10" t="s">
        <v>39</v>
      </c>
    </row>
    <row r="27" spans="1:9">
      <c r="A27" s="8"/>
      <c r="B27" s="154" t="s">
        <v>42</v>
      </c>
      <c r="C27" s="864"/>
      <c r="D27" s="864">
        <v>6</v>
      </c>
      <c r="E27" s="864"/>
      <c r="F27" s="864"/>
      <c r="G27" s="864">
        <v>202</v>
      </c>
      <c r="H27" s="315"/>
      <c r="I27" s="154" t="s">
        <v>42</v>
      </c>
    </row>
    <row r="28" spans="1:9">
      <c r="A28" s="8"/>
      <c r="B28" s="10" t="s">
        <v>50</v>
      </c>
      <c r="C28" s="865"/>
      <c r="D28" s="865">
        <v>4</v>
      </c>
      <c r="E28" s="865"/>
      <c r="F28" s="865">
        <v>1</v>
      </c>
      <c r="G28" s="865">
        <v>32</v>
      </c>
      <c r="H28" s="118"/>
      <c r="I28" s="10" t="s">
        <v>50</v>
      </c>
    </row>
    <row r="29" spans="1:9">
      <c r="A29" s="8"/>
      <c r="B29" s="154" t="s">
        <v>59</v>
      </c>
      <c r="C29" s="864">
        <v>2</v>
      </c>
      <c r="D29" s="864"/>
      <c r="E29" s="864"/>
      <c r="F29" s="864">
        <v>7</v>
      </c>
      <c r="G29" s="864">
        <v>222</v>
      </c>
      <c r="H29" s="315"/>
      <c r="I29" s="154" t="s">
        <v>59</v>
      </c>
    </row>
    <row r="30" spans="1:9">
      <c r="A30" s="8"/>
      <c r="B30" s="10" t="s">
        <v>43</v>
      </c>
      <c r="C30" s="865">
        <v>17</v>
      </c>
      <c r="D30" s="865"/>
      <c r="E30" s="865">
        <v>1</v>
      </c>
      <c r="F30" s="865"/>
      <c r="G30" s="865">
        <v>44</v>
      </c>
      <c r="H30" s="118"/>
      <c r="I30" s="10" t="s">
        <v>43</v>
      </c>
    </row>
    <row r="31" spans="1:9">
      <c r="A31" s="8"/>
      <c r="B31" s="154" t="s">
        <v>60</v>
      </c>
      <c r="C31" s="864"/>
      <c r="D31" s="864">
        <v>4</v>
      </c>
      <c r="E31" s="864"/>
      <c r="F31" s="864">
        <v>4</v>
      </c>
      <c r="G31" s="864">
        <v>117</v>
      </c>
      <c r="H31" s="315"/>
      <c r="I31" s="154" t="s">
        <v>60</v>
      </c>
    </row>
    <row r="32" spans="1:9">
      <c r="A32" s="8"/>
      <c r="B32" s="10" t="s">
        <v>44</v>
      </c>
      <c r="C32" s="866"/>
      <c r="D32" s="865"/>
      <c r="E32" s="865"/>
      <c r="F32" s="865"/>
      <c r="G32" s="865">
        <v>11</v>
      </c>
      <c r="H32" s="118"/>
      <c r="I32" s="10" t="s">
        <v>44</v>
      </c>
    </row>
    <row r="33" spans="1:10">
      <c r="A33" s="8"/>
      <c r="B33" s="154" t="s">
        <v>46</v>
      </c>
      <c r="C33" s="864"/>
      <c r="D33" s="864">
        <v>2</v>
      </c>
      <c r="E33" s="864"/>
      <c r="F33" s="864"/>
      <c r="G33" s="864">
        <v>14</v>
      </c>
      <c r="H33" s="315"/>
      <c r="I33" s="154" t="s">
        <v>46</v>
      </c>
      <c r="J33" s="2"/>
    </row>
    <row r="34" spans="1:10">
      <c r="A34" s="8"/>
      <c r="B34" s="10" t="s">
        <v>45</v>
      </c>
      <c r="C34" s="865"/>
      <c r="D34" s="865"/>
      <c r="E34" s="865"/>
      <c r="F34" s="865"/>
      <c r="G34" s="865">
        <v>14</v>
      </c>
      <c r="H34" s="118"/>
      <c r="I34" s="10" t="s">
        <v>45</v>
      </c>
    </row>
    <row r="35" spans="1:10">
      <c r="A35" s="8"/>
      <c r="B35" s="154" t="s">
        <v>61</v>
      </c>
      <c r="C35" s="864"/>
      <c r="D35" s="864">
        <v>3</v>
      </c>
      <c r="E35" s="864"/>
      <c r="F35" s="864"/>
      <c r="G35" s="864">
        <v>12</v>
      </c>
      <c r="H35" s="315"/>
      <c r="I35" s="154" t="s">
        <v>61</v>
      </c>
    </row>
    <row r="36" spans="1:10">
      <c r="A36" s="8"/>
      <c r="B36" s="11" t="s">
        <v>62</v>
      </c>
      <c r="C36" s="867">
        <v>20</v>
      </c>
      <c r="D36" s="867">
        <v>4</v>
      </c>
      <c r="E36" s="867"/>
      <c r="F36" s="867">
        <v>20</v>
      </c>
      <c r="G36" s="867">
        <v>36</v>
      </c>
      <c r="H36" s="534"/>
      <c r="I36" s="11" t="s">
        <v>62</v>
      </c>
    </row>
    <row r="37" spans="1:10">
      <c r="A37" s="8"/>
      <c r="B37" s="155" t="s">
        <v>51</v>
      </c>
      <c r="C37" s="868">
        <v>9</v>
      </c>
      <c r="D37" s="869">
        <v>46</v>
      </c>
      <c r="E37" s="870"/>
      <c r="F37" s="870">
        <v>18</v>
      </c>
      <c r="G37" s="869">
        <v>321</v>
      </c>
      <c r="H37" s="316"/>
      <c r="I37" s="155" t="s">
        <v>51</v>
      </c>
    </row>
    <row r="38" spans="1:10">
      <c r="A38" s="8"/>
      <c r="B38" s="10" t="s">
        <v>161</v>
      </c>
      <c r="C38" s="866"/>
      <c r="D38" s="865"/>
      <c r="E38" s="865"/>
      <c r="F38" s="865"/>
      <c r="G38" s="865">
        <v>2</v>
      </c>
      <c r="H38" s="118"/>
      <c r="I38" s="10" t="s">
        <v>161</v>
      </c>
      <c r="J38" s="2"/>
    </row>
    <row r="39" spans="1:10">
      <c r="A39" s="8"/>
      <c r="B39" s="154" t="s">
        <v>0</v>
      </c>
      <c r="C39" s="871"/>
      <c r="D39" s="864"/>
      <c r="E39" s="864"/>
      <c r="F39" s="864"/>
      <c r="G39" s="864">
        <v>5</v>
      </c>
      <c r="H39" s="315"/>
      <c r="I39" s="154" t="s">
        <v>0</v>
      </c>
      <c r="J39" s="2"/>
    </row>
    <row r="40" spans="1:10">
      <c r="A40" s="8"/>
      <c r="B40" s="10" t="s">
        <v>167</v>
      </c>
      <c r="C40" s="866"/>
      <c r="D40" s="865"/>
      <c r="E40" s="865"/>
      <c r="F40" s="865"/>
      <c r="G40" s="865">
        <v>1</v>
      </c>
      <c r="H40" s="118"/>
      <c r="I40" s="10" t="s">
        <v>167</v>
      </c>
      <c r="J40" s="2"/>
    </row>
    <row r="41" spans="1:10">
      <c r="A41" s="8"/>
      <c r="B41" s="154" t="s">
        <v>160</v>
      </c>
      <c r="C41" s="871"/>
      <c r="D41" s="864"/>
      <c r="E41" s="864"/>
      <c r="F41" s="864"/>
      <c r="G41" s="864">
        <v>25</v>
      </c>
      <c r="H41" s="315"/>
      <c r="I41" s="154" t="s">
        <v>160</v>
      </c>
      <c r="J41" s="2"/>
    </row>
    <row r="42" spans="1:10">
      <c r="A42" s="8"/>
      <c r="B42" s="11" t="s">
        <v>47</v>
      </c>
      <c r="C42" s="872"/>
      <c r="D42" s="867">
        <v>31</v>
      </c>
      <c r="E42" s="867"/>
      <c r="F42" s="867">
        <v>17</v>
      </c>
      <c r="G42" s="867">
        <v>84</v>
      </c>
      <c r="H42" s="534"/>
      <c r="I42" s="11" t="s">
        <v>47</v>
      </c>
      <c r="J42" s="2"/>
    </row>
    <row r="43" spans="1:10">
      <c r="A43" s="8"/>
      <c r="B43" s="153" t="s">
        <v>33</v>
      </c>
      <c r="C43" s="871"/>
      <c r="D43" s="864">
        <v>11</v>
      </c>
      <c r="E43" s="864"/>
      <c r="F43" s="864">
        <v>2</v>
      </c>
      <c r="G43" s="864"/>
      <c r="H43" s="315"/>
      <c r="I43" s="153" t="s">
        <v>33</v>
      </c>
      <c r="J43" s="2"/>
    </row>
    <row r="44" spans="1:10">
      <c r="A44" s="8"/>
      <c r="B44" s="10" t="s">
        <v>72</v>
      </c>
      <c r="C44" s="866"/>
      <c r="D44" s="865"/>
      <c r="E44" s="865"/>
      <c r="F44" s="865"/>
      <c r="G44" s="865">
        <v>3</v>
      </c>
      <c r="H44" s="118"/>
      <c r="I44" s="10" t="s">
        <v>72</v>
      </c>
      <c r="J44" s="2"/>
    </row>
    <row r="45" spans="1:10">
      <c r="A45" s="8"/>
      <c r="B45" s="154" t="s">
        <v>63</v>
      </c>
      <c r="C45" s="871"/>
      <c r="D45" s="864"/>
      <c r="E45" s="864"/>
      <c r="F45" s="864">
        <v>2</v>
      </c>
      <c r="G45" s="864">
        <v>13</v>
      </c>
      <c r="H45" s="315"/>
      <c r="I45" s="154" t="s">
        <v>63</v>
      </c>
      <c r="J45" s="2"/>
    </row>
    <row r="46" spans="1:10">
      <c r="A46" s="8"/>
      <c r="B46" s="11" t="s">
        <v>34</v>
      </c>
      <c r="C46" s="872">
        <v>6</v>
      </c>
      <c r="D46" s="867">
        <v>3</v>
      </c>
      <c r="E46" s="867"/>
      <c r="F46" s="867">
        <v>5</v>
      </c>
      <c r="G46" s="867">
        <v>132</v>
      </c>
      <c r="H46" s="534"/>
      <c r="I46" s="11" t="s">
        <v>34</v>
      </c>
      <c r="J46" s="2"/>
    </row>
    <row r="47" spans="1:10">
      <c r="A47" s="8"/>
      <c r="J47" s="2"/>
    </row>
    <row r="48" spans="1:10">
      <c r="A48" s="8"/>
      <c r="B48" s="270" t="s">
        <v>196</v>
      </c>
      <c r="C48" s="36"/>
      <c r="D48" s="36"/>
      <c r="E48" s="36"/>
      <c r="F48" s="2"/>
      <c r="G48" s="2"/>
      <c r="H48" s="2"/>
      <c r="I48" s="36"/>
      <c r="J48" s="2"/>
    </row>
    <row r="49" spans="2:10" ht="15.75" customHeight="1">
      <c r="B49" s="1139" t="s">
        <v>326</v>
      </c>
      <c r="C49" s="1139"/>
      <c r="D49" s="1139"/>
      <c r="E49" s="1139"/>
      <c r="F49" s="1139"/>
      <c r="G49" s="1139"/>
      <c r="H49" s="258"/>
      <c r="I49" s="271"/>
      <c r="J49" s="15"/>
    </row>
    <row r="50" spans="2:10" ht="11.25" customHeight="1">
      <c r="B50" s="1135" t="s">
        <v>149</v>
      </c>
      <c r="C50" s="1129"/>
      <c r="D50" s="1129"/>
      <c r="E50" s="1129"/>
      <c r="F50" s="1129"/>
      <c r="G50" s="1129"/>
      <c r="H50" s="1129"/>
      <c r="I50" s="1129"/>
      <c r="J50" s="12"/>
    </row>
    <row r="51" spans="2:10">
      <c r="B51" s="272" t="s">
        <v>97</v>
      </c>
      <c r="J51" s="12"/>
    </row>
    <row r="52" spans="2:10">
      <c r="B52" s="54" t="s">
        <v>101</v>
      </c>
    </row>
  </sheetData>
  <mergeCells count="9">
    <mergeCell ref="B50:I50"/>
    <mergeCell ref="F5:F6"/>
    <mergeCell ref="C5:D5"/>
    <mergeCell ref="B49:G49"/>
    <mergeCell ref="B2:I2"/>
    <mergeCell ref="B3:I3"/>
    <mergeCell ref="B4:I4"/>
    <mergeCell ref="G5:H6"/>
    <mergeCell ref="G7:H7"/>
  </mergeCells>
  <phoneticPr fontId="4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2"/>
  <dimension ref="A1:AF79"/>
  <sheetViews>
    <sheetView topLeftCell="R16" zoomScaleNormal="100" workbookViewId="0">
      <selection activeCell="AF10" sqref="AF10"/>
    </sheetView>
  </sheetViews>
  <sheetFormatPr defaultRowHeight="11.25"/>
  <cols>
    <col min="1" max="1" width="4.5703125" style="3" customWidth="1"/>
    <col min="2" max="2" width="6.7109375" style="3" customWidth="1"/>
    <col min="3" max="24" width="9.140625" style="3"/>
    <col min="25" max="25" width="7.85546875" style="3" customWidth="1"/>
    <col min="26" max="26" width="9.140625" style="3"/>
    <col min="27" max="27" width="2.7109375" style="3" customWidth="1"/>
    <col min="28" max="28" width="9.140625" style="8"/>
    <col min="29" max="16384" width="9.140625" style="3"/>
  </cols>
  <sheetData>
    <row r="1" spans="1:28" ht="14.25" customHeight="1">
      <c r="A1"/>
      <c r="B1" s="31"/>
      <c r="C1" s="24"/>
      <c r="D1" s="24"/>
      <c r="E1" s="127"/>
      <c r="F1" s="127"/>
      <c r="G1" s="24"/>
      <c r="H1"/>
      <c r="I1"/>
      <c r="J1"/>
      <c r="K1" s="32"/>
      <c r="L1" s="32"/>
      <c r="M1" s="32"/>
      <c r="N1" s="32"/>
      <c r="O1" s="32"/>
      <c r="P1" s="32"/>
      <c r="Q1" s="285"/>
      <c r="R1" s="32"/>
      <c r="S1" s="32"/>
      <c r="T1" s="32"/>
      <c r="U1" s="32"/>
      <c r="V1" s="32"/>
      <c r="W1" s="32"/>
      <c r="X1" s="32"/>
      <c r="Y1" s="32"/>
      <c r="Z1" s="32" t="s">
        <v>132</v>
      </c>
      <c r="AA1"/>
      <c r="AB1" s="5"/>
    </row>
    <row r="2" spans="1:28" s="54" customFormat="1" ht="30" customHeight="1">
      <c r="A2" s="327"/>
      <c r="B2" s="1039" t="s">
        <v>305</v>
      </c>
      <c r="C2" s="1039"/>
      <c r="D2" s="1039"/>
      <c r="E2" s="1039"/>
      <c r="F2" s="1039"/>
      <c r="G2" s="1039"/>
      <c r="H2" s="1039"/>
      <c r="I2" s="1039"/>
      <c r="J2" s="1039"/>
      <c r="K2" s="1039"/>
      <c r="L2" s="1039"/>
      <c r="M2" s="1039"/>
      <c r="N2" s="1039"/>
      <c r="O2" s="1039"/>
      <c r="P2" s="1039"/>
      <c r="Q2" s="1039"/>
      <c r="R2" s="1039"/>
      <c r="S2" s="1039"/>
      <c r="T2" s="1039"/>
      <c r="U2" s="1039"/>
      <c r="V2" s="1039"/>
      <c r="W2" s="1039"/>
      <c r="X2" s="1039"/>
      <c r="Y2" s="1039"/>
      <c r="Z2" s="1039"/>
    </row>
    <row r="3" spans="1:28" ht="18" customHeight="1">
      <c r="A3"/>
      <c r="B3" s="1043" t="s">
        <v>10</v>
      </c>
      <c r="C3" s="1043"/>
      <c r="D3" s="1043"/>
      <c r="E3" s="1043"/>
      <c r="F3" s="1043"/>
      <c r="G3" s="1043"/>
      <c r="H3" s="1043"/>
      <c r="I3" s="1043"/>
      <c r="J3" s="1043"/>
      <c r="K3" s="1043"/>
      <c r="L3" s="1043"/>
      <c r="M3" s="1043"/>
      <c r="N3" s="1043"/>
      <c r="O3" s="1043"/>
      <c r="P3" s="1043"/>
      <c r="Q3" s="1043"/>
      <c r="R3" s="1043"/>
      <c r="S3" s="1043"/>
      <c r="T3" s="1043"/>
      <c r="U3" s="1043"/>
      <c r="V3" s="1043"/>
      <c r="W3" s="1043"/>
      <c r="X3" s="1043"/>
      <c r="Y3" s="1043"/>
      <c r="Z3" s="1043"/>
      <c r="AA3"/>
      <c r="AB3" s="54"/>
    </row>
    <row r="4" spans="1:28" ht="24.95" customHeight="1">
      <c r="A4"/>
      <c r="B4" s="97"/>
      <c r="C4" s="328">
        <v>1970</v>
      </c>
      <c r="D4" s="280">
        <v>1980</v>
      </c>
      <c r="E4" s="280">
        <v>1990</v>
      </c>
      <c r="F4" s="280">
        <v>2000</v>
      </c>
      <c r="G4" s="280">
        <v>2001</v>
      </c>
      <c r="H4" s="280">
        <v>2002</v>
      </c>
      <c r="I4" s="280">
        <v>2003</v>
      </c>
      <c r="J4" s="280">
        <v>2004</v>
      </c>
      <c r="K4" s="280">
        <v>2005</v>
      </c>
      <c r="L4" s="280">
        <v>2006</v>
      </c>
      <c r="M4" s="280">
        <v>2007</v>
      </c>
      <c r="N4" s="280">
        <v>2008</v>
      </c>
      <c r="O4" s="280">
        <v>2009</v>
      </c>
      <c r="P4" s="280">
        <v>2010</v>
      </c>
      <c r="Q4" s="280">
        <v>2011</v>
      </c>
      <c r="R4" s="52">
        <v>2012</v>
      </c>
      <c r="S4" s="52">
        <v>2013</v>
      </c>
      <c r="T4" s="280">
        <v>2014</v>
      </c>
      <c r="U4" s="52">
        <v>2015</v>
      </c>
      <c r="V4" s="280">
        <v>2016</v>
      </c>
      <c r="W4" s="52">
        <v>2017</v>
      </c>
      <c r="X4" s="52">
        <v>2018</v>
      </c>
      <c r="Y4" s="53">
        <v>2019</v>
      </c>
      <c r="Z4" s="6"/>
      <c r="AA4"/>
      <c r="AB4" s="20" t="s">
        <v>363</v>
      </c>
    </row>
    <row r="5" spans="1:28" ht="12.75" customHeight="1">
      <c r="A5"/>
      <c r="B5" s="551" t="s">
        <v>266</v>
      </c>
      <c r="C5" s="560"/>
      <c r="D5" s="561"/>
      <c r="E5" s="562"/>
      <c r="F5" s="561"/>
      <c r="G5" s="561"/>
      <c r="H5" s="561">
        <f>SUM(H7:H33)</f>
        <v>49897</v>
      </c>
      <c r="I5" s="561">
        <f t="shared" ref="I5:V5" si="0">SUM(I7:I33)</f>
        <v>49371</v>
      </c>
      <c r="J5" s="561">
        <f t="shared" si="0"/>
        <v>47125</v>
      </c>
      <c r="K5" s="561">
        <f t="shared" si="0"/>
        <v>46374</v>
      </c>
      <c r="L5" s="625">
        <f t="shared" si="0"/>
        <v>46032</v>
      </c>
      <c r="M5" s="561">
        <f t="shared" si="0"/>
        <v>51752</v>
      </c>
      <c r="N5" s="561">
        <f t="shared" si="0"/>
        <v>52612</v>
      </c>
      <c r="O5" s="625">
        <f t="shared" si="0"/>
        <v>53664</v>
      </c>
      <c r="P5" s="561">
        <f t="shared" si="0"/>
        <v>53322</v>
      </c>
      <c r="Q5" s="561">
        <f t="shared" si="0"/>
        <v>53169</v>
      </c>
      <c r="R5" s="625">
        <f t="shared" si="0"/>
        <v>52393</v>
      </c>
      <c r="S5" s="562">
        <f>SUM(S7:S33)</f>
        <v>53135</v>
      </c>
      <c r="T5" s="562">
        <f t="shared" si="0"/>
        <v>54613</v>
      </c>
      <c r="U5" s="562">
        <f t="shared" si="0"/>
        <v>53495</v>
      </c>
      <c r="V5" s="562">
        <f t="shared" si="0"/>
        <v>54175</v>
      </c>
      <c r="W5" s="562">
        <f>SUM(W7:W33)</f>
        <v>51939</v>
      </c>
      <c r="X5" s="562">
        <f>SUM(X7:X33)</f>
        <v>52617</v>
      </c>
      <c r="Y5" s="564">
        <f>SUM(Y7:Y33)</f>
        <v>53712</v>
      </c>
      <c r="Z5" s="565" t="s">
        <v>266</v>
      </c>
      <c r="AA5"/>
      <c r="AB5" s="742">
        <f>Y5/X5-1</f>
        <v>2.081076458178921E-2</v>
      </c>
    </row>
    <row r="6" spans="1:28" ht="12.75" customHeight="1">
      <c r="A6"/>
      <c r="B6" s="551" t="s">
        <v>168</v>
      </c>
      <c r="C6" s="560"/>
      <c r="D6" s="561"/>
      <c r="E6" s="562"/>
      <c r="F6" s="561"/>
      <c r="G6" s="561"/>
      <c r="H6" s="561">
        <f>SUM(H7:H34)</f>
        <v>54327</v>
      </c>
      <c r="I6" s="561">
        <f t="shared" ref="I6:W6" si="1">SUM(I7:I34)</f>
        <v>52959</v>
      </c>
      <c r="J6" s="561">
        <f t="shared" si="1"/>
        <v>50630</v>
      </c>
      <c r="K6" s="561">
        <f t="shared" si="1"/>
        <v>49551</v>
      </c>
      <c r="L6" s="563">
        <f t="shared" si="1"/>
        <v>49303</v>
      </c>
      <c r="M6" s="561">
        <f t="shared" si="1"/>
        <v>63119</v>
      </c>
      <c r="N6" s="561">
        <f t="shared" si="1"/>
        <v>63251</v>
      </c>
      <c r="O6" s="563">
        <f t="shared" si="1"/>
        <v>64226</v>
      </c>
      <c r="P6" s="568">
        <f t="shared" si="1"/>
        <v>64032</v>
      </c>
      <c r="Q6" s="561">
        <f t="shared" si="1"/>
        <v>64205</v>
      </c>
      <c r="R6" s="562">
        <f t="shared" si="1"/>
        <v>63475</v>
      </c>
      <c r="S6" s="626">
        <f>SUM(S7:S34)</f>
        <v>64311</v>
      </c>
      <c r="T6" s="562">
        <f t="shared" si="1"/>
        <v>65960</v>
      </c>
      <c r="U6" s="562">
        <f t="shared" si="1"/>
        <v>64842</v>
      </c>
      <c r="V6" s="562">
        <f t="shared" si="1"/>
        <v>65522</v>
      </c>
      <c r="W6" s="562">
        <f t="shared" si="1"/>
        <v>63286</v>
      </c>
      <c r="X6" s="562">
        <f>SUM(X7:X34)</f>
        <v>63964</v>
      </c>
      <c r="Y6" s="564">
        <f>SUM(Y7:Y34)</f>
        <v>65059</v>
      </c>
      <c r="Z6" s="565" t="s">
        <v>168</v>
      </c>
      <c r="AA6" s="606"/>
      <c r="AB6" s="743">
        <f t="shared" ref="AB6:AB42" si="2">Y6/X6-1</f>
        <v>1.7119004439997587E-2</v>
      </c>
    </row>
    <row r="7" spans="1:28" ht="12.75" customHeight="1">
      <c r="A7"/>
      <c r="B7" s="10" t="s">
        <v>52</v>
      </c>
      <c r="C7" s="431">
        <v>1536</v>
      </c>
      <c r="D7" s="432">
        <v>1740</v>
      </c>
      <c r="E7" s="432">
        <v>1727</v>
      </c>
      <c r="F7" s="432">
        <v>1670</v>
      </c>
      <c r="G7" s="432">
        <v>1706</v>
      </c>
      <c r="H7" s="432">
        <v>1678</v>
      </c>
      <c r="I7" s="432">
        <v>1522</v>
      </c>
      <c r="J7" s="432">
        <v>1528</v>
      </c>
      <c r="K7" s="432">
        <v>1518</v>
      </c>
      <c r="L7" s="432">
        <v>1469</v>
      </c>
      <c r="M7" s="432">
        <v>1449</v>
      </c>
      <c r="N7" s="432">
        <v>1403</v>
      </c>
      <c r="O7" s="432">
        <v>1341</v>
      </c>
      <c r="P7" s="432">
        <v>1341</v>
      </c>
      <c r="Q7" s="432">
        <v>1266</v>
      </c>
      <c r="R7" s="452">
        <v>1266</v>
      </c>
      <c r="S7" s="432">
        <f>66+310+95+717</f>
        <v>1188</v>
      </c>
      <c r="T7" s="452">
        <f>66+310+95+717</f>
        <v>1188</v>
      </c>
      <c r="U7" s="452">
        <f>66+310+95+717</f>
        <v>1188</v>
      </c>
      <c r="V7" s="479">
        <f>66+310+95+717</f>
        <v>1188</v>
      </c>
      <c r="W7" s="479">
        <v>1188</v>
      </c>
      <c r="X7" s="479">
        <v>1188</v>
      </c>
      <c r="Y7" s="470">
        <f>X7</f>
        <v>1188</v>
      </c>
      <c r="Z7" s="64" t="s">
        <v>52</v>
      </c>
      <c r="AA7" s="606"/>
      <c r="AB7" s="921">
        <f t="shared" si="2"/>
        <v>0</v>
      </c>
    </row>
    <row r="8" spans="1:28" ht="12.75" customHeight="1">
      <c r="A8"/>
      <c r="B8" s="154" t="s">
        <v>35</v>
      </c>
      <c r="C8" s="433">
        <v>1005</v>
      </c>
      <c r="D8" s="434">
        <v>1009</v>
      </c>
      <c r="E8" s="434">
        <v>1119</v>
      </c>
      <c r="F8" s="434">
        <v>762</v>
      </c>
      <c r="G8" s="434">
        <v>753</v>
      </c>
      <c r="H8" s="434">
        <v>680</v>
      </c>
      <c r="I8" s="434">
        <v>671</v>
      </c>
      <c r="J8" s="434">
        <v>657</v>
      </c>
      <c r="K8" s="434">
        <v>669</v>
      </c>
      <c r="L8" s="434">
        <v>687</v>
      </c>
      <c r="M8" s="434">
        <v>699</v>
      </c>
      <c r="N8" s="434">
        <v>713</v>
      </c>
      <c r="O8" s="434">
        <v>712</v>
      </c>
      <c r="P8" s="434">
        <v>624</v>
      </c>
      <c r="Q8" s="434">
        <v>474</v>
      </c>
      <c r="R8" s="434">
        <v>451</v>
      </c>
      <c r="S8" s="434">
        <f>117+90+79+119+1+55+9+20+9+5</f>
        <v>504</v>
      </c>
      <c r="T8" s="434">
        <f>79+11+119+23+26+55</f>
        <v>313</v>
      </c>
      <c r="U8" s="434">
        <f>71+81+12+71+125+24+1+55</f>
        <v>440</v>
      </c>
      <c r="V8" s="434">
        <v>466</v>
      </c>
      <c r="W8" s="434">
        <v>461</v>
      </c>
      <c r="X8" s="931">
        <v>455</v>
      </c>
      <c r="Y8" s="471">
        <f>71+81+9+12+71+118+19+14+1+54</f>
        <v>450</v>
      </c>
      <c r="Z8" s="62" t="s">
        <v>35</v>
      </c>
      <c r="AA8" s="606"/>
      <c r="AB8" s="944">
        <f t="shared" si="2"/>
        <v>-1.098901098901095E-2</v>
      </c>
    </row>
    <row r="9" spans="1:28" ht="12.75" customHeight="1">
      <c r="A9"/>
      <c r="B9" s="10" t="s">
        <v>37</v>
      </c>
      <c r="C9" s="453"/>
      <c r="D9" s="454"/>
      <c r="E9" s="454"/>
      <c r="F9" s="432">
        <v>3596</v>
      </c>
      <c r="G9" s="432">
        <v>3481</v>
      </c>
      <c r="H9" s="432">
        <v>3301</v>
      </c>
      <c r="I9" s="432">
        <v>3280</v>
      </c>
      <c r="J9" s="432">
        <v>3258</v>
      </c>
      <c r="K9" s="432">
        <v>3163</v>
      </c>
      <c r="L9" s="432">
        <v>3037</v>
      </c>
      <c r="M9" s="432">
        <v>2921</v>
      </c>
      <c r="N9" s="432">
        <v>2758</v>
      </c>
      <c r="O9" s="432">
        <v>2746</v>
      </c>
      <c r="P9" s="455">
        <v>2258</v>
      </c>
      <c r="Q9" s="432">
        <v>2408</v>
      </c>
      <c r="R9" s="432">
        <v>2124</v>
      </c>
      <c r="S9" s="432">
        <f>787+733+464+290</f>
        <v>2274</v>
      </c>
      <c r="T9" s="432">
        <f>775+721+463+303</f>
        <v>2262</v>
      </c>
      <c r="U9" s="432">
        <f>756+764+455+310</f>
        <v>2285</v>
      </c>
      <c r="V9" s="432">
        <f>332+454+742+762</f>
        <v>2290</v>
      </c>
      <c r="W9" s="432">
        <f>724+762+437+319</f>
        <v>2242</v>
      </c>
      <c r="X9" s="432">
        <v>2253</v>
      </c>
      <c r="Y9" s="472">
        <f>664+749+429+320</f>
        <v>2162</v>
      </c>
      <c r="Z9" s="64" t="s">
        <v>37</v>
      </c>
      <c r="AA9" s="606"/>
      <c r="AB9" s="921">
        <f t="shared" si="2"/>
        <v>-4.0390590324012376E-2</v>
      </c>
    </row>
    <row r="10" spans="1:28" ht="12.75" customHeight="1">
      <c r="A10"/>
      <c r="B10" s="154" t="s">
        <v>48</v>
      </c>
      <c r="C10" s="433">
        <v>480</v>
      </c>
      <c r="D10" s="434">
        <v>461</v>
      </c>
      <c r="E10" s="434">
        <v>524</v>
      </c>
      <c r="F10" s="434">
        <v>415</v>
      </c>
      <c r="G10" s="434">
        <v>495</v>
      </c>
      <c r="H10" s="434">
        <v>566</v>
      </c>
      <c r="I10" s="434">
        <v>458</v>
      </c>
      <c r="J10" s="434">
        <v>458</v>
      </c>
      <c r="K10" s="434">
        <v>464</v>
      </c>
      <c r="L10" s="434">
        <v>447</v>
      </c>
      <c r="M10" s="434">
        <v>447</v>
      </c>
      <c r="N10" s="434">
        <v>448</v>
      </c>
      <c r="O10" s="434">
        <v>538</v>
      </c>
      <c r="P10" s="434">
        <v>495</v>
      </c>
      <c r="Q10" s="434">
        <f>332+210</f>
        <v>542</v>
      </c>
      <c r="R10" s="495">
        <f>347+214</f>
        <v>561</v>
      </c>
      <c r="S10" s="434">
        <v>844</v>
      </c>
      <c r="T10" s="434">
        <v>865</v>
      </c>
      <c r="U10" s="434">
        <v>881</v>
      </c>
      <c r="V10" s="434">
        <v>756</v>
      </c>
      <c r="W10" s="434">
        <v>709</v>
      </c>
      <c r="X10" s="931">
        <v>723</v>
      </c>
      <c r="Y10" s="471">
        <v>741</v>
      </c>
      <c r="Z10" s="62" t="s">
        <v>48</v>
      </c>
      <c r="AA10" s="606"/>
      <c r="AB10" s="944">
        <f t="shared" si="2"/>
        <v>2.4896265560165887E-2</v>
      </c>
    </row>
    <row r="11" spans="1:28" ht="12.75" customHeight="1">
      <c r="A11"/>
      <c r="B11" s="10" t="s">
        <v>53</v>
      </c>
      <c r="C11" s="456">
        <v>11439</v>
      </c>
      <c r="D11" s="432">
        <v>12694</v>
      </c>
      <c r="E11" s="432">
        <v>14437</v>
      </c>
      <c r="F11" s="432">
        <v>9656</v>
      </c>
      <c r="G11" s="432">
        <v>9998</v>
      </c>
      <c r="H11" s="432">
        <v>9036</v>
      </c>
      <c r="I11" s="432">
        <v>10363</v>
      </c>
      <c r="J11" s="432">
        <v>8293</v>
      </c>
      <c r="K11" s="432">
        <v>7742</v>
      </c>
      <c r="L11" s="457">
        <v>8817</v>
      </c>
      <c r="M11" s="432">
        <v>13890</v>
      </c>
      <c r="N11" s="432">
        <v>14565</v>
      </c>
      <c r="O11" s="432">
        <v>15337</v>
      </c>
      <c r="P11" s="432">
        <v>15613</v>
      </c>
      <c r="Q11" s="432">
        <v>15492</v>
      </c>
      <c r="R11" s="432">
        <v>15103</v>
      </c>
      <c r="S11" s="432">
        <f>345+1978+2560+2980+8024</f>
        <v>15887</v>
      </c>
      <c r="T11" s="432">
        <f>1817+2468+3270+9138</f>
        <v>16693</v>
      </c>
      <c r="U11" s="432">
        <f>1795+2502+3299+9017</f>
        <v>16613</v>
      </c>
      <c r="V11" s="432">
        <f>1694+3288+9430+2480</f>
        <v>16892</v>
      </c>
      <c r="W11" s="432">
        <v>16049</v>
      </c>
      <c r="X11" s="432">
        <v>16480</v>
      </c>
      <c r="Y11" s="472">
        <f>1543+2320+2994+9947</f>
        <v>16804</v>
      </c>
      <c r="Z11" s="64" t="s">
        <v>53</v>
      </c>
      <c r="AA11" s="606"/>
      <c r="AB11" s="921">
        <f t="shared" si="2"/>
        <v>1.9660194174757173E-2</v>
      </c>
    </row>
    <row r="12" spans="1:28" ht="12.75" customHeight="1">
      <c r="A12"/>
      <c r="B12" s="154" t="s">
        <v>38</v>
      </c>
      <c r="C12" s="433"/>
      <c r="D12" s="434"/>
      <c r="E12" s="458">
        <v>300</v>
      </c>
      <c r="F12" s="537">
        <v>196</v>
      </c>
      <c r="G12" s="434">
        <v>194</v>
      </c>
      <c r="H12" s="434">
        <v>236</v>
      </c>
      <c r="I12" s="434">
        <v>241</v>
      </c>
      <c r="J12" s="434">
        <v>360</v>
      </c>
      <c r="K12" s="434">
        <v>344</v>
      </c>
      <c r="L12" s="434">
        <v>409</v>
      </c>
      <c r="M12" s="434">
        <v>461</v>
      </c>
      <c r="N12" s="434">
        <v>368</v>
      </c>
      <c r="O12" s="434">
        <v>361</v>
      </c>
      <c r="P12" s="434">
        <v>374</v>
      </c>
      <c r="Q12" s="434">
        <v>359</v>
      </c>
      <c r="R12" s="434">
        <v>347</v>
      </c>
      <c r="S12" s="434">
        <v>359</v>
      </c>
      <c r="T12" s="434">
        <v>368</v>
      </c>
      <c r="U12" s="434">
        <v>358</v>
      </c>
      <c r="V12" s="434">
        <v>358</v>
      </c>
      <c r="W12" s="434">
        <v>349</v>
      </c>
      <c r="X12" s="931">
        <v>343</v>
      </c>
      <c r="Y12" s="471">
        <v>266</v>
      </c>
      <c r="Z12" s="62" t="s">
        <v>38</v>
      </c>
      <c r="AA12" s="606"/>
      <c r="AB12" s="944">
        <f t="shared" si="2"/>
        <v>-0.22448979591836737</v>
      </c>
    </row>
    <row r="13" spans="1:28" ht="12.75" customHeight="1">
      <c r="A13"/>
      <c r="B13" s="10" t="s">
        <v>56</v>
      </c>
      <c r="C13" s="431">
        <v>307</v>
      </c>
      <c r="D13" s="432">
        <v>192</v>
      </c>
      <c r="E13" s="432">
        <v>166</v>
      </c>
      <c r="F13" s="432">
        <v>224</v>
      </c>
      <c r="G13" s="432">
        <v>224</v>
      </c>
      <c r="H13" s="432">
        <v>225</v>
      </c>
      <c r="I13" s="432">
        <v>268</v>
      </c>
      <c r="J13" s="459">
        <v>306</v>
      </c>
      <c r="K13" s="459">
        <v>412</v>
      </c>
      <c r="L13" s="459">
        <v>428</v>
      </c>
      <c r="M13" s="459">
        <v>428</v>
      </c>
      <c r="N13" s="459">
        <v>549</v>
      </c>
      <c r="O13" s="459">
        <v>572</v>
      </c>
      <c r="P13" s="460">
        <v>572</v>
      </c>
      <c r="Q13" s="459">
        <v>374</v>
      </c>
      <c r="R13" s="567">
        <v>482</v>
      </c>
      <c r="S13" s="459">
        <v>482</v>
      </c>
      <c r="T13" s="459">
        <v>482</v>
      </c>
      <c r="U13" s="459">
        <v>482</v>
      </c>
      <c r="V13" s="459">
        <v>482</v>
      </c>
      <c r="W13" s="459">
        <v>482</v>
      </c>
      <c r="X13" s="459">
        <v>482</v>
      </c>
      <c r="Y13" s="879">
        <v>482</v>
      </c>
      <c r="Z13" s="64" t="s">
        <v>56</v>
      </c>
      <c r="AA13" s="606"/>
      <c r="AB13" s="921">
        <f t="shared" si="2"/>
        <v>0</v>
      </c>
    </row>
    <row r="14" spans="1:28" ht="12.75" customHeight="1">
      <c r="A14"/>
      <c r="B14" s="154" t="s">
        <v>49</v>
      </c>
      <c r="C14" s="433">
        <v>514</v>
      </c>
      <c r="D14" s="434">
        <v>313</v>
      </c>
      <c r="E14" s="434">
        <v>400</v>
      </c>
      <c r="F14" s="434">
        <v>244</v>
      </c>
      <c r="G14" s="434">
        <v>290</v>
      </c>
      <c r="H14" s="434">
        <v>278</v>
      </c>
      <c r="I14" s="434">
        <v>237</v>
      </c>
      <c r="J14" s="434">
        <v>269</v>
      </c>
      <c r="K14" s="434">
        <v>289</v>
      </c>
      <c r="L14" s="434">
        <v>284</v>
      </c>
      <c r="M14" s="434">
        <v>295</v>
      </c>
      <c r="N14" s="434">
        <v>301</v>
      </c>
      <c r="O14" s="434">
        <v>301</v>
      </c>
      <c r="P14" s="537">
        <v>306</v>
      </c>
      <c r="Q14" s="434">
        <v>306</v>
      </c>
      <c r="R14" s="434">
        <v>306</v>
      </c>
      <c r="S14" s="434">
        <v>308</v>
      </c>
      <c r="T14" s="434">
        <v>258</v>
      </c>
      <c r="U14" s="434">
        <v>258</v>
      </c>
      <c r="V14" s="434">
        <v>258</v>
      </c>
      <c r="W14" s="434">
        <v>258</v>
      </c>
      <c r="X14" s="458">
        <v>258</v>
      </c>
      <c r="Y14" s="473">
        <f>X14</f>
        <v>258</v>
      </c>
      <c r="Z14" s="62" t="s">
        <v>49</v>
      </c>
      <c r="AA14" s="606"/>
      <c r="AB14" s="944">
        <f t="shared" si="2"/>
        <v>0</v>
      </c>
    </row>
    <row r="15" spans="1:28" ht="12.75" customHeight="1">
      <c r="A15"/>
      <c r="B15" s="10" t="s">
        <v>54</v>
      </c>
      <c r="C15" s="431">
        <v>1928</v>
      </c>
      <c r="D15" s="432">
        <v>1791</v>
      </c>
      <c r="E15" s="432">
        <v>1922</v>
      </c>
      <c r="F15" s="432">
        <v>1693</v>
      </c>
      <c r="G15" s="432">
        <v>1951</v>
      </c>
      <c r="H15" s="432">
        <v>1931</v>
      </c>
      <c r="I15" s="432">
        <v>1911</v>
      </c>
      <c r="J15" s="432">
        <v>1928</v>
      </c>
      <c r="K15" s="432">
        <v>1946</v>
      </c>
      <c r="L15" s="459">
        <v>1745</v>
      </c>
      <c r="M15" s="432">
        <v>1918</v>
      </c>
      <c r="N15" s="432">
        <v>1983</v>
      </c>
      <c r="O15" s="432">
        <v>1670</v>
      </c>
      <c r="P15" s="432">
        <v>1732</v>
      </c>
      <c r="Q15" s="432">
        <v>2052</v>
      </c>
      <c r="R15" s="432">
        <v>1785</v>
      </c>
      <c r="S15" s="432">
        <f>12+1+53+10+11+1+174+285+203+1032</f>
        <v>1782</v>
      </c>
      <c r="T15" s="432">
        <f>12+189+1+279+209+236+1033</f>
        <v>1959</v>
      </c>
      <c r="U15" s="432">
        <v>1634</v>
      </c>
      <c r="V15" s="432">
        <v>1512</v>
      </c>
      <c r="W15" s="432">
        <v>1502</v>
      </c>
      <c r="X15" s="432">
        <v>1481</v>
      </c>
      <c r="Y15" s="472">
        <f>(9+9+137+200+146+116+978)</f>
        <v>1595</v>
      </c>
      <c r="Z15" s="64" t="s">
        <v>54</v>
      </c>
      <c r="AA15" s="606"/>
      <c r="AB15" s="921">
        <f t="shared" si="2"/>
        <v>7.6975016880486136E-2</v>
      </c>
    </row>
    <row r="16" spans="1:28" ht="12.75" customHeight="1">
      <c r="A16"/>
      <c r="B16" s="154" t="s">
        <v>55</v>
      </c>
      <c r="C16" s="433">
        <v>6261</v>
      </c>
      <c r="D16" s="434">
        <v>6204</v>
      </c>
      <c r="E16" s="434">
        <v>7422</v>
      </c>
      <c r="F16" s="434">
        <v>7158</v>
      </c>
      <c r="G16" s="434">
        <v>7240</v>
      </c>
      <c r="H16" s="434">
        <v>7341</v>
      </c>
      <c r="I16" s="434">
        <v>7240</v>
      </c>
      <c r="J16" s="434">
        <v>7149</v>
      </c>
      <c r="K16" s="434">
        <v>6948</v>
      </c>
      <c r="L16" s="434">
        <v>5585</v>
      </c>
      <c r="M16" s="434">
        <v>5880</v>
      </c>
      <c r="N16" s="434">
        <v>6227</v>
      </c>
      <c r="O16" s="434">
        <v>6548</v>
      </c>
      <c r="P16" s="434">
        <v>6849</v>
      </c>
      <c r="Q16" s="434">
        <v>7028</v>
      </c>
      <c r="R16" s="434">
        <v>7240</v>
      </c>
      <c r="S16" s="434">
        <v>7326</v>
      </c>
      <c r="T16" s="434">
        <v>7424</v>
      </c>
      <c r="U16" s="434">
        <v>7614</v>
      </c>
      <c r="V16" s="434">
        <v>7701</v>
      </c>
      <c r="W16" s="434">
        <v>7661</v>
      </c>
      <c r="X16" s="931">
        <v>7609</v>
      </c>
      <c r="Y16" s="471">
        <v>7566</v>
      </c>
      <c r="Z16" s="62" t="s">
        <v>55</v>
      </c>
      <c r="AA16" s="606"/>
      <c r="AB16" s="944">
        <f t="shared" si="2"/>
        <v>-5.6512025233276253E-3</v>
      </c>
    </row>
    <row r="17" spans="1:28" ht="12.75" customHeight="1">
      <c r="A17"/>
      <c r="B17" s="10" t="s">
        <v>66</v>
      </c>
      <c r="C17" s="431">
        <v>588</v>
      </c>
      <c r="D17" s="432">
        <v>565</v>
      </c>
      <c r="E17" s="432">
        <v>563</v>
      </c>
      <c r="F17" s="432">
        <v>480</v>
      </c>
      <c r="G17" s="432">
        <v>397</v>
      </c>
      <c r="H17" s="432">
        <v>396</v>
      </c>
      <c r="I17" s="432">
        <v>393</v>
      </c>
      <c r="J17" s="432">
        <v>388</v>
      </c>
      <c r="K17" s="432">
        <v>377</v>
      </c>
      <c r="L17" s="432">
        <v>374</v>
      </c>
      <c r="M17" s="432">
        <v>339</v>
      </c>
      <c r="N17" s="432">
        <v>345</v>
      </c>
      <c r="O17" s="432">
        <v>347</v>
      </c>
      <c r="P17" s="432">
        <v>284</v>
      </c>
      <c r="Q17" s="432">
        <v>296</v>
      </c>
      <c r="R17" s="452">
        <v>296</v>
      </c>
      <c r="S17" s="432">
        <f>121+66+38+41+35</f>
        <v>301</v>
      </c>
      <c r="T17" s="432">
        <f>121+38+66+41+35</f>
        <v>301</v>
      </c>
      <c r="U17" s="432">
        <f>121+35+66+41+35</f>
        <v>298</v>
      </c>
      <c r="V17" s="432">
        <f>66+41+35+121+35</f>
        <v>298</v>
      </c>
      <c r="W17" s="432">
        <v>298</v>
      </c>
      <c r="X17" s="432">
        <v>298</v>
      </c>
      <c r="Y17" s="472">
        <f>118+27+51+36+34</f>
        <v>266</v>
      </c>
      <c r="Z17" s="64" t="s">
        <v>66</v>
      </c>
      <c r="AA17" s="606"/>
      <c r="AB17" s="921">
        <f t="shared" si="2"/>
        <v>-0.10738255033557043</v>
      </c>
    </row>
    <row r="18" spans="1:28" ht="12.75" customHeight="1">
      <c r="B18" s="154" t="s">
        <v>57</v>
      </c>
      <c r="C18" s="433">
        <v>4715</v>
      </c>
      <c r="D18" s="434">
        <v>4916</v>
      </c>
      <c r="E18" s="434">
        <v>4818</v>
      </c>
      <c r="F18" s="434">
        <v>4697</v>
      </c>
      <c r="G18" s="434">
        <v>4650</v>
      </c>
      <c r="H18" s="434">
        <v>5205</v>
      </c>
      <c r="I18" s="434">
        <v>4937</v>
      </c>
      <c r="J18" s="434">
        <v>4901</v>
      </c>
      <c r="K18" s="434">
        <v>4674</v>
      </c>
      <c r="L18" s="434">
        <v>5008</v>
      </c>
      <c r="M18" s="434">
        <v>4683</v>
      </c>
      <c r="N18" s="434">
        <v>4621</v>
      </c>
      <c r="O18" s="434">
        <v>4691</v>
      </c>
      <c r="P18" s="434">
        <v>4494</v>
      </c>
      <c r="Q18" s="434">
        <v>3862</v>
      </c>
      <c r="R18" s="434">
        <v>3650</v>
      </c>
      <c r="S18" s="434">
        <f>843+1506+546+348</f>
        <v>3243</v>
      </c>
      <c r="T18" s="434">
        <f>785+1650+510+340</f>
        <v>3285</v>
      </c>
      <c r="U18" s="434">
        <v>2631</v>
      </c>
      <c r="V18" s="434">
        <f>1464+266+469+792</f>
        <v>2991</v>
      </c>
      <c r="W18" s="434">
        <v>1869</v>
      </c>
      <c r="X18" s="434">
        <v>2137</v>
      </c>
      <c r="Y18" s="474">
        <f>332+1241+351+124</f>
        <v>2048</v>
      </c>
      <c r="Z18" s="304" t="s">
        <v>57</v>
      </c>
      <c r="AA18" s="606"/>
      <c r="AB18" s="951">
        <f t="shared" si="2"/>
        <v>-4.1647168928404255E-2</v>
      </c>
    </row>
    <row r="19" spans="1:28" ht="12.75" customHeight="1">
      <c r="B19" s="10" t="s">
        <v>36</v>
      </c>
      <c r="C19" s="453" t="s">
        <v>65</v>
      </c>
      <c r="D19" s="454" t="s">
        <v>65</v>
      </c>
      <c r="E19" s="454" t="s">
        <v>65</v>
      </c>
      <c r="F19" s="454" t="s">
        <v>65</v>
      </c>
      <c r="G19" s="454" t="s">
        <v>65</v>
      </c>
      <c r="H19" s="454" t="s">
        <v>65</v>
      </c>
      <c r="I19" s="454" t="s">
        <v>65</v>
      </c>
      <c r="J19" s="454" t="s">
        <v>65</v>
      </c>
      <c r="K19" s="454" t="s">
        <v>65</v>
      </c>
      <c r="L19" s="454" t="s">
        <v>65</v>
      </c>
      <c r="M19" s="454" t="s">
        <v>65</v>
      </c>
      <c r="N19" s="454" t="s">
        <v>65</v>
      </c>
      <c r="O19" s="454" t="s">
        <v>65</v>
      </c>
      <c r="P19" s="454" t="s">
        <v>65</v>
      </c>
      <c r="Q19" s="454" t="s">
        <v>65</v>
      </c>
      <c r="R19" s="454" t="s">
        <v>65</v>
      </c>
      <c r="S19" s="454" t="s">
        <v>65</v>
      </c>
      <c r="T19" s="454" t="s">
        <v>65</v>
      </c>
      <c r="U19" s="454" t="s">
        <v>65</v>
      </c>
      <c r="V19" s="454" t="s">
        <v>65</v>
      </c>
      <c r="W19" s="454" t="s">
        <v>65</v>
      </c>
      <c r="X19" s="454" t="s">
        <v>65</v>
      </c>
      <c r="Y19" s="481" t="s">
        <v>65</v>
      </c>
      <c r="Z19" s="64" t="s">
        <v>36</v>
      </c>
      <c r="AA19" s="606"/>
      <c r="AB19" s="953" t="s">
        <v>65</v>
      </c>
    </row>
    <row r="20" spans="1:28" ht="12.75" customHeight="1">
      <c r="B20" s="154" t="s">
        <v>40</v>
      </c>
      <c r="C20" s="433"/>
      <c r="D20" s="434"/>
      <c r="E20" s="434">
        <v>739</v>
      </c>
      <c r="F20" s="434">
        <v>433</v>
      </c>
      <c r="G20" s="434">
        <v>403</v>
      </c>
      <c r="H20" s="434">
        <v>392</v>
      </c>
      <c r="I20" s="434">
        <v>386</v>
      </c>
      <c r="J20" s="434">
        <v>376</v>
      </c>
      <c r="K20" s="461">
        <v>358</v>
      </c>
      <c r="L20" s="434">
        <v>348</v>
      </c>
      <c r="M20" s="434">
        <v>346</v>
      </c>
      <c r="N20" s="434">
        <v>197</v>
      </c>
      <c r="O20" s="434">
        <v>196</v>
      </c>
      <c r="P20" s="434">
        <v>196</v>
      </c>
      <c r="Q20" s="434">
        <v>202</v>
      </c>
      <c r="R20" s="434">
        <v>205</v>
      </c>
      <c r="S20" s="434">
        <f>202+3</f>
        <v>205</v>
      </c>
      <c r="T20" s="434">
        <f>202+3</f>
        <v>205</v>
      </c>
      <c r="U20" s="434">
        <v>204</v>
      </c>
      <c r="V20" s="434">
        <f>2+200</f>
        <v>202</v>
      </c>
      <c r="W20" s="434">
        <v>196</v>
      </c>
      <c r="X20" s="434">
        <v>177</v>
      </c>
      <c r="Y20" s="474">
        <v>177</v>
      </c>
      <c r="Z20" s="304" t="s">
        <v>40</v>
      </c>
      <c r="AA20" s="606"/>
      <c r="AB20" s="951">
        <f t="shared" si="2"/>
        <v>0</v>
      </c>
    </row>
    <row r="21" spans="1:28" ht="12.75" customHeight="1">
      <c r="B21" s="10" t="s">
        <v>41</v>
      </c>
      <c r="C21" s="431"/>
      <c r="D21" s="432"/>
      <c r="E21" s="452">
        <v>389</v>
      </c>
      <c r="F21" s="432">
        <v>419</v>
      </c>
      <c r="G21" s="432">
        <v>406</v>
      </c>
      <c r="H21" s="432">
        <v>390</v>
      </c>
      <c r="I21" s="432">
        <v>371</v>
      </c>
      <c r="J21" s="432">
        <v>367</v>
      </c>
      <c r="K21" s="432">
        <v>365</v>
      </c>
      <c r="L21" s="432">
        <v>368</v>
      </c>
      <c r="M21" s="432">
        <v>368</v>
      </c>
      <c r="N21" s="432">
        <v>356</v>
      </c>
      <c r="O21" s="432">
        <v>317</v>
      </c>
      <c r="P21" s="432">
        <v>275</v>
      </c>
      <c r="Q21" s="432">
        <v>290</v>
      </c>
      <c r="R21" s="432">
        <v>262</v>
      </c>
      <c r="S21" s="432">
        <f>264+13</f>
        <v>277</v>
      </c>
      <c r="T21" s="432">
        <f>237+13</f>
        <v>250</v>
      </c>
      <c r="U21" s="432">
        <f>227+13</f>
        <v>240</v>
      </c>
      <c r="V21" s="432">
        <f>13+228</f>
        <v>241</v>
      </c>
      <c r="W21" s="432">
        <v>227</v>
      </c>
      <c r="X21" s="432">
        <v>227</v>
      </c>
      <c r="Y21" s="472">
        <f>211+13</f>
        <v>224</v>
      </c>
      <c r="Z21" s="64" t="s">
        <v>41</v>
      </c>
      <c r="AA21" s="606"/>
      <c r="AB21" s="921">
        <f t="shared" si="2"/>
        <v>-1.3215859030836996E-2</v>
      </c>
    </row>
    <row r="22" spans="1:28" ht="12.75" customHeight="1">
      <c r="B22" s="154" t="s">
        <v>58</v>
      </c>
      <c r="C22" s="433">
        <v>95</v>
      </c>
      <c r="D22" s="434">
        <v>85</v>
      </c>
      <c r="E22" s="434">
        <v>97</v>
      </c>
      <c r="F22" s="434">
        <v>124</v>
      </c>
      <c r="G22" s="434">
        <v>132</v>
      </c>
      <c r="H22" s="434">
        <v>131</v>
      </c>
      <c r="I22" s="434">
        <v>141</v>
      </c>
      <c r="J22" s="434">
        <v>141</v>
      </c>
      <c r="K22" s="434">
        <v>145</v>
      </c>
      <c r="L22" s="434">
        <v>128</v>
      </c>
      <c r="M22" s="434">
        <v>99</v>
      </c>
      <c r="N22" s="434">
        <v>96</v>
      </c>
      <c r="O22" s="434">
        <v>99</v>
      </c>
      <c r="P22" s="434">
        <v>91</v>
      </c>
      <c r="Q22" s="434">
        <v>89</v>
      </c>
      <c r="R22" s="434">
        <v>98</v>
      </c>
      <c r="S22" s="434">
        <v>92</v>
      </c>
      <c r="T22" s="434">
        <v>89</v>
      </c>
      <c r="U22" s="462">
        <v>89</v>
      </c>
      <c r="V22" s="434">
        <f>39+52</f>
        <v>91</v>
      </c>
      <c r="W22" s="462">
        <v>91</v>
      </c>
      <c r="X22" s="462">
        <v>100</v>
      </c>
      <c r="Y22" s="474">
        <f>80+39</f>
        <v>119</v>
      </c>
      <c r="Z22" s="304" t="s">
        <v>58</v>
      </c>
      <c r="AA22" s="606"/>
      <c r="AB22" s="951">
        <f t="shared" si="2"/>
        <v>0.18999999999999995</v>
      </c>
    </row>
    <row r="23" spans="1:28" ht="12.75" customHeight="1">
      <c r="B23" s="10" t="s">
        <v>39</v>
      </c>
      <c r="C23" s="431"/>
      <c r="D23" s="432"/>
      <c r="E23" s="432">
        <v>2040</v>
      </c>
      <c r="F23" s="432">
        <v>1453</v>
      </c>
      <c r="G23" s="432">
        <v>1442</v>
      </c>
      <c r="H23" s="432">
        <v>1363</v>
      </c>
      <c r="I23" s="432">
        <v>1458</v>
      </c>
      <c r="J23" s="432">
        <v>1328</v>
      </c>
      <c r="K23" s="457">
        <v>1385</v>
      </c>
      <c r="L23" s="432">
        <v>1400</v>
      </c>
      <c r="M23" s="432">
        <v>1413</v>
      </c>
      <c r="N23" s="432">
        <v>1428</v>
      </c>
      <c r="O23" s="432">
        <v>1458</v>
      </c>
      <c r="P23" s="432">
        <v>1275</v>
      </c>
      <c r="Q23" s="432">
        <v>1282</v>
      </c>
      <c r="R23" s="432">
        <v>1286</v>
      </c>
      <c r="S23" s="432">
        <f>6+4+22+26+443+484+240</f>
        <v>1225</v>
      </c>
      <c r="T23" s="432">
        <f>4+20+436+24+483+15+240+7</f>
        <v>1229</v>
      </c>
      <c r="U23" s="432">
        <f>4+20+434+1+19+482+15+240+10</f>
        <v>1225</v>
      </c>
      <c r="V23" s="432">
        <f>2+19+10+476+12+240+4+19+422</f>
        <v>1204</v>
      </c>
      <c r="W23" s="432">
        <v>1180</v>
      </c>
      <c r="X23" s="432">
        <v>1081</v>
      </c>
      <c r="Y23" s="472">
        <f>378+463+240</f>
        <v>1081</v>
      </c>
      <c r="Z23" s="64" t="s">
        <v>39</v>
      </c>
      <c r="AA23" s="606"/>
      <c r="AB23" s="921">
        <f t="shared" si="2"/>
        <v>0</v>
      </c>
    </row>
    <row r="24" spans="1:28" ht="12.75" customHeight="1">
      <c r="B24" s="154" t="s">
        <v>42</v>
      </c>
      <c r="C24" s="463" t="s">
        <v>65</v>
      </c>
      <c r="D24" s="464" t="s">
        <v>65</v>
      </c>
      <c r="E24" s="538" t="s">
        <v>65</v>
      </c>
      <c r="F24" s="538" t="s">
        <v>65</v>
      </c>
      <c r="G24" s="538" t="s">
        <v>65</v>
      </c>
      <c r="H24" s="538" t="s">
        <v>65</v>
      </c>
      <c r="I24" s="538" t="s">
        <v>65</v>
      </c>
      <c r="J24" s="538" t="s">
        <v>65</v>
      </c>
      <c r="K24" s="538" t="s">
        <v>65</v>
      </c>
      <c r="L24" s="538" t="s">
        <v>65</v>
      </c>
      <c r="M24" s="538" t="s">
        <v>65</v>
      </c>
      <c r="N24" s="538" t="s">
        <v>65</v>
      </c>
      <c r="O24" s="538" t="s">
        <v>65</v>
      </c>
      <c r="P24" s="538" t="s">
        <v>65</v>
      </c>
      <c r="Q24" s="538" t="s">
        <v>65</v>
      </c>
      <c r="R24" s="538" t="s">
        <v>65</v>
      </c>
      <c r="S24" s="538" t="s">
        <v>65</v>
      </c>
      <c r="T24" s="538" t="s">
        <v>65</v>
      </c>
      <c r="U24" s="538" t="s">
        <v>65</v>
      </c>
      <c r="V24" s="538" t="s">
        <v>65</v>
      </c>
      <c r="W24" s="538" t="s">
        <v>65</v>
      </c>
      <c r="X24" s="538" t="s">
        <v>65</v>
      </c>
      <c r="Y24" s="539" t="s">
        <v>65</v>
      </c>
      <c r="Z24" s="304" t="s">
        <v>42</v>
      </c>
      <c r="AA24" s="606"/>
      <c r="AB24" s="954" t="s">
        <v>65</v>
      </c>
    </row>
    <row r="25" spans="1:28" ht="12.75" customHeight="1">
      <c r="B25" s="10" t="s">
        <v>50</v>
      </c>
      <c r="C25" s="431">
        <v>2140</v>
      </c>
      <c r="D25" s="432">
        <v>2174</v>
      </c>
      <c r="E25" s="432">
        <v>2372</v>
      </c>
      <c r="F25" s="432">
        <v>1965</v>
      </c>
      <c r="G25" s="432">
        <v>2128</v>
      </c>
      <c r="H25" s="432">
        <v>2029</v>
      </c>
      <c r="I25" s="432">
        <v>2118</v>
      </c>
      <c r="J25" s="432">
        <v>2076</v>
      </c>
      <c r="K25" s="432">
        <v>2078</v>
      </c>
      <c r="L25" s="432">
        <v>2025</v>
      </c>
      <c r="M25" s="432">
        <v>2033</v>
      </c>
      <c r="N25" s="432">
        <v>2079</v>
      </c>
      <c r="O25" s="432">
        <v>2027</v>
      </c>
      <c r="P25" s="432">
        <v>2411</v>
      </c>
      <c r="Q25" s="432">
        <v>2427</v>
      </c>
      <c r="R25" s="432">
        <v>2443</v>
      </c>
      <c r="S25" s="432">
        <f>43+32+2341</f>
        <v>2416</v>
      </c>
      <c r="T25" s="432">
        <f>46+44+2761</f>
        <v>2851</v>
      </c>
      <c r="U25" s="432">
        <f>51+44+2685</f>
        <v>2780</v>
      </c>
      <c r="V25" s="432">
        <f>51+2993+44</f>
        <v>3088</v>
      </c>
      <c r="W25" s="432">
        <v>3193</v>
      </c>
      <c r="X25" s="432">
        <v>3272</v>
      </c>
      <c r="Y25" s="472">
        <f>100+3233</f>
        <v>3333</v>
      </c>
      <c r="Z25" s="64" t="s">
        <v>50</v>
      </c>
      <c r="AA25" s="606"/>
      <c r="AB25" s="665">
        <f t="shared" si="2"/>
        <v>1.8643031784841169E-2</v>
      </c>
    </row>
    <row r="26" spans="1:28" ht="12.75" customHeight="1">
      <c r="B26" s="154" t="s">
        <v>59</v>
      </c>
      <c r="C26" s="433">
        <v>1423</v>
      </c>
      <c r="D26" s="434">
        <v>1428</v>
      </c>
      <c r="E26" s="434">
        <v>1543</v>
      </c>
      <c r="F26" s="434">
        <v>1530</v>
      </c>
      <c r="G26" s="434">
        <v>1606</v>
      </c>
      <c r="H26" s="434">
        <v>1555</v>
      </c>
      <c r="I26" s="434">
        <v>1556</v>
      </c>
      <c r="J26" s="434">
        <v>1610</v>
      </c>
      <c r="K26" s="434">
        <v>1500</v>
      </c>
      <c r="L26" s="434">
        <v>1639</v>
      </c>
      <c r="M26" s="434">
        <v>1725</v>
      </c>
      <c r="N26" s="434">
        <v>1668</v>
      </c>
      <c r="O26" s="434">
        <v>1660</v>
      </c>
      <c r="P26" s="547">
        <v>2081</v>
      </c>
      <c r="Q26" s="434">
        <v>2068</v>
      </c>
      <c r="R26" s="434">
        <v>2114</v>
      </c>
      <c r="S26" s="434">
        <v>2023</v>
      </c>
      <c r="T26" s="434">
        <v>2033</v>
      </c>
      <c r="U26" s="434">
        <v>1972</v>
      </c>
      <c r="V26" s="434">
        <v>1973</v>
      </c>
      <c r="W26" s="434">
        <v>1994</v>
      </c>
      <c r="X26" s="434">
        <v>2039</v>
      </c>
      <c r="Y26" s="474">
        <f>285+4+770+31+149+877+8</f>
        <v>2124</v>
      </c>
      <c r="Z26" s="304" t="s">
        <v>59</v>
      </c>
      <c r="AA26" s="606"/>
      <c r="AB26" s="951">
        <f t="shared" si="2"/>
        <v>4.1687101520353043E-2</v>
      </c>
    </row>
    <row r="27" spans="1:28" ht="12.75" customHeight="1">
      <c r="B27" s="10" t="s">
        <v>43</v>
      </c>
      <c r="C27" s="431"/>
      <c r="D27" s="432"/>
      <c r="E27" s="432">
        <v>5483</v>
      </c>
      <c r="F27" s="432">
        <v>5293</v>
      </c>
      <c r="G27" s="432">
        <v>5286</v>
      </c>
      <c r="H27" s="432">
        <v>5386</v>
      </c>
      <c r="I27" s="432">
        <v>5479</v>
      </c>
      <c r="J27" s="432">
        <v>5623</v>
      </c>
      <c r="K27" s="432">
        <v>5828</v>
      </c>
      <c r="L27" s="432">
        <v>5579</v>
      </c>
      <c r="M27" s="432">
        <v>5744</v>
      </c>
      <c r="N27" s="432">
        <v>5821</v>
      </c>
      <c r="O27" s="432">
        <v>5770</v>
      </c>
      <c r="P27" s="432">
        <v>5657</v>
      </c>
      <c r="Q27" s="432">
        <v>5637</v>
      </c>
      <c r="R27" s="432">
        <v>5548</v>
      </c>
      <c r="S27" s="432">
        <v>5521</v>
      </c>
      <c r="T27" s="432">
        <v>5615</v>
      </c>
      <c r="U27" s="432">
        <v>5526</v>
      </c>
      <c r="V27" s="432">
        <v>5384</v>
      </c>
      <c r="W27" s="432">
        <v>5270</v>
      </c>
      <c r="X27" s="432">
        <v>5295</v>
      </c>
      <c r="Y27" s="472">
        <v>5197</v>
      </c>
      <c r="Z27" s="64" t="s">
        <v>43</v>
      </c>
      <c r="AA27" s="606"/>
      <c r="AB27" s="921">
        <f t="shared" si="2"/>
        <v>-1.8508026440037795E-2</v>
      </c>
    </row>
    <row r="28" spans="1:28" ht="12.75" customHeight="1">
      <c r="B28" s="154" t="s">
        <v>60</v>
      </c>
      <c r="C28" s="433">
        <v>626</v>
      </c>
      <c r="D28" s="434">
        <v>583</v>
      </c>
      <c r="E28" s="434">
        <v>530</v>
      </c>
      <c r="F28" s="434">
        <v>589</v>
      </c>
      <c r="G28" s="434">
        <v>536</v>
      </c>
      <c r="H28" s="434">
        <v>515</v>
      </c>
      <c r="I28" s="434">
        <v>506</v>
      </c>
      <c r="J28" s="434">
        <v>463</v>
      </c>
      <c r="K28" s="434">
        <v>439</v>
      </c>
      <c r="L28" s="434">
        <v>429</v>
      </c>
      <c r="M28" s="434">
        <v>433</v>
      </c>
      <c r="N28" s="434">
        <v>431</v>
      </c>
      <c r="O28" s="434">
        <v>436</v>
      </c>
      <c r="P28" s="434">
        <v>363</v>
      </c>
      <c r="Q28" s="434">
        <v>383</v>
      </c>
      <c r="R28" s="434">
        <v>323</v>
      </c>
      <c r="S28" s="434">
        <v>339</v>
      </c>
      <c r="T28" s="434">
        <v>309</v>
      </c>
      <c r="U28" s="434">
        <v>231</v>
      </c>
      <c r="V28" s="434">
        <v>231</v>
      </c>
      <c r="W28" s="547">
        <v>45</v>
      </c>
      <c r="X28" s="434">
        <v>47</v>
      </c>
      <c r="Y28" s="474">
        <f>17+25+5</f>
        <v>47</v>
      </c>
      <c r="Z28" s="304" t="s">
        <v>60</v>
      </c>
      <c r="AA28" s="606"/>
      <c r="AB28" s="951">
        <f t="shared" si="2"/>
        <v>0</v>
      </c>
    </row>
    <row r="29" spans="1:28" ht="12.75" customHeight="1">
      <c r="B29" s="10" t="s">
        <v>44</v>
      </c>
      <c r="C29" s="431"/>
      <c r="D29" s="432">
        <v>4564</v>
      </c>
      <c r="E29" s="432">
        <v>4515</v>
      </c>
      <c r="F29" s="432">
        <v>3440</v>
      </c>
      <c r="G29" s="432">
        <v>3341</v>
      </c>
      <c r="H29" s="432">
        <v>3594</v>
      </c>
      <c r="I29" s="432">
        <v>2173</v>
      </c>
      <c r="J29" s="432">
        <v>2071</v>
      </c>
      <c r="K29" s="432">
        <v>2186</v>
      </c>
      <c r="L29" s="432">
        <v>2220</v>
      </c>
      <c r="M29" s="432">
        <v>2262</v>
      </c>
      <c r="N29" s="432">
        <v>2290</v>
      </c>
      <c r="O29" s="432">
        <v>2649</v>
      </c>
      <c r="P29" s="432">
        <v>2158</v>
      </c>
      <c r="Q29" s="432">
        <v>2156</v>
      </c>
      <c r="R29" s="432">
        <v>2128</v>
      </c>
      <c r="S29" s="432">
        <v>2122</v>
      </c>
      <c r="T29" s="432">
        <v>2125</v>
      </c>
      <c r="U29" s="432">
        <v>2095</v>
      </c>
      <c r="V29" s="432">
        <v>2069</v>
      </c>
      <c r="W29" s="432">
        <v>2069</v>
      </c>
      <c r="X29" s="432">
        <v>2032</v>
      </c>
      <c r="Y29" s="472">
        <v>2995</v>
      </c>
      <c r="Z29" s="64" t="s">
        <v>44</v>
      </c>
      <c r="AA29" s="606"/>
      <c r="AB29" s="921">
        <f t="shared" si="2"/>
        <v>0.4739173228346456</v>
      </c>
    </row>
    <row r="30" spans="1:28" ht="12.75" customHeight="1">
      <c r="B30" s="154" t="s">
        <v>46</v>
      </c>
      <c r="C30" s="433"/>
      <c r="D30" s="434"/>
      <c r="E30" s="434">
        <v>358</v>
      </c>
      <c r="F30" s="434">
        <v>300</v>
      </c>
      <c r="G30" s="434">
        <v>304</v>
      </c>
      <c r="H30" s="434">
        <v>310</v>
      </c>
      <c r="I30" s="434">
        <v>273</v>
      </c>
      <c r="J30" s="434">
        <v>273</v>
      </c>
      <c r="K30" s="434">
        <v>261</v>
      </c>
      <c r="L30" s="434">
        <v>271</v>
      </c>
      <c r="M30" s="434">
        <v>273</v>
      </c>
      <c r="N30" s="434">
        <v>267</v>
      </c>
      <c r="O30" s="434">
        <v>269</v>
      </c>
      <c r="P30" s="434">
        <v>267</v>
      </c>
      <c r="Q30" s="434">
        <v>405</v>
      </c>
      <c r="R30" s="434">
        <v>405</v>
      </c>
      <c r="S30" s="434">
        <f>74+78+140+113</f>
        <v>405</v>
      </c>
      <c r="T30" s="434">
        <f>74+78+140+113</f>
        <v>405</v>
      </c>
      <c r="U30" s="434">
        <v>401</v>
      </c>
      <c r="V30" s="434">
        <f>140+74+109+78</f>
        <v>401</v>
      </c>
      <c r="W30" s="434">
        <v>400</v>
      </c>
      <c r="X30" s="434">
        <v>400</v>
      </c>
      <c r="Y30" s="474">
        <f>62+78+140+109</f>
        <v>389</v>
      </c>
      <c r="Z30" s="304" t="s">
        <v>46</v>
      </c>
      <c r="AA30" s="606"/>
      <c r="AB30" s="951">
        <f t="shared" si="2"/>
        <v>-2.7499999999999969E-2</v>
      </c>
    </row>
    <row r="31" spans="1:28" ht="12.75" customHeight="1">
      <c r="B31" s="10" t="s">
        <v>45</v>
      </c>
      <c r="C31" s="453"/>
      <c r="D31" s="454"/>
      <c r="E31" s="454"/>
      <c r="F31" s="432">
        <v>1570</v>
      </c>
      <c r="G31" s="432">
        <v>1512</v>
      </c>
      <c r="H31" s="432">
        <v>1450</v>
      </c>
      <c r="I31" s="432">
        <v>1441</v>
      </c>
      <c r="J31" s="432">
        <v>1334</v>
      </c>
      <c r="K31" s="452">
        <v>1204</v>
      </c>
      <c r="L31" s="432">
        <v>1176</v>
      </c>
      <c r="M31" s="432">
        <v>1258</v>
      </c>
      <c r="N31" s="432">
        <v>1216</v>
      </c>
      <c r="O31" s="432">
        <v>1155</v>
      </c>
      <c r="P31" s="432">
        <v>1035</v>
      </c>
      <c r="Q31" s="432">
        <v>1101</v>
      </c>
      <c r="R31" s="432">
        <v>1033</v>
      </c>
      <c r="S31" s="432">
        <f>84+165+132+1+309+338</f>
        <v>1029</v>
      </c>
      <c r="T31" s="432">
        <f>86+338+162+299+143+1</f>
        <v>1029</v>
      </c>
      <c r="U31" s="432">
        <v>978</v>
      </c>
      <c r="V31" s="432">
        <f>161+281+86+292+93+1</f>
        <v>914</v>
      </c>
      <c r="W31" s="432">
        <v>851</v>
      </c>
      <c r="X31" s="432">
        <v>804</v>
      </c>
      <c r="Y31" s="472">
        <f>85+240+149+239+74+1</f>
        <v>788</v>
      </c>
      <c r="Z31" s="64" t="s">
        <v>45</v>
      </c>
      <c r="AA31" s="606"/>
      <c r="AB31" s="921">
        <f t="shared" si="2"/>
        <v>-1.9900497512437831E-2</v>
      </c>
    </row>
    <row r="32" spans="1:28" ht="12.75" customHeight="1">
      <c r="B32" s="154" t="s">
        <v>61</v>
      </c>
      <c r="C32" s="433">
        <v>877</v>
      </c>
      <c r="D32" s="434">
        <v>752</v>
      </c>
      <c r="E32" s="434">
        <v>669</v>
      </c>
      <c r="F32" s="434">
        <v>735</v>
      </c>
      <c r="G32" s="434">
        <v>724</v>
      </c>
      <c r="H32" s="434">
        <v>731</v>
      </c>
      <c r="I32" s="434">
        <v>731</v>
      </c>
      <c r="J32" s="434">
        <v>737</v>
      </c>
      <c r="K32" s="434">
        <v>702</v>
      </c>
      <c r="L32" s="434">
        <v>697</v>
      </c>
      <c r="M32" s="434">
        <v>694</v>
      </c>
      <c r="N32" s="434">
        <v>662</v>
      </c>
      <c r="O32" s="434">
        <v>641</v>
      </c>
      <c r="P32" s="434">
        <v>644</v>
      </c>
      <c r="Q32" s="434">
        <v>643</v>
      </c>
      <c r="R32" s="434">
        <v>652</v>
      </c>
      <c r="S32" s="434">
        <f>310+155+16+171</f>
        <v>652</v>
      </c>
      <c r="T32" s="434">
        <f>310+155+16+178</f>
        <v>659</v>
      </c>
      <c r="U32" s="434">
        <v>650</v>
      </c>
      <c r="V32" s="434">
        <v>647</v>
      </c>
      <c r="W32" s="434">
        <v>676</v>
      </c>
      <c r="X32" s="434">
        <v>641</v>
      </c>
      <c r="Y32" s="482">
        <f>X32</f>
        <v>641</v>
      </c>
      <c r="Z32" s="304" t="s">
        <v>61</v>
      </c>
      <c r="AA32" s="606"/>
      <c r="AB32" s="951">
        <f t="shared" si="2"/>
        <v>0</v>
      </c>
    </row>
    <row r="33" spans="2:32" ht="12.75" customHeight="1">
      <c r="B33" s="11" t="s">
        <v>62</v>
      </c>
      <c r="C33" s="435">
        <v>1408</v>
      </c>
      <c r="D33" s="436">
        <v>1576</v>
      </c>
      <c r="E33" s="436">
        <v>1234</v>
      </c>
      <c r="F33" s="436">
        <v>1032</v>
      </c>
      <c r="G33" s="436">
        <v>1121</v>
      </c>
      <c r="H33" s="436">
        <v>1178</v>
      </c>
      <c r="I33" s="436">
        <v>1217</v>
      </c>
      <c r="J33" s="436">
        <v>1231</v>
      </c>
      <c r="K33" s="436">
        <v>1377</v>
      </c>
      <c r="L33" s="436">
        <v>1462</v>
      </c>
      <c r="M33" s="436">
        <v>1694</v>
      </c>
      <c r="N33" s="436">
        <v>1820</v>
      </c>
      <c r="O33" s="436">
        <v>1823</v>
      </c>
      <c r="P33" s="436">
        <v>1927</v>
      </c>
      <c r="Q33" s="436">
        <v>2027</v>
      </c>
      <c r="R33" s="436">
        <v>2285</v>
      </c>
      <c r="S33" s="436">
        <v>2331</v>
      </c>
      <c r="T33" s="436">
        <v>2416</v>
      </c>
      <c r="U33" s="436">
        <v>2422</v>
      </c>
      <c r="V33" s="436">
        <v>2538</v>
      </c>
      <c r="W33" s="436">
        <v>2679</v>
      </c>
      <c r="X33" s="436">
        <v>2795</v>
      </c>
      <c r="Y33" s="476">
        <v>2771</v>
      </c>
      <c r="Z33" s="65" t="s">
        <v>62</v>
      </c>
      <c r="AA33" s="606"/>
      <c r="AB33" s="922">
        <f t="shared" si="2"/>
        <v>-8.5867620751342022E-3</v>
      </c>
    </row>
    <row r="34" spans="2:32" ht="12.75" customHeight="1">
      <c r="B34" s="155" t="s">
        <v>51</v>
      </c>
      <c r="C34" s="465">
        <v>9510</v>
      </c>
      <c r="D34" s="466">
        <v>5452</v>
      </c>
      <c r="E34" s="466">
        <v>5610</v>
      </c>
      <c r="F34" s="466" t="s">
        <v>64</v>
      </c>
      <c r="G34" s="466" t="s">
        <v>64</v>
      </c>
      <c r="H34" s="466">
        <v>4430</v>
      </c>
      <c r="I34" s="466">
        <v>3588</v>
      </c>
      <c r="J34" s="466">
        <v>3505</v>
      </c>
      <c r="K34" s="466">
        <v>3177</v>
      </c>
      <c r="L34" s="467">
        <v>3271</v>
      </c>
      <c r="M34" s="466">
        <v>11367</v>
      </c>
      <c r="N34" s="466">
        <v>10639</v>
      </c>
      <c r="O34" s="466">
        <v>10562</v>
      </c>
      <c r="P34" s="466">
        <v>10710</v>
      </c>
      <c r="Q34" s="466">
        <v>11036</v>
      </c>
      <c r="R34" s="466">
        <v>11082</v>
      </c>
      <c r="S34" s="466">
        <f>199+5+45+39+2786+8102</f>
        <v>11176</v>
      </c>
      <c r="T34" s="466">
        <f>199+5+45+2786+129+8183</f>
        <v>11347</v>
      </c>
      <c r="U34" s="488">
        <f>199+5+45+2786+129+8183</f>
        <v>11347</v>
      </c>
      <c r="V34" s="488">
        <f>199+5+45+2786+129+8183</f>
        <v>11347</v>
      </c>
      <c r="W34" s="488">
        <v>11347</v>
      </c>
      <c r="X34" s="488">
        <v>11347</v>
      </c>
      <c r="Y34" s="548">
        <f>X34</f>
        <v>11347</v>
      </c>
      <c r="Z34" s="305" t="s">
        <v>51</v>
      </c>
      <c r="AA34" s="606"/>
      <c r="AB34" s="952">
        <f t="shared" si="2"/>
        <v>0</v>
      </c>
    </row>
    <row r="35" spans="2:32" ht="12.75" customHeight="1">
      <c r="B35" s="10" t="s">
        <v>161</v>
      </c>
      <c r="C35" s="431"/>
      <c r="D35" s="432"/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5"/>
      <c r="U35" s="345"/>
      <c r="V35" s="345">
        <f>31+8</f>
        <v>39</v>
      </c>
      <c r="W35" s="454">
        <f>31+8</f>
        <v>39</v>
      </c>
      <c r="X35" s="454">
        <f>28+8</f>
        <v>36</v>
      </c>
      <c r="Y35" s="957">
        <f>30+7</f>
        <v>37</v>
      </c>
      <c r="Z35" s="64" t="s">
        <v>161</v>
      </c>
      <c r="AA35" s="606"/>
      <c r="AB35" s="921">
        <f t="shared" si="2"/>
        <v>2.7777777777777679E-2</v>
      </c>
    </row>
    <row r="36" spans="2:32" ht="12.75" customHeight="1">
      <c r="B36" s="154" t="s">
        <v>0</v>
      </c>
      <c r="C36" s="433"/>
      <c r="D36" s="434">
        <v>91</v>
      </c>
      <c r="E36" s="434">
        <v>92</v>
      </c>
      <c r="F36" s="434">
        <v>101</v>
      </c>
      <c r="G36" s="434">
        <v>71</v>
      </c>
      <c r="H36" s="434">
        <v>71</v>
      </c>
      <c r="I36" s="434">
        <v>74</v>
      </c>
      <c r="J36" s="434">
        <v>73</v>
      </c>
      <c r="K36" s="434">
        <v>73</v>
      </c>
      <c r="L36" s="434">
        <v>72</v>
      </c>
      <c r="M36" s="434">
        <v>72</v>
      </c>
      <c r="N36" s="434">
        <v>72</v>
      </c>
      <c r="O36" s="434">
        <v>67</v>
      </c>
      <c r="P36" s="434">
        <v>63</v>
      </c>
      <c r="Q36" s="434">
        <v>63</v>
      </c>
      <c r="R36" s="434">
        <v>69</v>
      </c>
      <c r="S36" s="462">
        <f>27+16+6+4</f>
        <v>53</v>
      </c>
      <c r="T36" s="462">
        <f>27+16+6+4</f>
        <v>53</v>
      </c>
      <c r="U36" s="434">
        <v>53</v>
      </c>
      <c r="V36" s="434">
        <v>52</v>
      </c>
      <c r="W36" s="434">
        <v>58</v>
      </c>
      <c r="X36" s="434">
        <v>58</v>
      </c>
      <c r="Y36" s="474">
        <v>59</v>
      </c>
      <c r="Z36" s="304" t="s">
        <v>0</v>
      </c>
      <c r="AA36" s="606"/>
      <c r="AB36" s="951">
        <f t="shared" si="2"/>
        <v>1.7241379310344751E-2</v>
      </c>
    </row>
    <row r="37" spans="2:32" ht="12.75" customHeight="1">
      <c r="B37" s="10" t="s">
        <v>167</v>
      </c>
      <c r="C37" s="431"/>
      <c r="D37" s="432"/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32"/>
      <c r="Q37" s="432"/>
      <c r="R37" s="432"/>
      <c r="S37" s="432"/>
      <c r="T37" s="432"/>
      <c r="U37" s="432"/>
      <c r="V37" s="432"/>
      <c r="W37" s="432"/>
      <c r="X37" s="432"/>
      <c r="Y37" s="472"/>
      <c r="Z37" s="64" t="s">
        <v>167</v>
      </c>
      <c r="AA37" s="606"/>
      <c r="AB37" s="921"/>
      <c r="AF37" s="2"/>
    </row>
    <row r="38" spans="2:32" ht="12.75" customHeight="1">
      <c r="B38" s="154" t="s">
        <v>160</v>
      </c>
      <c r="C38" s="433"/>
      <c r="D38" s="434"/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34"/>
      <c r="Q38" s="434">
        <v>466</v>
      </c>
      <c r="R38" s="434">
        <v>485</v>
      </c>
      <c r="S38" s="434">
        <f>193+143+74+77</f>
        <v>487</v>
      </c>
      <c r="T38" s="434">
        <f>191+143+74+77</f>
        <v>485</v>
      </c>
      <c r="U38" s="434">
        <v>335</v>
      </c>
      <c r="V38" s="434">
        <f>95+38+160+10+59+87</f>
        <v>449</v>
      </c>
      <c r="W38" s="434">
        <v>368</v>
      </c>
      <c r="X38" s="434">
        <v>325</v>
      </c>
      <c r="Y38" s="474">
        <f>10+25+92+100</f>
        <v>227</v>
      </c>
      <c r="Z38" s="304" t="s">
        <v>160</v>
      </c>
      <c r="AA38" s="606"/>
      <c r="AB38" s="951">
        <f t="shared" si="2"/>
        <v>-0.30153846153846153</v>
      </c>
    </row>
    <row r="39" spans="2:32" ht="12.75" customHeight="1">
      <c r="B39" s="11" t="s">
        <v>47</v>
      </c>
      <c r="C39" s="468">
        <v>1055</v>
      </c>
      <c r="D39" s="357">
        <v>1101</v>
      </c>
      <c r="E39" s="357">
        <v>897</v>
      </c>
      <c r="F39" s="436">
        <v>849</v>
      </c>
      <c r="G39" s="436">
        <v>838</v>
      </c>
      <c r="H39" s="436">
        <v>819</v>
      </c>
      <c r="I39" s="436">
        <v>755</v>
      </c>
      <c r="J39" s="436">
        <v>734</v>
      </c>
      <c r="K39" s="436">
        <v>735</v>
      </c>
      <c r="L39" s="436">
        <v>732</v>
      </c>
      <c r="M39" s="436">
        <v>724</v>
      </c>
      <c r="N39" s="436">
        <v>613</v>
      </c>
      <c r="O39" s="436">
        <v>660</v>
      </c>
      <c r="P39" s="436">
        <v>673</v>
      </c>
      <c r="Q39" s="436">
        <v>744</v>
      </c>
      <c r="R39" s="436">
        <v>783</v>
      </c>
      <c r="S39" s="436">
        <f>537+53+77+113</f>
        <v>780</v>
      </c>
      <c r="T39" s="436">
        <f>540+117+80+80</f>
        <v>817</v>
      </c>
      <c r="U39" s="436">
        <v>851</v>
      </c>
      <c r="V39" s="436">
        <f>80+118+125+543</f>
        <v>866</v>
      </c>
      <c r="W39" s="436">
        <v>889</v>
      </c>
      <c r="X39" s="436">
        <v>861</v>
      </c>
      <c r="Y39" s="476">
        <f>539+125+37+103</f>
        <v>804</v>
      </c>
      <c r="Z39" s="65" t="s">
        <v>47</v>
      </c>
      <c r="AA39" s="606"/>
      <c r="AB39" s="922">
        <f t="shared" si="2"/>
        <v>-6.6202090592334506E-2</v>
      </c>
    </row>
    <row r="40" spans="2:32" ht="12.75" customHeight="1">
      <c r="B40" s="154" t="s">
        <v>33</v>
      </c>
      <c r="C40" s="463" t="s">
        <v>65</v>
      </c>
      <c r="D40" s="464" t="s">
        <v>65</v>
      </c>
      <c r="E40" s="464" t="s">
        <v>65</v>
      </c>
      <c r="F40" s="464" t="s">
        <v>65</v>
      </c>
      <c r="G40" s="464" t="s">
        <v>65</v>
      </c>
      <c r="H40" s="464" t="s">
        <v>65</v>
      </c>
      <c r="I40" s="464" t="s">
        <v>65</v>
      </c>
      <c r="J40" s="464" t="s">
        <v>65</v>
      </c>
      <c r="K40" s="464" t="s">
        <v>65</v>
      </c>
      <c r="L40" s="464" t="s">
        <v>65</v>
      </c>
      <c r="M40" s="464" t="s">
        <v>65</v>
      </c>
      <c r="N40" s="464" t="s">
        <v>65</v>
      </c>
      <c r="O40" s="464" t="s">
        <v>65</v>
      </c>
      <c r="P40" s="464" t="s">
        <v>65</v>
      </c>
      <c r="Q40" s="464" t="s">
        <v>65</v>
      </c>
      <c r="R40" s="464" t="s">
        <v>65</v>
      </c>
      <c r="S40" s="464" t="s">
        <v>65</v>
      </c>
      <c r="T40" s="464" t="s">
        <v>65</v>
      </c>
      <c r="U40" s="464" t="s">
        <v>65</v>
      </c>
      <c r="V40" s="464" t="s">
        <v>65</v>
      </c>
      <c r="W40" s="538" t="s">
        <v>65</v>
      </c>
      <c r="X40" s="939" t="s">
        <v>65</v>
      </c>
      <c r="Y40" s="956" t="s">
        <v>65</v>
      </c>
      <c r="Z40" s="304" t="s">
        <v>33</v>
      </c>
      <c r="AA40" s="606"/>
      <c r="AB40" s="955" t="s">
        <v>65</v>
      </c>
    </row>
    <row r="41" spans="2:32" ht="12.75" customHeight="1">
      <c r="B41" s="10" t="s">
        <v>63</v>
      </c>
      <c r="C41" s="431">
        <v>439</v>
      </c>
      <c r="D41" s="432">
        <v>430</v>
      </c>
      <c r="E41" s="432">
        <v>502</v>
      </c>
      <c r="F41" s="432">
        <v>299</v>
      </c>
      <c r="G41" s="432">
        <v>303</v>
      </c>
      <c r="H41" s="432">
        <v>269</v>
      </c>
      <c r="I41" s="432">
        <v>266</v>
      </c>
      <c r="J41" s="432">
        <v>208</v>
      </c>
      <c r="K41" s="432">
        <v>289</v>
      </c>
      <c r="L41" s="432">
        <v>223</v>
      </c>
      <c r="M41" s="432">
        <v>223</v>
      </c>
      <c r="N41" s="432">
        <v>223</v>
      </c>
      <c r="O41" s="432">
        <v>207</v>
      </c>
      <c r="P41" s="455">
        <v>544</v>
      </c>
      <c r="Q41" s="432">
        <v>593</v>
      </c>
      <c r="R41" s="432">
        <v>629</v>
      </c>
      <c r="S41" s="432">
        <f>5+28+58+725</f>
        <v>816</v>
      </c>
      <c r="T41" s="432">
        <f>11+28+31+200+398+44</f>
        <v>712</v>
      </c>
      <c r="U41" s="455">
        <f>31+205+22+12</f>
        <v>270</v>
      </c>
      <c r="V41" s="432">
        <f>29+209+22+12</f>
        <v>272</v>
      </c>
      <c r="W41" s="432">
        <v>279</v>
      </c>
      <c r="X41" s="452">
        <v>279</v>
      </c>
      <c r="Y41" s="470">
        <f>X41</f>
        <v>279</v>
      </c>
      <c r="Z41" s="64" t="s">
        <v>63</v>
      </c>
      <c r="AA41" s="606"/>
      <c r="AB41" s="921">
        <f t="shared" si="2"/>
        <v>0</v>
      </c>
    </row>
    <row r="42" spans="2:32" ht="12.75" customHeight="1">
      <c r="B42" s="155" t="s">
        <v>34</v>
      </c>
      <c r="C42" s="430">
        <v>1116</v>
      </c>
      <c r="D42" s="355">
        <v>1205</v>
      </c>
      <c r="E42" s="466">
        <v>1254</v>
      </c>
      <c r="F42" s="466">
        <v>1528</v>
      </c>
      <c r="G42" s="466">
        <v>2011</v>
      </c>
      <c r="H42" s="466">
        <v>2008</v>
      </c>
      <c r="I42" s="466">
        <v>2164</v>
      </c>
      <c r="J42" s="466">
        <v>2224</v>
      </c>
      <c r="K42" s="466">
        <v>2198</v>
      </c>
      <c r="L42" s="466">
        <v>2167</v>
      </c>
      <c r="M42" s="466">
        <v>2272</v>
      </c>
      <c r="N42" s="466">
        <v>2278</v>
      </c>
      <c r="O42" s="466">
        <v>2265</v>
      </c>
      <c r="P42" s="466">
        <v>1745</v>
      </c>
      <c r="Q42" s="466">
        <v>1752</v>
      </c>
      <c r="R42" s="466">
        <v>1680</v>
      </c>
      <c r="S42" s="466">
        <f>3+93+120+64+415+786+164</f>
        <v>1645</v>
      </c>
      <c r="T42" s="466">
        <f>3+423+785+93+64+123+141</f>
        <v>1632</v>
      </c>
      <c r="U42" s="466">
        <v>1694</v>
      </c>
      <c r="V42" s="466">
        <f>123+47+121+91+30+46+765+4+406</f>
        <v>1633</v>
      </c>
      <c r="W42" s="466">
        <v>1678</v>
      </c>
      <c r="X42" s="466">
        <v>1675</v>
      </c>
      <c r="Y42" s="475">
        <f>383+60+45+747+47+121</f>
        <v>1403</v>
      </c>
      <c r="Z42" s="305" t="s">
        <v>34</v>
      </c>
      <c r="AA42" s="606"/>
      <c r="AB42" s="952">
        <f t="shared" si="2"/>
        <v>-0.1623880597014925</v>
      </c>
    </row>
    <row r="43" spans="2:32" ht="14.25" customHeight="1">
      <c r="B43" s="1146" t="s">
        <v>344</v>
      </c>
      <c r="C43" s="1146"/>
      <c r="D43" s="1146"/>
      <c r="E43" s="1146"/>
      <c r="F43" s="1146"/>
      <c r="G43" s="1146"/>
      <c r="H43" s="1146"/>
      <c r="I43" s="1146"/>
      <c r="J43" s="1147"/>
      <c r="K43" s="1147"/>
      <c r="L43" s="1147"/>
      <c r="M43" s="1147"/>
      <c r="N43" s="1147"/>
      <c r="O43" s="1147"/>
      <c r="P43" s="1147"/>
      <c r="Q43" s="1147"/>
      <c r="R43" s="1147"/>
      <c r="S43" s="1147"/>
      <c r="T43" s="1147"/>
      <c r="U43" s="1147"/>
      <c r="V43" s="1147"/>
      <c r="W43" s="1147"/>
      <c r="X43" s="1147"/>
      <c r="Y43" s="1147"/>
      <c r="Z43" s="1147"/>
      <c r="AA43"/>
      <c r="AB43" s="5"/>
    </row>
    <row r="44" spans="2:32" ht="15" customHeight="1">
      <c r="B44" s="270" t="s">
        <v>326</v>
      </c>
      <c r="C44" s="281"/>
      <c r="D44" s="281"/>
      <c r="E44" s="281"/>
      <c r="F44" s="330"/>
      <c r="G44" s="329"/>
      <c r="H44" s="281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/>
      <c r="AB44" s="5"/>
    </row>
    <row r="45" spans="2:32" ht="11.25" customHeight="1">
      <c r="B45" s="282" t="s">
        <v>190</v>
      </c>
      <c r="C45" s="281"/>
      <c r="D45" s="281"/>
      <c r="E45" s="281"/>
      <c r="F45" s="330"/>
      <c r="G45" s="329"/>
      <c r="H45" s="281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/>
      <c r="X45"/>
      <c r="Y45"/>
      <c r="Z45" s="5"/>
      <c r="AB45" s="3"/>
    </row>
    <row r="46" spans="2:32" ht="11.25" customHeight="1">
      <c r="B46" s="949" t="s">
        <v>347</v>
      </c>
      <c r="C46" s="281"/>
      <c r="D46" s="281"/>
      <c r="E46" s="281"/>
      <c r="F46" s="330"/>
      <c r="G46" s="329"/>
      <c r="H46" s="281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/>
      <c r="X46"/>
      <c r="Y46"/>
      <c r="Z46" s="5"/>
      <c r="AB46" s="3"/>
    </row>
    <row r="47" spans="2:32" ht="12.75">
      <c r="B47" s="180" t="s">
        <v>296</v>
      </c>
      <c r="C47"/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/>
      <c r="X47"/>
      <c r="Y47"/>
      <c r="Z47" s="710"/>
      <c r="AB47" s="3"/>
    </row>
    <row r="48" spans="2:32" ht="12.75">
      <c r="B48" s="180" t="s">
        <v>187</v>
      </c>
      <c r="C48"/>
      <c r="D48" s="279"/>
      <c r="E48" s="279"/>
      <c r="F48" s="279"/>
      <c r="G48" s="279"/>
      <c r="H48" s="279"/>
      <c r="I48" s="279"/>
      <c r="J48" s="279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84"/>
      <c r="Y48" s="284"/>
      <c r="Z48" s="284"/>
      <c r="AA48"/>
      <c r="AB48" s="5"/>
    </row>
    <row r="49" spans="2:28" ht="12.75">
      <c r="B49" s="1148"/>
      <c r="C49" s="1148"/>
      <c r="D49" s="1148"/>
      <c r="E49" s="1148"/>
      <c r="F49" s="1148"/>
      <c r="G49" s="1148"/>
      <c r="U49" s="2"/>
      <c r="AA49"/>
    </row>
    <row r="52" spans="2:28">
      <c r="Z52" s="290"/>
      <c r="AA52" s="290"/>
      <c r="AB52" s="610"/>
    </row>
    <row r="53" spans="2:28">
      <c r="C53" s="290"/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</row>
    <row r="54" spans="2:28">
      <c r="P54" s="612"/>
    </row>
    <row r="59" spans="2:28" ht="12.75">
      <c r="D59" s="566"/>
      <c r="E59"/>
      <c r="F59"/>
      <c r="G59"/>
      <c r="H59"/>
      <c r="I59"/>
      <c r="J59"/>
    </row>
    <row r="60" spans="2:28" ht="12.75">
      <c r="D60" s="566"/>
      <c r="E60" s="566"/>
      <c r="F60" s="566"/>
      <c r="G60" s="566"/>
      <c r="H60" s="566"/>
      <c r="I60" s="566"/>
      <c r="J60" s="566"/>
    </row>
    <row r="61" spans="2:28" ht="12.75">
      <c r="D61" s="566"/>
      <c r="E61" s="566"/>
      <c r="F61" s="566"/>
      <c r="G61" s="566"/>
      <c r="H61" s="566"/>
      <c r="I61" s="566"/>
      <c r="J61" s="566"/>
    </row>
    <row r="62" spans="2:28" ht="12.75">
      <c r="D62" s="566"/>
      <c r="E62" s="566"/>
      <c r="F62" s="566"/>
      <c r="G62" s="566"/>
      <c r="H62" s="566"/>
      <c r="I62" s="566"/>
      <c r="J62" s="566"/>
    </row>
    <row r="63" spans="2:28" ht="12.75">
      <c r="D63" s="566"/>
      <c r="E63" s="566"/>
      <c r="F63" s="566"/>
      <c r="G63" s="566"/>
      <c r="H63" s="566"/>
      <c r="I63" s="566"/>
      <c r="J63" s="566"/>
    </row>
    <row r="64" spans="2:28" ht="12.75">
      <c r="D64" s="566"/>
      <c r="E64" s="566"/>
      <c r="F64" s="566"/>
      <c r="G64" s="566"/>
      <c r="H64" s="566"/>
      <c r="I64" s="566"/>
      <c r="J64" s="566"/>
    </row>
    <row r="65" spans="4:10" ht="12.75">
      <c r="D65" s="566"/>
      <c r="E65" s="566"/>
      <c r="F65" s="566"/>
      <c r="G65" s="566"/>
      <c r="H65" s="566"/>
      <c r="I65" s="566"/>
      <c r="J65" s="566"/>
    </row>
    <row r="66" spans="4:10" ht="12.75">
      <c r="D66" s="566"/>
      <c r="E66" s="566"/>
      <c r="F66" s="566"/>
      <c r="G66" s="566"/>
      <c r="H66" s="566"/>
      <c r="I66" s="566"/>
      <c r="J66" s="566"/>
    </row>
    <row r="67" spans="4:10" ht="12.75">
      <c r="D67" s="566"/>
      <c r="E67" s="566"/>
      <c r="F67" s="566"/>
      <c r="G67" s="566"/>
      <c r="H67" s="566"/>
      <c r="I67" s="566"/>
      <c r="J67" s="566"/>
    </row>
    <row r="68" spans="4:10" ht="12.75">
      <c r="D68" s="566"/>
      <c r="E68" s="566"/>
      <c r="F68" s="566"/>
      <c r="G68" s="566"/>
      <c r="H68" s="566"/>
      <c r="I68" s="566"/>
      <c r="J68" s="566"/>
    </row>
    <row r="69" spans="4:10" ht="12.75">
      <c r="D69" s="566"/>
      <c r="E69" s="566"/>
      <c r="F69" s="566"/>
      <c r="G69" s="566"/>
      <c r="H69" s="566"/>
      <c r="I69" s="566"/>
      <c r="J69" s="566"/>
    </row>
    <row r="70" spans="4:10" ht="12.75">
      <c r="D70" s="566"/>
      <c r="E70" s="566"/>
      <c r="F70" s="566"/>
      <c r="G70" s="566"/>
      <c r="H70" s="566"/>
      <c r="I70" s="566"/>
      <c r="J70" s="566"/>
    </row>
    <row r="71" spans="4:10" ht="12.75">
      <c r="D71" s="566"/>
      <c r="E71" s="566"/>
      <c r="F71" s="566"/>
      <c r="G71" s="566"/>
      <c r="H71" s="566"/>
      <c r="I71" s="566"/>
      <c r="J71" s="566"/>
    </row>
    <row r="72" spans="4:10" ht="12.75">
      <c r="D72" s="566"/>
      <c r="E72" s="566"/>
      <c r="F72" s="566"/>
      <c r="G72" s="566"/>
      <c r="H72" s="566"/>
      <c r="I72" s="566"/>
      <c r="J72" s="566"/>
    </row>
    <row r="73" spans="4:10" ht="12.75">
      <c r="D73" s="566"/>
      <c r="E73" s="566"/>
      <c r="F73" s="566"/>
      <c r="G73" s="566"/>
      <c r="H73" s="566"/>
      <c r="I73" s="566"/>
      <c r="J73" s="566"/>
    </row>
    <row r="74" spans="4:10" ht="12.75">
      <c r="D74" s="566"/>
      <c r="E74"/>
      <c r="F74"/>
      <c r="G74"/>
      <c r="H74"/>
      <c r="I74"/>
      <c r="J74"/>
    </row>
    <row r="79" spans="4:10">
      <c r="E79" s="180"/>
    </row>
  </sheetData>
  <mergeCells count="4">
    <mergeCell ref="B43:Z43"/>
    <mergeCell ref="B2:Z2"/>
    <mergeCell ref="B3:Z3"/>
    <mergeCell ref="B49:G49"/>
  </mergeCells>
  <phoneticPr fontId="4" type="noConversion"/>
  <printOptions horizontalCentered="1"/>
  <pageMargins left="0.6692913385826772" right="0.28000000000000003" top="0.51181102362204722" bottom="0.27559055118110237" header="0" footer="0"/>
  <pageSetup paperSize="9" scale="9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3"/>
  <dimension ref="A1:AB51"/>
  <sheetViews>
    <sheetView topLeftCell="G19" zoomScaleNormal="100" workbookViewId="0">
      <selection activeCell="AB5" sqref="AB5"/>
    </sheetView>
  </sheetViews>
  <sheetFormatPr defaultRowHeight="11.25"/>
  <cols>
    <col min="1" max="1" width="3.7109375" style="3" customWidth="1"/>
    <col min="2" max="2" width="4" style="3" customWidth="1"/>
    <col min="3" max="4" width="7.7109375" style="3" customWidth="1"/>
    <col min="5" max="5" width="7.7109375" style="2" customWidth="1"/>
    <col min="6" max="10" width="7.7109375" style="3" customWidth="1"/>
    <col min="11" max="24" width="8.28515625" style="3" customWidth="1"/>
    <col min="25" max="25" width="7" style="3" customWidth="1"/>
    <col min="26" max="26" width="6.140625" style="3" customWidth="1"/>
    <col min="27" max="27" width="4.28515625" style="3" customWidth="1"/>
    <col min="28" max="28" width="9.85546875" style="960" customWidth="1"/>
    <col min="29" max="16384" width="9.140625" style="3"/>
  </cols>
  <sheetData>
    <row r="1" spans="1:28" s="14" customFormat="1" ht="14.25" customHeight="1">
      <c r="A1" s="33"/>
      <c r="B1" s="31"/>
      <c r="C1" s="24"/>
      <c r="D1" s="24"/>
      <c r="E1" s="127"/>
      <c r="F1" s="24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 t="s">
        <v>133</v>
      </c>
      <c r="AA1" s="32"/>
      <c r="AB1" s="960"/>
    </row>
    <row r="2" spans="1:28" s="54" customFormat="1" ht="30" customHeight="1">
      <c r="A2" s="81"/>
      <c r="B2" s="1060" t="s">
        <v>306</v>
      </c>
      <c r="C2" s="1060"/>
      <c r="D2" s="1060"/>
      <c r="E2" s="1060"/>
      <c r="F2" s="1060"/>
      <c r="G2" s="1060"/>
      <c r="H2" s="1060"/>
      <c r="I2" s="1060"/>
      <c r="J2" s="1060"/>
      <c r="K2" s="1060"/>
      <c r="L2" s="1060"/>
      <c r="M2" s="1060"/>
      <c r="N2" s="1060"/>
      <c r="O2" s="1060"/>
      <c r="P2" s="1060"/>
      <c r="Q2" s="1060"/>
      <c r="R2" s="1060"/>
      <c r="S2" s="1060"/>
      <c r="T2" s="1060"/>
      <c r="U2" s="1060"/>
      <c r="V2" s="1060"/>
      <c r="W2" s="1060"/>
      <c r="X2" s="1060"/>
      <c r="Y2" s="1060"/>
      <c r="Z2" s="1060"/>
      <c r="AA2" s="536"/>
      <c r="AB2" s="895"/>
    </row>
    <row r="3" spans="1:28" s="14" customFormat="1" ht="18" customHeight="1">
      <c r="A3" s="33"/>
      <c r="B3" s="1040" t="s">
        <v>139</v>
      </c>
      <c r="C3" s="1040"/>
      <c r="D3" s="1040"/>
      <c r="E3" s="1040"/>
      <c r="F3" s="1040"/>
      <c r="G3" s="1040"/>
      <c r="H3" s="1040"/>
      <c r="I3" s="1040"/>
      <c r="J3" s="1040"/>
      <c r="K3" s="1040"/>
      <c r="L3" s="1040"/>
      <c r="M3" s="1040"/>
      <c r="N3" s="1040"/>
      <c r="O3" s="1040"/>
      <c r="P3" s="1040"/>
      <c r="Q3" s="1040"/>
      <c r="R3" s="1040"/>
      <c r="S3" s="1040"/>
      <c r="T3" s="1040"/>
      <c r="U3" s="1040"/>
      <c r="V3" s="1040"/>
      <c r="W3" s="1040"/>
      <c r="X3" s="1040"/>
      <c r="Y3" s="1040"/>
      <c r="Z3" s="1040"/>
      <c r="AA3" s="535"/>
      <c r="AB3" s="960"/>
    </row>
    <row r="4" spans="1:28" ht="24.95" customHeight="1">
      <c r="A4" s="2"/>
      <c r="B4" s="98"/>
      <c r="C4" s="51">
        <v>1970</v>
      </c>
      <c r="D4" s="52">
        <v>1980</v>
      </c>
      <c r="E4" s="52">
        <v>1990</v>
      </c>
      <c r="F4" s="52">
        <v>2000</v>
      </c>
      <c r="G4" s="52">
        <v>2001</v>
      </c>
      <c r="H4" s="52">
        <v>2002</v>
      </c>
      <c r="I4" s="52">
        <v>2003</v>
      </c>
      <c r="J4" s="52">
        <v>2004</v>
      </c>
      <c r="K4" s="52">
        <v>2005</v>
      </c>
      <c r="L4" s="52">
        <v>2006</v>
      </c>
      <c r="M4" s="52">
        <v>2007</v>
      </c>
      <c r="N4" s="52">
        <v>2008</v>
      </c>
      <c r="O4" s="52">
        <v>2009</v>
      </c>
      <c r="P4" s="280">
        <v>2010</v>
      </c>
      <c r="Q4" s="280">
        <v>2011</v>
      </c>
      <c r="R4" s="52">
        <v>2012</v>
      </c>
      <c r="S4" s="52">
        <v>2013</v>
      </c>
      <c r="T4" s="52">
        <v>2014</v>
      </c>
      <c r="U4" s="280">
        <v>2015</v>
      </c>
      <c r="V4" s="280">
        <v>2016</v>
      </c>
      <c r="W4" s="280">
        <v>2017</v>
      </c>
      <c r="X4" s="52">
        <v>2018</v>
      </c>
      <c r="Y4" s="52">
        <v>2019</v>
      </c>
      <c r="Z4" s="883"/>
      <c r="AA4" s="6"/>
      <c r="AB4" s="961" t="s">
        <v>365</v>
      </c>
    </row>
    <row r="5" spans="1:28" ht="12.75" customHeight="1">
      <c r="A5" s="2"/>
      <c r="B5" s="153" t="s">
        <v>266</v>
      </c>
      <c r="C5" s="425"/>
      <c r="D5" s="398"/>
      <c r="E5" s="397"/>
      <c r="F5" s="397">
        <f>SUM(F7:F33)</f>
        <v>100981</v>
      </c>
      <c r="G5" s="397">
        <f t="shared" ref="G5:W5" si="0">SUM(G7:G33)</f>
        <v>100989</v>
      </c>
      <c r="H5" s="397">
        <f t="shared" si="0"/>
        <v>98554</v>
      </c>
      <c r="I5" s="397">
        <f t="shared" si="0"/>
        <v>94388</v>
      </c>
      <c r="J5" s="397">
        <f t="shared" si="0"/>
        <v>90904</v>
      </c>
      <c r="K5" s="397">
        <f t="shared" si="0"/>
        <v>90831</v>
      </c>
      <c r="L5" s="397">
        <f t="shared" si="0"/>
        <v>84580</v>
      </c>
      <c r="M5" s="397">
        <f t="shared" si="0"/>
        <v>84669</v>
      </c>
      <c r="N5" s="397">
        <f t="shared" si="0"/>
        <v>86743</v>
      </c>
      <c r="O5" s="397">
        <f t="shared" si="0"/>
        <v>89614</v>
      </c>
      <c r="P5" s="397">
        <f t="shared" si="0"/>
        <v>89486</v>
      </c>
      <c r="Q5" s="397">
        <f t="shared" si="0"/>
        <v>85808</v>
      </c>
      <c r="R5" s="397">
        <f t="shared" si="0"/>
        <v>85848</v>
      </c>
      <c r="S5" s="397">
        <f t="shared" si="0"/>
        <v>84678</v>
      </c>
      <c r="T5" s="397">
        <f t="shared" si="0"/>
        <v>88636</v>
      </c>
      <c r="U5" s="397">
        <f t="shared" si="0"/>
        <v>85849</v>
      </c>
      <c r="V5" s="397">
        <f t="shared" si="0"/>
        <v>87443</v>
      </c>
      <c r="W5" s="397">
        <f t="shared" si="0"/>
        <v>84233</v>
      </c>
      <c r="X5" s="397">
        <f>SUM(X7:X33)</f>
        <v>84994</v>
      </c>
      <c r="Y5" s="469">
        <f>SUM(Y7:Y33)</f>
        <v>85462</v>
      </c>
      <c r="Z5" s="61" t="s">
        <v>266</v>
      </c>
      <c r="AA5" s="611"/>
      <c r="AB5" s="932">
        <f>Y5/X5*100-100</f>
        <v>0.55062710308963858</v>
      </c>
    </row>
    <row r="6" spans="1:28" ht="12.75" customHeight="1">
      <c r="A6" s="8"/>
      <c r="B6" s="153" t="s">
        <v>168</v>
      </c>
      <c r="C6" s="425"/>
      <c r="D6" s="398"/>
      <c r="E6" s="397"/>
      <c r="F6" s="397">
        <f t="shared" ref="F6:Y6" si="1">SUM(F7:F34)</f>
        <v>111405.17416748358</v>
      </c>
      <c r="G6" s="397">
        <f t="shared" si="1"/>
        <v>111414</v>
      </c>
      <c r="H6" s="397">
        <f t="shared" si="1"/>
        <v>115536</v>
      </c>
      <c r="I6" s="397">
        <f t="shared" si="1"/>
        <v>108950.5</v>
      </c>
      <c r="J6" s="397">
        <f t="shared" si="1"/>
        <v>103047</v>
      </c>
      <c r="K6" s="397">
        <f t="shared" si="1"/>
        <v>101765</v>
      </c>
      <c r="L6" s="397">
        <f t="shared" si="1"/>
        <v>95514</v>
      </c>
      <c r="M6" s="397">
        <f t="shared" si="1"/>
        <v>95565</v>
      </c>
      <c r="N6" s="397">
        <f t="shared" si="1"/>
        <v>98258</v>
      </c>
      <c r="O6" s="397">
        <f t="shared" si="1"/>
        <v>101365</v>
      </c>
      <c r="P6" s="397">
        <f t="shared" si="1"/>
        <v>101237</v>
      </c>
      <c r="Q6" s="397">
        <f t="shared" si="1"/>
        <v>97952</v>
      </c>
      <c r="R6" s="397">
        <f t="shared" si="1"/>
        <v>98082</v>
      </c>
      <c r="S6" s="397">
        <f t="shared" si="1"/>
        <v>97019</v>
      </c>
      <c r="T6" s="397">
        <f t="shared" si="1"/>
        <v>100940</v>
      </c>
      <c r="U6" s="397">
        <f t="shared" si="1"/>
        <v>98153</v>
      </c>
      <c r="V6" s="397">
        <f t="shared" si="1"/>
        <v>99747</v>
      </c>
      <c r="W6" s="397">
        <f t="shared" si="1"/>
        <v>96537</v>
      </c>
      <c r="X6" s="397">
        <f t="shared" si="1"/>
        <v>97298</v>
      </c>
      <c r="Y6" s="469">
        <f t="shared" si="1"/>
        <v>97766</v>
      </c>
      <c r="Z6" s="61" t="s">
        <v>168</v>
      </c>
      <c r="AA6" s="611"/>
      <c r="AB6" s="932">
        <f t="shared" ref="AB6:AB42" si="2">Y6/X6*100-100</f>
        <v>0.48099652613619526</v>
      </c>
    </row>
    <row r="7" spans="1:28" ht="12.75" customHeight="1">
      <c r="A7" s="8"/>
      <c r="B7" s="9" t="s">
        <v>52</v>
      </c>
      <c r="C7" s="477">
        <v>3415</v>
      </c>
      <c r="D7" s="478">
        <v>3609</v>
      </c>
      <c r="E7" s="478">
        <v>3286</v>
      </c>
      <c r="F7" s="478">
        <v>3494</v>
      </c>
      <c r="G7" s="478">
        <v>3462</v>
      </c>
      <c r="H7" s="478">
        <v>3413</v>
      </c>
      <c r="I7" s="478">
        <v>3358</v>
      </c>
      <c r="J7" s="478">
        <v>3292</v>
      </c>
      <c r="K7" s="478">
        <v>3251</v>
      </c>
      <c r="L7" s="478">
        <v>3235</v>
      </c>
      <c r="M7" s="478">
        <v>3275</v>
      </c>
      <c r="N7" s="478">
        <v>3201</v>
      </c>
      <c r="O7" s="478">
        <v>3412</v>
      </c>
      <c r="P7" s="478">
        <v>3412</v>
      </c>
      <c r="Q7" s="478">
        <v>3290</v>
      </c>
      <c r="R7" s="479">
        <v>3290</v>
      </c>
      <c r="S7" s="478">
        <v>2345</v>
      </c>
      <c r="T7" s="479">
        <f>2345</f>
        <v>2345</v>
      </c>
      <c r="U7" s="479">
        <v>2345</v>
      </c>
      <c r="V7" s="478">
        <v>3879</v>
      </c>
      <c r="W7" s="478">
        <v>3838</v>
      </c>
      <c r="X7" s="479">
        <v>3838</v>
      </c>
      <c r="Y7" s="479">
        <f>X7</f>
        <v>3838</v>
      </c>
      <c r="Z7" s="9" t="s">
        <v>52</v>
      </c>
      <c r="AA7" s="611"/>
      <c r="AB7" s="929">
        <f t="shared" si="2"/>
        <v>0</v>
      </c>
    </row>
    <row r="8" spans="1:28" ht="12.75" customHeight="1">
      <c r="A8" s="8"/>
      <c r="B8" s="49" t="s">
        <v>35</v>
      </c>
      <c r="C8" s="433">
        <v>1762</v>
      </c>
      <c r="D8" s="434">
        <v>2441</v>
      </c>
      <c r="E8" s="434">
        <v>2386</v>
      </c>
      <c r="F8" s="434">
        <v>2099</v>
      </c>
      <c r="G8" s="434">
        <v>1935</v>
      </c>
      <c r="H8" s="434">
        <v>1655</v>
      </c>
      <c r="I8" s="434">
        <v>1705</v>
      </c>
      <c r="J8" s="434">
        <f>1680+69</f>
        <v>1749</v>
      </c>
      <c r="K8" s="434">
        <f>1489+69</f>
        <v>1558</v>
      </c>
      <c r="L8" s="434">
        <f>1462+69</f>
        <v>1531</v>
      </c>
      <c r="M8" s="434">
        <f>1483+67</f>
        <v>1550</v>
      </c>
      <c r="N8" s="434">
        <v>1599</v>
      </c>
      <c r="O8" s="434">
        <f>1535+67</f>
        <v>1602</v>
      </c>
      <c r="P8" s="434">
        <v>1369</v>
      </c>
      <c r="Q8" s="434">
        <f>741+1036</f>
        <v>1777</v>
      </c>
      <c r="R8" s="434">
        <f>1036+741</f>
        <v>1777</v>
      </c>
      <c r="S8" s="537">
        <v>744</v>
      </c>
      <c r="T8" s="434">
        <f>729+30</f>
        <v>759</v>
      </c>
      <c r="U8" s="434">
        <v>756</v>
      </c>
      <c r="V8" s="434">
        <v>756</v>
      </c>
      <c r="W8" s="434">
        <v>756</v>
      </c>
      <c r="X8" s="931">
        <v>778</v>
      </c>
      <c r="Y8" s="931">
        <v>766</v>
      </c>
      <c r="Z8" s="49" t="s">
        <v>35</v>
      </c>
      <c r="AA8" s="611"/>
      <c r="AB8" s="878">
        <f t="shared" si="2"/>
        <v>-1.5424164524421684</v>
      </c>
    </row>
    <row r="9" spans="1:28" ht="12.75" customHeight="1">
      <c r="A9" s="8"/>
      <c r="B9" s="10" t="s">
        <v>37</v>
      </c>
      <c r="C9" s="453"/>
      <c r="D9" s="454"/>
      <c r="E9" s="454"/>
      <c r="F9" s="432">
        <v>5252</v>
      </c>
      <c r="G9" s="432">
        <v>5223</v>
      </c>
      <c r="H9" s="432">
        <v>5103</v>
      </c>
      <c r="I9" s="432">
        <v>5085</v>
      </c>
      <c r="J9" s="432">
        <v>4985</v>
      </c>
      <c r="K9" s="432">
        <f>4887+8</f>
        <v>4895</v>
      </c>
      <c r="L9" s="432">
        <f>4759+8</f>
        <v>4767</v>
      </c>
      <c r="M9" s="432">
        <f>4558+8</f>
        <v>4566</v>
      </c>
      <c r="N9" s="432">
        <v>4561</v>
      </c>
      <c r="O9" s="432">
        <f>4545+8</f>
        <v>4553</v>
      </c>
      <c r="P9" s="432">
        <v>4514</v>
      </c>
      <c r="Q9" s="432">
        <v>4463</v>
      </c>
      <c r="R9" s="432">
        <v>4419</v>
      </c>
      <c r="S9" s="432">
        <v>4312</v>
      </c>
      <c r="T9" s="432">
        <v>4363</v>
      </c>
      <c r="U9" s="432">
        <v>4139</v>
      </c>
      <c r="V9" s="432">
        <v>3988</v>
      </c>
      <c r="W9" s="432">
        <v>3872</v>
      </c>
      <c r="X9" s="432">
        <v>3845</v>
      </c>
      <c r="Y9" s="432">
        <v>3816</v>
      </c>
      <c r="Z9" s="10" t="s">
        <v>37</v>
      </c>
      <c r="AA9" s="611"/>
      <c r="AB9" s="877">
        <f t="shared" si="2"/>
        <v>-0.75422626788036951</v>
      </c>
    </row>
    <row r="10" spans="1:28" ht="12.75" customHeight="1">
      <c r="A10" s="8"/>
      <c r="B10" s="49" t="s">
        <v>48</v>
      </c>
      <c r="C10" s="433">
        <v>1526</v>
      </c>
      <c r="D10" s="434">
        <v>1613</v>
      </c>
      <c r="E10" s="434">
        <v>1594</v>
      </c>
      <c r="F10" s="434">
        <v>1590</v>
      </c>
      <c r="G10" s="434">
        <v>1573</v>
      </c>
      <c r="H10" s="434">
        <v>1704</v>
      </c>
      <c r="I10" s="434">
        <v>1538</v>
      </c>
      <c r="J10" s="434">
        <v>1525</v>
      </c>
      <c r="K10" s="434">
        <v>1473</v>
      </c>
      <c r="L10" s="434">
        <v>1473</v>
      </c>
      <c r="M10" s="434">
        <v>1473</v>
      </c>
      <c r="N10" s="434">
        <v>1523</v>
      </c>
      <c r="O10" s="434">
        <v>1737</v>
      </c>
      <c r="P10" s="434">
        <v>1307</v>
      </c>
      <c r="Q10" s="434">
        <v>767</v>
      </c>
      <c r="R10" s="434">
        <v>1002</v>
      </c>
      <c r="S10" s="434">
        <v>1983</v>
      </c>
      <c r="T10" s="434">
        <v>2029</v>
      </c>
      <c r="U10" s="434">
        <v>2209</v>
      </c>
      <c r="V10" s="434">
        <f>113+1984</f>
        <v>2097</v>
      </c>
      <c r="W10" s="434">
        <v>2041</v>
      </c>
      <c r="X10" s="931">
        <v>1999</v>
      </c>
      <c r="Y10" s="931">
        <v>1927</v>
      </c>
      <c r="Z10" s="49" t="s">
        <v>48</v>
      </c>
      <c r="AA10" s="611"/>
      <c r="AB10" s="878">
        <f t="shared" si="2"/>
        <v>-3.6018009004502289</v>
      </c>
    </row>
    <row r="11" spans="1:28" ht="12.75" customHeight="1">
      <c r="A11" s="8"/>
      <c r="B11" s="10" t="s">
        <v>53</v>
      </c>
      <c r="C11" s="456">
        <v>31506</v>
      </c>
      <c r="D11" s="432">
        <v>29118</v>
      </c>
      <c r="E11" s="432">
        <v>24139</v>
      </c>
      <c r="F11" s="432">
        <v>21097</v>
      </c>
      <c r="G11" s="432">
        <v>21139</v>
      </c>
      <c r="H11" s="432">
        <v>21728</v>
      </c>
      <c r="I11" s="432">
        <f>20916+76</f>
        <v>20992</v>
      </c>
      <c r="J11" s="432">
        <v>20396</v>
      </c>
      <c r="K11" s="432">
        <v>20169</v>
      </c>
      <c r="L11" s="432">
        <v>18174</v>
      </c>
      <c r="M11" s="432">
        <v>17537</v>
      </c>
      <c r="N11" s="432">
        <v>18671</v>
      </c>
      <c r="O11" s="432">
        <v>18607</v>
      </c>
      <c r="P11" s="432">
        <v>18565</v>
      </c>
      <c r="Q11" s="432">
        <v>17849</v>
      </c>
      <c r="R11" s="432">
        <v>17743</v>
      </c>
      <c r="S11" s="432">
        <v>18290</v>
      </c>
      <c r="T11" s="432">
        <v>21217</v>
      </c>
      <c r="U11" s="432">
        <f>12341+6649</f>
        <v>18990</v>
      </c>
      <c r="V11" s="432">
        <f>6291+12743</f>
        <v>19034</v>
      </c>
      <c r="W11" s="432">
        <v>17753</v>
      </c>
      <c r="X11" s="432">
        <v>18059</v>
      </c>
      <c r="Y11" s="432">
        <v>18133</v>
      </c>
      <c r="Z11" s="10" t="s">
        <v>53</v>
      </c>
      <c r="AA11" s="611"/>
      <c r="AB11" s="877">
        <f t="shared" si="2"/>
        <v>0.40976798272329518</v>
      </c>
    </row>
    <row r="12" spans="1:28" ht="12.75" customHeight="1">
      <c r="A12" s="8"/>
      <c r="B12" s="49" t="s">
        <v>38</v>
      </c>
      <c r="C12" s="433"/>
      <c r="D12" s="434"/>
      <c r="E12" s="458">
        <v>596</v>
      </c>
      <c r="F12" s="434">
        <v>241</v>
      </c>
      <c r="G12" s="434">
        <v>308</v>
      </c>
      <c r="H12" s="434">
        <v>203</v>
      </c>
      <c r="I12" s="434">
        <v>251</v>
      </c>
      <c r="J12" s="434">
        <v>192</v>
      </c>
      <c r="K12" s="434">
        <v>234</v>
      </c>
      <c r="L12" s="434">
        <v>234</v>
      </c>
      <c r="M12" s="434">
        <v>186</v>
      </c>
      <c r="N12" s="434">
        <v>186</v>
      </c>
      <c r="O12" s="434">
        <v>215</v>
      </c>
      <c r="P12" s="434">
        <v>217</v>
      </c>
      <c r="Q12" s="434">
        <v>217</v>
      </c>
      <c r="R12" s="434">
        <v>253</v>
      </c>
      <c r="S12" s="434">
        <v>267</v>
      </c>
      <c r="T12" s="434">
        <v>280</v>
      </c>
      <c r="U12" s="434">
        <v>280</v>
      </c>
      <c r="V12" s="434">
        <v>280</v>
      </c>
      <c r="W12" s="434">
        <v>274</v>
      </c>
      <c r="X12" s="931">
        <v>273</v>
      </c>
      <c r="Y12" s="931">
        <v>267</v>
      </c>
      <c r="Z12" s="49" t="s">
        <v>38</v>
      </c>
      <c r="AA12" s="611"/>
      <c r="AB12" s="878">
        <f t="shared" si="2"/>
        <v>-2.1978021978022042</v>
      </c>
    </row>
    <row r="13" spans="1:28" ht="12.75" customHeight="1">
      <c r="A13" s="8"/>
      <c r="B13" s="10" t="s">
        <v>56</v>
      </c>
      <c r="C13" s="431">
        <v>484</v>
      </c>
      <c r="D13" s="432">
        <v>348</v>
      </c>
      <c r="E13" s="432">
        <v>314</v>
      </c>
      <c r="F13" s="432">
        <v>421</v>
      </c>
      <c r="G13" s="432">
        <v>418</v>
      </c>
      <c r="H13" s="432">
        <v>419</v>
      </c>
      <c r="I13" s="432">
        <v>405</v>
      </c>
      <c r="J13" s="432">
        <v>554</v>
      </c>
      <c r="K13" s="432">
        <v>581</v>
      </c>
      <c r="L13" s="432">
        <v>581</v>
      </c>
      <c r="M13" s="432">
        <v>581</v>
      </c>
      <c r="N13" s="432">
        <v>649</v>
      </c>
      <c r="O13" s="432">
        <v>592</v>
      </c>
      <c r="P13" s="452">
        <v>592</v>
      </c>
      <c r="Q13" s="452">
        <f>P13</f>
        <v>592</v>
      </c>
      <c r="R13" s="455">
        <v>426</v>
      </c>
      <c r="S13" s="432">
        <v>426</v>
      </c>
      <c r="T13" s="432">
        <v>426</v>
      </c>
      <c r="U13" s="432">
        <v>426</v>
      </c>
      <c r="V13" s="432">
        <v>426</v>
      </c>
      <c r="W13" s="432">
        <v>426</v>
      </c>
      <c r="X13" s="432">
        <v>426</v>
      </c>
      <c r="Y13" s="432">
        <v>426</v>
      </c>
      <c r="Z13" s="10" t="s">
        <v>56</v>
      </c>
      <c r="AA13" s="611"/>
      <c r="AB13" s="877">
        <f t="shared" si="2"/>
        <v>0</v>
      </c>
    </row>
    <row r="14" spans="1:28" ht="12.75" customHeight="1">
      <c r="A14" s="8"/>
      <c r="B14" s="49" t="s">
        <v>49</v>
      </c>
      <c r="C14" s="433">
        <v>574</v>
      </c>
      <c r="D14" s="434">
        <v>660</v>
      </c>
      <c r="E14" s="434">
        <v>810</v>
      </c>
      <c r="F14" s="434">
        <v>505</v>
      </c>
      <c r="G14" s="434">
        <v>509</v>
      </c>
      <c r="H14" s="434">
        <v>660</v>
      </c>
      <c r="I14" s="434">
        <v>457</v>
      </c>
      <c r="J14" s="434">
        <f>376+138</f>
        <v>514</v>
      </c>
      <c r="K14" s="434">
        <f>427+137</f>
        <v>564</v>
      </c>
      <c r="L14" s="434">
        <f>509+82</f>
        <v>591</v>
      </c>
      <c r="M14" s="434">
        <f>674+107</f>
        <v>781</v>
      </c>
      <c r="N14" s="434">
        <v>793</v>
      </c>
      <c r="O14" s="434">
        <v>793</v>
      </c>
      <c r="P14" s="434">
        <v>718</v>
      </c>
      <c r="Q14" s="434">
        <v>718</v>
      </c>
      <c r="R14" s="434">
        <v>718</v>
      </c>
      <c r="S14" s="434">
        <v>724</v>
      </c>
      <c r="T14" s="434">
        <v>707</v>
      </c>
      <c r="U14" s="434">
        <v>707</v>
      </c>
      <c r="V14" s="434">
        <v>707</v>
      </c>
      <c r="W14" s="434">
        <v>707</v>
      </c>
      <c r="X14" s="458">
        <v>707</v>
      </c>
      <c r="Y14" s="458">
        <v>707</v>
      </c>
      <c r="Z14" s="49" t="s">
        <v>49</v>
      </c>
      <c r="AA14" s="611"/>
      <c r="AB14" s="878">
        <f t="shared" si="2"/>
        <v>0</v>
      </c>
    </row>
    <row r="15" spans="1:28" ht="12.75" customHeight="1">
      <c r="A15" s="8"/>
      <c r="B15" s="10" t="s">
        <v>54</v>
      </c>
      <c r="C15" s="431">
        <v>3904</v>
      </c>
      <c r="D15" s="432">
        <v>3721</v>
      </c>
      <c r="E15" s="432">
        <v>3839</v>
      </c>
      <c r="F15" s="432">
        <v>4315</v>
      </c>
      <c r="G15" s="432">
        <v>4267</v>
      </c>
      <c r="H15" s="432">
        <v>4345</v>
      </c>
      <c r="I15" s="432">
        <v>4408</v>
      </c>
      <c r="J15" s="432">
        <v>4473</v>
      </c>
      <c r="K15" s="432">
        <v>5236</v>
      </c>
      <c r="L15" s="432">
        <v>5021</v>
      </c>
      <c r="M15" s="432">
        <v>5033</v>
      </c>
      <c r="N15" s="432">
        <v>4732</v>
      </c>
      <c r="O15" s="432">
        <v>5253</v>
      </c>
      <c r="P15" s="432">
        <v>5365</v>
      </c>
      <c r="Q15" s="432">
        <v>5327</v>
      </c>
      <c r="R15" s="452">
        <v>4944</v>
      </c>
      <c r="S15" s="452">
        <v>5225</v>
      </c>
      <c r="T15" s="452">
        <v>5285</v>
      </c>
      <c r="U15" s="452">
        <v>4292</v>
      </c>
      <c r="V15" s="452">
        <v>4280</v>
      </c>
      <c r="W15" s="432">
        <v>4321</v>
      </c>
      <c r="X15" s="432">
        <v>4267</v>
      </c>
      <c r="Y15" s="432">
        <v>4387</v>
      </c>
      <c r="Z15" s="10" t="s">
        <v>54</v>
      </c>
      <c r="AA15" s="611"/>
      <c r="AB15" s="877">
        <f t="shared" si="2"/>
        <v>2.8122802906023026</v>
      </c>
    </row>
    <row r="16" spans="1:28" ht="12.75" customHeight="1">
      <c r="A16" s="8"/>
      <c r="B16" s="49" t="s">
        <v>55</v>
      </c>
      <c r="C16" s="433">
        <v>15663</v>
      </c>
      <c r="D16" s="434">
        <v>16032</v>
      </c>
      <c r="E16" s="434">
        <v>15748</v>
      </c>
      <c r="F16" s="434">
        <v>15694</v>
      </c>
      <c r="G16" s="434">
        <v>16653</v>
      </c>
      <c r="H16" s="434">
        <v>15685</v>
      </c>
      <c r="I16" s="434">
        <v>15553</v>
      </c>
      <c r="J16" s="434">
        <v>15630</v>
      </c>
      <c r="K16" s="434">
        <v>15879</v>
      </c>
      <c r="L16" s="434">
        <v>12258</v>
      </c>
      <c r="M16" s="434">
        <v>12550</v>
      </c>
      <c r="N16" s="434">
        <v>12751</v>
      </c>
      <c r="O16" s="434">
        <v>12974</v>
      </c>
      <c r="P16" s="434">
        <v>13521</v>
      </c>
      <c r="Q16" s="434">
        <v>13957</v>
      </c>
      <c r="R16" s="434">
        <v>14688</v>
      </c>
      <c r="S16" s="434">
        <v>14972</v>
      </c>
      <c r="T16" s="434">
        <v>16204</v>
      </c>
      <c r="U16" s="458">
        <v>16204</v>
      </c>
      <c r="V16" s="434">
        <v>16551</v>
      </c>
      <c r="W16" s="434">
        <v>15022</v>
      </c>
      <c r="X16" s="931">
        <v>16493</v>
      </c>
      <c r="Y16" s="931">
        <v>16782</v>
      </c>
      <c r="Z16" s="49" t="s">
        <v>55</v>
      </c>
      <c r="AA16" s="611"/>
      <c r="AB16" s="878">
        <f t="shared" si="2"/>
        <v>1.7522585339234951</v>
      </c>
    </row>
    <row r="17" spans="1:28" ht="12.75" customHeight="1">
      <c r="A17" s="8"/>
      <c r="B17" s="10" t="s">
        <v>66</v>
      </c>
      <c r="C17" s="431"/>
      <c r="D17" s="432"/>
      <c r="E17" s="432">
        <v>1052</v>
      </c>
      <c r="F17" s="432">
        <v>720</v>
      </c>
      <c r="G17" s="432">
        <v>698</v>
      </c>
      <c r="H17" s="432">
        <v>681</v>
      </c>
      <c r="I17" s="432">
        <v>640</v>
      </c>
      <c r="J17" s="432">
        <v>617</v>
      </c>
      <c r="K17" s="432">
        <v>579</v>
      </c>
      <c r="L17" s="432">
        <v>571</v>
      </c>
      <c r="M17" s="432">
        <v>552</v>
      </c>
      <c r="N17" s="432">
        <v>553</v>
      </c>
      <c r="O17" s="432">
        <v>523</v>
      </c>
      <c r="P17" s="432">
        <v>523</v>
      </c>
      <c r="Q17" s="432">
        <v>519</v>
      </c>
      <c r="R17" s="452">
        <v>519</v>
      </c>
      <c r="S17" s="432">
        <v>541</v>
      </c>
      <c r="T17" s="432">
        <v>529</v>
      </c>
      <c r="U17" s="432">
        <v>545</v>
      </c>
      <c r="V17" s="432">
        <f>325+218</f>
        <v>543</v>
      </c>
      <c r="W17" s="432">
        <v>513</v>
      </c>
      <c r="X17" s="432">
        <v>497</v>
      </c>
      <c r="Y17" s="432">
        <v>452</v>
      </c>
      <c r="Z17" s="10" t="s">
        <v>66</v>
      </c>
      <c r="AA17" s="611"/>
      <c r="AB17" s="877">
        <f t="shared" si="2"/>
        <v>-9.0543259557344129</v>
      </c>
    </row>
    <row r="18" spans="1:28" ht="12.75" customHeight="1">
      <c r="A18" s="8"/>
      <c r="B18" s="154" t="s">
        <v>57</v>
      </c>
      <c r="C18" s="433">
        <v>11060</v>
      </c>
      <c r="D18" s="434">
        <v>13444</v>
      </c>
      <c r="E18" s="434">
        <v>14025</v>
      </c>
      <c r="F18" s="434">
        <v>11914</v>
      </c>
      <c r="G18" s="434">
        <v>11933</v>
      </c>
      <c r="H18" s="434">
        <v>11007</v>
      </c>
      <c r="I18" s="434">
        <f>10374+439</f>
        <v>10813</v>
      </c>
      <c r="J18" s="434">
        <f>10036+241</f>
        <v>10277</v>
      </c>
      <c r="K18" s="434">
        <f>241+9825</f>
        <v>10066</v>
      </c>
      <c r="L18" s="434">
        <f>425+9993</f>
        <v>10418</v>
      </c>
      <c r="M18" s="434">
        <f>425+9749</f>
        <v>10174</v>
      </c>
      <c r="N18" s="434">
        <v>9825</v>
      </c>
      <c r="O18" s="434">
        <f>543+11931</f>
        <v>12474</v>
      </c>
      <c r="P18" s="434">
        <v>12465</v>
      </c>
      <c r="Q18" s="434">
        <v>10743</v>
      </c>
      <c r="R18" s="434">
        <f>10035+6</f>
        <v>10041</v>
      </c>
      <c r="S18" s="434">
        <v>9510</v>
      </c>
      <c r="T18" s="434">
        <v>9022</v>
      </c>
      <c r="U18" s="434">
        <v>9762</v>
      </c>
      <c r="V18" s="434">
        <v>9443</v>
      </c>
      <c r="W18" s="434">
        <v>9050</v>
      </c>
      <c r="X18" s="434">
        <v>8692</v>
      </c>
      <c r="Y18" s="434">
        <v>8588</v>
      </c>
      <c r="Z18" s="154" t="s">
        <v>57</v>
      </c>
      <c r="AA18" s="611"/>
      <c r="AB18" s="301">
        <f t="shared" si="2"/>
        <v>-1.1965025310630466</v>
      </c>
    </row>
    <row r="19" spans="1:28" ht="12.75" customHeight="1">
      <c r="A19" s="8"/>
      <c r="B19" s="10" t="s">
        <v>36</v>
      </c>
      <c r="C19" s="453" t="s">
        <v>65</v>
      </c>
      <c r="D19" s="454" t="s">
        <v>65</v>
      </c>
      <c r="E19" s="454" t="s">
        <v>65</v>
      </c>
      <c r="F19" s="454" t="s">
        <v>65</v>
      </c>
      <c r="G19" s="454" t="s">
        <v>65</v>
      </c>
      <c r="H19" s="454" t="s">
        <v>65</v>
      </c>
      <c r="I19" s="454" t="s">
        <v>65</v>
      </c>
      <c r="J19" s="454" t="s">
        <v>65</v>
      </c>
      <c r="K19" s="454" t="s">
        <v>65</v>
      </c>
      <c r="L19" s="454" t="s">
        <v>65</v>
      </c>
      <c r="M19" s="454" t="s">
        <v>65</v>
      </c>
      <c r="N19" s="454" t="s">
        <v>65</v>
      </c>
      <c r="O19" s="454" t="s">
        <v>65</v>
      </c>
      <c r="P19" s="454" t="s">
        <v>65</v>
      </c>
      <c r="Q19" s="454" t="s">
        <v>65</v>
      </c>
      <c r="R19" s="454" t="s">
        <v>65</v>
      </c>
      <c r="S19" s="454" t="s">
        <v>65</v>
      </c>
      <c r="T19" s="454" t="s">
        <v>65</v>
      </c>
      <c r="U19" s="454" t="s">
        <v>65</v>
      </c>
      <c r="V19" s="454" t="s">
        <v>65</v>
      </c>
      <c r="W19" s="454" t="s">
        <v>65</v>
      </c>
      <c r="X19" s="454" t="s">
        <v>65</v>
      </c>
      <c r="Y19" s="454" t="s">
        <v>65</v>
      </c>
      <c r="Z19" s="10" t="s">
        <v>36</v>
      </c>
      <c r="AA19" s="611"/>
      <c r="AB19" s="953" t="s">
        <v>65</v>
      </c>
    </row>
    <row r="20" spans="1:28" ht="12.75" customHeight="1">
      <c r="A20" s="8"/>
      <c r="B20" s="154" t="s">
        <v>40</v>
      </c>
      <c r="C20" s="433"/>
      <c r="D20" s="434"/>
      <c r="E20" s="434">
        <v>1226</v>
      </c>
      <c r="F20" s="434">
        <v>702</v>
      </c>
      <c r="G20" s="434">
        <v>621</v>
      </c>
      <c r="H20" s="434">
        <v>597</v>
      </c>
      <c r="I20" s="434">
        <v>579</v>
      </c>
      <c r="J20" s="434">
        <v>535</v>
      </c>
      <c r="K20" s="434">
        <v>490</v>
      </c>
      <c r="L20" s="434">
        <v>490</v>
      </c>
      <c r="M20" s="434">
        <v>491</v>
      </c>
      <c r="N20" s="434">
        <v>451</v>
      </c>
      <c r="O20" s="434">
        <v>294</v>
      </c>
      <c r="P20" s="434">
        <v>238</v>
      </c>
      <c r="Q20" s="434">
        <v>238</v>
      </c>
      <c r="R20" s="434">
        <v>238</v>
      </c>
      <c r="S20" s="434">
        <v>238</v>
      </c>
      <c r="T20" s="434">
        <v>238</v>
      </c>
      <c r="U20" s="434">
        <v>374</v>
      </c>
      <c r="V20" s="434">
        <v>372</v>
      </c>
      <c r="W20" s="434">
        <v>370</v>
      </c>
      <c r="X20" s="434">
        <v>370</v>
      </c>
      <c r="Y20" s="462">
        <f>X20</f>
        <v>370</v>
      </c>
      <c r="Z20" s="154" t="s">
        <v>40</v>
      </c>
      <c r="AA20" s="611"/>
      <c r="AB20" s="301">
        <f t="shared" si="2"/>
        <v>0</v>
      </c>
    </row>
    <row r="21" spans="1:28" ht="12.75" customHeight="1">
      <c r="A21" s="8"/>
      <c r="B21" s="10" t="s">
        <v>41</v>
      </c>
      <c r="C21" s="431"/>
      <c r="D21" s="432"/>
      <c r="E21" s="452">
        <v>664</v>
      </c>
      <c r="F21" s="432">
        <v>563</v>
      </c>
      <c r="G21" s="432">
        <v>537</v>
      </c>
      <c r="H21" s="432">
        <v>509</v>
      </c>
      <c r="I21" s="432">
        <v>480</v>
      </c>
      <c r="J21" s="432">
        <v>475</v>
      </c>
      <c r="K21" s="432">
        <v>467</v>
      </c>
      <c r="L21" s="432">
        <v>458</v>
      </c>
      <c r="M21" s="432">
        <v>423</v>
      </c>
      <c r="N21" s="432">
        <v>363</v>
      </c>
      <c r="O21" s="432">
        <v>340</v>
      </c>
      <c r="P21" s="432">
        <v>337</v>
      </c>
      <c r="Q21" s="432">
        <v>268</v>
      </c>
      <c r="R21" s="432">
        <v>262</v>
      </c>
      <c r="S21" s="432">
        <v>264</v>
      </c>
      <c r="T21" s="432">
        <v>234</v>
      </c>
      <c r="U21" s="432">
        <v>217</v>
      </c>
      <c r="V21" s="432">
        <v>230</v>
      </c>
      <c r="W21" s="432">
        <v>214</v>
      </c>
      <c r="X21" s="432">
        <v>192</v>
      </c>
      <c r="Y21" s="472">
        <v>171</v>
      </c>
      <c r="Z21" s="10" t="s">
        <v>41</v>
      </c>
      <c r="AA21" s="611"/>
      <c r="AB21" s="274">
        <f t="shared" si="2"/>
        <v>-10.9375</v>
      </c>
    </row>
    <row r="22" spans="1:28" ht="12.75" customHeight="1">
      <c r="A22" s="8"/>
      <c r="B22" s="154" t="s">
        <v>58</v>
      </c>
      <c r="C22" s="433">
        <v>114</v>
      </c>
      <c r="D22" s="434">
        <v>102</v>
      </c>
      <c r="E22" s="434">
        <v>114</v>
      </c>
      <c r="F22" s="434">
        <v>149</v>
      </c>
      <c r="G22" s="434">
        <v>152</v>
      </c>
      <c r="H22" s="434">
        <v>150</v>
      </c>
      <c r="I22" s="434">
        <v>150</v>
      </c>
      <c r="J22" s="434">
        <v>212</v>
      </c>
      <c r="K22" s="434">
        <v>185</v>
      </c>
      <c r="L22" s="434">
        <v>191</v>
      </c>
      <c r="M22" s="434">
        <v>191</v>
      </c>
      <c r="N22" s="434">
        <v>187</v>
      </c>
      <c r="O22" s="434">
        <v>187</v>
      </c>
      <c r="P22" s="434">
        <v>214</v>
      </c>
      <c r="Q22" s="434">
        <v>210</v>
      </c>
      <c r="R22" s="434">
        <v>210</v>
      </c>
      <c r="S22" s="434">
        <v>210</v>
      </c>
      <c r="T22" s="434">
        <v>210</v>
      </c>
      <c r="U22" s="434">
        <v>242</v>
      </c>
      <c r="V22" s="434">
        <v>242</v>
      </c>
      <c r="W22" s="434">
        <v>259</v>
      </c>
      <c r="X22" s="434">
        <v>251</v>
      </c>
      <c r="Y22" s="474">
        <v>251</v>
      </c>
      <c r="Z22" s="304" t="s">
        <v>58</v>
      </c>
      <c r="AA22" s="611"/>
      <c r="AB22" s="301">
        <f t="shared" si="2"/>
        <v>0</v>
      </c>
    </row>
    <row r="23" spans="1:28" ht="12.75" customHeight="1">
      <c r="A23" s="8"/>
      <c r="B23" s="10" t="s">
        <v>39</v>
      </c>
      <c r="C23" s="431"/>
      <c r="D23" s="432"/>
      <c r="E23" s="432">
        <v>4385</v>
      </c>
      <c r="F23" s="432">
        <v>3232</v>
      </c>
      <c r="G23" s="432">
        <v>3142</v>
      </c>
      <c r="H23" s="432">
        <v>3376</v>
      </c>
      <c r="I23" s="432">
        <f>52+2882+81</f>
        <v>3015</v>
      </c>
      <c r="J23" s="432">
        <f>65+3249+82</f>
        <v>3396</v>
      </c>
      <c r="K23" s="432">
        <f>2646+76+65</f>
        <v>2787</v>
      </c>
      <c r="L23" s="432">
        <f>65+2657+75</f>
        <v>2797</v>
      </c>
      <c r="M23" s="432">
        <f>65+2520+787</f>
        <v>3372</v>
      </c>
      <c r="N23" s="432">
        <v>3253</v>
      </c>
      <c r="O23" s="432">
        <f>82+2198+791</f>
        <v>3071</v>
      </c>
      <c r="P23" s="432">
        <v>3136</v>
      </c>
      <c r="Q23" s="432">
        <v>2931</v>
      </c>
      <c r="R23" s="432">
        <f>108+2978</f>
        <v>3086</v>
      </c>
      <c r="S23" s="432">
        <f>108+2350</f>
        <v>2458</v>
      </c>
      <c r="T23" s="432">
        <f>2396+103</f>
        <v>2499</v>
      </c>
      <c r="U23" s="432">
        <v>2495</v>
      </c>
      <c r="V23" s="432">
        <v>2602</v>
      </c>
      <c r="W23" s="432">
        <v>2331</v>
      </c>
      <c r="X23" s="452">
        <f>2176+129</f>
        <v>2305</v>
      </c>
      <c r="Y23" s="470">
        <v>2261</v>
      </c>
      <c r="Z23" s="64" t="s">
        <v>39</v>
      </c>
      <c r="AA23" s="611"/>
      <c r="AB23" s="274">
        <f t="shared" si="2"/>
        <v>-1.9088937093275575</v>
      </c>
    </row>
    <row r="24" spans="1:28" ht="12.75" customHeight="1">
      <c r="A24" s="8"/>
      <c r="B24" s="154" t="s">
        <v>42</v>
      </c>
      <c r="C24" s="463" t="s">
        <v>65</v>
      </c>
      <c r="D24" s="464" t="s">
        <v>65</v>
      </c>
      <c r="E24" s="464" t="s">
        <v>65</v>
      </c>
      <c r="F24" s="464" t="s">
        <v>65</v>
      </c>
      <c r="G24" s="464" t="s">
        <v>65</v>
      </c>
      <c r="H24" s="464" t="s">
        <v>65</v>
      </c>
      <c r="I24" s="464" t="s">
        <v>65</v>
      </c>
      <c r="J24" s="464" t="s">
        <v>65</v>
      </c>
      <c r="K24" s="464" t="s">
        <v>65</v>
      </c>
      <c r="L24" s="464" t="s">
        <v>65</v>
      </c>
      <c r="M24" s="464" t="s">
        <v>65</v>
      </c>
      <c r="N24" s="464" t="s">
        <v>65</v>
      </c>
      <c r="O24" s="464" t="s">
        <v>65</v>
      </c>
      <c r="P24" s="464" t="s">
        <v>65</v>
      </c>
      <c r="Q24" s="464" t="s">
        <v>65</v>
      </c>
      <c r="R24" s="464" t="s">
        <v>65</v>
      </c>
      <c r="S24" s="464" t="s">
        <v>65</v>
      </c>
      <c r="T24" s="464" t="s">
        <v>65</v>
      </c>
      <c r="U24" s="464" t="s">
        <v>65</v>
      </c>
      <c r="V24" s="464" t="s">
        <v>65</v>
      </c>
      <c r="W24" s="464" t="s">
        <v>65</v>
      </c>
      <c r="X24" s="464" t="s">
        <v>65</v>
      </c>
      <c r="Y24" s="464" t="s">
        <v>65</v>
      </c>
      <c r="Z24" s="304" t="s">
        <v>42</v>
      </c>
      <c r="AA24" s="611"/>
      <c r="AB24" s="959" t="s">
        <v>65</v>
      </c>
    </row>
    <row r="25" spans="1:28" ht="12.75" customHeight="1">
      <c r="A25" s="8"/>
      <c r="B25" s="10" t="s">
        <v>50</v>
      </c>
      <c r="C25" s="431">
        <v>1919</v>
      </c>
      <c r="D25" s="432">
        <v>1958</v>
      </c>
      <c r="E25" s="432">
        <v>2268</v>
      </c>
      <c r="F25" s="432">
        <v>2742</v>
      </c>
      <c r="G25" s="432">
        <v>2742</v>
      </c>
      <c r="H25" s="432">
        <v>2693</v>
      </c>
      <c r="I25" s="484">
        <v>2758</v>
      </c>
      <c r="J25" s="432">
        <v>833</v>
      </c>
      <c r="K25" s="432">
        <v>852</v>
      </c>
      <c r="L25" s="432">
        <v>870</v>
      </c>
      <c r="M25" s="457">
        <v>833</v>
      </c>
      <c r="N25" s="432">
        <v>2818</v>
      </c>
      <c r="O25" s="432">
        <v>2531</v>
      </c>
      <c r="P25" s="432">
        <v>2824</v>
      </c>
      <c r="Q25" s="432">
        <v>2854</v>
      </c>
      <c r="R25" s="432">
        <v>2948</v>
      </c>
      <c r="S25" s="432">
        <v>2895</v>
      </c>
      <c r="T25" s="432">
        <v>2849</v>
      </c>
      <c r="U25" s="432">
        <f>208+2583</f>
        <v>2791</v>
      </c>
      <c r="V25" s="432">
        <f>282+2711</f>
        <v>2993</v>
      </c>
      <c r="W25" s="432">
        <v>3093</v>
      </c>
      <c r="X25" s="432">
        <v>3165</v>
      </c>
      <c r="Y25" s="472">
        <v>3233</v>
      </c>
      <c r="Z25" s="64" t="s">
        <v>50</v>
      </c>
      <c r="AA25" s="611"/>
      <c r="AB25" s="274">
        <f t="shared" si="2"/>
        <v>2.1484992101105718</v>
      </c>
    </row>
    <row r="26" spans="1:28" ht="12.75" customHeight="1">
      <c r="A26" s="8"/>
      <c r="B26" s="154" t="s">
        <v>59</v>
      </c>
      <c r="C26" s="433">
        <v>4125</v>
      </c>
      <c r="D26" s="434">
        <v>4025</v>
      </c>
      <c r="E26" s="434">
        <v>3689</v>
      </c>
      <c r="F26" s="434">
        <v>3468</v>
      </c>
      <c r="G26" s="434">
        <v>3332</v>
      </c>
      <c r="H26" s="434">
        <v>3320</v>
      </c>
      <c r="I26" s="434">
        <f>21+3017+111+26</f>
        <v>3175</v>
      </c>
      <c r="J26" s="434">
        <f>24+2938+140</f>
        <v>3102</v>
      </c>
      <c r="K26" s="434">
        <f>24+2949+139</f>
        <v>3112</v>
      </c>
      <c r="L26" s="434">
        <f>24+3016</f>
        <v>3040</v>
      </c>
      <c r="M26" s="434">
        <f>24+2954</f>
        <v>2978</v>
      </c>
      <c r="N26" s="434">
        <v>3010</v>
      </c>
      <c r="O26" s="434">
        <f>24+2871+100</f>
        <v>2995</v>
      </c>
      <c r="P26" s="434">
        <v>2974</v>
      </c>
      <c r="Q26" s="434">
        <v>2860</v>
      </c>
      <c r="R26" s="434">
        <v>2815</v>
      </c>
      <c r="S26" s="434">
        <v>2819</v>
      </c>
      <c r="T26" s="434">
        <v>2687</v>
      </c>
      <c r="U26" s="434">
        <v>2646</v>
      </c>
      <c r="V26" s="434">
        <v>2834</v>
      </c>
      <c r="W26" s="462">
        <f>2818+16</f>
        <v>2834</v>
      </c>
      <c r="X26" s="462">
        <f>2818+16</f>
        <v>2834</v>
      </c>
      <c r="Y26" s="474">
        <v>3004</v>
      </c>
      <c r="Z26" s="304" t="s">
        <v>59</v>
      </c>
      <c r="AA26" s="611"/>
      <c r="AB26" s="301">
        <f t="shared" si="2"/>
        <v>5.998588567395899</v>
      </c>
    </row>
    <row r="27" spans="1:28" ht="12.75" customHeight="1">
      <c r="A27" s="8"/>
      <c r="B27" s="10" t="s">
        <v>43</v>
      </c>
      <c r="C27" s="431">
        <v>8522</v>
      </c>
      <c r="D27" s="432">
        <v>7493</v>
      </c>
      <c r="E27" s="432">
        <v>11928</v>
      </c>
      <c r="F27" s="432">
        <v>9761</v>
      </c>
      <c r="G27" s="432">
        <v>9544</v>
      </c>
      <c r="H27" s="432">
        <v>8985</v>
      </c>
      <c r="I27" s="432">
        <v>8877</v>
      </c>
      <c r="J27" s="432">
        <v>8603</v>
      </c>
      <c r="K27" s="432">
        <v>8843</v>
      </c>
      <c r="L27" s="432">
        <v>8298</v>
      </c>
      <c r="M27" s="432">
        <v>8277</v>
      </c>
      <c r="N27" s="432">
        <v>7863</v>
      </c>
      <c r="O27" s="432">
        <v>7799</v>
      </c>
      <c r="P27" s="432">
        <v>7885</v>
      </c>
      <c r="Q27" s="432">
        <v>7797</v>
      </c>
      <c r="R27" s="432">
        <v>7330</v>
      </c>
      <c r="S27" s="432">
        <v>7478</v>
      </c>
      <c r="T27" s="432">
        <v>7406</v>
      </c>
      <c r="U27" s="432">
        <v>7409</v>
      </c>
      <c r="V27" s="432">
        <v>6972</v>
      </c>
      <c r="W27" s="432">
        <v>7263</v>
      </c>
      <c r="X27" s="432">
        <v>6764</v>
      </c>
      <c r="Y27" s="472">
        <v>6808</v>
      </c>
      <c r="Z27" s="64" t="s">
        <v>43</v>
      </c>
      <c r="AA27" s="611"/>
      <c r="AB27" s="274">
        <f t="shared" si="2"/>
        <v>0.6505026611472573</v>
      </c>
    </row>
    <row r="28" spans="1:28" ht="12.75" customHeight="1">
      <c r="A28" s="8"/>
      <c r="B28" s="154" t="s">
        <v>60</v>
      </c>
      <c r="C28" s="433">
        <v>980</v>
      </c>
      <c r="D28" s="434">
        <v>1137</v>
      </c>
      <c r="E28" s="434">
        <v>1232</v>
      </c>
      <c r="F28" s="434">
        <v>1303</v>
      </c>
      <c r="G28" s="434">
        <v>1313</v>
      </c>
      <c r="H28" s="351">
        <f>AVERAGE(G28,I28)</f>
        <v>1258</v>
      </c>
      <c r="I28" s="434">
        <f>1184+19</f>
        <v>1203</v>
      </c>
      <c r="J28" s="434">
        <f>1131+19</f>
        <v>1150</v>
      </c>
      <c r="K28" s="434">
        <f>1106+19</f>
        <v>1125</v>
      </c>
      <c r="L28" s="434">
        <f>1043+19</f>
        <v>1062</v>
      </c>
      <c r="M28" s="434">
        <f>1041+19</f>
        <v>1060</v>
      </c>
      <c r="N28" s="434">
        <v>1051</v>
      </c>
      <c r="O28" s="434">
        <f>1024+19</f>
        <v>1043</v>
      </c>
      <c r="P28" s="434">
        <v>965</v>
      </c>
      <c r="Q28" s="434">
        <v>953</v>
      </c>
      <c r="R28" s="434">
        <v>980</v>
      </c>
      <c r="S28" s="434">
        <v>973</v>
      </c>
      <c r="T28" s="434">
        <v>980</v>
      </c>
      <c r="U28" s="434">
        <v>977</v>
      </c>
      <c r="V28" s="434">
        <f>108+858</f>
        <v>966</v>
      </c>
      <c r="W28" s="434">
        <v>981</v>
      </c>
      <c r="X28" s="434">
        <v>981</v>
      </c>
      <c r="Y28" s="474">
        <v>990</v>
      </c>
      <c r="Z28" s="304" t="s">
        <v>60</v>
      </c>
      <c r="AA28" s="611"/>
      <c r="AB28" s="301">
        <f t="shared" si="2"/>
        <v>0.91743119266054407</v>
      </c>
    </row>
    <row r="29" spans="1:28" ht="12.75" customHeight="1">
      <c r="A29" s="8"/>
      <c r="B29" s="10" t="s">
        <v>44</v>
      </c>
      <c r="C29" s="431"/>
      <c r="D29" s="432">
        <v>5579</v>
      </c>
      <c r="E29" s="432">
        <v>6352</v>
      </c>
      <c r="F29" s="432">
        <v>6234</v>
      </c>
      <c r="G29" s="432">
        <v>6245</v>
      </c>
      <c r="H29" s="484">
        <v>5467</v>
      </c>
      <c r="I29" s="432">
        <v>3629</v>
      </c>
      <c r="J29" s="432">
        <v>3407</v>
      </c>
      <c r="K29" s="432">
        <v>3310</v>
      </c>
      <c r="L29" s="432">
        <v>3380</v>
      </c>
      <c r="M29" s="432">
        <v>3462</v>
      </c>
      <c r="N29" s="432">
        <v>3314</v>
      </c>
      <c r="O29" s="432">
        <f>3306+6</f>
        <v>3312</v>
      </c>
      <c r="P29" s="432">
        <v>3037</v>
      </c>
      <c r="Q29" s="432">
        <v>2059</v>
      </c>
      <c r="R29" s="432">
        <v>2511</v>
      </c>
      <c r="S29" s="432">
        <v>2304</v>
      </c>
      <c r="T29" s="432">
        <v>2630</v>
      </c>
      <c r="U29" s="432">
        <v>2329</v>
      </c>
      <c r="V29" s="432">
        <v>2313</v>
      </c>
      <c r="W29" s="432">
        <v>2318</v>
      </c>
      <c r="X29" s="452">
        <f>2282+30</f>
        <v>2312</v>
      </c>
      <c r="Y29" s="470">
        <f>X29</f>
        <v>2312</v>
      </c>
      <c r="Z29" s="64" t="s">
        <v>44</v>
      </c>
      <c r="AA29" s="611"/>
      <c r="AB29" s="274">
        <f t="shared" si="2"/>
        <v>0</v>
      </c>
    </row>
    <row r="30" spans="1:28" ht="12.75" customHeight="1">
      <c r="A30" s="8"/>
      <c r="B30" s="154" t="s">
        <v>46</v>
      </c>
      <c r="C30" s="433"/>
      <c r="D30" s="434"/>
      <c r="E30" s="434">
        <v>606</v>
      </c>
      <c r="F30" s="434">
        <v>461</v>
      </c>
      <c r="G30" s="434">
        <v>470</v>
      </c>
      <c r="H30" s="434">
        <v>482</v>
      </c>
      <c r="I30" s="434">
        <v>432</v>
      </c>
      <c r="J30" s="434">
        <v>403</v>
      </c>
      <c r="K30" s="434">
        <v>401</v>
      </c>
      <c r="L30" s="434">
        <v>400</v>
      </c>
      <c r="M30" s="434">
        <v>373</v>
      </c>
      <c r="N30" s="434">
        <v>362</v>
      </c>
      <c r="O30" s="434">
        <v>360</v>
      </c>
      <c r="P30" s="434">
        <v>355</v>
      </c>
      <c r="Q30" s="434">
        <v>355</v>
      </c>
      <c r="R30" s="434">
        <v>355</v>
      </c>
      <c r="S30" s="434">
        <v>355</v>
      </c>
      <c r="T30" s="434">
        <v>355</v>
      </c>
      <c r="U30" s="434">
        <v>349</v>
      </c>
      <c r="V30" s="434">
        <f>100+249</f>
        <v>349</v>
      </c>
      <c r="W30" s="434">
        <v>349</v>
      </c>
      <c r="X30" s="434">
        <f>347</f>
        <v>347</v>
      </c>
      <c r="Y30" s="474">
        <v>348</v>
      </c>
      <c r="Z30" s="304" t="s">
        <v>46</v>
      </c>
      <c r="AA30" s="611"/>
      <c r="AB30" s="301">
        <f t="shared" si="2"/>
        <v>0.28818443804034644</v>
      </c>
    </row>
    <row r="31" spans="1:28" ht="12.75" customHeight="1">
      <c r="A31" s="8"/>
      <c r="B31" s="10" t="s">
        <v>45</v>
      </c>
      <c r="C31" s="453"/>
      <c r="D31" s="454"/>
      <c r="E31" s="454"/>
      <c r="F31" s="432">
        <v>2273</v>
      </c>
      <c r="G31" s="432">
        <v>1915</v>
      </c>
      <c r="H31" s="432">
        <v>2189</v>
      </c>
      <c r="I31" s="432">
        <f>1939+45</f>
        <v>1984</v>
      </c>
      <c r="J31" s="432">
        <f>1768+27+2</f>
        <v>1797</v>
      </c>
      <c r="K31" s="432">
        <f>1782+26</f>
        <v>1808</v>
      </c>
      <c r="L31" s="432">
        <f>1671+56</f>
        <v>1727</v>
      </c>
      <c r="M31" s="432">
        <f>1713+58</f>
        <v>1771</v>
      </c>
      <c r="N31" s="432">
        <v>1709</v>
      </c>
      <c r="O31" s="432">
        <f>1586+60</f>
        <v>1646</v>
      </c>
      <c r="P31" s="432">
        <v>1530</v>
      </c>
      <c r="Q31" s="432">
        <v>1569</v>
      </c>
      <c r="R31" s="432">
        <v>1516</v>
      </c>
      <c r="S31" s="432">
        <v>1467</v>
      </c>
      <c r="T31" s="432">
        <v>1395</v>
      </c>
      <c r="U31" s="432">
        <v>1406</v>
      </c>
      <c r="V31" s="432">
        <f>965+454</f>
        <v>1419</v>
      </c>
      <c r="W31" s="432">
        <v>1373</v>
      </c>
      <c r="X31" s="432">
        <v>1289</v>
      </c>
      <c r="Y31" s="472">
        <v>1303</v>
      </c>
      <c r="Z31" s="64" t="s">
        <v>45</v>
      </c>
      <c r="AA31" s="611"/>
      <c r="AB31" s="274">
        <f t="shared" si="2"/>
        <v>1.0861132660977546</v>
      </c>
    </row>
    <row r="32" spans="1:28" ht="12.75" customHeight="1">
      <c r="A32" s="8"/>
      <c r="B32" s="154" t="s">
        <v>61</v>
      </c>
      <c r="C32" s="433">
        <v>1032</v>
      </c>
      <c r="D32" s="434">
        <v>1100</v>
      </c>
      <c r="E32" s="434">
        <v>957</v>
      </c>
      <c r="F32" s="434">
        <v>1003</v>
      </c>
      <c r="G32" s="434">
        <v>1011</v>
      </c>
      <c r="H32" s="434">
        <v>1030</v>
      </c>
      <c r="I32" s="434">
        <v>1060</v>
      </c>
      <c r="J32" s="434">
        <v>1029</v>
      </c>
      <c r="K32" s="434">
        <v>1084</v>
      </c>
      <c r="L32" s="434">
        <v>1083</v>
      </c>
      <c r="M32" s="434">
        <v>1024</v>
      </c>
      <c r="N32" s="434">
        <v>1035</v>
      </c>
      <c r="O32" s="434">
        <v>1033</v>
      </c>
      <c r="P32" s="434">
        <v>1071</v>
      </c>
      <c r="Q32" s="434">
        <v>1102</v>
      </c>
      <c r="R32" s="434">
        <v>1131</v>
      </c>
      <c r="S32" s="434">
        <v>1163</v>
      </c>
      <c r="T32" s="434">
        <v>1181</v>
      </c>
      <c r="U32" s="434">
        <v>1101</v>
      </c>
      <c r="V32" s="434">
        <f>638+565</f>
        <v>1203</v>
      </c>
      <c r="W32" s="434">
        <v>1227</v>
      </c>
      <c r="X32" s="434">
        <v>1226</v>
      </c>
      <c r="Y32" s="482">
        <f>X32</f>
        <v>1226</v>
      </c>
      <c r="Z32" s="304" t="s">
        <v>61</v>
      </c>
      <c r="AA32" s="611"/>
      <c r="AB32" s="301">
        <f t="shared" si="2"/>
        <v>0</v>
      </c>
    </row>
    <row r="33" spans="1:28" ht="12.75" customHeight="1">
      <c r="A33" s="8"/>
      <c r="B33" s="11" t="s">
        <v>62</v>
      </c>
      <c r="C33" s="435">
        <v>2746</v>
      </c>
      <c r="D33" s="436">
        <v>1998</v>
      </c>
      <c r="E33" s="436">
        <v>1747</v>
      </c>
      <c r="F33" s="436">
        <v>1748</v>
      </c>
      <c r="G33" s="668">
        <v>1847</v>
      </c>
      <c r="H33" s="436">
        <v>1895</v>
      </c>
      <c r="I33" s="436">
        <v>1841</v>
      </c>
      <c r="J33" s="436">
        <v>1758</v>
      </c>
      <c r="K33" s="436">
        <v>1882</v>
      </c>
      <c r="L33" s="436">
        <v>1930</v>
      </c>
      <c r="M33" s="436">
        <v>2156</v>
      </c>
      <c r="N33" s="436">
        <v>2283</v>
      </c>
      <c r="O33" s="436">
        <v>2268</v>
      </c>
      <c r="P33" s="436">
        <v>2352</v>
      </c>
      <c r="Q33" s="436">
        <v>2393</v>
      </c>
      <c r="R33" s="436">
        <v>2646</v>
      </c>
      <c r="S33" s="436">
        <v>2715</v>
      </c>
      <c r="T33" s="436">
        <v>2806</v>
      </c>
      <c r="U33" s="436">
        <v>2858</v>
      </c>
      <c r="V33" s="436">
        <v>2964</v>
      </c>
      <c r="W33" s="436">
        <v>3048</v>
      </c>
      <c r="X33" s="436">
        <v>3084</v>
      </c>
      <c r="Y33" s="476">
        <f>3096</f>
        <v>3096</v>
      </c>
      <c r="Z33" s="65" t="s">
        <v>62</v>
      </c>
      <c r="AA33" s="611"/>
      <c r="AB33" s="277">
        <f t="shared" si="2"/>
        <v>0.38910505836575737</v>
      </c>
    </row>
    <row r="34" spans="1:28" ht="12.75" customHeight="1">
      <c r="A34" s="8"/>
      <c r="B34" s="199" t="s">
        <v>51</v>
      </c>
      <c r="C34" s="485">
        <v>18678</v>
      </c>
      <c r="D34" s="486">
        <v>17042</v>
      </c>
      <c r="E34" s="487"/>
      <c r="F34" s="488">
        <f>G34*(SUM(F7:F33)/SUM(G7:G33))</f>
        <v>10424.174167483587</v>
      </c>
      <c r="G34" s="466">
        <v>10425</v>
      </c>
      <c r="H34" s="466">
        <v>16982</v>
      </c>
      <c r="I34" s="488">
        <f>AVERAGE(H34,J34)</f>
        <v>14562.5</v>
      </c>
      <c r="J34" s="466">
        <f>12017+18+108</f>
        <v>12143</v>
      </c>
      <c r="K34" s="466">
        <f>10776+18+140</f>
        <v>10934</v>
      </c>
      <c r="L34" s="466">
        <f>10776+18+140</f>
        <v>10934</v>
      </c>
      <c r="M34" s="466">
        <f>10756+140</f>
        <v>10896</v>
      </c>
      <c r="N34" s="466">
        <v>11515</v>
      </c>
      <c r="O34" s="466">
        <f>11413+198+140</f>
        <v>11751</v>
      </c>
      <c r="P34" s="466">
        <v>11751</v>
      </c>
      <c r="Q34" s="466">
        <v>12144</v>
      </c>
      <c r="R34" s="466">
        <f>12101+133</f>
        <v>12234</v>
      </c>
      <c r="S34" s="466">
        <f>12208+133</f>
        <v>12341</v>
      </c>
      <c r="T34" s="466">
        <f>12286+18</f>
        <v>12304</v>
      </c>
      <c r="U34" s="488">
        <v>12304</v>
      </c>
      <c r="V34" s="488">
        <v>12304</v>
      </c>
      <c r="W34" s="488">
        <v>12304</v>
      </c>
      <c r="X34" s="673">
        <v>12304</v>
      </c>
      <c r="Y34" s="548">
        <f>X34</f>
        <v>12304</v>
      </c>
      <c r="Z34" s="305" t="s">
        <v>51</v>
      </c>
      <c r="AA34" s="611"/>
      <c r="AB34" s="875">
        <f t="shared" si="2"/>
        <v>0</v>
      </c>
    </row>
    <row r="35" spans="1:28" s="23" customFormat="1" ht="12.75" customHeight="1">
      <c r="A35" s="298"/>
      <c r="B35" s="10" t="s">
        <v>161</v>
      </c>
      <c r="C35" s="431"/>
      <c r="D35" s="432"/>
      <c r="E35" s="345"/>
      <c r="F35" s="345"/>
      <c r="G35" s="345"/>
      <c r="H35" s="345"/>
      <c r="I35" s="345"/>
      <c r="J35" s="345">
        <v>78</v>
      </c>
      <c r="K35" s="345">
        <v>83</v>
      </c>
      <c r="L35" s="345">
        <v>83</v>
      </c>
      <c r="M35" s="345">
        <v>68</v>
      </c>
      <c r="N35" s="345"/>
      <c r="O35" s="345"/>
      <c r="P35" s="345"/>
      <c r="Q35" s="345"/>
      <c r="R35" s="345"/>
      <c r="S35" s="345"/>
      <c r="T35" s="345"/>
      <c r="U35" s="345"/>
      <c r="V35" s="345"/>
      <c r="W35" s="345">
        <v>35</v>
      </c>
      <c r="X35" s="454">
        <v>35</v>
      </c>
      <c r="Y35" s="746">
        <f>X35</f>
        <v>35</v>
      </c>
      <c r="Z35" s="64" t="s">
        <v>161</v>
      </c>
      <c r="AA35" s="752"/>
      <c r="AB35" s="274">
        <f t="shared" si="2"/>
        <v>0</v>
      </c>
    </row>
    <row r="36" spans="1:28" ht="12.75" customHeight="1">
      <c r="A36" s="8"/>
      <c r="B36" s="154" t="s">
        <v>0</v>
      </c>
      <c r="C36" s="433"/>
      <c r="D36" s="434">
        <v>180</v>
      </c>
      <c r="E36" s="434">
        <v>175</v>
      </c>
      <c r="F36" s="434">
        <v>164</v>
      </c>
      <c r="G36" s="434">
        <v>139</v>
      </c>
      <c r="H36" s="434">
        <v>139</v>
      </c>
      <c r="I36" s="434">
        <v>137</v>
      </c>
      <c r="J36" s="434">
        <v>135</v>
      </c>
      <c r="K36" s="434">
        <v>125</v>
      </c>
      <c r="L36" s="434">
        <v>124</v>
      </c>
      <c r="M36" s="434">
        <v>124</v>
      </c>
      <c r="N36" s="434">
        <v>124</v>
      </c>
      <c r="O36" s="434">
        <v>110</v>
      </c>
      <c r="P36" s="434">
        <v>64</v>
      </c>
      <c r="Q36" s="434">
        <v>64</v>
      </c>
      <c r="R36" s="434">
        <v>68</v>
      </c>
      <c r="S36" s="434">
        <v>67</v>
      </c>
      <c r="T36" s="434">
        <v>67</v>
      </c>
      <c r="U36" s="434">
        <v>67</v>
      </c>
      <c r="V36" s="434">
        <v>67</v>
      </c>
      <c r="W36" s="434">
        <v>67</v>
      </c>
      <c r="X36" s="434">
        <v>67</v>
      </c>
      <c r="Y36" s="474">
        <f>67</f>
        <v>67</v>
      </c>
      <c r="Z36" s="304" t="s">
        <v>0</v>
      </c>
      <c r="AA36" s="611"/>
      <c r="AB36" s="301">
        <f t="shared" si="2"/>
        <v>0</v>
      </c>
    </row>
    <row r="37" spans="1:28" ht="12.75" customHeight="1">
      <c r="A37" s="8"/>
      <c r="B37" s="312" t="s">
        <v>167</v>
      </c>
      <c r="C37" s="489"/>
      <c r="D37" s="489"/>
      <c r="E37" s="490"/>
      <c r="F37" s="452"/>
      <c r="G37" s="432"/>
      <c r="H37" s="432"/>
      <c r="I37" s="452"/>
      <c r="J37" s="432"/>
      <c r="K37" s="432"/>
      <c r="L37" s="432"/>
      <c r="M37" s="432"/>
      <c r="N37" s="432"/>
      <c r="O37" s="432"/>
      <c r="P37" s="432"/>
      <c r="Q37" s="432"/>
      <c r="R37" s="432"/>
      <c r="S37" s="432"/>
      <c r="T37" s="432"/>
      <c r="U37" s="432"/>
      <c r="V37" s="432"/>
      <c r="W37" s="432"/>
      <c r="X37" s="432"/>
      <c r="Y37" s="472"/>
      <c r="Z37" s="64" t="s">
        <v>167</v>
      </c>
      <c r="AA37" s="611"/>
      <c r="AB37" s="274"/>
    </row>
    <row r="38" spans="1:28" ht="12.75" customHeight="1">
      <c r="A38" s="8"/>
      <c r="B38" s="154" t="s">
        <v>160</v>
      </c>
      <c r="C38" s="433"/>
      <c r="D38" s="434"/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34"/>
      <c r="Q38" s="434">
        <v>784</v>
      </c>
      <c r="R38" s="434">
        <v>767</v>
      </c>
      <c r="S38" s="434">
        <v>769</v>
      </c>
      <c r="T38" s="461">
        <v>732</v>
      </c>
      <c r="U38" s="434">
        <v>817</v>
      </c>
      <c r="V38" s="434">
        <v>868</v>
      </c>
      <c r="W38" s="434">
        <v>680</v>
      </c>
      <c r="X38" s="434">
        <v>542</v>
      </c>
      <c r="Y38" s="474">
        <v>508</v>
      </c>
      <c r="Z38" s="304" t="s">
        <v>160</v>
      </c>
      <c r="AA38" s="611"/>
      <c r="AB38" s="301">
        <f t="shared" si="2"/>
        <v>-6.2730627306273163</v>
      </c>
    </row>
    <row r="39" spans="1:28" ht="12.75" customHeight="1">
      <c r="A39" s="8"/>
      <c r="B39" s="11" t="s">
        <v>47</v>
      </c>
      <c r="C39" s="468">
        <v>1548</v>
      </c>
      <c r="D39" s="357">
        <v>1351</v>
      </c>
      <c r="E39" s="357">
        <v>1443</v>
      </c>
      <c r="F39" s="436">
        <v>1415</v>
      </c>
      <c r="G39" s="436">
        <v>1385</v>
      </c>
      <c r="H39" s="436">
        <v>1356</v>
      </c>
      <c r="I39" s="436">
        <v>1294</v>
      </c>
      <c r="J39" s="436">
        <v>1318</v>
      </c>
      <c r="K39" s="436">
        <v>1312</v>
      </c>
      <c r="L39" s="436">
        <v>1306</v>
      </c>
      <c r="M39" s="436">
        <v>1319</v>
      </c>
      <c r="N39" s="436">
        <v>1304</v>
      </c>
      <c r="O39" s="436">
        <v>1313</v>
      </c>
      <c r="P39" s="436">
        <v>1342</v>
      </c>
      <c r="Q39" s="436">
        <v>1347</v>
      </c>
      <c r="R39" s="436">
        <f>1365</f>
        <v>1365</v>
      </c>
      <c r="S39" s="436">
        <v>1381</v>
      </c>
      <c r="T39" s="436">
        <v>1307</v>
      </c>
      <c r="U39" s="436">
        <v>1467</v>
      </c>
      <c r="V39" s="436">
        <f>872+554</f>
        <v>1426</v>
      </c>
      <c r="W39" s="436">
        <v>1426</v>
      </c>
      <c r="X39" s="436">
        <v>1332</v>
      </c>
      <c r="Y39" s="476">
        <v>2106</v>
      </c>
      <c r="Z39" s="65" t="s">
        <v>47</v>
      </c>
      <c r="AA39" s="611"/>
      <c r="AB39" s="277">
        <f t="shared" si="2"/>
        <v>58.108108108108127</v>
      </c>
    </row>
    <row r="40" spans="1:28" ht="12.75" customHeight="1">
      <c r="A40" s="8"/>
      <c r="B40" s="153" t="s">
        <v>33</v>
      </c>
      <c r="C40" s="463" t="s">
        <v>65</v>
      </c>
      <c r="D40" s="464" t="s">
        <v>65</v>
      </c>
      <c r="E40" s="464" t="s">
        <v>65</v>
      </c>
      <c r="F40" s="464" t="s">
        <v>65</v>
      </c>
      <c r="G40" s="464" t="s">
        <v>65</v>
      </c>
      <c r="H40" s="464" t="s">
        <v>65</v>
      </c>
      <c r="I40" s="464" t="s">
        <v>65</v>
      </c>
      <c r="J40" s="464" t="s">
        <v>65</v>
      </c>
      <c r="K40" s="464" t="s">
        <v>65</v>
      </c>
      <c r="L40" s="464" t="s">
        <v>65</v>
      </c>
      <c r="M40" s="464" t="s">
        <v>65</v>
      </c>
      <c r="N40" s="464" t="s">
        <v>65</v>
      </c>
      <c r="O40" s="464" t="s">
        <v>65</v>
      </c>
      <c r="P40" s="464" t="s">
        <v>65</v>
      </c>
      <c r="Q40" s="464" t="s">
        <v>65</v>
      </c>
      <c r="R40" s="464" t="s">
        <v>65</v>
      </c>
      <c r="S40" s="464" t="s">
        <v>65</v>
      </c>
      <c r="T40" s="464" t="s">
        <v>65</v>
      </c>
      <c r="U40" s="464" t="s">
        <v>65</v>
      </c>
      <c r="V40" s="464" t="s">
        <v>65</v>
      </c>
      <c r="W40" s="464" t="s">
        <v>65</v>
      </c>
      <c r="X40" s="464" t="s">
        <v>65</v>
      </c>
      <c r="Y40" s="499" t="s">
        <v>65</v>
      </c>
      <c r="Z40" s="343" t="s">
        <v>33</v>
      </c>
      <c r="AA40" s="611"/>
      <c r="AB40" s="959" t="s">
        <v>65</v>
      </c>
    </row>
    <row r="41" spans="1:28" ht="12.75" customHeight="1">
      <c r="A41" s="8"/>
      <c r="B41" s="10" t="s">
        <v>63</v>
      </c>
      <c r="C41" s="431">
        <v>1067</v>
      </c>
      <c r="D41" s="432">
        <v>908</v>
      </c>
      <c r="E41" s="432">
        <v>900</v>
      </c>
      <c r="F41" s="432">
        <v>918</v>
      </c>
      <c r="G41" s="432">
        <v>942</v>
      </c>
      <c r="H41" s="432">
        <v>850</v>
      </c>
      <c r="I41" s="491">
        <v>231</v>
      </c>
      <c r="J41" s="345">
        <v>237</v>
      </c>
      <c r="K41" s="345">
        <v>191</v>
      </c>
      <c r="L41" s="345">
        <v>191</v>
      </c>
      <c r="M41" s="345">
        <v>191</v>
      </c>
      <c r="N41" s="345">
        <v>191</v>
      </c>
      <c r="O41" s="345">
        <v>191</v>
      </c>
      <c r="P41" s="345">
        <v>210</v>
      </c>
      <c r="Q41" s="345">
        <v>212</v>
      </c>
      <c r="R41" s="345">
        <v>209</v>
      </c>
      <c r="S41" s="345">
        <v>175</v>
      </c>
      <c r="T41" s="345">
        <v>383</v>
      </c>
      <c r="U41" s="345">
        <v>386</v>
      </c>
      <c r="V41" s="345">
        <v>388</v>
      </c>
      <c r="W41" s="345">
        <v>394</v>
      </c>
      <c r="X41" s="349">
        <v>394</v>
      </c>
      <c r="Y41" s="958">
        <f>X41</f>
        <v>394</v>
      </c>
      <c r="Z41" s="64" t="s">
        <v>63</v>
      </c>
      <c r="AA41" s="611"/>
      <c r="AB41" s="877">
        <f t="shared" si="2"/>
        <v>0</v>
      </c>
    </row>
    <row r="42" spans="1:28" ht="12.75" customHeight="1">
      <c r="A42" s="8"/>
      <c r="B42" s="155" t="s">
        <v>34</v>
      </c>
      <c r="C42" s="430">
        <v>3816</v>
      </c>
      <c r="D42" s="355">
        <v>4006</v>
      </c>
      <c r="E42" s="466">
        <v>4136</v>
      </c>
      <c r="F42" s="466">
        <v>3333</v>
      </c>
      <c r="G42" s="466">
        <v>3925</v>
      </c>
      <c r="H42" s="466">
        <v>4020</v>
      </c>
      <c r="I42" s="466">
        <f>231+3764+81</f>
        <v>4076</v>
      </c>
      <c r="J42" s="466">
        <f>263+91+3924+81</f>
        <v>4359</v>
      </c>
      <c r="K42" s="466">
        <f>251+81+150+3811</f>
        <v>4293</v>
      </c>
      <c r="L42" s="466">
        <f>333+4130</f>
        <v>4463</v>
      </c>
      <c r="M42" s="488">
        <v>4491</v>
      </c>
      <c r="N42" s="466">
        <v>4470</v>
      </c>
      <c r="O42" s="466">
        <f>489+3794+187</f>
        <v>4470</v>
      </c>
      <c r="P42" s="466">
        <v>4949</v>
      </c>
      <c r="Q42" s="466">
        <v>4822</v>
      </c>
      <c r="R42" s="466">
        <f>4571+340</f>
        <v>4911</v>
      </c>
      <c r="S42" s="466">
        <f>333+4664</f>
        <v>4997</v>
      </c>
      <c r="T42" s="466">
        <f>4593+272</f>
        <v>4865</v>
      </c>
      <c r="U42" s="466">
        <v>5245</v>
      </c>
      <c r="V42" s="466">
        <v>5280</v>
      </c>
      <c r="W42" s="466">
        <v>5355</v>
      </c>
      <c r="X42" s="466">
        <v>5474</v>
      </c>
      <c r="Y42" s="475">
        <v>5566</v>
      </c>
      <c r="Z42" s="305" t="s">
        <v>34</v>
      </c>
      <c r="AA42" s="611"/>
      <c r="AB42" s="934">
        <f t="shared" si="2"/>
        <v>1.6806722689075571</v>
      </c>
    </row>
    <row r="43" spans="1:28" ht="12.75" customHeight="1">
      <c r="A43" s="8"/>
      <c r="B43" s="1092" t="s">
        <v>286</v>
      </c>
      <c r="C43" s="1092"/>
      <c r="D43" s="1092"/>
      <c r="E43" s="1092"/>
      <c r="F43" s="1092"/>
      <c r="G43" s="1092"/>
      <c r="H43" s="1092"/>
      <c r="I43" s="1092"/>
      <c r="J43" s="1092"/>
      <c r="K43" s="1149"/>
      <c r="L43" s="1149"/>
      <c r="M43" s="1149"/>
      <c r="N43" s="1149"/>
      <c r="O43" s="1149"/>
      <c r="P43" s="1149"/>
      <c r="Q43" s="1149"/>
      <c r="R43" s="1149"/>
      <c r="S43" s="1149"/>
      <c r="T43" s="1149"/>
      <c r="U43" s="1149"/>
      <c r="V43" s="1149"/>
      <c r="W43" s="1149"/>
      <c r="X43" s="1149"/>
      <c r="Y43" s="1149"/>
      <c r="Z43" s="1149"/>
      <c r="AA43" s="14"/>
    </row>
    <row r="44" spans="1:28" ht="14.25" customHeight="1">
      <c r="B44" s="270" t="s">
        <v>326</v>
      </c>
      <c r="C44" s="281"/>
      <c r="D44" s="281"/>
      <c r="E44" s="281"/>
      <c r="F44" s="281"/>
      <c r="G44" s="281"/>
      <c r="H44" s="281"/>
      <c r="AA44" s="342"/>
    </row>
    <row r="45" spans="1:28" ht="12" customHeight="1">
      <c r="B45" s="1150" t="s">
        <v>93</v>
      </c>
      <c r="C45" s="1151"/>
      <c r="D45" s="1151"/>
      <c r="E45" s="1151"/>
      <c r="F45" s="1151"/>
      <c r="G45" s="1151"/>
      <c r="H45" s="1151"/>
      <c r="I45" s="1151"/>
      <c r="J45" s="1151"/>
      <c r="K45" s="1151"/>
      <c r="L45" s="1151"/>
      <c r="M45" s="1151"/>
      <c r="N45" s="1151"/>
      <c r="O45" s="1151"/>
      <c r="P45" s="1151"/>
      <c r="Q45" s="1151"/>
      <c r="R45" s="1151"/>
      <c r="S45" s="1151"/>
      <c r="T45" s="1151"/>
      <c r="U45" s="1151"/>
      <c r="V45" s="1151"/>
      <c r="W45" s="1151"/>
      <c r="X45" s="1151"/>
      <c r="Y45" s="1151"/>
      <c r="Z45" s="1151"/>
    </row>
    <row r="46" spans="1:28" ht="13.5" customHeight="1">
      <c r="B46" s="949" t="s">
        <v>348</v>
      </c>
      <c r="C46" s="950"/>
      <c r="D46" s="950"/>
      <c r="E46" s="950"/>
      <c r="F46" s="950"/>
      <c r="G46" s="950"/>
      <c r="H46" s="950"/>
      <c r="I46" s="950"/>
      <c r="J46" s="950"/>
      <c r="K46" s="950"/>
      <c r="L46" s="950"/>
      <c r="M46" s="950"/>
      <c r="N46" s="950"/>
      <c r="O46" s="950"/>
      <c r="P46" s="950"/>
      <c r="Q46" s="950"/>
      <c r="R46" s="950"/>
      <c r="S46" s="950"/>
      <c r="T46" s="950"/>
      <c r="U46" s="950"/>
      <c r="V46" s="950"/>
      <c r="W46" s="950"/>
      <c r="X46" s="950"/>
      <c r="Y46" s="950"/>
      <c r="Z46" s="950"/>
    </row>
    <row r="47" spans="1:28" ht="10.5" customHeight="1">
      <c r="B47" s="272" t="s">
        <v>287</v>
      </c>
      <c r="C47" s="54"/>
      <c r="D47" s="279"/>
      <c r="E47" s="279"/>
      <c r="F47" s="279"/>
      <c r="G47" s="279"/>
      <c r="H47" s="279"/>
      <c r="I47" s="279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41"/>
    </row>
    <row r="48" spans="1:28" ht="12.75">
      <c r="B48" s="272" t="s">
        <v>191</v>
      </c>
      <c r="C48" s="54"/>
      <c r="D48" s="272"/>
      <c r="E48" s="284"/>
      <c r="F48" s="272"/>
      <c r="G48" s="272"/>
      <c r="H48" s="272"/>
      <c r="I48" s="272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283"/>
    </row>
    <row r="50" spans="2:27" ht="18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AA50" s="2"/>
    </row>
    <row r="51" spans="2:27" ht="12.75">
      <c r="B51" s="569"/>
      <c r="C51" s="570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</sheetData>
  <mergeCells count="4">
    <mergeCell ref="B2:Z2"/>
    <mergeCell ref="B3:Z3"/>
    <mergeCell ref="B43:Z43"/>
    <mergeCell ref="B45:Z45"/>
  </mergeCells>
  <phoneticPr fontId="4" type="noConversion"/>
  <printOptions horizontalCentered="1"/>
  <pageMargins left="0.6692913385826772" right="0.6692913385826772" top="0.51181102362204722" bottom="0.27559055118110237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AL53"/>
  <sheetViews>
    <sheetView topLeftCell="S1" zoomScaleNormal="100" workbookViewId="0">
      <selection activeCell="AP8" sqref="AP8"/>
    </sheetView>
  </sheetViews>
  <sheetFormatPr defaultRowHeight="11.25"/>
  <cols>
    <col min="1" max="1" width="3.7109375" style="3" customWidth="1"/>
    <col min="2" max="20" width="5.7109375" style="3" customWidth="1"/>
    <col min="21" max="34" width="6" style="3" customWidth="1"/>
    <col min="35" max="35" width="6.28515625" style="3" bestFit="1" customWidth="1"/>
    <col min="36" max="36" width="1.85546875" style="3" customWidth="1"/>
    <col min="37" max="37" width="6.5703125" style="895" customWidth="1"/>
    <col min="38" max="38" width="6.5703125" style="3" customWidth="1"/>
    <col min="39" max="16384" width="9.140625" style="3"/>
  </cols>
  <sheetData>
    <row r="1" spans="1:38" ht="14.25" customHeight="1">
      <c r="B1" s="1038"/>
      <c r="C1" s="1038"/>
      <c r="D1" s="29"/>
      <c r="E1" s="24"/>
      <c r="F1" s="24"/>
      <c r="G1" s="24"/>
      <c r="H1" s="24"/>
      <c r="I1" s="712"/>
      <c r="J1" s="24"/>
      <c r="K1" s="24"/>
      <c r="L1" s="24"/>
      <c r="M1" s="24"/>
      <c r="N1" s="24"/>
      <c r="O1" s="24"/>
      <c r="AI1" s="16" t="s">
        <v>117</v>
      </c>
    </row>
    <row r="2" spans="1:38" s="54" customFormat="1" ht="30" customHeight="1">
      <c r="B2" s="1039" t="s">
        <v>112</v>
      </c>
      <c r="C2" s="1039"/>
      <c r="D2" s="1039"/>
      <c r="E2" s="1039"/>
      <c r="F2" s="1039"/>
      <c r="G2" s="1039"/>
      <c r="H2" s="1039"/>
      <c r="I2" s="1039"/>
      <c r="J2" s="1039"/>
      <c r="K2" s="1039"/>
      <c r="L2" s="1039"/>
      <c r="M2" s="1039"/>
      <c r="N2" s="1039"/>
      <c r="O2" s="1039"/>
      <c r="P2" s="1039"/>
      <c r="Q2" s="1039"/>
      <c r="R2" s="1039"/>
      <c r="S2" s="1039"/>
      <c r="T2" s="1039"/>
      <c r="U2" s="1039"/>
      <c r="V2" s="1039"/>
      <c r="W2" s="1039"/>
      <c r="X2" s="1039"/>
      <c r="Y2" s="1039"/>
      <c r="Z2" s="1039"/>
      <c r="AA2" s="1039"/>
      <c r="AB2" s="1039"/>
      <c r="AC2" s="1039"/>
      <c r="AD2" s="1039"/>
      <c r="AE2" s="1039"/>
      <c r="AF2" s="1039"/>
      <c r="AG2" s="1039"/>
      <c r="AH2" s="1039"/>
      <c r="AI2" s="1039"/>
      <c r="AJ2" s="82"/>
      <c r="AK2" s="895"/>
    </row>
    <row r="3" spans="1:38" ht="18" customHeight="1">
      <c r="B3" s="1040" t="s">
        <v>9</v>
      </c>
      <c r="C3" s="1040"/>
      <c r="D3" s="1040"/>
      <c r="E3" s="1040"/>
      <c r="F3" s="1040"/>
      <c r="G3" s="1040"/>
      <c r="H3" s="1040"/>
      <c r="I3" s="1040"/>
      <c r="J3" s="1040"/>
      <c r="K3" s="1040"/>
      <c r="L3" s="1040"/>
      <c r="M3" s="1040"/>
      <c r="N3" s="1040"/>
      <c r="O3" s="1040"/>
      <c r="P3" s="1040"/>
      <c r="Q3" s="1040"/>
      <c r="R3" s="1040"/>
      <c r="S3" s="1040"/>
      <c r="T3" s="1040"/>
      <c r="U3" s="1040"/>
      <c r="V3" s="1040"/>
      <c r="W3" s="1040"/>
      <c r="X3" s="1040"/>
      <c r="Y3" s="1040"/>
      <c r="Z3" s="1040"/>
      <c r="AA3" s="1040"/>
      <c r="AB3" s="1040"/>
      <c r="AC3" s="1040"/>
      <c r="AD3" s="1040"/>
      <c r="AE3" s="1040"/>
      <c r="AF3" s="1040"/>
      <c r="AG3" s="1040"/>
      <c r="AH3" s="1040"/>
      <c r="AI3" s="1040"/>
      <c r="AJ3" s="83"/>
    </row>
    <row r="4" spans="1:38" ht="24.95" customHeight="1">
      <c r="B4" s="4"/>
      <c r="C4" s="101">
        <v>1970</v>
      </c>
      <c r="D4" s="101">
        <v>1980</v>
      </c>
      <c r="E4" s="51">
        <v>1990</v>
      </c>
      <c r="F4" s="52">
        <v>1991</v>
      </c>
      <c r="G4" s="52">
        <v>1992</v>
      </c>
      <c r="H4" s="52">
        <v>1993</v>
      </c>
      <c r="I4" s="52">
        <v>1994</v>
      </c>
      <c r="J4" s="52">
        <v>1995</v>
      </c>
      <c r="K4" s="52">
        <v>1996</v>
      </c>
      <c r="L4" s="52">
        <v>1997</v>
      </c>
      <c r="M4" s="52">
        <v>1998</v>
      </c>
      <c r="N4" s="52">
        <v>1999</v>
      </c>
      <c r="O4" s="52">
        <v>2000</v>
      </c>
      <c r="P4" s="52">
        <v>2001</v>
      </c>
      <c r="Q4" s="52">
        <v>2002</v>
      </c>
      <c r="R4" s="52">
        <v>2003</v>
      </c>
      <c r="S4" s="52">
        <v>2004</v>
      </c>
      <c r="T4" s="52">
        <v>2005</v>
      </c>
      <c r="U4" s="52">
        <v>2006</v>
      </c>
      <c r="V4" s="52">
        <v>2007</v>
      </c>
      <c r="W4" s="52">
        <v>2008</v>
      </c>
      <c r="X4" s="52">
        <v>2009</v>
      </c>
      <c r="Y4" s="52">
        <v>2010</v>
      </c>
      <c r="Z4" s="52">
        <v>2011</v>
      </c>
      <c r="AA4" s="52">
        <v>2012</v>
      </c>
      <c r="AB4" s="52">
        <v>2013</v>
      </c>
      <c r="AC4" s="52">
        <v>2014</v>
      </c>
      <c r="AD4" s="52">
        <v>2015</v>
      </c>
      <c r="AE4" s="280">
        <v>2016</v>
      </c>
      <c r="AF4" s="280">
        <v>2017</v>
      </c>
      <c r="AG4" s="52">
        <v>2018</v>
      </c>
      <c r="AH4" s="53">
        <v>2019</v>
      </c>
      <c r="AI4" s="6"/>
      <c r="AJ4" s="6"/>
      <c r="AK4" s="533" t="s">
        <v>358</v>
      </c>
      <c r="AL4" s="134"/>
    </row>
    <row r="5" spans="1:38" ht="21" customHeight="1">
      <c r="A5" s="653"/>
      <c r="B5" s="551" t="s">
        <v>266</v>
      </c>
      <c r="C5" s="660"/>
      <c r="D5" s="660"/>
      <c r="E5" s="87">
        <v>339.47322850832165</v>
      </c>
      <c r="F5" s="87">
        <v>350.15814542670779</v>
      </c>
      <c r="G5" s="87">
        <v>358.93974071725631</v>
      </c>
      <c r="H5" s="87">
        <v>364.03021736335455</v>
      </c>
      <c r="I5" s="87">
        <v>369.7524217667048</v>
      </c>
      <c r="J5" s="87">
        <v>376.92532668311878</v>
      </c>
      <c r="K5" s="87">
        <v>384.44838942473348</v>
      </c>
      <c r="L5" s="87">
        <v>381.67568092724775</v>
      </c>
      <c r="M5" s="87">
        <v>391.51487476487381</v>
      </c>
      <c r="N5" s="87">
        <v>402.37977985838916</v>
      </c>
      <c r="O5" s="898">
        <v>412.18286392597031</v>
      </c>
      <c r="P5" s="898">
        <v>421.06748116441912</v>
      </c>
      <c r="Q5" s="898">
        <v>427.65003667152132</v>
      </c>
      <c r="R5" s="898">
        <v>431.61911897730005</v>
      </c>
      <c r="S5" s="898">
        <v>436.05970174155885</v>
      </c>
      <c r="T5" s="898">
        <v>443.49433553457607</v>
      </c>
      <c r="U5" s="898">
        <v>451.58172531765939</v>
      </c>
      <c r="V5" s="898">
        <v>460.77674885218516</v>
      </c>
      <c r="W5" s="898">
        <v>468.89853298058739</v>
      </c>
      <c r="X5" s="898">
        <v>472.97442671848211</v>
      </c>
      <c r="Y5" s="898">
        <v>482.61865382552833</v>
      </c>
      <c r="Z5" s="898">
        <v>488.28738773637781</v>
      </c>
      <c r="AA5" s="898">
        <v>498.83150030663143</v>
      </c>
      <c r="AB5" s="898">
        <v>500.91356450519589</v>
      </c>
      <c r="AC5" s="898">
        <v>505.30968947030459</v>
      </c>
      <c r="AD5" s="898">
        <v>512.79410474973827</v>
      </c>
      <c r="AE5" s="898">
        <v>522.83580418240615</v>
      </c>
      <c r="AF5" s="898">
        <v>533.12040808755705</v>
      </c>
      <c r="AG5" s="898">
        <v>544.0783934209137</v>
      </c>
      <c r="AH5" s="87">
        <v>553.00643712004978</v>
      </c>
      <c r="AI5" s="153" t="s">
        <v>266</v>
      </c>
      <c r="AJ5" s="661"/>
      <c r="AK5" s="894">
        <f>AH5/AG5-1</f>
        <v>1.6409480337935545E-2</v>
      </c>
      <c r="AL5" s="134"/>
    </row>
    <row r="6" spans="1:38" ht="12.75" customHeight="1">
      <c r="A6" s="653"/>
      <c r="B6" s="50" t="s">
        <v>168</v>
      </c>
      <c r="C6" s="102"/>
      <c r="D6" s="102"/>
      <c r="E6" s="133">
        <v>342.10172685563293</v>
      </c>
      <c r="F6" s="87">
        <v>351.45537485904367</v>
      </c>
      <c r="G6" s="87">
        <v>359.51654344582391</v>
      </c>
      <c r="H6" s="87">
        <v>364.55718598705181</v>
      </c>
      <c r="I6" s="87">
        <v>370.40638306159042</v>
      </c>
      <c r="J6" s="87">
        <v>377.03585485846224</v>
      </c>
      <c r="K6" s="87">
        <v>385.33292621907412</v>
      </c>
      <c r="L6" s="87">
        <v>384.07016922414851</v>
      </c>
      <c r="M6" s="87">
        <v>393.54629476285021</v>
      </c>
      <c r="N6" s="87">
        <v>404.3786090143256</v>
      </c>
      <c r="O6" s="1008">
        <v>413.71523425379229</v>
      </c>
      <c r="P6" s="1008">
        <v>422.85053739865384</v>
      </c>
      <c r="Q6" s="1008">
        <v>429.78339236953445</v>
      </c>
      <c r="R6" s="1008">
        <v>434.02335099504796</v>
      </c>
      <c r="S6" s="1008">
        <v>439.22040236925818</v>
      </c>
      <c r="T6" s="1008">
        <v>446.39805030328978</v>
      </c>
      <c r="U6" s="1008">
        <v>453.32180749668714</v>
      </c>
      <c r="V6" s="1008">
        <v>461.78122347569467</v>
      </c>
      <c r="W6" s="1008">
        <v>468.81558053006137</v>
      </c>
      <c r="X6" s="1008">
        <v>472.15279569444169</v>
      </c>
      <c r="Y6" s="1008">
        <v>480.46686611612967</v>
      </c>
      <c r="Z6" s="1008">
        <v>485.07015949395702</v>
      </c>
      <c r="AA6" s="1008">
        <v>494.40952285954285</v>
      </c>
      <c r="AB6" s="1008">
        <v>496.65724526933406</v>
      </c>
      <c r="AC6" s="1008">
        <v>500.86985039267023</v>
      </c>
      <c r="AD6" s="1008">
        <v>508.17753866339831</v>
      </c>
      <c r="AE6" s="1008">
        <v>517.68624360740705</v>
      </c>
      <c r="AF6" s="1008">
        <v>526.93112717746192</v>
      </c>
      <c r="AG6" s="1008">
        <v>536.33954290401778</v>
      </c>
      <c r="AH6" s="1009">
        <v>545.80438629685966</v>
      </c>
      <c r="AI6" s="551" t="s">
        <v>168</v>
      </c>
      <c r="AJ6" s="10"/>
      <c r="AK6" s="894">
        <f t="shared" ref="AK6:AK43" si="0">AH6/AG6-1</f>
        <v>1.7647110898432627E-2</v>
      </c>
      <c r="AL6" s="117"/>
    </row>
    <row r="7" spans="1:38" ht="12.75" customHeight="1">
      <c r="B7" s="9" t="s">
        <v>52</v>
      </c>
      <c r="C7" s="135">
        <v>213.41083317859889</v>
      </c>
      <c r="D7" s="135">
        <v>320.24913584337367</v>
      </c>
      <c r="E7" s="136">
        <v>386.91986312171605</v>
      </c>
      <c r="F7" s="137">
        <v>396.12863583974331</v>
      </c>
      <c r="G7" s="137">
        <v>399.37153361946514</v>
      </c>
      <c r="H7" s="137">
        <v>406.8657690791793</v>
      </c>
      <c r="I7" s="137">
        <v>415.59313420937457</v>
      </c>
      <c r="J7" s="137">
        <v>421.31826856367718</v>
      </c>
      <c r="K7" s="137">
        <v>426.66023350906852</v>
      </c>
      <c r="L7" s="137">
        <v>433.20532121224488</v>
      </c>
      <c r="M7" s="137">
        <v>439.77316073466449</v>
      </c>
      <c r="N7" s="137">
        <v>447.65865309253707</v>
      </c>
      <c r="O7" s="884">
        <v>455.79375439790311</v>
      </c>
      <c r="P7" s="884">
        <v>459.76008089449522</v>
      </c>
      <c r="Q7" s="884">
        <v>462.25107292075859</v>
      </c>
      <c r="R7" s="884">
        <v>463.71727347324622</v>
      </c>
      <c r="S7" s="884">
        <v>466.59669311799553</v>
      </c>
      <c r="T7" s="884">
        <v>467.9689121753924</v>
      </c>
      <c r="U7" s="884">
        <v>470.11989379976484</v>
      </c>
      <c r="V7" s="884">
        <v>473.33490455397111</v>
      </c>
      <c r="W7" s="884">
        <v>477.16561208509557</v>
      </c>
      <c r="X7" s="884">
        <v>479.06323902285123</v>
      </c>
      <c r="Y7" s="884">
        <v>479.60854634067584</v>
      </c>
      <c r="Z7" s="884">
        <v>488.17751784980874</v>
      </c>
      <c r="AA7" s="884">
        <v>488.77830025460645</v>
      </c>
      <c r="AB7" s="884">
        <v>491.32909513059838</v>
      </c>
      <c r="AC7" s="884">
        <v>494.38137754761522</v>
      </c>
      <c r="AD7" s="884">
        <v>497.17273722833914</v>
      </c>
      <c r="AE7" s="884">
        <v>503.18872185703543</v>
      </c>
      <c r="AF7" s="884">
        <v>507.55817233168074</v>
      </c>
      <c r="AG7" s="884">
        <v>511.00102928553474</v>
      </c>
      <c r="AH7" s="884">
        <v>511.10789034267049</v>
      </c>
      <c r="AI7" s="10" t="s">
        <v>52</v>
      </c>
      <c r="AJ7" s="10"/>
      <c r="AK7" s="665">
        <f t="shared" si="0"/>
        <v>2.0912102131220855E-4</v>
      </c>
      <c r="AL7" s="117"/>
    </row>
    <row r="8" spans="1:38" ht="12.75" customHeight="1">
      <c r="B8" s="49" t="s">
        <v>35</v>
      </c>
      <c r="C8" s="138">
        <v>18.790628127244968</v>
      </c>
      <c r="D8" s="138">
        <v>92.377171032501892</v>
      </c>
      <c r="E8" s="139">
        <v>151.96206277599646</v>
      </c>
      <c r="F8" s="140">
        <v>158.10662948426872</v>
      </c>
      <c r="G8" s="140">
        <v>166.33150116861049</v>
      </c>
      <c r="H8" s="140">
        <v>177.95427602404465</v>
      </c>
      <c r="I8" s="140">
        <v>188.41749631975063</v>
      </c>
      <c r="J8" s="140">
        <v>196.49695904989017</v>
      </c>
      <c r="K8" s="140">
        <v>204.65604819411155</v>
      </c>
      <c r="L8" s="140">
        <v>208.9175680896272</v>
      </c>
      <c r="M8" s="140">
        <v>219.83820656444283</v>
      </c>
      <c r="N8" s="140">
        <v>232.99095237188308</v>
      </c>
      <c r="O8" s="885">
        <v>244.51902872678315</v>
      </c>
      <c r="P8" s="885">
        <v>265.05897012447235</v>
      </c>
      <c r="Q8" s="885">
        <v>278.5341526865779</v>
      </c>
      <c r="R8" s="885">
        <v>298.16089998033607</v>
      </c>
      <c r="S8" s="885">
        <v>317.14597754355719</v>
      </c>
      <c r="T8" s="885">
        <v>332.67382068587307</v>
      </c>
      <c r="U8" s="885">
        <v>233.43699113906013</v>
      </c>
      <c r="V8" s="885">
        <v>276.87103568208676</v>
      </c>
      <c r="W8" s="885">
        <v>316.88205317204665</v>
      </c>
      <c r="X8" s="885">
        <v>337.11652994718509</v>
      </c>
      <c r="Y8" s="885">
        <v>353.1344550210186</v>
      </c>
      <c r="Z8" s="885">
        <v>367.80641618162622</v>
      </c>
      <c r="AA8" s="885">
        <v>385.33598222649795</v>
      </c>
      <c r="AB8" s="885">
        <v>401.64638859833246</v>
      </c>
      <c r="AC8" s="885">
        <v>418.46947279150061</v>
      </c>
      <c r="AD8" s="885">
        <v>442.00384020540736</v>
      </c>
      <c r="AE8" s="885">
        <v>442.63058447091106</v>
      </c>
      <c r="AF8" s="885">
        <v>392.99101252561331</v>
      </c>
      <c r="AG8" s="885">
        <v>396.18707838627751</v>
      </c>
      <c r="AH8" s="885">
        <v>407.09966594173727</v>
      </c>
      <c r="AI8" s="154" t="s">
        <v>35</v>
      </c>
      <c r="AJ8" s="10"/>
      <c r="AK8" s="747">
        <f t="shared" si="0"/>
        <v>2.7544026927653009E-2</v>
      </c>
    </row>
    <row r="9" spans="1:38" ht="12.75" customHeight="1">
      <c r="A9" s="8"/>
      <c r="B9" s="10" t="s">
        <v>37</v>
      </c>
      <c r="C9" s="141">
        <v>69.829077786228638</v>
      </c>
      <c r="D9" s="141">
        <v>172.93781612765611</v>
      </c>
      <c r="E9" s="142">
        <v>233.87597411526707</v>
      </c>
      <c r="F9" s="143">
        <v>240.48372914240011</v>
      </c>
      <c r="G9" s="143">
        <v>249.86206742266407</v>
      </c>
      <c r="H9" s="143">
        <v>274.15709657032556</v>
      </c>
      <c r="I9" s="143">
        <v>282.96433201805331</v>
      </c>
      <c r="J9" s="143">
        <v>294.85656131604566</v>
      </c>
      <c r="K9" s="143">
        <v>309.67985002042366</v>
      </c>
      <c r="L9" s="143">
        <v>329.30380008010388</v>
      </c>
      <c r="M9" s="143">
        <v>339.46449533952705</v>
      </c>
      <c r="N9" s="143">
        <v>334.66746473909859</v>
      </c>
      <c r="O9" s="884">
        <v>336.08883166551453</v>
      </c>
      <c r="P9" s="884">
        <v>346.01784381456974</v>
      </c>
      <c r="Q9" s="884">
        <v>357.81345948437939</v>
      </c>
      <c r="R9" s="884">
        <v>363.500330101565</v>
      </c>
      <c r="S9" s="884">
        <v>374.11523156275877</v>
      </c>
      <c r="T9" s="884">
        <v>387.21359461566141</v>
      </c>
      <c r="U9" s="884">
        <v>400.6745311911676</v>
      </c>
      <c r="V9" s="884">
        <v>413.79738736367904</v>
      </c>
      <c r="W9" s="884">
        <v>424.27221053804789</v>
      </c>
      <c r="X9" s="884">
        <v>423.91652603189726</v>
      </c>
      <c r="Y9" s="884">
        <v>428.75439448194101</v>
      </c>
      <c r="Z9" s="884">
        <v>436.12069740977176</v>
      </c>
      <c r="AA9" s="884">
        <v>447.50323907332785</v>
      </c>
      <c r="AB9" s="884">
        <v>449.86648648612663</v>
      </c>
      <c r="AC9" s="884">
        <v>458.6505856034313</v>
      </c>
      <c r="AD9" s="884">
        <v>484.68752093431743</v>
      </c>
      <c r="AE9" s="884">
        <v>501.73913536670437</v>
      </c>
      <c r="AF9" s="884">
        <v>521.9577089845435</v>
      </c>
      <c r="AG9" s="884">
        <v>539.72844560461226</v>
      </c>
      <c r="AH9" s="884">
        <v>554.05169227166903</v>
      </c>
      <c r="AI9" s="10" t="s">
        <v>37</v>
      </c>
      <c r="AJ9" s="10"/>
      <c r="AK9" s="665">
        <f t="shared" si="0"/>
        <v>2.6537876192557652E-2</v>
      </c>
      <c r="AL9" s="117"/>
    </row>
    <row r="10" spans="1:38" ht="12.75" customHeight="1">
      <c r="A10" s="8"/>
      <c r="B10" s="49" t="s">
        <v>48</v>
      </c>
      <c r="C10" s="138">
        <v>217.52422636618849</v>
      </c>
      <c r="D10" s="138">
        <v>271.27302576176493</v>
      </c>
      <c r="E10" s="139">
        <v>308.94968958328519</v>
      </c>
      <c r="F10" s="140">
        <v>308.78750344334873</v>
      </c>
      <c r="G10" s="140">
        <v>309.62604046547381</v>
      </c>
      <c r="H10" s="140">
        <v>311.3037226732186</v>
      </c>
      <c r="I10" s="140">
        <v>308.91068113728545</v>
      </c>
      <c r="J10" s="140">
        <v>319.74830828331301</v>
      </c>
      <c r="K10" s="140">
        <v>329.63300747034998</v>
      </c>
      <c r="L10" s="140">
        <v>336.76017873938122</v>
      </c>
      <c r="M10" s="140">
        <v>341.98187021661676</v>
      </c>
      <c r="N10" s="140">
        <v>345.82496876184325</v>
      </c>
      <c r="O10" s="885">
        <v>346.60432228148744</v>
      </c>
      <c r="P10" s="885">
        <v>348.82777849597846</v>
      </c>
      <c r="Q10" s="885">
        <v>350.75462890639875</v>
      </c>
      <c r="R10" s="885">
        <v>351.01433218962359</v>
      </c>
      <c r="S10" s="885">
        <v>354.03393388593162</v>
      </c>
      <c r="T10" s="885">
        <v>361.9892844883766</v>
      </c>
      <c r="U10" s="885">
        <v>370.84300517487884</v>
      </c>
      <c r="V10" s="885">
        <v>377.75236490947151</v>
      </c>
      <c r="W10" s="885">
        <v>380.85977721656241</v>
      </c>
      <c r="X10" s="885">
        <v>383.09347253655011</v>
      </c>
      <c r="Y10" s="885">
        <v>389.10623044735235</v>
      </c>
      <c r="Z10" s="890">
        <v>393.84010367500065</v>
      </c>
      <c r="AA10" s="885">
        <v>399.29868625937684</v>
      </c>
      <c r="AB10" s="885">
        <v>404.83843308480988</v>
      </c>
      <c r="AC10" s="885">
        <v>411.60694487266585</v>
      </c>
      <c r="AD10" s="885">
        <v>418.90973430115474</v>
      </c>
      <c r="AE10" s="885">
        <v>428.88103522684594</v>
      </c>
      <c r="AF10" s="885">
        <v>437.62616347153443</v>
      </c>
      <c r="AG10" s="885">
        <v>446.8537383477771</v>
      </c>
      <c r="AH10" s="885">
        <v>455.40682318686163</v>
      </c>
      <c r="AI10" s="154" t="s">
        <v>48</v>
      </c>
      <c r="AJ10" s="10"/>
      <c r="AK10" s="747">
        <f t="shared" si="0"/>
        <v>1.9140680954598643E-2</v>
      </c>
      <c r="AL10" s="117"/>
    </row>
    <row r="11" spans="1:38" ht="12.75" customHeight="1">
      <c r="A11" s="8"/>
      <c r="B11" s="10" t="s">
        <v>53</v>
      </c>
      <c r="C11" s="141">
        <v>193.50812395552978</v>
      </c>
      <c r="D11" s="141">
        <v>329.98015625245148</v>
      </c>
      <c r="E11" s="142">
        <v>461.07225228641846</v>
      </c>
      <c r="F11" s="143">
        <v>472.71511807899697</v>
      </c>
      <c r="G11" s="143">
        <v>480.29857054490844</v>
      </c>
      <c r="H11" s="143">
        <v>481.96440995979583</v>
      </c>
      <c r="I11" s="143">
        <v>489.55434029204548</v>
      </c>
      <c r="J11" s="143">
        <v>494.99731102755908</v>
      </c>
      <c r="K11" s="143">
        <v>500.47719751614397</v>
      </c>
      <c r="L11" s="291">
        <v>449.9856984220761</v>
      </c>
      <c r="M11" s="143">
        <v>457.76349652719546</v>
      </c>
      <c r="N11" s="143">
        <v>467.6868401683351</v>
      </c>
      <c r="O11" s="884">
        <v>474.82561901026918</v>
      </c>
      <c r="P11" s="884">
        <v>477.77985645347354</v>
      </c>
      <c r="Q11" s="884">
        <v>481.25210512465486</v>
      </c>
      <c r="R11" s="884">
        <v>484.87424906252051</v>
      </c>
      <c r="S11" s="884">
        <v>487.0189517686054</v>
      </c>
      <c r="T11" s="884">
        <v>493.21311126016587</v>
      </c>
      <c r="U11" s="884">
        <v>498.32651209004598</v>
      </c>
      <c r="V11" s="884">
        <v>500.90826398169531</v>
      </c>
      <c r="W11" s="884">
        <v>503.90224154047473</v>
      </c>
      <c r="X11" s="884">
        <v>510.22586088303166</v>
      </c>
      <c r="Y11" s="884">
        <v>527.30583537085465</v>
      </c>
      <c r="Z11" s="884">
        <v>534.40958869832275</v>
      </c>
      <c r="AA11" s="884">
        <v>539.35642785421328</v>
      </c>
      <c r="AB11" s="884">
        <v>542.93187344512728</v>
      </c>
      <c r="AC11" s="884">
        <v>546.85308989113798</v>
      </c>
      <c r="AD11" s="884">
        <v>548.47379183360374</v>
      </c>
      <c r="AE11" s="884">
        <v>555.04898817283743</v>
      </c>
      <c r="AF11" s="884">
        <v>561.33922323331535</v>
      </c>
      <c r="AG11" s="884">
        <v>567.2877674713684</v>
      </c>
      <c r="AH11" s="884">
        <v>573.73889656403503</v>
      </c>
      <c r="AI11" s="10" t="s">
        <v>53</v>
      </c>
      <c r="AJ11" s="10"/>
      <c r="AK11" s="665">
        <f t="shared" si="0"/>
        <v>1.1371881190779032E-2</v>
      </c>
      <c r="AL11" s="117"/>
    </row>
    <row r="12" spans="1:38" ht="12.75" customHeight="1">
      <c r="A12" s="8"/>
      <c r="B12" s="49" t="s">
        <v>38</v>
      </c>
      <c r="C12" s="138">
        <v>21.921635997080038</v>
      </c>
      <c r="D12" s="138">
        <v>85.680726626533897</v>
      </c>
      <c r="E12" s="139">
        <v>153.72358713033782</v>
      </c>
      <c r="F12" s="140">
        <v>167.8588287955711</v>
      </c>
      <c r="G12" s="140">
        <v>187.91731373523376</v>
      </c>
      <c r="H12" s="140">
        <v>214.91896825353837</v>
      </c>
      <c r="I12" s="140">
        <v>233.283497056437</v>
      </c>
      <c r="J12" s="140">
        <v>269.04725819398368</v>
      </c>
      <c r="K12" s="140">
        <v>289.18858944122172</v>
      </c>
      <c r="L12" s="140">
        <v>307.00307377784668</v>
      </c>
      <c r="M12" s="140">
        <v>326.9590360467418</v>
      </c>
      <c r="N12" s="140">
        <v>327.35057983942903</v>
      </c>
      <c r="O12" s="885">
        <v>333.08920673215005</v>
      </c>
      <c r="P12" s="885">
        <v>294.39613736077081</v>
      </c>
      <c r="Q12" s="885">
        <v>291.37791868759956</v>
      </c>
      <c r="R12" s="885">
        <v>317.65782250686186</v>
      </c>
      <c r="S12" s="885">
        <v>346.76380763145306</v>
      </c>
      <c r="T12" s="885">
        <v>365.57340638187605</v>
      </c>
      <c r="U12" s="885">
        <v>412.54281714472938</v>
      </c>
      <c r="V12" s="885">
        <v>391.32572248289046</v>
      </c>
      <c r="W12" s="885">
        <v>413.12680611496256</v>
      </c>
      <c r="X12" s="885">
        <v>409.28830186981077</v>
      </c>
      <c r="Y12" s="885">
        <v>415.67017132199209</v>
      </c>
      <c r="Z12" s="885">
        <v>433.13661083430105</v>
      </c>
      <c r="AA12" s="885">
        <v>456.07624449504385</v>
      </c>
      <c r="AB12" s="885">
        <v>477.649281550122</v>
      </c>
      <c r="AC12" s="885">
        <v>496.62704297763275</v>
      </c>
      <c r="AD12" s="891">
        <v>514.15561756427326</v>
      </c>
      <c r="AE12" s="885">
        <v>534.41874076016518</v>
      </c>
      <c r="AF12" s="885">
        <v>550.28568006410273</v>
      </c>
      <c r="AG12" s="885">
        <v>563.44560015700245</v>
      </c>
      <c r="AH12" s="885">
        <v>598.14925175473456</v>
      </c>
      <c r="AI12" s="49" t="s">
        <v>38</v>
      </c>
      <c r="AJ12" s="10"/>
      <c r="AK12" s="747">
        <f t="shared" si="0"/>
        <v>6.15918406108098E-2</v>
      </c>
      <c r="AL12" s="117"/>
    </row>
    <row r="13" spans="1:38" ht="12.75" customHeight="1">
      <c r="A13" s="8"/>
      <c r="B13" s="10" t="s">
        <v>56</v>
      </c>
      <c r="C13" s="141">
        <v>132.42427302100162</v>
      </c>
      <c r="D13" s="141">
        <v>215.01806105802845</v>
      </c>
      <c r="E13" s="142">
        <v>227.60302041166415</v>
      </c>
      <c r="F13" s="143">
        <v>237.33555988286938</v>
      </c>
      <c r="G13" s="143">
        <v>242.11828035615278</v>
      </c>
      <c r="H13" s="143">
        <v>250.38583326309728</v>
      </c>
      <c r="I13" s="143">
        <v>262.93710531165493</v>
      </c>
      <c r="J13" s="143">
        <v>275.81548950087915</v>
      </c>
      <c r="K13" s="143">
        <v>291.82356554321461</v>
      </c>
      <c r="L13" s="143">
        <v>309.95108553506191</v>
      </c>
      <c r="M13" s="143">
        <v>323.7267035476363</v>
      </c>
      <c r="N13" s="143">
        <v>339.45703118278573</v>
      </c>
      <c r="O13" s="884">
        <v>347.75957835337925</v>
      </c>
      <c r="P13" s="884">
        <v>359.32258413591603</v>
      </c>
      <c r="Q13" s="884">
        <v>369.85099860223681</v>
      </c>
      <c r="R13" s="884">
        <v>379.00681856936376</v>
      </c>
      <c r="S13" s="884">
        <v>390.0060607947326</v>
      </c>
      <c r="T13" s="884">
        <v>400.18597219304604</v>
      </c>
      <c r="U13" s="884">
        <v>415.22949376030789</v>
      </c>
      <c r="V13" s="884">
        <v>428.36600852669443</v>
      </c>
      <c r="W13" s="884">
        <v>432.02718143056393</v>
      </c>
      <c r="X13" s="884">
        <v>424.38587884015317</v>
      </c>
      <c r="Y13" s="884">
        <v>415.54243044174638</v>
      </c>
      <c r="Z13" s="884">
        <v>416.82705832082411</v>
      </c>
      <c r="AA13" s="884">
        <v>413.62720425426039</v>
      </c>
      <c r="AB13" s="884">
        <v>416.81558618084409</v>
      </c>
      <c r="AC13" s="884">
        <v>420.35010487155131</v>
      </c>
      <c r="AD13" s="884">
        <v>424.6689684035203</v>
      </c>
      <c r="AE13" s="884">
        <v>428.1956523965577</v>
      </c>
      <c r="AF13" s="884">
        <v>432.13884090566569</v>
      </c>
      <c r="AG13" s="884">
        <v>433.87558520790174</v>
      </c>
      <c r="AH13" s="884">
        <v>442.4563495580569</v>
      </c>
      <c r="AI13" s="10" t="s">
        <v>56</v>
      </c>
      <c r="AJ13" s="10"/>
      <c r="AK13" s="665">
        <f t="shared" si="0"/>
        <v>1.9777015906630169E-2</v>
      </c>
      <c r="AL13" s="117"/>
    </row>
    <row r="14" spans="1:38" ht="12.75" customHeight="1">
      <c r="A14" s="8"/>
      <c r="B14" s="49" t="s">
        <v>49</v>
      </c>
      <c r="C14" s="138">
        <v>25.768367370811774</v>
      </c>
      <c r="D14" s="138">
        <v>88.92119083467739</v>
      </c>
      <c r="E14" s="139">
        <v>168.94531335557548</v>
      </c>
      <c r="F14" s="140">
        <v>171.45327029197861</v>
      </c>
      <c r="G14" s="140">
        <v>175.35302126611955</v>
      </c>
      <c r="H14" s="140">
        <v>186.70811109116593</v>
      </c>
      <c r="I14" s="140">
        <v>196.8570914143383</v>
      </c>
      <c r="J14" s="140">
        <v>208.22552598464046</v>
      </c>
      <c r="K14" s="140">
        <v>220.09241088778745</v>
      </c>
      <c r="L14" s="140">
        <v>233.80160381549109</v>
      </c>
      <c r="M14" s="140">
        <v>248.95178236076549</v>
      </c>
      <c r="N14" s="140">
        <v>271.80608608668433</v>
      </c>
      <c r="O14" s="885">
        <v>294.85679618168678</v>
      </c>
      <c r="P14" s="885">
        <v>314.43955212736199</v>
      </c>
      <c r="Q14" s="885">
        <v>334.01848884687018</v>
      </c>
      <c r="R14" s="885">
        <v>350.95242217150076</v>
      </c>
      <c r="S14" s="885">
        <v>371.3348839990694</v>
      </c>
      <c r="T14" s="885">
        <v>391.02590198602127</v>
      </c>
      <c r="U14" s="885">
        <v>411.65392413633617</v>
      </c>
      <c r="V14" s="885">
        <v>433.82671829701229</v>
      </c>
      <c r="W14" s="885">
        <v>452.82194408253645</v>
      </c>
      <c r="X14" s="885">
        <v>461.53670437021646</v>
      </c>
      <c r="Y14" s="885">
        <v>469.00019346616563</v>
      </c>
      <c r="Z14" s="885">
        <v>469.36680832363527</v>
      </c>
      <c r="AA14" s="885">
        <v>469.623573707368</v>
      </c>
      <c r="AB14" s="885">
        <v>468.95749142453047</v>
      </c>
      <c r="AC14" s="885">
        <v>470.70036170505517</v>
      </c>
      <c r="AD14" s="885">
        <v>473.64051904773743</v>
      </c>
      <c r="AE14" s="885">
        <v>479.19423435296892</v>
      </c>
      <c r="AF14" s="885">
        <v>487.46369690811002</v>
      </c>
      <c r="AG14" s="885">
        <v>492.5773914716998</v>
      </c>
      <c r="AH14" s="885">
        <v>504.40996532651531</v>
      </c>
      <c r="AI14" s="49" t="s">
        <v>49</v>
      </c>
      <c r="AJ14" s="10"/>
      <c r="AK14" s="747">
        <f t="shared" si="0"/>
        <v>2.4021755889897189E-2</v>
      </c>
      <c r="AL14" s="117"/>
    </row>
    <row r="15" spans="1:38" ht="12.75" customHeight="1">
      <c r="A15" s="8"/>
      <c r="B15" s="10" t="s">
        <v>54</v>
      </c>
      <c r="C15" s="141">
        <v>69.856009667272716</v>
      </c>
      <c r="D15" s="141">
        <v>200.77772993081848</v>
      </c>
      <c r="E15" s="142">
        <v>308.57290702588551</v>
      </c>
      <c r="F15" s="143">
        <v>321.43503238322774</v>
      </c>
      <c r="G15" s="143">
        <v>334.82307022345873</v>
      </c>
      <c r="H15" s="143">
        <v>342.46569653148828</v>
      </c>
      <c r="I15" s="143">
        <v>349.07757650007244</v>
      </c>
      <c r="J15" s="143">
        <v>360.4342560192527</v>
      </c>
      <c r="K15" s="143">
        <v>373.27376359497896</v>
      </c>
      <c r="L15" s="143">
        <v>385.91327393853811</v>
      </c>
      <c r="M15" s="143">
        <v>403.2391216834925</v>
      </c>
      <c r="N15" s="143">
        <v>416.29160452008841</v>
      </c>
      <c r="O15" s="884">
        <v>429.09138436482283</v>
      </c>
      <c r="P15" s="884">
        <v>442.32379758704212</v>
      </c>
      <c r="Q15" s="884">
        <v>447.85083082706791</v>
      </c>
      <c r="R15" s="884">
        <v>439.23477342978782</v>
      </c>
      <c r="S15" s="884">
        <v>451.35267560041689</v>
      </c>
      <c r="T15" s="884">
        <v>460.13156882107467</v>
      </c>
      <c r="U15" s="884">
        <v>466.87241119538544</v>
      </c>
      <c r="V15" s="884">
        <v>476.4764515330649</v>
      </c>
      <c r="W15" s="884">
        <v>478.92976172008593</v>
      </c>
      <c r="X15" s="884">
        <v>472.89920138093936</v>
      </c>
      <c r="Y15" s="884">
        <v>474.58316203162423</v>
      </c>
      <c r="Z15" s="884">
        <v>475.81903959225787</v>
      </c>
      <c r="AA15" s="884">
        <v>476.10812300748006</v>
      </c>
      <c r="AB15" s="884">
        <v>473.52175286315747</v>
      </c>
      <c r="AC15" s="884">
        <v>474.26734782123361</v>
      </c>
      <c r="AD15" s="884">
        <v>481.3846111740632</v>
      </c>
      <c r="AE15" s="884">
        <v>491.67852045468339</v>
      </c>
      <c r="AF15" s="884">
        <v>503.66873548105877</v>
      </c>
      <c r="AG15" s="884">
        <v>512.90283200524277</v>
      </c>
      <c r="AH15" s="884">
        <v>518.84153281709735</v>
      </c>
      <c r="AI15" s="10" t="s">
        <v>54</v>
      </c>
      <c r="AJ15" s="10"/>
      <c r="AK15" s="665">
        <f t="shared" si="0"/>
        <v>1.1578607957060116E-2</v>
      </c>
      <c r="AL15" s="117"/>
    </row>
    <row r="16" spans="1:38" ht="12.75" customHeight="1">
      <c r="A16" s="8"/>
      <c r="B16" s="49" t="s">
        <v>55</v>
      </c>
      <c r="C16" s="138">
        <v>233.25908376537555</v>
      </c>
      <c r="D16" s="138">
        <v>353.51627461218249</v>
      </c>
      <c r="E16" s="139">
        <v>464.24361972546325</v>
      </c>
      <c r="F16" s="140">
        <v>465.9963046403787</v>
      </c>
      <c r="G16" s="140">
        <v>468.63557166602573</v>
      </c>
      <c r="H16" s="140">
        <v>468.32930317107105</v>
      </c>
      <c r="I16" s="140">
        <v>468.04108475578215</v>
      </c>
      <c r="J16" s="140">
        <v>468.26262434058953</v>
      </c>
      <c r="K16" s="140">
        <v>469.09285621266292</v>
      </c>
      <c r="L16" s="140">
        <v>470.53267008909205</v>
      </c>
      <c r="M16" s="140">
        <v>475.86532736760722</v>
      </c>
      <c r="N16" s="140">
        <v>483.47765073072395</v>
      </c>
      <c r="O16" s="885">
        <v>488.81820007325433</v>
      </c>
      <c r="P16" s="885">
        <v>493.78686219837459</v>
      </c>
      <c r="Q16" s="885">
        <v>494.48305129787087</v>
      </c>
      <c r="R16" s="885">
        <v>490.95547870881705</v>
      </c>
      <c r="S16" s="885">
        <v>486.47200613895779</v>
      </c>
      <c r="T16" s="885">
        <v>482.32150952634788</v>
      </c>
      <c r="U16" s="885">
        <v>487.11245718737183</v>
      </c>
      <c r="V16" s="885">
        <v>491.23978925306096</v>
      </c>
      <c r="W16" s="885">
        <v>483.43390433469489</v>
      </c>
      <c r="X16" s="885">
        <v>485.528757267218</v>
      </c>
      <c r="Y16" s="885">
        <v>502.87188632106199</v>
      </c>
      <c r="Z16" s="885">
        <v>499.58666135044871</v>
      </c>
      <c r="AA16" s="885">
        <v>552.08546905618641</v>
      </c>
      <c r="AB16" s="885">
        <v>549.09486718098935</v>
      </c>
      <c r="AC16" s="885">
        <v>550.22594443754713</v>
      </c>
      <c r="AD16" s="890">
        <v>554.89935223676093</v>
      </c>
      <c r="AE16" s="885">
        <v>560.66611529060344</v>
      </c>
      <c r="AF16" s="885">
        <v>565.97698238229862</v>
      </c>
      <c r="AG16" s="1013">
        <v>571.18860211157164</v>
      </c>
      <c r="AH16" s="1013">
        <v>569.44261735583257</v>
      </c>
      <c r="AI16" s="49" t="s">
        <v>55</v>
      </c>
      <c r="AJ16" s="10"/>
      <c r="AK16" s="747">
        <f t="shared" si="0"/>
        <v>-3.056756996348553E-3</v>
      </c>
      <c r="AL16" s="117"/>
    </row>
    <row r="17" spans="1:38" ht="12.75" customHeight="1">
      <c r="A17" s="8"/>
      <c r="B17" s="10" t="s">
        <v>66</v>
      </c>
      <c r="C17" s="141"/>
      <c r="D17" s="141"/>
      <c r="E17" s="142">
        <v>121.28362405505942</v>
      </c>
      <c r="F17" s="143">
        <v>130.55210922163528</v>
      </c>
      <c r="G17" s="143">
        <v>136.09112486119253</v>
      </c>
      <c r="H17" s="143">
        <v>139.11484116245853</v>
      </c>
      <c r="I17" s="143">
        <v>149.90492376622515</v>
      </c>
      <c r="J17" s="143">
        <v>155.18098336078995</v>
      </c>
      <c r="K17" s="143">
        <v>184.36109373248965</v>
      </c>
      <c r="L17" s="143">
        <v>205.49187402960493</v>
      </c>
      <c r="M17" s="143">
        <v>220.88593182180114</v>
      </c>
      <c r="N17" s="143">
        <v>236.46257505166491</v>
      </c>
      <c r="O17" s="884">
        <v>261.86698067656471</v>
      </c>
      <c r="P17" s="884">
        <v>277.65687282342049</v>
      </c>
      <c r="Q17" s="884">
        <v>288.99907650513865</v>
      </c>
      <c r="R17" s="884">
        <v>300.39563604271058</v>
      </c>
      <c r="S17" s="884">
        <v>310.27166034813001</v>
      </c>
      <c r="T17" s="884">
        <v>321.09059111366599</v>
      </c>
      <c r="U17" s="884">
        <v>332.85522530271027</v>
      </c>
      <c r="V17" s="884">
        <v>345.81131998459171</v>
      </c>
      <c r="W17" s="884">
        <v>356.23031809394223</v>
      </c>
      <c r="X17" s="884">
        <v>356.17092590092096</v>
      </c>
      <c r="Y17" s="884">
        <v>353.26329059453502</v>
      </c>
      <c r="Z17" s="884">
        <v>355.07101991027093</v>
      </c>
      <c r="AA17" s="884">
        <v>339.08318356506362</v>
      </c>
      <c r="AB17" s="884">
        <v>341.03229036201066</v>
      </c>
      <c r="AC17" s="884">
        <v>348.96679916957686</v>
      </c>
      <c r="AD17" s="884">
        <v>357.89082840949737</v>
      </c>
      <c r="AE17" s="884">
        <v>373.81424592335537</v>
      </c>
      <c r="AF17" s="884">
        <v>388.7686570163437</v>
      </c>
      <c r="AG17" s="884">
        <v>408.81070475138154</v>
      </c>
      <c r="AH17" s="884">
        <v>425.0443242204297</v>
      </c>
      <c r="AI17" s="10" t="s">
        <v>66</v>
      </c>
      <c r="AJ17" s="10"/>
      <c r="AK17" s="665">
        <f t="shared" si="0"/>
        <v>3.9709379623316554E-2</v>
      </c>
      <c r="AL17" s="117"/>
    </row>
    <row r="18" spans="1:38" ht="12.75" customHeight="1">
      <c r="A18" s="8"/>
      <c r="B18" s="154" t="s">
        <v>57</v>
      </c>
      <c r="C18" s="317">
        <v>188.6859506582849</v>
      </c>
      <c r="D18" s="317">
        <v>313.14553645641939</v>
      </c>
      <c r="E18" s="318">
        <v>483.14835939209843</v>
      </c>
      <c r="F18" s="319">
        <v>500.85360234138375</v>
      </c>
      <c r="G18" s="319">
        <v>517.93348439184285</v>
      </c>
      <c r="H18" s="319">
        <v>521.65334632645306</v>
      </c>
      <c r="I18" s="319">
        <v>521.86853630351823</v>
      </c>
      <c r="J18" s="319">
        <v>533.06099125650417</v>
      </c>
      <c r="K18" s="319">
        <v>535.67371149112125</v>
      </c>
      <c r="L18" s="319">
        <v>540.23879251893777</v>
      </c>
      <c r="M18" s="319">
        <v>551.24329920540492</v>
      </c>
      <c r="N18" s="319">
        <v>562.83042139133909</v>
      </c>
      <c r="O18" s="885">
        <v>572.04036425681056</v>
      </c>
      <c r="P18" s="885">
        <v>583.26869782178755</v>
      </c>
      <c r="Q18" s="885">
        <v>589.98519985102178</v>
      </c>
      <c r="R18" s="885">
        <v>596.7459592770964</v>
      </c>
      <c r="S18" s="885">
        <v>587.0115246971335</v>
      </c>
      <c r="T18" s="885">
        <v>597.05423722776993</v>
      </c>
      <c r="U18" s="885">
        <v>606.23518130335276</v>
      </c>
      <c r="V18" s="885">
        <v>608.32648015975349</v>
      </c>
      <c r="W18" s="885">
        <v>611.94617626340187</v>
      </c>
      <c r="X18" s="885">
        <v>614.49420725339348</v>
      </c>
      <c r="Y18" s="885">
        <v>619.0769462453186</v>
      </c>
      <c r="Z18" s="885">
        <v>624.8639703195297</v>
      </c>
      <c r="AA18" s="885">
        <v>621.22575155825416</v>
      </c>
      <c r="AB18" s="885">
        <v>608.11634658748449</v>
      </c>
      <c r="AC18" s="885">
        <v>609.92482483768731</v>
      </c>
      <c r="AD18" s="885">
        <v>615.69098746008262</v>
      </c>
      <c r="AE18" s="885">
        <v>625.12766043656609</v>
      </c>
      <c r="AF18" s="885">
        <v>636.86823284574916</v>
      </c>
      <c r="AG18" s="885">
        <v>652.29589081291761</v>
      </c>
      <c r="AH18" s="892">
        <v>663.04905068766902</v>
      </c>
      <c r="AI18" s="154" t="s">
        <v>57</v>
      </c>
      <c r="AJ18" s="10"/>
      <c r="AK18" s="747">
        <f t="shared" si="0"/>
        <v>1.6485095224730628E-2</v>
      </c>
      <c r="AL18" s="117"/>
    </row>
    <row r="19" spans="1:38" ht="12.75" customHeight="1">
      <c r="A19" s="8"/>
      <c r="B19" s="10" t="s">
        <v>36</v>
      </c>
      <c r="C19" s="141">
        <v>97.260496028529744</v>
      </c>
      <c r="D19" s="141">
        <v>174.75728155339806</v>
      </c>
      <c r="E19" s="142">
        <v>304.1892833237672</v>
      </c>
      <c r="F19" s="143">
        <v>315.05515952569277</v>
      </c>
      <c r="G19" s="143">
        <v>322.98124609394557</v>
      </c>
      <c r="H19" s="143">
        <v>321.68722667408178</v>
      </c>
      <c r="I19" s="143">
        <v>325.94565532329619</v>
      </c>
      <c r="J19" s="143">
        <v>334.81327314031137</v>
      </c>
      <c r="K19" s="143">
        <v>340.42859737090521</v>
      </c>
      <c r="L19" s="143">
        <v>348.00174759150786</v>
      </c>
      <c r="M19" s="143">
        <v>364.97125334254946</v>
      </c>
      <c r="N19" s="143">
        <v>372.17974878963986</v>
      </c>
      <c r="O19" s="884">
        <v>383.61319419854379</v>
      </c>
      <c r="P19" s="884">
        <v>396.95750341228478</v>
      </c>
      <c r="Q19" s="884">
        <v>402.98996805469932</v>
      </c>
      <c r="R19" s="884">
        <v>418.45888672320797</v>
      </c>
      <c r="S19" s="884">
        <v>457.84900970852595</v>
      </c>
      <c r="T19" s="884">
        <v>477.32230485220015</v>
      </c>
      <c r="U19" s="884">
        <v>492.06640313702309</v>
      </c>
      <c r="V19" s="884">
        <v>529.32955316854998</v>
      </c>
      <c r="W19" s="884">
        <v>556.53194132483407</v>
      </c>
      <c r="X19" s="884">
        <v>562.17984715677426</v>
      </c>
      <c r="Y19" s="884">
        <v>550.93950468650826</v>
      </c>
      <c r="Z19" s="884">
        <v>545.23666171313357</v>
      </c>
      <c r="AA19" s="884">
        <v>549.10968981773408</v>
      </c>
      <c r="AB19" s="884">
        <v>553.10139860139861</v>
      </c>
      <c r="AC19" s="884">
        <v>564.92028410593525</v>
      </c>
      <c r="AD19" s="884">
        <v>574.89222804157396</v>
      </c>
      <c r="AE19" s="884">
        <v>594.62191244288158</v>
      </c>
      <c r="AF19" s="884">
        <v>609.34397548817674</v>
      </c>
      <c r="AG19" s="884">
        <v>628.71974965150093</v>
      </c>
      <c r="AH19" s="884">
        <v>644.7047032392835</v>
      </c>
      <c r="AI19" s="10" t="s">
        <v>36</v>
      </c>
      <c r="AJ19" s="10"/>
      <c r="AK19" s="665">
        <f t="shared" si="0"/>
        <v>2.5424608653765057E-2</v>
      </c>
      <c r="AL19" s="117"/>
    </row>
    <row r="20" spans="1:38" ht="12.75" customHeight="1">
      <c r="A20" s="8"/>
      <c r="B20" s="154" t="s">
        <v>40</v>
      </c>
      <c r="C20" s="317">
        <v>16.903141617901102</v>
      </c>
      <c r="D20" s="317">
        <v>66.013425380969039</v>
      </c>
      <c r="E20" s="318">
        <v>106.46458209265728</v>
      </c>
      <c r="F20" s="319">
        <v>124.47975785092699</v>
      </c>
      <c r="G20" s="319">
        <v>135.36117261450104</v>
      </c>
      <c r="H20" s="319">
        <v>144.62372446971631</v>
      </c>
      <c r="I20" s="320">
        <v>100.61385758504028</v>
      </c>
      <c r="J20" s="319">
        <v>134.43848244869167</v>
      </c>
      <c r="K20" s="319">
        <v>155.38187059493347</v>
      </c>
      <c r="L20" s="319">
        <v>178.37820644426259</v>
      </c>
      <c r="M20" s="319">
        <v>201.17553500096696</v>
      </c>
      <c r="N20" s="319">
        <v>220.66955954007932</v>
      </c>
      <c r="O20" s="885">
        <v>236.59547273203179</v>
      </c>
      <c r="P20" s="885">
        <v>252.56833821925107</v>
      </c>
      <c r="Q20" s="885">
        <v>269.24532158529001</v>
      </c>
      <c r="R20" s="885">
        <v>285.04032470613038</v>
      </c>
      <c r="S20" s="885">
        <v>304.9831890489678</v>
      </c>
      <c r="T20" s="885">
        <v>333.25358615433368</v>
      </c>
      <c r="U20" s="885">
        <v>372.1460132920447</v>
      </c>
      <c r="V20" s="885">
        <v>412.8409853043832</v>
      </c>
      <c r="W20" s="885">
        <v>431.29893463853438</v>
      </c>
      <c r="X20" s="885">
        <v>426.45899276775708</v>
      </c>
      <c r="Y20" s="885">
        <v>306.88444306265529</v>
      </c>
      <c r="Z20" s="885">
        <v>299.45036538793528</v>
      </c>
      <c r="AA20" s="885">
        <v>305.49775795832147</v>
      </c>
      <c r="AB20" s="885">
        <v>317.06877152170307</v>
      </c>
      <c r="AC20" s="885">
        <v>331.2020164181389</v>
      </c>
      <c r="AD20" s="885">
        <v>344.8770084872346</v>
      </c>
      <c r="AE20" s="885">
        <v>340.58332940194327</v>
      </c>
      <c r="AF20" s="885">
        <v>356.70362426391102</v>
      </c>
      <c r="AG20" s="885">
        <v>368.67333205553427</v>
      </c>
      <c r="AH20" s="885">
        <v>381.17813568873106</v>
      </c>
      <c r="AI20" s="154" t="s">
        <v>40</v>
      </c>
      <c r="AJ20" s="10"/>
      <c r="AK20" s="747">
        <f t="shared" si="0"/>
        <v>3.3918383961965448E-2</v>
      </c>
      <c r="AL20" s="117"/>
    </row>
    <row r="21" spans="1:38" ht="12.75" customHeight="1">
      <c r="A21" s="8"/>
      <c r="B21" s="10" t="s">
        <v>41</v>
      </c>
      <c r="C21" s="141">
        <v>13.827201744568869</v>
      </c>
      <c r="D21" s="141">
        <v>72.175582445261981</v>
      </c>
      <c r="E21" s="142">
        <v>133.17240991818406</v>
      </c>
      <c r="F21" s="143">
        <v>143.26960668850515</v>
      </c>
      <c r="G21" s="143">
        <v>152.9536707392048</v>
      </c>
      <c r="H21" s="143">
        <v>162.81307745275782</v>
      </c>
      <c r="I21" s="143">
        <v>179.19616051755273</v>
      </c>
      <c r="J21" s="143">
        <v>198.73495662218426</v>
      </c>
      <c r="K21" s="143">
        <v>218.80857176381465</v>
      </c>
      <c r="L21" s="143">
        <v>247.62391076903126</v>
      </c>
      <c r="M21" s="143">
        <v>277.37521847776878</v>
      </c>
      <c r="N21" s="143">
        <v>310.1682937204626</v>
      </c>
      <c r="O21" s="884">
        <v>336.21871879479141</v>
      </c>
      <c r="P21" s="884">
        <v>328.10306842658144</v>
      </c>
      <c r="Q21" s="884">
        <v>344.14863250645419</v>
      </c>
      <c r="R21" s="884">
        <v>369.77912748398103</v>
      </c>
      <c r="S21" s="884">
        <v>392.19902122662597</v>
      </c>
      <c r="T21" s="884">
        <v>442.35531569212441</v>
      </c>
      <c r="U21" s="884">
        <v>489.921947284032</v>
      </c>
      <c r="V21" s="884">
        <v>494.27271637814175</v>
      </c>
      <c r="W21" s="884">
        <v>524.85570955470348</v>
      </c>
      <c r="X21" s="884">
        <v>539.56045494936939</v>
      </c>
      <c r="Y21" s="884">
        <v>554.23627426957057</v>
      </c>
      <c r="Z21" s="884">
        <v>570.40771516968903</v>
      </c>
      <c r="AA21" s="884">
        <v>589.99429658754229</v>
      </c>
      <c r="AB21" s="888">
        <v>614.57421711502604</v>
      </c>
      <c r="AC21" s="884">
        <v>412.72162510586173</v>
      </c>
      <c r="AD21" s="884">
        <v>430.68652247938246</v>
      </c>
      <c r="AE21" s="884">
        <v>456.03257694079576</v>
      </c>
      <c r="AF21" s="884">
        <v>483.10709419805113</v>
      </c>
      <c r="AG21" s="884">
        <v>511.96342116338792</v>
      </c>
      <c r="AH21" s="884">
        <v>536.37785468614106</v>
      </c>
      <c r="AI21" s="10" t="s">
        <v>41</v>
      </c>
      <c r="AJ21" s="10"/>
      <c r="AK21" s="665">
        <f t="shared" si="0"/>
        <v>4.768784743893173E-2</v>
      </c>
      <c r="AL21" s="117"/>
    </row>
    <row r="22" spans="1:38" ht="12.75" customHeight="1">
      <c r="A22" s="8"/>
      <c r="B22" s="154" t="s">
        <v>58</v>
      </c>
      <c r="C22" s="317">
        <v>211.86378335751129</v>
      </c>
      <c r="D22" s="317">
        <v>352.47361929560088</v>
      </c>
      <c r="E22" s="318">
        <v>477.1175858480749</v>
      </c>
      <c r="F22" s="319">
        <v>492.81314168377821</v>
      </c>
      <c r="G22" s="319">
        <v>509.18302723242562</v>
      </c>
      <c r="H22" s="319">
        <v>519.74012993503243</v>
      </c>
      <c r="I22" s="319">
        <v>536.80266239368905</v>
      </c>
      <c r="J22" s="319">
        <v>556.45529640427594</v>
      </c>
      <c r="K22" s="319">
        <v>555.75386829794888</v>
      </c>
      <c r="L22" s="319">
        <v>561.15152233147739</v>
      </c>
      <c r="M22" s="319">
        <v>592.97063297063301</v>
      </c>
      <c r="N22" s="319">
        <v>607.64529520295207</v>
      </c>
      <c r="O22" s="885">
        <v>622.06378132118459</v>
      </c>
      <c r="P22" s="885">
        <v>632.15628870622675</v>
      </c>
      <c r="Q22" s="885">
        <v>640.74280615659166</v>
      </c>
      <c r="R22" s="885">
        <v>644.88746263407779</v>
      </c>
      <c r="S22" s="885">
        <v>649.91219131452863</v>
      </c>
      <c r="T22" s="885">
        <v>655.02914177784044</v>
      </c>
      <c r="U22" s="885">
        <v>660.8832244475384</v>
      </c>
      <c r="V22" s="885">
        <v>664.5735109001879</v>
      </c>
      <c r="W22" s="885">
        <v>666.74366767983793</v>
      </c>
      <c r="X22" s="885">
        <v>660.27773240968315</v>
      </c>
      <c r="Y22" s="885">
        <v>658.87582056892791</v>
      </c>
      <c r="Z22" s="885">
        <v>658.42245352508235</v>
      </c>
      <c r="AA22" s="885">
        <v>662.61481940790134</v>
      </c>
      <c r="AB22" s="885">
        <v>660.83357589870479</v>
      </c>
      <c r="AC22" s="885">
        <v>662.26432522497237</v>
      </c>
      <c r="AD22" s="885">
        <v>661.35125614100843</v>
      </c>
      <c r="AE22" s="885">
        <v>661.85346396531372</v>
      </c>
      <c r="AF22" s="885">
        <v>669.89809054742068</v>
      </c>
      <c r="AG22" s="890">
        <v>676.24866833687895</v>
      </c>
      <c r="AH22" s="885">
        <v>680.94641818983303</v>
      </c>
      <c r="AI22" s="154" t="s">
        <v>58</v>
      </c>
      <c r="AJ22" s="10"/>
      <c r="AK22" s="747">
        <f t="shared" si="0"/>
        <v>6.946778711605317E-3</v>
      </c>
      <c r="AL22" s="117"/>
    </row>
    <row r="23" spans="1:38" ht="12.75" customHeight="1">
      <c r="A23" s="8"/>
      <c r="B23" s="10" t="s">
        <v>39</v>
      </c>
      <c r="C23" s="141">
        <v>23.180072169223024</v>
      </c>
      <c r="D23" s="141">
        <v>94.279907336853057</v>
      </c>
      <c r="E23" s="142">
        <v>187.40685691226187</v>
      </c>
      <c r="F23" s="143">
        <v>194.72418909184012</v>
      </c>
      <c r="G23" s="143">
        <v>198.55215153639134</v>
      </c>
      <c r="H23" s="143">
        <v>202.27313790034987</v>
      </c>
      <c r="I23" s="143">
        <v>210.79174204533362</v>
      </c>
      <c r="J23" s="143">
        <v>217.50762433427258</v>
      </c>
      <c r="K23" s="143">
        <v>219.89376625956061</v>
      </c>
      <c r="L23" s="143">
        <v>223.5433558332889</v>
      </c>
      <c r="M23" s="143">
        <v>216.33024545185719</v>
      </c>
      <c r="N23" s="143">
        <v>220.66176438936827</v>
      </c>
      <c r="O23" s="884">
        <v>231.82714857938464</v>
      </c>
      <c r="P23" s="884">
        <v>244.01600691430139</v>
      </c>
      <c r="Q23" s="884">
        <v>259.26169860630097</v>
      </c>
      <c r="R23" s="884">
        <v>274.51713209647926</v>
      </c>
      <c r="S23" s="884">
        <v>280.11084670151138</v>
      </c>
      <c r="T23" s="884">
        <v>286.67809051502689</v>
      </c>
      <c r="U23" s="884">
        <v>293.4324098628295</v>
      </c>
      <c r="V23" s="884">
        <v>299.85512773457225</v>
      </c>
      <c r="W23" s="884">
        <v>304.59920396571624</v>
      </c>
      <c r="X23" s="884">
        <v>300.94083235173935</v>
      </c>
      <c r="Y23" s="884">
        <v>298.8329737198772</v>
      </c>
      <c r="Z23" s="884">
        <v>298.81498299675036</v>
      </c>
      <c r="AA23" s="884">
        <v>301.3511830597414</v>
      </c>
      <c r="AB23" s="884">
        <v>307.84850008074017</v>
      </c>
      <c r="AC23" s="884">
        <v>315.32368850064603</v>
      </c>
      <c r="AD23" s="884">
        <v>325.19819724052275</v>
      </c>
      <c r="AE23" s="884">
        <v>338.1664069251521</v>
      </c>
      <c r="AF23" s="884">
        <v>355.06936687102586</v>
      </c>
      <c r="AG23" s="884">
        <v>372.65056039463178</v>
      </c>
      <c r="AH23" s="884">
        <v>390.19426326313067</v>
      </c>
      <c r="AI23" s="10" t="s">
        <v>39</v>
      </c>
      <c r="AJ23" s="10"/>
      <c r="AK23" s="665">
        <f t="shared" si="0"/>
        <v>4.7078160435128247E-2</v>
      </c>
      <c r="AL23" s="117"/>
    </row>
    <row r="24" spans="1:38" ht="12.75" customHeight="1">
      <c r="A24" s="8"/>
      <c r="B24" s="154" t="s">
        <v>42</v>
      </c>
      <c r="C24" s="317"/>
      <c r="D24" s="317"/>
      <c r="E24" s="322">
        <v>337.16388974740806</v>
      </c>
      <c r="F24" s="319">
        <v>339.31963631610125</v>
      </c>
      <c r="G24" s="319">
        <v>344.37443694779557</v>
      </c>
      <c r="H24" s="319">
        <v>416.48495896908287</v>
      </c>
      <c r="I24" s="319">
        <v>461.8609775044593</v>
      </c>
      <c r="J24" s="319">
        <v>486.92432992743966</v>
      </c>
      <c r="K24" s="319">
        <v>486.68567058332752</v>
      </c>
      <c r="L24" s="319">
        <v>488.09470058138766</v>
      </c>
      <c r="M24" s="320">
        <v>461.76403764153883</v>
      </c>
      <c r="N24" s="319">
        <v>468.80458072996379</v>
      </c>
      <c r="O24" s="885">
        <v>483.17770141665494</v>
      </c>
      <c r="P24" s="885">
        <v>495.0803388396036</v>
      </c>
      <c r="Q24" s="885">
        <v>508.23819016551897</v>
      </c>
      <c r="R24" s="885">
        <v>522.20363270787539</v>
      </c>
      <c r="S24" s="885">
        <v>524.95604319191</v>
      </c>
      <c r="T24" s="885">
        <v>524.84327121795366</v>
      </c>
      <c r="U24" s="885">
        <v>537.83134787582355</v>
      </c>
      <c r="V24" s="885">
        <v>551.44275093666022</v>
      </c>
      <c r="W24" s="885">
        <v>558.22459518258756</v>
      </c>
      <c r="X24" s="885">
        <v>563.93906677583834</v>
      </c>
      <c r="Y24" s="885">
        <v>580.64189653219717</v>
      </c>
      <c r="Z24" s="885">
        <v>592.44969416543324</v>
      </c>
      <c r="AA24" s="885">
        <v>591.78621047125614</v>
      </c>
      <c r="AB24" s="885">
        <v>597.53996050523494</v>
      </c>
      <c r="AC24" s="885">
        <v>605.73220739109979</v>
      </c>
      <c r="AD24" s="885">
        <v>610.94102105835736</v>
      </c>
      <c r="AE24" s="885">
        <v>614.67487296245679</v>
      </c>
      <c r="AF24" s="885">
        <v>613.12463080800762</v>
      </c>
      <c r="AG24" s="885">
        <v>608.11777315376685</v>
      </c>
      <c r="AH24" s="885">
        <v>596.87424693526941</v>
      </c>
      <c r="AI24" s="154" t="s">
        <v>42</v>
      </c>
      <c r="AJ24" s="10"/>
      <c r="AK24" s="747">
        <f t="shared" si="0"/>
        <v>-1.8489060367677168E-2</v>
      </c>
      <c r="AL24" s="117"/>
    </row>
    <row r="25" spans="1:38" ht="12.75" customHeight="1">
      <c r="A25" s="8"/>
      <c r="B25" s="10" t="s">
        <v>50</v>
      </c>
      <c r="C25" s="141">
        <v>195.43531997960278</v>
      </c>
      <c r="D25" s="141">
        <v>320.22890947769184</v>
      </c>
      <c r="E25" s="142">
        <v>367.02262990870685</v>
      </c>
      <c r="F25" s="143">
        <v>367.10588499684388</v>
      </c>
      <c r="G25" s="143">
        <v>371.2797707908469</v>
      </c>
      <c r="H25" s="143">
        <v>375.1249954942632</v>
      </c>
      <c r="I25" s="143">
        <v>381.48038507475496</v>
      </c>
      <c r="J25" s="143">
        <v>363.56269236213063</v>
      </c>
      <c r="K25" s="143">
        <v>368.72618656761335</v>
      </c>
      <c r="L25" s="143">
        <v>378.90087204756401</v>
      </c>
      <c r="M25" s="143">
        <v>388.29274328253564</v>
      </c>
      <c r="N25" s="143">
        <v>399.84965913281366</v>
      </c>
      <c r="O25" s="884">
        <v>409.03117049241342</v>
      </c>
      <c r="P25" s="884">
        <v>416.67080092031904</v>
      </c>
      <c r="Q25" s="884">
        <v>423.32638693840613</v>
      </c>
      <c r="R25" s="884">
        <v>424.92676850433065</v>
      </c>
      <c r="S25" s="884">
        <v>428.81112820279458</v>
      </c>
      <c r="T25" s="884">
        <v>434.198715456701</v>
      </c>
      <c r="U25" s="884">
        <v>441.99667049598753</v>
      </c>
      <c r="V25" s="884">
        <v>450.57745928642152</v>
      </c>
      <c r="W25" s="884">
        <v>457.50506178443288</v>
      </c>
      <c r="X25" s="884">
        <v>459.84947561654496</v>
      </c>
      <c r="Y25" s="884">
        <v>464.46285765095996</v>
      </c>
      <c r="Z25" s="884">
        <v>469.74516011262887</v>
      </c>
      <c r="AA25" s="884">
        <v>471.74097079336036</v>
      </c>
      <c r="AB25" s="884">
        <v>471.33839106334204</v>
      </c>
      <c r="AC25" s="884">
        <v>472.11480737573049</v>
      </c>
      <c r="AD25" s="884">
        <v>477.10741192711981</v>
      </c>
      <c r="AE25" s="884">
        <v>481.39628429739838</v>
      </c>
      <c r="AF25" s="884">
        <v>487.33828435970634</v>
      </c>
      <c r="AG25" s="884">
        <v>493.60626907638823</v>
      </c>
      <c r="AH25" s="884">
        <v>498.51320559399824</v>
      </c>
      <c r="AI25" s="10" t="s">
        <v>50</v>
      </c>
      <c r="AJ25" s="10"/>
      <c r="AK25" s="665">
        <f t="shared" si="0"/>
        <v>9.9409931052771849E-3</v>
      </c>
      <c r="AL25" s="117"/>
    </row>
    <row r="26" spans="1:38" ht="12.75" customHeight="1">
      <c r="A26" s="8"/>
      <c r="B26" s="154" t="s">
        <v>59</v>
      </c>
      <c r="C26" s="317">
        <v>160.04749278984039</v>
      </c>
      <c r="D26" s="317">
        <v>297.4848431009068</v>
      </c>
      <c r="E26" s="318">
        <v>387.8933693966527</v>
      </c>
      <c r="F26" s="319">
        <v>397.49200496121313</v>
      </c>
      <c r="G26" s="319">
        <v>411.67043174903858</v>
      </c>
      <c r="H26" s="319">
        <v>424.73626977078089</v>
      </c>
      <c r="I26" s="319">
        <v>438.04366066346915</v>
      </c>
      <c r="J26" s="319">
        <v>451.8493305790081</v>
      </c>
      <c r="K26" s="319">
        <v>463.36569421639712</v>
      </c>
      <c r="L26" s="319">
        <v>474.53116978852148</v>
      </c>
      <c r="M26" s="319">
        <v>486.9643584854345</v>
      </c>
      <c r="N26" s="319">
        <v>501.06358437556935</v>
      </c>
      <c r="O26" s="885">
        <v>510.80570795514649</v>
      </c>
      <c r="P26" s="885">
        <v>518.62769171242769</v>
      </c>
      <c r="Q26" s="885">
        <v>492.21711416393003</v>
      </c>
      <c r="R26" s="885">
        <v>497.91484829181144</v>
      </c>
      <c r="S26" s="885">
        <v>501.03025608316864</v>
      </c>
      <c r="T26" s="885">
        <v>503.58528369099349</v>
      </c>
      <c r="U26" s="885">
        <v>507.6635425107666</v>
      </c>
      <c r="V26" s="885">
        <v>511.02414796167881</v>
      </c>
      <c r="W26" s="885">
        <v>514.08727747308546</v>
      </c>
      <c r="X26" s="885">
        <v>522.04626083753828</v>
      </c>
      <c r="Y26" s="885">
        <v>530.26149696889524</v>
      </c>
      <c r="Z26" s="885">
        <v>536.79305994763877</v>
      </c>
      <c r="AA26" s="885">
        <v>542.38972249895289</v>
      </c>
      <c r="AB26" s="885">
        <v>545.53652383828182</v>
      </c>
      <c r="AC26" s="885">
        <v>546.87961200830398</v>
      </c>
      <c r="AD26" s="885">
        <v>545.72309935864382</v>
      </c>
      <c r="AE26" s="885">
        <v>549.59890526071013</v>
      </c>
      <c r="AF26" s="885">
        <v>555.29944854310122</v>
      </c>
      <c r="AG26" s="885">
        <v>562.02488493047849</v>
      </c>
      <c r="AH26" s="885">
        <v>566.22444238127036</v>
      </c>
      <c r="AI26" s="154" t="s">
        <v>59</v>
      </c>
      <c r="AJ26" s="10"/>
      <c r="AK26" s="747">
        <f t="shared" si="0"/>
        <v>7.4721912915143296E-3</v>
      </c>
      <c r="AL26" s="117"/>
    </row>
    <row r="27" spans="1:38" ht="12.75" customHeight="1">
      <c r="A27" s="8"/>
      <c r="B27" s="10" t="s">
        <v>43</v>
      </c>
      <c r="C27" s="141">
        <v>14.667156592565373</v>
      </c>
      <c r="D27" s="141">
        <v>66.601622812902747</v>
      </c>
      <c r="E27" s="142">
        <v>137.78325314091342</v>
      </c>
      <c r="F27" s="143">
        <v>159.49160653885306</v>
      </c>
      <c r="G27" s="143">
        <v>169.32119614011185</v>
      </c>
      <c r="H27" s="143">
        <v>175.83712557532249</v>
      </c>
      <c r="I27" s="143">
        <v>185.4077322857394</v>
      </c>
      <c r="J27" s="143">
        <v>194.70041478760129</v>
      </c>
      <c r="K27" s="143">
        <v>208.45200232581607</v>
      </c>
      <c r="L27" s="143">
        <v>220.73082346992481</v>
      </c>
      <c r="M27" s="143">
        <v>229.93164478335433</v>
      </c>
      <c r="N27" s="143">
        <v>242.60581999415993</v>
      </c>
      <c r="O27" s="884">
        <v>261.18345148887221</v>
      </c>
      <c r="P27" s="884">
        <v>274.64687763624045</v>
      </c>
      <c r="Q27" s="884">
        <v>288.5746707533055</v>
      </c>
      <c r="R27" s="884">
        <v>294.4126995831017</v>
      </c>
      <c r="S27" s="884">
        <v>313.70154452650621</v>
      </c>
      <c r="T27" s="884">
        <v>323.38326424824976</v>
      </c>
      <c r="U27" s="884">
        <v>351.05733360097588</v>
      </c>
      <c r="V27" s="884">
        <v>382.74940725777117</v>
      </c>
      <c r="W27" s="884">
        <v>421.63796106322553</v>
      </c>
      <c r="X27" s="884">
        <v>433.81786892514606</v>
      </c>
      <c r="Y27" s="884">
        <v>452.93139601853971</v>
      </c>
      <c r="Z27" s="884">
        <v>476.17431284828376</v>
      </c>
      <c r="AA27" s="884">
        <v>492.45274914032922</v>
      </c>
      <c r="AB27" s="884">
        <v>510.00892843615378</v>
      </c>
      <c r="AC27" s="884">
        <v>526.33968760509958</v>
      </c>
      <c r="AD27" s="884">
        <v>545.81309887698092</v>
      </c>
      <c r="AE27" s="884">
        <v>570.81106441941165</v>
      </c>
      <c r="AF27" s="884">
        <v>592.57407050804613</v>
      </c>
      <c r="AG27" s="884">
        <v>616.99407460263944</v>
      </c>
      <c r="AH27" s="884">
        <v>641.76398747483347</v>
      </c>
      <c r="AI27" s="10" t="s">
        <v>43</v>
      </c>
      <c r="AJ27" s="10"/>
      <c r="AK27" s="665">
        <f t="shared" si="0"/>
        <v>4.0146111432506792E-2</v>
      </c>
      <c r="AL27" s="117"/>
    </row>
    <row r="28" spans="1:38" ht="12.75" customHeight="1">
      <c r="A28" s="8"/>
      <c r="B28" s="154" t="s">
        <v>60</v>
      </c>
      <c r="C28" s="317">
        <v>48.596069928474897</v>
      </c>
      <c r="D28" s="317">
        <v>129.2385193115345</v>
      </c>
      <c r="E28" s="322">
        <v>185.4481662345728</v>
      </c>
      <c r="F28" s="321">
        <v>195.97932830145518</v>
      </c>
      <c r="G28" s="321">
        <v>210.95016171841209</v>
      </c>
      <c r="H28" s="321">
        <v>225.57768188554067</v>
      </c>
      <c r="I28" s="321">
        <v>240.79149864132648</v>
      </c>
      <c r="J28" s="319">
        <v>254.88632517939368</v>
      </c>
      <c r="K28" s="319">
        <v>272.70394189085573</v>
      </c>
      <c r="L28" s="319">
        <v>291.10622140374772</v>
      </c>
      <c r="M28" s="319">
        <v>309.22874032776679</v>
      </c>
      <c r="N28" s="319">
        <v>326.86045556346744</v>
      </c>
      <c r="O28" s="885">
        <v>333.27609334983032</v>
      </c>
      <c r="P28" s="885">
        <v>345.27313952950306</v>
      </c>
      <c r="Q28" s="885">
        <v>371.96283014214436</v>
      </c>
      <c r="R28" s="885">
        <v>378.68624708179561</v>
      </c>
      <c r="S28" s="885">
        <v>390.67442984401993</v>
      </c>
      <c r="T28" s="885">
        <v>399.54383509570215</v>
      </c>
      <c r="U28" s="885">
        <v>407.30730187110709</v>
      </c>
      <c r="V28" s="885">
        <v>414.93976456171833</v>
      </c>
      <c r="W28" s="885">
        <v>417.30513658317597</v>
      </c>
      <c r="X28" s="885">
        <v>421.5263490852916</v>
      </c>
      <c r="Y28" s="885">
        <v>443.78358229636439</v>
      </c>
      <c r="Z28" s="885">
        <v>446.95713442046105</v>
      </c>
      <c r="AA28" s="885">
        <v>406.11067359734244</v>
      </c>
      <c r="AB28" s="885">
        <v>415.0142016615805</v>
      </c>
      <c r="AC28" s="885">
        <v>452.98560303010504</v>
      </c>
      <c r="AD28" s="885">
        <v>456.70750280669893</v>
      </c>
      <c r="AE28" s="885">
        <v>470.45876681798558</v>
      </c>
      <c r="AF28" s="885">
        <v>491.63917265011548</v>
      </c>
      <c r="AG28" s="885">
        <v>514.07676281017382</v>
      </c>
      <c r="AH28" s="885">
        <v>529.54226771040805</v>
      </c>
      <c r="AI28" s="154" t="s">
        <v>60</v>
      </c>
      <c r="AJ28" s="10"/>
      <c r="AK28" s="747">
        <f t="shared" si="0"/>
        <v>3.0084038064068119E-2</v>
      </c>
      <c r="AL28" s="117"/>
    </row>
    <row r="29" spans="1:38" ht="12.75" customHeight="1">
      <c r="A29" s="8"/>
      <c r="B29" s="10" t="s">
        <v>44</v>
      </c>
      <c r="C29" s="141">
        <v>1.964521527030441</v>
      </c>
      <c r="D29" s="141">
        <v>10.771077180422813</v>
      </c>
      <c r="E29" s="142">
        <v>55.720409305271225</v>
      </c>
      <c r="F29" s="143">
        <v>62.760359639956718</v>
      </c>
      <c r="G29" s="143">
        <v>69.93553974700653</v>
      </c>
      <c r="H29" s="143">
        <v>78.822396333536972</v>
      </c>
      <c r="I29" s="143">
        <v>88.938973143914296</v>
      </c>
      <c r="J29" s="143">
        <v>96.992537786106155</v>
      </c>
      <c r="K29" s="143">
        <v>103.01085889197269</v>
      </c>
      <c r="L29" s="143">
        <v>108.63344122746896</v>
      </c>
      <c r="M29" s="143">
        <v>115.37274783062259</v>
      </c>
      <c r="N29" s="143">
        <v>120.32788425634095</v>
      </c>
      <c r="O29" s="884">
        <v>123.8313601902984</v>
      </c>
      <c r="P29" s="884">
        <v>131.96204197012449</v>
      </c>
      <c r="Q29" s="884">
        <v>137.48185239455916</v>
      </c>
      <c r="R29" s="884">
        <v>143.46952406150194</v>
      </c>
      <c r="S29" s="884">
        <v>150.84246570793843</v>
      </c>
      <c r="T29" s="884">
        <v>158.24323602146228</v>
      </c>
      <c r="U29" s="884">
        <v>170.53247620276716</v>
      </c>
      <c r="V29" s="884">
        <v>171.61051898043468</v>
      </c>
      <c r="W29" s="884">
        <v>197.03061942858929</v>
      </c>
      <c r="X29" s="884">
        <v>209.1631586460355</v>
      </c>
      <c r="Y29" s="884">
        <v>213.8565464856556</v>
      </c>
      <c r="Z29" s="884">
        <v>215.69207119667021</v>
      </c>
      <c r="AA29" s="884">
        <v>224.13758310783467</v>
      </c>
      <c r="AB29" s="884">
        <v>235.40315784919582</v>
      </c>
      <c r="AC29" s="884">
        <v>246.97555142517504</v>
      </c>
      <c r="AD29" s="884">
        <v>260.875829334</v>
      </c>
      <c r="AE29" s="884">
        <v>278.58059497100101</v>
      </c>
      <c r="AF29" s="884">
        <v>307.06252510753205</v>
      </c>
      <c r="AG29" s="884">
        <v>332.35725663832596</v>
      </c>
      <c r="AH29" s="1014">
        <v>357.13393634940701</v>
      </c>
      <c r="AI29" s="10" t="s">
        <v>44</v>
      </c>
      <c r="AJ29" s="10"/>
      <c r="AK29" s="665">
        <f t="shared" si="0"/>
        <v>7.4548333807085365E-2</v>
      </c>
      <c r="AL29" s="117"/>
    </row>
    <row r="30" spans="1:38" ht="12.75" customHeight="1">
      <c r="A30" s="8"/>
      <c r="B30" s="154" t="s">
        <v>46</v>
      </c>
      <c r="C30" s="317">
        <v>87.081725408494222</v>
      </c>
      <c r="D30" s="317">
        <v>218.08515652247681</v>
      </c>
      <c r="E30" s="318">
        <v>293.56007290200483</v>
      </c>
      <c r="F30" s="319">
        <v>301.60607370409502</v>
      </c>
      <c r="G30" s="319">
        <v>304.02179647397003</v>
      </c>
      <c r="H30" s="319">
        <v>326.90327976966012</v>
      </c>
      <c r="I30" s="319">
        <v>335.92094806826117</v>
      </c>
      <c r="J30" s="319">
        <v>357.42157078501066</v>
      </c>
      <c r="K30" s="319">
        <v>373.96130527144339</v>
      </c>
      <c r="L30" s="319">
        <v>391.34918583743553</v>
      </c>
      <c r="M30" s="319">
        <v>410.2800639325817</v>
      </c>
      <c r="N30" s="319">
        <v>425.66060706676632</v>
      </c>
      <c r="O30" s="885">
        <v>435.20356324877116</v>
      </c>
      <c r="P30" s="885">
        <v>442.06394500372608</v>
      </c>
      <c r="Q30" s="885">
        <v>448.3740369206925</v>
      </c>
      <c r="R30" s="885">
        <v>456.02782562700577</v>
      </c>
      <c r="S30" s="885">
        <v>467.53387832337967</v>
      </c>
      <c r="T30" s="885">
        <v>479.30175235779126</v>
      </c>
      <c r="U30" s="885">
        <v>487.60058436800654</v>
      </c>
      <c r="V30" s="885">
        <v>504.47079470458925</v>
      </c>
      <c r="W30" s="885">
        <v>514.27009558336556</v>
      </c>
      <c r="X30" s="885">
        <v>517.27914738619313</v>
      </c>
      <c r="Y30" s="885">
        <v>517.82835631251555</v>
      </c>
      <c r="Z30" s="885">
        <v>518.84800554221454</v>
      </c>
      <c r="AA30" s="885">
        <v>517.78566470810233</v>
      </c>
      <c r="AB30" s="885">
        <v>516.13349279627005</v>
      </c>
      <c r="AC30" s="885">
        <v>517.89978447544547</v>
      </c>
      <c r="AD30" s="885">
        <v>522.59774787955359</v>
      </c>
      <c r="AE30" s="885">
        <v>530.77382926044163</v>
      </c>
      <c r="AF30" s="885">
        <v>540.88045750116123</v>
      </c>
      <c r="AG30" s="885">
        <v>549.35153308075132</v>
      </c>
      <c r="AH30" s="885">
        <v>556.03448892841652</v>
      </c>
      <c r="AI30" s="154" t="s">
        <v>46</v>
      </c>
      <c r="AJ30" s="10"/>
      <c r="AK30" s="747">
        <f t="shared" si="0"/>
        <v>1.2165171925865526E-2</v>
      </c>
      <c r="AL30" s="117"/>
    </row>
    <row r="31" spans="1:38" ht="12.75" customHeight="1">
      <c r="A31" s="8"/>
      <c r="B31" s="10" t="s">
        <v>45</v>
      </c>
      <c r="C31" s="141">
        <v>36.124223274132191</v>
      </c>
      <c r="D31" s="141">
        <v>110.48111523480539</v>
      </c>
      <c r="E31" s="142">
        <v>165.70285974891121</v>
      </c>
      <c r="F31" s="143">
        <v>175.41948198570321</v>
      </c>
      <c r="G31" s="143">
        <v>182.71954807490559</v>
      </c>
      <c r="H31" s="143">
        <v>186.44081136259933</v>
      </c>
      <c r="I31" s="143">
        <v>185.58767426277586</v>
      </c>
      <c r="J31" s="143">
        <v>189.23877424414889</v>
      </c>
      <c r="K31" s="143">
        <v>196.77233324384841</v>
      </c>
      <c r="L31" s="143">
        <v>210.83663563891494</v>
      </c>
      <c r="M31" s="143">
        <v>221.77346236554354</v>
      </c>
      <c r="N31" s="143">
        <v>229.01992106555392</v>
      </c>
      <c r="O31" s="884">
        <v>236.8937359993887</v>
      </c>
      <c r="P31" s="884">
        <v>240.34426043293573</v>
      </c>
      <c r="Q31" s="884">
        <v>246.87094932289565</v>
      </c>
      <c r="R31" s="884">
        <v>252.46305991855729</v>
      </c>
      <c r="S31" s="884">
        <v>222.79921491768084</v>
      </c>
      <c r="T31" s="884">
        <v>242.64311749571183</v>
      </c>
      <c r="U31" s="884">
        <v>248.22339843444666</v>
      </c>
      <c r="V31" s="884">
        <v>266.72413126034212</v>
      </c>
      <c r="W31" s="884">
        <v>287.0258087422323</v>
      </c>
      <c r="X31" s="884">
        <v>294.79093427030597</v>
      </c>
      <c r="Y31" s="884">
        <v>309.51909393251231</v>
      </c>
      <c r="Z31" s="884">
        <v>323.68537625996379</v>
      </c>
      <c r="AA31" s="884">
        <v>337.1364425016763</v>
      </c>
      <c r="AB31" s="884">
        <v>347.07841598951541</v>
      </c>
      <c r="AC31" s="884">
        <v>359.51476283854811</v>
      </c>
      <c r="AD31" s="884">
        <v>374.95014975345782</v>
      </c>
      <c r="AE31" s="884">
        <v>390.36616456403948</v>
      </c>
      <c r="AF31" s="884">
        <v>408.42696835638384</v>
      </c>
      <c r="AG31" s="884">
        <v>425.95021558885082</v>
      </c>
      <c r="AH31" s="884">
        <v>438.55490957741233</v>
      </c>
      <c r="AI31" s="10" t="s">
        <v>45</v>
      </c>
      <c r="AJ31" s="10"/>
      <c r="AK31" s="665">
        <f t="shared" si="0"/>
        <v>2.9591941798025045E-2</v>
      </c>
      <c r="AL31" s="117"/>
    </row>
    <row r="32" spans="1:38" ht="12.75" customHeight="1">
      <c r="A32" s="8"/>
      <c r="B32" s="154" t="s">
        <v>61</v>
      </c>
      <c r="C32" s="317">
        <v>154.8386198833665</v>
      </c>
      <c r="D32" s="317">
        <v>256.06868154705586</v>
      </c>
      <c r="E32" s="318">
        <v>387.88927349485181</v>
      </c>
      <c r="F32" s="319">
        <v>382.38203126584557</v>
      </c>
      <c r="G32" s="319">
        <v>382.98850520140331</v>
      </c>
      <c r="H32" s="319">
        <v>368.83920004915404</v>
      </c>
      <c r="I32" s="319">
        <v>367.26384524532858</v>
      </c>
      <c r="J32" s="319">
        <v>371.49103760807975</v>
      </c>
      <c r="K32" s="319">
        <v>378.53290519687005</v>
      </c>
      <c r="L32" s="319">
        <v>378.47171427466839</v>
      </c>
      <c r="M32" s="319">
        <v>391.71602082778543</v>
      </c>
      <c r="N32" s="319">
        <v>402.71869637472344</v>
      </c>
      <c r="O32" s="885">
        <v>412.02096459931886</v>
      </c>
      <c r="P32" s="885">
        <v>415.9084071092019</v>
      </c>
      <c r="Q32" s="885">
        <v>421.54411150347801</v>
      </c>
      <c r="R32" s="885">
        <v>435.7650929204795</v>
      </c>
      <c r="S32" s="885">
        <v>448.13830929965968</v>
      </c>
      <c r="T32" s="885">
        <v>462.43135867021334</v>
      </c>
      <c r="U32" s="885">
        <v>474.80848330144943</v>
      </c>
      <c r="V32" s="885">
        <v>484.92854614786125</v>
      </c>
      <c r="W32" s="885">
        <v>507.00953792810566</v>
      </c>
      <c r="X32" s="885">
        <v>518.86422070225387</v>
      </c>
      <c r="Y32" s="885">
        <v>535.31837248915213</v>
      </c>
      <c r="Z32" s="885">
        <v>551.48708627068424</v>
      </c>
      <c r="AA32" s="885">
        <v>563.41766614320295</v>
      </c>
      <c r="AB32" s="885">
        <v>573.7009907782957</v>
      </c>
      <c r="AC32" s="885">
        <v>583.89879806343595</v>
      </c>
      <c r="AD32" s="885">
        <v>593.65739994911905</v>
      </c>
      <c r="AE32" s="885">
        <v>608.00007704472432</v>
      </c>
      <c r="AF32" s="885">
        <v>620.88142307545797</v>
      </c>
      <c r="AG32" s="885">
        <v>633.36123636465118</v>
      </c>
      <c r="AH32" s="885">
        <v>646.94680389742302</v>
      </c>
      <c r="AI32" s="154" t="s">
        <v>61</v>
      </c>
      <c r="AJ32" s="10"/>
      <c r="AK32" s="747">
        <f t="shared" si="0"/>
        <v>2.1449951074918872E-2</v>
      </c>
      <c r="AL32" s="117"/>
    </row>
    <row r="33" spans="1:38" ht="12.75" customHeight="1">
      <c r="A33" s="8"/>
      <c r="B33" s="11" t="s">
        <v>62</v>
      </c>
      <c r="C33" s="144">
        <v>283.12521732459044</v>
      </c>
      <c r="D33" s="144">
        <v>346.59911490391823</v>
      </c>
      <c r="E33" s="145">
        <v>419.17763889260738</v>
      </c>
      <c r="F33" s="146">
        <v>418.66609903610782</v>
      </c>
      <c r="G33" s="146">
        <v>412.90780398050487</v>
      </c>
      <c r="H33" s="146">
        <v>407.7822243267637</v>
      </c>
      <c r="I33" s="146">
        <v>407.67294426136982</v>
      </c>
      <c r="J33" s="146">
        <v>410.83582951550983</v>
      </c>
      <c r="K33" s="146">
        <v>413.24217459914911</v>
      </c>
      <c r="L33" s="146">
        <v>418.32356140772237</v>
      </c>
      <c r="M33" s="146">
        <v>428.11804223971075</v>
      </c>
      <c r="N33" s="146">
        <v>438.9992084795382</v>
      </c>
      <c r="O33" s="884">
        <v>450.15283482940947</v>
      </c>
      <c r="P33" s="884">
        <v>451.0579486567035</v>
      </c>
      <c r="Q33" s="884">
        <v>452.1740141920377</v>
      </c>
      <c r="R33" s="884">
        <v>454.05122960180137</v>
      </c>
      <c r="S33" s="884">
        <v>456.46932238659684</v>
      </c>
      <c r="T33" s="884">
        <v>459.08353809874546</v>
      </c>
      <c r="U33" s="884">
        <v>461.13732993593828</v>
      </c>
      <c r="V33" s="884">
        <v>463.73699801817003</v>
      </c>
      <c r="W33" s="884">
        <v>462.27685716622335</v>
      </c>
      <c r="X33" s="884">
        <v>460.43233245709473</v>
      </c>
      <c r="Y33" s="884">
        <v>460.42693113640485</v>
      </c>
      <c r="Z33" s="884">
        <v>464.13785721705113</v>
      </c>
      <c r="AA33" s="884">
        <v>465.38455380360585</v>
      </c>
      <c r="AB33" s="884">
        <v>466.10019591774437</v>
      </c>
      <c r="AC33" s="884">
        <v>470.43726221113315</v>
      </c>
      <c r="AD33" s="884">
        <v>473.96761166892713</v>
      </c>
      <c r="AE33" s="884">
        <v>477.03721994050517</v>
      </c>
      <c r="AF33" s="884">
        <v>478.72600279716636</v>
      </c>
      <c r="AG33" s="884">
        <v>476.04016936155114</v>
      </c>
      <c r="AH33" s="884">
        <v>473.20976851421955</v>
      </c>
      <c r="AI33" s="10" t="s">
        <v>62</v>
      </c>
      <c r="AJ33" s="10"/>
      <c r="AK33" s="665">
        <f t="shared" si="0"/>
        <v>-5.9457185117962608E-3</v>
      </c>
      <c r="AL33" s="117"/>
    </row>
    <row r="34" spans="1:38" ht="12.75" customHeight="1">
      <c r="A34" s="8"/>
      <c r="B34" s="155" t="s">
        <v>51</v>
      </c>
      <c r="C34" s="323">
        <v>213.33773155659458</v>
      </c>
      <c r="D34" s="323">
        <v>277.20998646713343</v>
      </c>
      <c r="E34" s="324">
        <v>361.39956192206176</v>
      </c>
      <c r="F34" s="325">
        <v>360.97069401345402</v>
      </c>
      <c r="G34" s="325">
        <v>363.7517322440325</v>
      </c>
      <c r="H34" s="325">
        <v>368.42752365079423</v>
      </c>
      <c r="I34" s="325">
        <v>375.2054933815495</v>
      </c>
      <c r="J34" s="325">
        <v>377.84604613851548</v>
      </c>
      <c r="K34" s="325">
        <v>391.80953923356788</v>
      </c>
      <c r="L34" s="325">
        <v>401.57825563173691</v>
      </c>
      <c r="M34" s="325">
        <v>408.37073466680471</v>
      </c>
      <c r="N34" s="325">
        <v>418.94767268644244</v>
      </c>
      <c r="O34" s="886">
        <v>424.86367873128211</v>
      </c>
      <c r="P34" s="887">
        <v>435.78480759919165</v>
      </c>
      <c r="Q34" s="887">
        <v>445.24323245267163</v>
      </c>
      <c r="R34" s="887">
        <v>451.42416953582057</v>
      </c>
      <c r="S34" s="887">
        <v>462.03550726504</v>
      </c>
      <c r="T34" s="887">
        <v>467.27364424636141</v>
      </c>
      <c r="U34" s="887">
        <v>465.77916669579832</v>
      </c>
      <c r="V34" s="887">
        <v>468.93855218782761</v>
      </c>
      <c r="W34" s="887">
        <v>468.22722346253107</v>
      </c>
      <c r="X34" s="887">
        <v>466.36077630662408</v>
      </c>
      <c r="Y34" s="887">
        <v>465.44585038252671</v>
      </c>
      <c r="Z34" s="887">
        <v>462.74782704451081</v>
      </c>
      <c r="AA34" s="887">
        <v>463.87636889573332</v>
      </c>
      <c r="AB34" s="887">
        <v>467.36400561151913</v>
      </c>
      <c r="AC34" s="889">
        <v>470.49658604600688</v>
      </c>
      <c r="AD34" s="887">
        <v>476.76897814535198</v>
      </c>
      <c r="AE34" s="887">
        <v>482.84173860143846</v>
      </c>
      <c r="AF34" s="887">
        <v>485.25976627547607</v>
      </c>
      <c r="AG34" s="887">
        <v>487.54250596785045</v>
      </c>
      <c r="AH34" s="1015">
        <v>490.62341040076933</v>
      </c>
      <c r="AI34" s="551" t="s">
        <v>51</v>
      </c>
      <c r="AJ34" s="10"/>
      <c r="AK34" s="896">
        <f t="shared" si="0"/>
        <v>6.3192529783691054E-3</v>
      </c>
      <c r="AL34" s="117"/>
    </row>
    <row r="35" spans="1:38" ht="12.75" customHeight="1">
      <c r="A35" s="8"/>
      <c r="B35" s="10" t="s">
        <v>161</v>
      </c>
      <c r="C35" s="141"/>
      <c r="D35" s="141"/>
      <c r="E35" s="142"/>
      <c r="F35" s="143"/>
      <c r="G35" s="143"/>
      <c r="H35" s="143"/>
      <c r="I35" s="143"/>
      <c r="J35" s="23"/>
      <c r="K35" s="23"/>
      <c r="L35" s="23"/>
      <c r="M35" s="23"/>
      <c r="N35" s="23"/>
      <c r="O35" s="884">
        <v>0</v>
      </c>
      <c r="P35" s="884">
        <v>0</v>
      </c>
      <c r="Q35" s="884">
        <v>0</v>
      </c>
      <c r="R35" s="884">
        <v>0</v>
      </c>
      <c r="S35" s="884">
        <v>0</v>
      </c>
      <c r="T35" s="884">
        <v>0</v>
      </c>
      <c r="U35" s="884">
        <v>0</v>
      </c>
      <c r="V35" s="884">
        <v>0</v>
      </c>
      <c r="W35" s="884">
        <v>0</v>
      </c>
      <c r="X35" s="884">
        <v>0</v>
      </c>
      <c r="Y35" s="884">
        <v>265.63362103734772</v>
      </c>
      <c r="Z35" s="884">
        <v>277.23808172714206</v>
      </c>
      <c r="AA35" s="884">
        <v>280.02409432865244</v>
      </c>
      <c r="AB35" s="884">
        <v>287.45931352279331</v>
      </c>
      <c r="AC35" s="884">
        <v>279.81559205206889</v>
      </c>
      <c r="AD35" s="884">
        <v>282.71763272679351</v>
      </c>
      <c r="AE35" s="884">
        <v>296.81532551290434</v>
      </c>
      <c r="AF35" s="884">
        <v>310.49924561225913</v>
      </c>
      <c r="AG35" s="884">
        <v>331.82091413766392</v>
      </c>
      <c r="AH35" s="884">
        <v>350.487961368318</v>
      </c>
      <c r="AI35" s="10" t="s">
        <v>161</v>
      </c>
      <c r="AJ35" s="10"/>
      <c r="AK35" s="897">
        <f t="shared" si="0"/>
        <v>5.6256391430799413E-2</v>
      </c>
      <c r="AL35" s="117"/>
    </row>
    <row r="36" spans="1:38" ht="12.75" customHeight="1">
      <c r="A36" s="8"/>
      <c r="B36" s="154" t="s">
        <v>0</v>
      </c>
      <c r="C36" s="317"/>
      <c r="D36" s="317"/>
      <c r="E36" s="318">
        <v>0</v>
      </c>
      <c r="F36" s="319">
        <v>0</v>
      </c>
      <c r="G36" s="319">
        <v>0</v>
      </c>
      <c r="H36" s="319">
        <v>149.72523429823605</v>
      </c>
      <c r="I36" s="319">
        <v>134.46365208594645</v>
      </c>
      <c r="J36" s="319">
        <v>145.00628142296418</v>
      </c>
      <c r="K36" s="319">
        <v>142.6244276633802</v>
      </c>
      <c r="L36" s="319">
        <v>144.43301337435202</v>
      </c>
      <c r="M36" s="319">
        <v>143.42787442769804</v>
      </c>
      <c r="N36" s="319">
        <v>143.45229320857271</v>
      </c>
      <c r="O36" s="885">
        <v>147.70234236221341</v>
      </c>
      <c r="P36" s="885">
        <v>152.06133860086888</v>
      </c>
      <c r="Q36" s="885">
        <v>152.19993141119974</v>
      </c>
      <c r="R36" s="885">
        <v>147.69702033408677</v>
      </c>
      <c r="S36" s="885">
        <v>122.54495390124588</v>
      </c>
      <c r="T36" s="885">
        <v>124.2248029692217</v>
      </c>
      <c r="U36" s="885">
        <v>118.6552402836321</v>
      </c>
      <c r="V36" s="885">
        <v>121.63934955263042</v>
      </c>
      <c r="W36" s="885">
        <v>128.43383762427277</v>
      </c>
      <c r="X36" s="885">
        <v>137.47404665609858</v>
      </c>
      <c r="Y36" s="885">
        <v>150.79638980325515</v>
      </c>
      <c r="Z36" s="885">
        <v>151.99578210248208</v>
      </c>
      <c r="AA36" s="885">
        <v>146.32297819806487</v>
      </c>
      <c r="AB36" s="885">
        <v>167.87840266748123</v>
      </c>
      <c r="AC36" s="885">
        <v>179.51576765972089</v>
      </c>
      <c r="AD36" s="885">
        <v>185.31215993217717</v>
      </c>
      <c r="AE36" s="885">
        <v>190.44877229225801</v>
      </c>
      <c r="AF36" s="885">
        <v>194.34096547922445</v>
      </c>
      <c r="AG36" s="885">
        <v>199.82456579552959</v>
      </c>
      <c r="AH36" s="885">
        <v>205.19878338643375</v>
      </c>
      <c r="AI36" s="154" t="s">
        <v>0</v>
      </c>
      <c r="AJ36" s="10"/>
      <c r="AK36" s="747">
        <f t="shared" si="0"/>
        <v>2.6894679187759785E-2</v>
      </c>
      <c r="AL36" s="117"/>
    </row>
    <row r="37" spans="1:38" ht="12.75" customHeight="1">
      <c r="A37" s="8"/>
      <c r="B37" s="10" t="s">
        <v>167</v>
      </c>
      <c r="C37" s="141"/>
      <c r="D37" s="141"/>
      <c r="E37" s="142">
        <v>0</v>
      </c>
      <c r="F37" s="143">
        <v>0</v>
      </c>
      <c r="G37" s="143">
        <v>0</v>
      </c>
      <c r="H37" s="143">
        <v>17.615695383363715</v>
      </c>
      <c r="I37" s="143">
        <v>20.918261186468015</v>
      </c>
      <c r="J37" s="143">
        <v>17.874505025890954</v>
      </c>
      <c r="K37" s="143">
        <v>20.238142150703439</v>
      </c>
      <c r="L37" s="143">
        <v>22.902263067469885</v>
      </c>
      <c r="M37" s="143">
        <v>26.906026332132289</v>
      </c>
      <c r="N37" s="143">
        <v>30.162527542122813</v>
      </c>
      <c r="O37" s="884">
        <v>37.388217612405889</v>
      </c>
      <c r="P37" s="884">
        <v>43.296560346650026</v>
      </c>
      <c r="Q37" s="884">
        <v>47.870281531310141</v>
      </c>
      <c r="R37" s="884">
        <v>56.027988670153498</v>
      </c>
      <c r="S37" s="884">
        <v>60.607819839073677</v>
      </c>
      <c r="T37" s="884">
        <v>61.961301852599263</v>
      </c>
      <c r="U37" s="884">
        <v>71.405257523492324</v>
      </c>
      <c r="V37" s="884">
        <v>75.056229397012672</v>
      </c>
      <c r="W37" s="884">
        <v>83.156315145440644</v>
      </c>
      <c r="X37" s="884" t="e">
        <v>#DIV/0!</v>
      </c>
      <c r="Y37" s="884">
        <v>101.37337606165866</v>
      </c>
      <c r="Z37" s="884">
        <v>103.67660027116702</v>
      </c>
      <c r="AA37" s="884">
        <v>102.61028307974753</v>
      </c>
      <c r="AB37" s="884">
        <v>118.13432056628523</v>
      </c>
      <c r="AC37" s="884">
        <v>131.00475570691759</v>
      </c>
      <c r="AD37" s="884">
        <v>140.38152839484877</v>
      </c>
      <c r="AE37" s="884">
        <v>151.57281657350663</v>
      </c>
      <c r="AF37" s="884">
        <v>147.02172995104385</v>
      </c>
      <c r="AG37" s="884">
        <v>160.71222078327239</v>
      </c>
      <c r="AH37" s="884">
        <v>175.61416115152912</v>
      </c>
      <c r="AI37" s="10" t="s">
        <v>167</v>
      </c>
      <c r="AJ37" s="10"/>
      <c r="AK37" s="665">
        <f t="shared" si="0"/>
        <v>9.27243758789984E-2</v>
      </c>
      <c r="AL37" s="117"/>
    </row>
    <row r="38" spans="1:38" ht="12.75" customHeight="1">
      <c r="A38" s="8"/>
      <c r="B38" s="154" t="s">
        <v>160</v>
      </c>
      <c r="C38" s="317"/>
      <c r="D38" s="317"/>
      <c r="E38" s="318"/>
      <c r="F38" s="319"/>
      <c r="G38" s="319"/>
      <c r="H38" s="319"/>
      <c r="I38" s="319"/>
      <c r="J38" s="319"/>
      <c r="K38" s="319"/>
      <c r="L38" s="319"/>
      <c r="M38" s="319"/>
      <c r="N38" s="319"/>
      <c r="O38" s="885">
        <v>0</v>
      </c>
      <c r="P38" s="885">
        <v>184.26723304833857</v>
      </c>
      <c r="Q38" s="885">
        <v>179.37160705804015</v>
      </c>
      <c r="R38" s="885">
        <v>185.81795580691067</v>
      </c>
      <c r="S38" s="885">
        <v>194.45188806405537</v>
      </c>
      <c r="T38" s="885">
        <v>199.51526411668351</v>
      </c>
      <c r="U38" s="885">
        <v>204.36717006520044</v>
      </c>
      <c r="V38" s="885">
        <v>200.48070010659146</v>
      </c>
      <c r="W38" s="885">
        <v>202.67495140040057</v>
      </c>
      <c r="X38" s="885">
        <v>224.04192767793074</v>
      </c>
      <c r="Y38" s="885">
        <v>215.891804633741</v>
      </c>
      <c r="Z38" s="885">
        <v>232.44999167896344</v>
      </c>
      <c r="AA38" s="885">
        <v>240.36605140565942</v>
      </c>
      <c r="AB38" s="885">
        <v>247.69353492960931</v>
      </c>
      <c r="AC38" s="885">
        <v>252.64657153463409</v>
      </c>
      <c r="AD38" s="885">
        <v>259.29812621495876</v>
      </c>
      <c r="AE38" s="885">
        <v>268.21335880204629</v>
      </c>
      <c r="AF38" s="885">
        <v>281.2277010285307</v>
      </c>
      <c r="AG38" s="885">
        <v>287.16553289284354</v>
      </c>
      <c r="AH38" s="885">
        <v>300.82889339159095</v>
      </c>
      <c r="AI38" s="154" t="s">
        <v>160</v>
      </c>
      <c r="AJ38" s="10"/>
      <c r="AK38" s="747">
        <f t="shared" si="0"/>
        <v>4.758008512061207E-2</v>
      </c>
      <c r="AL38" s="117"/>
    </row>
    <row r="39" spans="1:38" ht="12.75" customHeight="1">
      <c r="A39" s="8"/>
      <c r="B39" s="11" t="s">
        <v>47</v>
      </c>
      <c r="C39" s="144"/>
      <c r="D39" s="144"/>
      <c r="E39" s="145">
        <v>0</v>
      </c>
      <c r="F39" s="146">
        <v>0</v>
      </c>
      <c r="G39" s="146">
        <v>0</v>
      </c>
      <c r="H39" s="146">
        <v>43.606740851138483</v>
      </c>
      <c r="I39" s="146">
        <v>46.756085395260513</v>
      </c>
      <c r="J39" s="146">
        <v>49.063649641916861</v>
      </c>
      <c r="K39" s="146">
        <v>51.57396997047838</v>
      </c>
      <c r="L39" s="146">
        <v>55.229153638113488</v>
      </c>
      <c r="M39" s="146">
        <v>58.344558903312823</v>
      </c>
      <c r="N39" s="146">
        <v>60.881462204227347</v>
      </c>
      <c r="O39" s="893">
        <v>68.317844749027188</v>
      </c>
      <c r="P39" s="893">
        <v>69.124764721699378</v>
      </c>
      <c r="Q39" s="893">
        <v>69.277285658798888</v>
      </c>
      <c r="R39" s="893">
        <v>69.958852759134317</v>
      </c>
      <c r="S39" s="893">
        <v>79.406299826609882</v>
      </c>
      <c r="T39" s="893">
        <v>83.832410896464225</v>
      </c>
      <c r="U39" s="893">
        <v>88.06819025168906</v>
      </c>
      <c r="V39" s="893">
        <v>91.691447694860017</v>
      </c>
      <c r="W39" s="893">
        <v>95.035019596711834</v>
      </c>
      <c r="X39" s="893">
        <v>97.76510104999204</v>
      </c>
      <c r="Y39" s="893">
        <v>102.34081939272455</v>
      </c>
      <c r="Z39" s="893">
        <v>108.57397614689278</v>
      </c>
      <c r="AA39" s="893">
        <v>114.36168412224862</v>
      </c>
      <c r="AB39" s="893">
        <v>121.09275667312188</v>
      </c>
      <c r="AC39" s="893">
        <v>126.87818137748935</v>
      </c>
      <c r="AD39" s="893">
        <v>134.48305041081937</v>
      </c>
      <c r="AE39" s="893">
        <v>141.80312338035353</v>
      </c>
      <c r="AF39" s="893">
        <v>148.9407227585763</v>
      </c>
      <c r="AG39" s="893">
        <v>151.19028145521207</v>
      </c>
      <c r="AH39" s="893">
        <v>150.35777104291159</v>
      </c>
      <c r="AI39" s="11" t="s">
        <v>47</v>
      </c>
      <c r="AJ39" s="10"/>
      <c r="AK39" s="665">
        <f t="shared" si="0"/>
        <v>-5.5063751736390554E-3</v>
      </c>
      <c r="AL39" s="117"/>
    </row>
    <row r="40" spans="1:38" ht="12.75" customHeight="1">
      <c r="A40" s="8"/>
      <c r="B40" s="154" t="s">
        <v>33</v>
      </c>
      <c r="C40" s="317">
        <v>199.11733403634165</v>
      </c>
      <c r="D40" s="317">
        <v>374.67895188965974</v>
      </c>
      <c r="E40" s="318">
        <v>467.94415827034464</v>
      </c>
      <c r="F40" s="319">
        <v>465.34245573236512</v>
      </c>
      <c r="G40" s="319">
        <v>457.89790613828478</v>
      </c>
      <c r="H40" s="319">
        <v>438.36582863006663</v>
      </c>
      <c r="I40" s="319">
        <v>435.40291709429243</v>
      </c>
      <c r="J40" s="319">
        <v>444.96525574903535</v>
      </c>
      <c r="K40" s="319">
        <v>462.84191882137594</v>
      </c>
      <c r="L40" s="319">
        <v>486.33348141023049</v>
      </c>
      <c r="M40" s="319">
        <v>509.1254642525534</v>
      </c>
      <c r="N40" s="319">
        <v>542.58929435332141</v>
      </c>
      <c r="O40" s="885">
        <v>560.89581840832022</v>
      </c>
      <c r="P40" s="885">
        <v>557.84698595481109</v>
      </c>
      <c r="Q40" s="885">
        <v>560.61441184729142</v>
      </c>
      <c r="R40" s="885">
        <v>574.28158447190003</v>
      </c>
      <c r="S40" s="885">
        <v>597.55021680853747</v>
      </c>
      <c r="T40" s="885">
        <v>625.03376226695696</v>
      </c>
      <c r="U40" s="885">
        <v>641.28357471593131</v>
      </c>
      <c r="V40" s="885">
        <v>657.81290120110702</v>
      </c>
      <c r="W40" s="885">
        <v>656.73455073770708</v>
      </c>
      <c r="X40" s="885">
        <v>646.46916223278652</v>
      </c>
      <c r="Y40" s="885">
        <v>642.9100774999057</v>
      </c>
      <c r="Z40" s="885">
        <v>644.95658296174611</v>
      </c>
      <c r="AA40" s="885">
        <v>652.68115964543256</v>
      </c>
      <c r="AB40" s="885">
        <v>654.38126207123139</v>
      </c>
      <c r="AC40" s="885">
        <v>660.75357034336071</v>
      </c>
      <c r="AD40" s="885">
        <v>680.60530059032442</v>
      </c>
      <c r="AE40" s="885">
        <v>710.77496904084239</v>
      </c>
      <c r="AF40" s="885">
        <v>737.83900129143365</v>
      </c>
      <c r="AG40" s="885">
        <v>748.99087091831439</v>
      </c>
      <c r="AH40" s="885">
        <v>741.00468508845643</v>
      </c>
      <c r="AI40" s="154" t="s">
        <v>33</v>
      </c>
      <c r="AJ40" s="10"/>
      <c r="AK40" s="896">
        <f t="shared" si="0"/>
        <v>-1.0662594351872889E-2</v>
      </c>
      <c r="AL40" s="117"/>
    </row>
    <row r="41" spans="1:38" ht="12.75" customHeight="1">
      <c r="A41" s="8"/>
      <c r="B41" s="722" t="s">
        <v>72</v>
      </c>
      <c r="C41" s="143"/>
      <c r="D41" s="143"/>
      <c r="E41" s="142">
        <v>581.80628272251306</v>
      </c>
      <c r="F41" s="143">
        <v>589.668549649493</v>
      </c>
      <c r="G41" s="143">
        <v>591.90437926878258</v>
      </c>
      <c r="H41" s="143">
        <v>586.17617947871986</v>
      </c>
      <c r="I41" s="143">
        <v>596.03643605733134</v>
      </c>
      <c r="J41" s="143">
        <v>608.60847912556994</v>
      </c>
      <c r="K41" s="143">
        <v>620.04302732556266</v>
      </c>
      <c r="L41" s="143">
        <v>636.20689655172407</v>
      </c>
      <c r="M41" s="143">
        <v>639.35655161642978</v>
      </c>
      <c r="N41" s="143">
        <v>652.25436378214999</v>
      </c>
      <c r="O41" s="884">
        <v>662.87314000547724</v>
      </c>
      <c r="P41" s="884">
        <v>674.89932885906046</v>
      </c>
      <c r="Q41" s="884">
        <v>687.03304491628035</v>
      </c>
      <c r="R41" s="884">
        <v>685.95089520032661</v>
      </c>
      <c r="S41" s="884">
        <v>691.76300578034682</v>
      </c>
      <c r="T41" s="884">
        <v>698.83970777825527</v>
      </c>
      <c r="U41" s="884">
        <v>690.77001819836221</v>
      </c>
      <c r="V41" s="884">
        <v>689.21823735716714</v>
      </c>
      <c r="W41" s="884">
        <v>715.44578380960399</v>
      </c>
      <c r="X41" s="884">
        <v>721.81980275254909</v>
      </c>
      <c r="Y41" s="884">
        <v>743.86566710005809</v>
      </c>
      <c r="Z41" s="884">
        <v>749.19808087731326</v>
      </c>
      <c r="AA41" s="884">
        <v>760.19327867962431</v>
      </c>
      <c r="AB41" s="884">
        <v>756.87468016913999</v>
      </c>
      <c r="AC41" s="884">
        <v>762.02965262538135</v>
      </c>
      <c r="AD41" s="884">
        <v>765.56270267396735</v>
      </c>
      <c r="AE41" s="884">
        <v>773.36683417085419</v>
      </c>
      <c r="AF41" s="884">
        <v>778.61153381959377</v>
      </c>
      <c r="AG41" s="884">
        <v>780.36896138412635</v>
      </c>
      <c r="AH41" s="1010">
        <v>774.25349059282019</v>
      </c>
      <c r="AI41" s="64" t="s">
        <v>72</v>
      </c>
      <c r="AJ41" s="10"/>
      <c r="AK41" s="665">
        <f t="shared" si="0"/>
        <v>-7.8366402226701659E-3</v>
      </c>
      <c r="AL41" s="117"/>
    </row>
    <row r="42" spans="1:38" ht="12.75" customHeight="1">
      <c r="A42" s="654"/>
      <c r="B42" s="154" t="s">
        <v>63</v>
      </c>
      <c r="C42" s="319">
        <v>177.45521506157567</v>
      </c>
      <c r="D42" s="319">
        <v>300.56153692019723</v>
      </c>
      <c r="E42" s="318">
        <v>379.55329977904995</v>
      </c>
      <c r="F42" s="319">
        <v>377.81031319013277</v>
      </c>
      <c r="G42" s="319">
        <v>376.68646042361235</v>
      </c>
      <c r="H42" s="319">
        <v>377.60875320678457</v>
      </c>
      <c r="I42" s="319">
        <v>380.29486639944253</v>
      </c>
      <c r="J42" s="319">
        <v>385.51042950765873</v>
      </c>
      <c r="K42" s="319">
        <v>378.18237199143857</v>
      </c>
      <c r="L42" s="319">
        <v>397.95395643651676</v>
      </c>
      <c r="M42" s="319">
        <v>401.86091963047056</v>
      </c>
      <c r="N42" s="319">
        <v>404.96666627218912</v>
      </c>
      <c r="O42" s="885">
        <v>411.22578404578195</v>
      </c>
      <c r="P42" s="885">
        <v>413.97760333293104</v>
      </c>
      <c r="Q42" s="885">
        <v>417.32465601640683</v>
      </c>
      <c r="R42" s="885">
        <v>422.43105724422975</v>
      </c>
      <c r="S42" s="885">
        <v>429.3890863572845</v>
      </c>
      <c r="T42" s="885">
        <v>437.2442335157026</v>
      </c>
      <c r="U42" s="885">
        <v>445.23250135544083</v>
      </c>
      <c r="V42" s="885">
        <v>454.87844960631566</v>
      </c>
      <c r="W42" s="885">
        <v>457.81988526545388</v>
      </c>
      <c r="X42" s="885">
        <v>461.89956401538927</v>
      </c>
      <c r="Y42" s="885">
        <v>469.18798733005372</v>
      </c>
      <c r="Z42" s="885">
        <v>476.54672103364106</v>
      </c>
      <c r="AA42" s="885">
        <v>483.64026904098466</v>
      </c>
      <c r="AB42" s="885">
        <v>489.4831018976227</v>
      </c>
      <c r="AC42" s="885">
        <v>494.61849653139956</v>
      </c>
      <c r="AD42" s="885">
        <v>500.95792885475919</v>
      </c>
      <c r="AE42" s="885">
        <v>506.41868871732152</v>
      </c>
      <c r="AF42" s="885">
        <v>513.51806087258171</v>
      </c>
      <c r="AG42" s="885">
        <v>516.4862058791955</v>
      </c>
      <c r="AH42" s="1011">
        <v>521.8366563702823</v>
      </c>
      <c r="AI42" s="304" t="s">
        <v>63</v>
      </c>
      <c r="AJ42" s="319"/>
      <c r="AK42" s="747">
        <f t="shared" si="0"/>
        <v>1.0359328923371658E-2</v>
      </c>
      <c r="AL42" s="117"/>
    </row>
    <row r="43" spans="1:38" ht="12.75" customHeight="1">
      <c r="A43" s="654"/>
      <c r="B43" s="722" t="s">
        <v>34</v>
      </c>
      <c r="C43" s="146">
        <v>223.34764076011609</v>
      </c>
      <c r="D43" s="146">
        <v>354.64338147723771</v>
      </c>
      <c r="E43" s="145">
        <v>441.81055788295367</v>
      </c>
      <c r="F43" s="146">
        <v>446.8656543667708</v>
      </c>
      <c r="G43" s="146">
        <v>447.48789041741566</v>
      </c>
      <c r="H43" s="146">
        <v>446.22110418636828</v>
      </c>
      <c r="I43" s="146">
        <v>450.92369745686682</v>
      </c>
      <c r="J43" s="146">
        <v>457.23791245808405</v>
      </c>
      <c r="K43" s="146">
        <v>461.50731795904335</v>
      </c>
      <c r="L43" s="146">
        <v>468.32542681461825</v>
      </c>
      <c r="M43" s="146">
        <v>474.94762784274161</v>
      </c>
      <c r="N43" s="146">
        <v>483.96093262784944</v>
      </c>
      <c r="O43" s="893">
        <v>492.11825839752748</v>
      </c>
      <c r="P43" s="893">
        <v>500.26000416502836</v>
      </c>
      <c r="Q43" s="893">
        <v>506.01933071392057</v>
      </c>
      <c r="R43" s="893">
        <v>509.75211253223046</v>
      </c>
      <c r="S43" s="893">
        <v>513.99845882093064</v>
      </c>
      <c r="T43" s="893">
        <v>517.68008271208112</v>
      </c>
      <c r="U43" s="893">
        <v>519.39666567182587</v>
      </c>
      <c r="V43" s="893">
        <v>520.94424516566414</v>
      </c>
      <c r="W43" s="893">
        <v>518.03240673416906</v>
      </c>
      <c r="X43" s="893">
        <v>514.98868582135231</v>
      </c>
      <c r="Y43" s="893">
        <v>517.8850830239993</v>
      </c>
      <c r="Z43" s="893">
        <v>523.34090373670188</v>
      </c>
      <c r="AA43" s="893">
        <v>529.29073797185254</v>
      </c>
      <c r="AB43" s="893">
        <v>530.84531718944027</v>
      </c>
      <c r="AC43" s="893">
        <v>532.2490618094979</v>
      </c>
      <c r="AD43" s="893">
        <v>535.36706421879535</v>
      </c>
      <c r="AE43" s="893">
        <v>537.32087819420281</v>
      </c>
      <c r="AF43" s="893">
        <v>538.74704890189093</v>
      </c>
      <c r="AG43" s="893">
        <v>538.67089424610629</v>
      </c>
      <c r="AH43" s="1012">
        <v>537.29749816204514</v>
      </c>
      <c r="AI43" s="65" t="s">
        <v>34</v>
      </c>
      <c r="AJ43" s="146"/>
      <c r="AK43" s="748">
        <f t="shared" si="0"/>
        <v>-2.5496014333264982E-3</v>
      </c>
      <c r="AL43" s="117"/>
    </row>
    <row r="44" spans="1:38" ht="12.75" customHeight="1">
      <c r="A44" s="8"/>
      <c r="B44" s="1037" t="s">
        <v>141</v>
      </c>
      <c r="C44" s="1037"/>
      <c r="D44" s="1037"/>
      <c r="E44" s="1037"/>
      <c r="F44" s="1037"/>
      <c r="G44" s="1037"/>
      <c r="H44" s="1037"/>
      <c r="I44" s="1037"/>
      <c r="J44" s="1037"/>
      <c r="K44" s="1037"/>
      <c r="L44" s="1037"/>
      <c r="M44" s="1037"/>
      <c r="N44" s="1037"/>
      <c r="O44" s="1037"/>
      <c r="P44" s="1037"/>
      <c r="Q44" s="1037"/>
      <c r="R44" s="1037"/>
      <c r="S44" s="103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L44" s="117"/>
    </row>
    <row r="45" spans="1:38" ht="12.75" customHeight="1">
      <c r="A45" s="8"/>
      <c r="B45" s="1036" t="s">
        <v>327</v>
      </c>
      <c r="C45" s="1036"/>
      <c r="D45" s="1036"/>
      <c r="E45" s="1036"/>
      <c r="F45" s="1036"/>
      <c r="G45" s="1036"/>
      <c r="H45" s="1036"/>
      <c r="I45" s="1036"/>
      <c r="J45" s="1036"/>
      <c r="K45" s="1036"/>
      <c r="L45" s="1036"/>
      <c r="M45" s="1036"/>
      <c r="N45" s="1036"/>
      <c r="O45" s="1036"/>
      <c r="P45" s="1036"/>
      <c r="Q45" s="1036"/>
      <c r="R45" s="1036"/>
      <c r="S45" s="1036"/>
      <c r="T45" s="1036"/>
      <c r="U45" s="1036"/>
      <c r="V45" s="1036"/>
      <c r="W45" s="1036"/>
      <c r="X45" s="1036"/>
      <c r="Y45" s="1036"/>
      <c r="Z45" s="1036"/>
      <c r="AA45" s="1036"/>
      <c r="AB45" s="1036"/>
      <c r="AC45" s="1036"/>
      <c r="AD45" s="1036"/>
      <c r="AE45" s="1036"/>
      <c r="AF45" s="1036"/>
      <c r="AG45" s="1036"/>
      <c r="AH45" s="1036"/>
      <c r="AI45" s="1036"/>
      <c r="AJ45" s="1036"/>
      <c r="AL45" s="117"/>
    </row>
    <row r="46" spans="1:38" ht="15" customHeight="1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38" ht="27" customHeight="1">
      <c r="M47" s="23"/>
      <c r="AA47" s="2"/>
      <c r="AB47" s="2"/>
      <c r="AC47" s="2"/>
      <c r="AD47" s="2"/>
      <c r="AE47" s="2"/>
    </row>
    <row r="48" spans="1:38" ht="12.75" customHeight="1">
      <c r="AA48" s="2"/>
      <c r="AB48" s="2"/>
      <c r="AC48" s="2"/>
      <c r="AD48" s="2"/>
      <c r="AE48" s="2"/>
    </row>
    <row r="49" spans="27:31">
      <c r="AA49" s="2"/>
      <c r="AB49" s="2"/>
      <c r="AC49" s="2"/>
      <c r="AD49" s="2"/>
      <c r="AE49" s="2"/>
    </row>
    <row r="50" spans="27:31">
      <c r="AA50" s="2"/>
      <c r="AB50" s="2"/>
      <c r="AC50" s="2"/>
      <c r="AD50" s="2"/>
      <c r="AE50" s="2"/>
    </row>
    <row r="51" spans="27:31">
      <c r="AA51" s="2"/>
      <c r="AB51" s="2"/>
      <c r="AC51" s="2"/>
      <c r="AD51" s="2"/>
      <c r="AE51" s="2"/>
    </row>
    <row r="52" spans="27:31">
      <c r="AA52" s="2"/>
      <c r="AB52" s="2"/>
      <c r="AC52" s="2"/>
      <c r="AD52" s="2"/>
      <c r="AE52" s="2"/>
    </row>
    <row r="53" spans="27:31">
      <c r="AA53" s="2"/>
      <c r="AB53" s="2"/>
      <c r="AC53" s="2"/>
      <c r="AD53" s="2"/>
      <c r="AE53" s="2"/>
    </row>
  </sheetData>
  <mergeCells count="5">
    <mergeCell ref="B45:AJ45"/>
    <mergeCell ref="B44:S44"/>
    <mergeCell ref="B1:C1"/>
    <mergeCell ref="B2:AI2"/>
    <mergeCell ref="B3:AI3"/>
  </mergeCells>
  <phoneticPr fontId="4" type="noConversion"/>
  <printOptions horizontalCentered="1"/>
  <pageMargins left="0.6692913385826772" right="0.48" top="0.47" bottom="0.39" header="0.31" footer="0"/>
  <pageSetup paperSize="9" scale="9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1"/>
  <dimension ref="A1:AD49"/>
  <sheetViews>
    <sheetView tabSelected="1" workbookViewId="0">
      <selection activeCell="AC8" sqref="AC8"/>
    </sheetView>
  </sheetViews>
  <sheetFormatPr defaultRowHeight="11.25"/>
  <cols>
    <col min="1" max="1" width="3.7109375" style="3" customWidth="1"/>
    <col min="2" max="2" width="4" style="3" customWidth="1"/>
    <col min="3" max="4" width="7.7109375" style="3" hidden="1" customWidth="1"/>
    <col min="5" max="10" width="7.7109375" style="3" customWidth="1"/>
    <col min="11" max="13" width="8.28515625" style="2" customWidth="1"/>
    <col min="14" max="25" width="8.28515625" style="3" customWidth="1"/>
    <col min="26" max="26" width="5.140625" style="3" customWidth="1"/>
    <col min="27" max="16384" width="9.140625" style="3"/>
  </cols>
  <sheetData>
    <row r="1" spans="1:27" ht="14.25" customHeight="1">
      <c r="B1" s="31"/>
      <c r="C1" s="18"/>
      <c r="D1" s="18"/>
      <c r="E1" s="18"/>
      <c r="F1" s="18"/>
      <c r="G1" s="18"/>
      <c r="H1" s="32"/>
      <c r="K1" s="285"/>
      <c r="L1" s="285"/>
      <c r="M1" s="285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 t="s">
        <v>134</v>
      </c>
    </row>
    <row r="2" spans="1:27" s="54" customFormat="1" ht="30" customHeight="1">
      <c r="B2" s="1039" t="s">
        <v>307</v>
      </c>
      <c r="C2" s="1039"/>
      <c r="D2" s="1039"/>
      <c r="E2" s="1039"/>
      <c r="F2" s="1039"/>
      <c r="G2" s="1039"/>
      <c r="H2" s="1039"/>
      <c r="I2" s="1039"/>
      <c r="J2" s="1039"/>
      <c r="K2" s="1039"/>
      <c r="L2" s="1039"/>
      <c r="M2" s="1039"/>
      <c r="N2" s="1039"/>
      <c r="O2" s="1039"/>
      <c r="P2" s="1039"/>
      <c r="Q2" s="1039"/>
      <c r="R2" s="1039"/>
      <c r="S2" s="1039"/>
      <c r="T2" s="1039"/>
      <c r="U2" s="1039"/>
      <c r="V2" s="1039"/>
      <c r="W2" s="1039"/>
      <c r="X2" s="1039"/>
      <c r="Y2" s="1039"/>
      <c r="Z2" s="1039"/>
    </row>
    <row r="3" spans="1:27" ht="18" customHeight="1">
      <c r="B3" s="1043" t="s">
        <v>10</v>
      </c>
      <c r="C3" s="1043"/>
      <c r="D3" s="1043"/>
      <c r="E3" s="1043"/>
      <c r="F3" s="1043"/>
      <c r="G3" s="1043"/>
      <c r="H3" s="1043"/>
      <c r="I3" s="1043"/>
      <c r="J3" s="1043"/>
      <c r="K3" s="1043"/>
      <c r="L3" s="1043"/>
      <c r="M3" s="1043"/>
      <c r="N3" s="1043"/>
      <c r="O3" s="1043"/>
      <c r="P3" s="1043"/>
      <c r="Q3" s="1043"/>
      <c r="R3" s="1043"/>
      <c r="S3" s="1043"/>
      <c r="T3" s="1043"/>
      <c r="U3" s="1043"/>
      <c r="V3" s="1043"/>
      <c r="W3" s="1043"/>
      <c r="X3" s="1043"/>
      <c r="Y3" s="1043"/>
      <c r="Z3" s="1043"/>
    </row>
    <row r="4" spans="1:27" ht="24.95" customHeight="1">
      <c r="B4" s="98"/>
      <c r="C4" s="51">
        <v>1970</v>
      </c>
      <c r="D4" s="52">
        <v>1980</v>
      </c>
      <c r="E4" s="52">
        <v>1990</v>
      </c>
      <c r="F4" s="52">
        <v>2000</v>
      </c>
      <c r="G4" s="52">
        <v>2001</v>
      </c>
      <c r="H4" s="52">
        <v>2002</v>
      </c>
      <c r="I4" s="52">
        <v>2003</v>
      </c>
      <c r="J4" s="52">
        <v>2004</v>
      </c>
      <c r="K4" s="53">
        <v>2005</v>
      </c>
      <c r="L4" s="52">
        <v>2006</v>
      </c>
      <c r="M4" s="52" t="s">
        <v>99</v>
      </c>
      <c r="N4" s="52" t="s">
        <v>110</v>
      </c>
      <c r="O4" s="52" t="s">
        <v>140</v>
      </c>
      <c r="P4" s="52" t="s">
        <v>152</v>
      </c>
      <c r="Q4" s="52" t="s">
        <v>158</v>
      </c>
      <c r="R4" s="52" t="s">
        <v>166</v>
      </c>
      <c r="S4" s="52" t="s">
        <v>172</v>
      </c>
      <c r="T4" s="280" t="s">
        <v>184</v>
      </c>
      <c r="U4" s="280" t="s">
        <v>188</v>
      </c>
      <c r="V4" s="52" t="s">
        <v>192</v>
      </c>
      <c r="W4" s="52" t="s">
        <v>199</v>
      </c>
      <c r="X4" s="52" t="s">
        <v>267</v>
      </c>
      <c r="Y4" s="53" t="s">
        <v>345</v>
      </c>
      <c r="Z4" s="6"/>
    </row>
    <row r="5" spans="1:27" ht="12.75" customHeight="1">
      <c r="B5" s="153" t="s">
        <v>266</v>
      </c>
      <c r="C5" s="66"/>
      <c r="D5" s="67"/>
      <c r="E5" s="398"/>
      <c r="F5" s="398"/>
      <c r="G5" s="397">
        <f>SUM(G7:G33)</f>
        <v>867967</v>
      </c>
      <c r="H5" s="397">
        <f>SUM(H7:H33)</f>
        <v>834634</v>
      </c>
      <c r="I5" s="397"/>
      <c r="J5" s="397"/>
      <c r="K5" s="469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469"/>
      <c r="Z5" s="61" t="s">
        <v>266</v>
      </c>
    </row>
    <row r="6" spans="1:27" ht="12.75" customHeight="1">
      <c r="A6" s="8"/>
      <c r="B6" s="50" t="s">
        <v>168</v>
      </c>
      <c r="C6" s="66"/>
      <c r="D6" s="67"/>
      <c r="E6" s="398"/>
      <c r="F6" s="398"/>
      <c r="G6" s="397">
        <f>SUM(G7:G34)</f>
        <v>887017</v>
      </c>
      <c r="H6" s="397">
        <f>SUM(H7:H34)</f>
        <v>853740</v>
      </c>
      <c r="I6" s="397"/>
      <c r="J6" s="397"/>
      <c r="K6" s="469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469"/>
      <c r="Z6" s="61" t="s">
        <v>168</v>
      </c>
    </row>
    <row r="7" spans="1:27" ht="12.75" customHeight="1">
      <c r="A7" s="8"/>
      <c r="B7" s="9" t="s">
        <v>52</v>
      </c>
      <c r="C7" s="68">
        <v>44651</v>
      </c>
      <c r="D7" s="69">
        <v>42968</v>
      </c>
      <c r="E7" s="478">
        <v>30332</v>
      </c>
      <c r="F7" s="478">
        <v>18790</v>
      </c>
      <c r="G7" s="478">
        <v>19719</v>
      </c>
      <c r="H7" s="478">
        <v>20312</v>
      </c>
      <c r="I7" s="478">
        <v>20101</v>
      </c>
      <c r="J7" s="478">
        <v>18782</v>
      </c>
      <c r="K7" s="480">
        <v>17375</v>
      </c>
      <c r="L7" s="478">
        <f>10521+5023</f>
        <v>15544</v>
      </c>
      <c r="M7" s="478">
        <v>10616</v>
      </c>
      <c r="N7" s="478">
        <v>9573</v>
      </c>
      <c r="O7" s="478">
        <v>11612</v>
      </c>
      <c r="P7" s="478">
        <v>11612</v>
      </c>
      <c r="Q7" s="479">
        <v>11612</v>
      </c>
      <c r="R7" s="479">
        <v>11612</v>
      </c>
      <c r="S7" s="479">
        <v>11612</v>
      </c>
      <c r="T7" s="479">
        <v>11612</v>
      </c>
      <c r="U7" s="479">
        <v>11612</v>
      </c>
      <c r="V7" s="479">
        <v>11612</v>
      </c>
      <c r="W7" s="479">
        <v>11612</v>
      </c>
      <c r="X7" s="479">
        <v>11612</v>
      </c>
      <c r="Y7" s="494">
        <f>X7</f>
        <v>11612</v>
      </c>
      <c r="Z7" s="63" t="s">
        <v>52</v>
      </c>
    </row>
    <row r="8" spans="1:27" ht="12.75" customHeight="1">
      <c r="A8" s="8"/>
      <c r="B8" s="49" t="s">
        <v>35</v>
      </c>
      <c r="C8" s="70">
        <v>33850</v>
      </c>
      <c r="D8" s="71">
        <v>37272</v>
      </c>
      <c r="E8" s="495">
        <v>42459</v>
      </c>
      <c r="F8" s="434">
        <v>29720</v>
      </c>
      <c r="G8" s="434">
        <v>16609</v>
      </c>
      <c r="H8" s="434">
        <v>17508</v>
      </c>
      <c r="I8" s="434">
        <v>17259</v>
      </c>
      <c r="J8" s="434">
        <v>16382</v>
      </c>
      <c r="K8" s="471">
        <v>16511</v>
      </c>
      <c r="L8" s="434">
        <f>11911+361+300+4539</f>
        <v>17111</v>
      </c>
      <c r="M8" s="434">
        <f>11834+361+18+204</f>
        <v>12417</v>
      </c>
      <c r="N8" s="434">
        <f>11812+361+438+214</f>
        <v>12825</v>
      </c>
      <c r="O8" s="434">
        <f>11812+361+356+214</f>
        <v>12743</v>
      </c>
      <c r="P8" s="434">
        <v>11751</v>
      </c>
      <c r="Q8" s="434">
        <f>5390+11068</f>
        <v>16458</v>
      </c>
      <c r="R8" s="434">
        <v>16576</v>
      </c>
      <c r="S8" s="537">
        <f>4895+361+227</f>
        <v>5483</v>
      </c>
      <c r="T8" s="434">
        <f>4895+430</f>
        <v>5325</v>
      </c>
      <c r="U8" s="434">
        <v>4572</v>
      </c>
      <c r="V8" s="434">
        <f>4146+440</f>
        <v>4586</v>
      </c>
      <c r="W8" s="434">
        <v>4510</v>
      </c>
      <c r="X8" s="931">
        <v>4629</v>
      </c>
      <c r="Y8" s="471">
        <v>4877</v>
      </c>
      <c r="Z8" s="62" t="s">
        <v>35</v>
      </c>
    </row>
    <row r="9" spans="1:27" ht="12.75" customHeight="1">
      <c r="A9" s="8"/>
      <c r="B9" s="10" t="s">
        <v>37</v>
      </c>
      <c r="C9" s="72"/>
      <c r="D9" s="73"/>
      <c r="E9" s="454"/>
      <c r="F9" s="432">
        <v>58524</v>
      </c>
      <c r="G9" s="432">
        <v>50180</v>
      </c>
      <c r="H9" s="432">
        <v>46789</v>
      </c>
      <c r="I9" s="432">
        <v>45506</v>
      </c>
      <c r="J9" s="432">
        <v>44805</v>
      </c>
      <c r="K9" s="472">
        <v>44545</v>
      </c>
      <c r="L9" s="432">
        <f>33354+9408</f>
        <v>42762</v>
      </c>
      <c r="M9" s="432">
        <v>32809</v>
      </c>
      <c r="N9" s="432">
        <v>31656</v>
      </c>
      <c r="O9" s="432">
        <v>29194</v>
      </c>
      <c r="P9" s="432">
        <v>27416</v>
      </c>
      <c r="Q9" s="432">
        <v>27314</v>
      </c>
      <c r="R9" s="432">
        <v>27066</v>
      </c>
      <c r="S9" s="432">
        <v>26281</v>
      </c>
      <c r="T9" s="432">
        <v>25965</v>
      </c>
      <c r="U9" s="432">
        <v>25863</v>
      </c>
      <c r="V9" s="432">
        <v>25322</v>
      </c>
      <c r="W9" s="432">
        <v>23560</v>
      </c>
      <c r="X9" s="432">
        <v>22578</v>
      </c>
      <c r="Y9" s="472">
        <v>21835</v>
      </c>
      <c r="Z9" s="64" t="s">
        <v>37</v>
      </c>
    </row>
    <row r="10" spans="1:27" ht="12.75" customHeight="1">
      <c r="A10" s="8"/>
      <c r="B10" s="49" t="s">
        <v>48</v>
      </c>
      <c r="C10" s="70">
        <v>10995</v>
      </c>
      <c r="D10" s="71">
        <v>6883</v>
      </c>
      <c r="E10" s="434">
        <v>4632</v>
      </c>
      <c r="F10" s="434">
        <v>2236</v>
      </c>
      <c r="G10" s="434">
        <v>2236</v>
      </c>
      <c r="H10" s="458">
        <v>2200</v>
      </c>
      <c r="I10" s="351"/>
      <c r="J10" s="351"/>
      <c r="K10" s="496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962"/>
      <c r="Y10" s="496"/>
      <c r="Z10" s="62" t="s">
        <v>48</v>
      </c>
    </row>
    <row r="11" spans="1:27" ht="12.75" customHeight="1">
      <c r="A11" s="8"/>
      <c r="B11" s="10" t="s">
        <v>53</v>
      </c>
      <c r="C11" s="75">
        <v>459030</v>
      </c>
      <c r="D11" s="74">
        <v>476437</v>
      </c>
      <c r="E11" s="432">
        <v>366724</v>
      </c>
      <c r="F11" s="432">
        <v>189558</v>
      </c>
      <c r="G11" s="432">
        <v>182836</v>
      </c>
      <c r="H11" s="349">
        <v>179000</v>
      </c>
      <c r="I11" s="432">
        <v>176837</v>
      </c>
      <c r="J11" s="432">
        <v>237313</v>
      </c>
      <c r="K11" s="472">
        <v>158247</v>
      </c>
      <c r="L11" s="432">
        <f>96550+58918</f>
        <v>155468</v>
      </c>
      <c r="M11" s="432">
        <v>95595</v>
      </c>
      <c r="N11" s="432">
        <v>119916</v>
      </c>
      <c r="O11" s="432">
        <v>113657</v>
      </c>
      <c r="P11" s="432">
        <v>108840</v>
      </c>
      <c r="Q11" s="432">
        <v>106727</v>
      </c>
      <c r="R11" s="432">
        <v>104460</v>
      </c>
      <c r="S11" s="432">
        <v>96868</v>
      </c>
      <c r="T11" s="432">
        <v>91787</v>
      </c>
      <c r="U11" s="432">
        <v>88066</v>
      </c>
      <c r="V11" s="432">
        <v>86468</v>
      </c>
      <c r="W11" s="432">
        <v>82864</v>
      </c>
      <c r="X11" s="432">
        <v>80608</v>
      </c>
      <c r="Y11" s="472">
        <v>79531</v>
      </c>
      <c r="Z11" s="64" t="s">
        <v>53</v>
      </c>
      <c r="AA11" s="2"/>
    </row>
    <row r="12" spans="1:27" ht="12.75" customHeight="1">
      <c r="A12" s="8"/>
      <c r="B12" s="49" t="s">
        <v>38</v>
      </c>
      <c r="C12" s="70"/>
      <c r="D12" s="71"/>
      <c r="E12" s="434"/>
      <c r="F12" s="434">
        <v>5857</v>
      </c>
      <c r="G12" s="434">
        <v>6122</v>
      </c>
      <c r="H12" s="434">
        <v>7531</v>
      </c>
      <c r="I12" s="434">
        <v>17436</v>
      </c>
      <c r="J12" s="434">
        <v>20352</v>
      </c>
      <c r="K12" s="471">
        <v>18971</v>
      </c>
      <c r="L12" s="434">
        <v>18376</v>
      </c>
      <c r="M12" s="434">
        <v>16781</v>
      </c>
      <c r="N12" s="434">
        <v>19643</v>
      </c>
      <c r="O12" s="434">
        <v>18284</v>
      </c>
      <c r="P12" s="434">
        <v>17575</v>
      </c>
      <c r="Q12" s="434">
        <v>18995</v>
      </c>
      <c r="R12" s="434">
        <v>21667</v>
      </c>
      <c r="S12" s="434">
        <v>22285</v>
      </c>
      <c r="T12" s="434">
        <v>21188</v>
      </c>
      <c r="U12" s="434">
        <v>21501</v>
      </c>
      <c r="V12" s="434">
        <v>21586</v>
      </c>
      <c r="W12" s="434">
        <v>21835</v>
      </c>
      <c r="X12" s="931">
        <v>22522</v>
      </c>
      <c r="Y12" s="471">
        <v>22752</v>
      </c>
      <c r="Z12" s="62" t="s">
        <v>38</v>
      </c>
      <c r="AA12" s="2"/>
    </row>
    <row r="13" spans="1:27" ht="12.75" customHeight="1">
      <c r="A13" s="8"/>
      <c r="B13" s="10" t="s">
        <v>56</v>
      </c>
      <c r="C13" s="75">
        <v>9727</v>
      </c>
      <c r="D13" s="74">
        <v>4417</v>
      </c>
      <c r="E13" s="432">
        <v>1830</v>
      </c>
      <c r="F13" s="432">
        <v>1856</v>
      </c>
      <c r="G13" s="432">
        <v>1856</v>
      </c>
      <c r="H13" s="432">
        <v>1856</v>
      </c>
      <c r="I13" s="432">
        <v>1611</v>
      </c>
      <c r="J13" s="432">
        <v>833</v>
      </c>
      <c r="K13" s="472">
        <v>926</v>
      </c>
      <c r="L13" s="432">
        <v>1095</v>
      </c>
      <c r="M13" s="432">
        <v>891</v>
      </c>
      <c r="N13" s="432">
        <v>891</v>
      </c>
      <c r="O13" s="432"/>
      <c r="P13" s="432">
        <v>502</v>
      </c>
      <c r="Q13" s="452">
        <v>502</v>
      </c>
      <c r="R13" s="432">
        <v>450</v>
      </c>
      <c r="S13" s="452">
        <v>450</v>
      </c>
      <c r="T13" s="432">
        <v>450</v>
      </c>
      <c r="U13" s="432">
        <v>449</v>
      </c>
      <c r="V13" s="452">
        <v>449</v>
      </c>
      <c r="W13" s="432">
        <v>442</v>
      </c>
      <c r="X13" s="452">
        <v>442</v>
      </c>
      <c r="Y13" s="470">
        <f>X13</f>
        <v>442</v>
      </c>
      <c r="Z13" s="64" t="s">
        <v>56</v>
      </c>
    </row>
    <row r="14" spans="1:27" ht="12.75" customHeight="1">
      <c r="A14" s="8"/>
      <c r="B14" s="49" t="s">
        <v>49</v>
      </c>
      <c r="C14" s="70">
        <v>9025</v>
      </c>
      <c r="D14" s="71">
        <v>10871</v>
      </c>
      <c r="E14" s="434">
        <v>10967</v>
      </c>
      <c r="F14" s="434">
        <v>3453</v>
      </c>
      <c r="G14" s="434">
        <v>3539</v>
      </c>
      <c r="H14" s="434">
        <v>3539</v>
      </c>
      <c r="I14" s="434">
        <v>3473</v>
      </c>
      <c r="J14" s="434">
        <v>3497</v>
      </c>
      <c r="K14" s="471">
        <v>3491</v>
      </c>
      <c r="L14" s="434">
        <f>2861+305</f>
        <v>3166</v>
      </c>
      <c r="M14" s="434">
        <f>3263+305</f>
        <v>3568</v>
      </c>
      <c r="N14" s="434">
        <f>4458+305</f>
        <v>4763</v>
      </c>
      <c r="O14" s="434"/>
      <c r="P14" s="434">
        <v>3158</v>
      </c>
      <c r="Q14" s="434">
        <v>3158</v>
      </c>
      <c r="R14" s="434">
        <v>3158</v>
      </c>
      <c r="S14" s="434">
        <v>3184</v>
      </c>
      <c r="T14" s="434">
        <v>3522</v>
      </c>
      <c r="U14" s="434">
        <v>3522</v>
      </c>
      <c r="V14" s="434">
        <v>3522</v>
      </c>
      <c r="W14" s="434">
        <v>3522</v>
      </c>
      <c r="X14" s="458">
        <v>3522</v>
      </c>
      <c r="Y14" s="473">
        <f>X14</f>
        <v>3522</v>
      </c>
      <c r="Z14" s="62" t="s">
        <v>49</v>
      </c>
    </row>
    <row r="15" spans="1:27" ht="12.75" customHeight="1">
      <c r="A15" s="8"/>
      <c r="B15" s="10" t="s">
        <v>54</v>
      </c>
      <c r="C15" s="75">
        <v>53336</v>
      </c>
      <c r="D15" s="74">
        <v>40773</v>
      </c>
      <c r="E15" s="432">
        <v>37687</v>
      </c>
      <c r="F15" s="432">
        <v>26452</v>
      </c>
      <c r="G15" s="432">
        <v>25867</v>
      </c>
      <c r="H15" s="432">
        <v>26228</v>
      </c>
      <c r="I15" s="432">
        <v>25426</v>
      </c>
      <c r="J15" s="432">
        <v>25542</v>
      </c>
      <c r="K15" s="472">
        <v>23842</v>
      </c>
      <c r="L15" s="432">
        <f>14+1020+180+13817</f>
        <v>15031</v>
      </c>
      <c r="M15" s="432">
        <f>1026+187+14311</f>
        <v>15524</v>
      </c>
      <c r="N15" s="432">
        <f>42+1026+187+13718</f>
        <v>14973</v>
      </c>
      <c r="O15" s="432">
        <f>42+1026+187+11192</f>
        <v>12447</v>
      </c>
      <c r="P15" s="432">
        <v>14337</v>
      </c>
      <c r="Q15" s="432">
        <v>13732</v>
      </c>
      <c r="R15" s="432">
        <v>14148</v>
      </c>
      <c r="S15" s="432">
        <f>42+1141+197+13520</f>
        <v>14900</v>
      </c>
      <c r="T15" s="432">
        <f>13520+182</f>
        <v>13702</v>
      </c>
      <c r="U15" s="432">
        <v>11353</v>
      </c>
      <c r="V15" s="432">
        <f>11191+155</f>
        <v>11346</v>
      </c>
      <c r="W15" s="432">
        <v>11292</v>
      </c>
      <c r="X15" s="432">
        <f>11242+98+42</f>
        <v>11382</v>
      </c>
      <c r="Y15" s="472">
        <v>10168</v>
      </c>
      <c r="Z15" s="64" t="s">
        <v>54</v>
      </c>
    </row>
    <row r="16" spans="1:27" ht="12.75" customHeight="1">
      <c r="A16" s="8"/>
      <c r="B16" s="49" t="s">
        <v>55</v>
      </c>
      <c r="C16" s="70">
        <v>291450</v>
      </c>
      <c r="D16" s="71">
        <v>239800</v>
      </c>
      <c r="E16" s="495">
        <v>148100</v>
      </c>
      <c r="F16" s="434">
        <v>94789</v>
      </c>
      <c r="G16" s="434">
        <v>109770</v>
      </c>
      <c r="H16" s="434">
        <v>107033</v>
      </c>
      <c r="I16" s="434">
        <v>103833</v>
      </c>
      <c r="J16" s="434">
        <v>99372</v>
      </c>
      <c r="K16" s="471">
        <v>95738</v>
      </c>
      <c r="L16" s="434">
        <f>32769+59047</f>
        <v>91816</v>
      </c>
      <c r="M16" s="434">
        <v>31589</v>
      </c>
      <c r="N16" s="434">
        <f>30196+1649</f>
        <v>31845</v>
      </c>
      <c r="O16" s="434">
        <v>29028</v>
      </c>
      <c r="P16" s="434">
        <v>25314</v>
      </c>
      <c r="Q16" s="434">
        <v>20322</v>
      </c>
      <c r="R16" s="434">
        <v>17830</v>
      </c>
      <c r="S16" s="434">
        <v>16333</v>
      </c>
      <c r="T16" s="434">
        <v>15017</v>
      </c>
      <c r="U16" s="434">
        <v>14052</v>
      </c>
      <c r="V16" s="434">
        <v>12347</v>
      </c>
      <c r="W16" s="434">
        <v>12347</v>
      </c>
      <c r="X16" s="931">
        <v>12347</v>
      </c>
      <c r="Y16" s="471">
        <v>12347</v>
      </c>
      <c r="Z16" s="62" t="s">
        <v>55</v>
      </c>
      <c r="AA16" s="2"/>
    </row>
    <row r="17" spans="1:30" ht="12.75" customHeight="1">
      <c r="A17" s="8"/>
      <c r="B17" s="10" t="s">
        <v>66</v>
      </c>
      <c r="C17" s="75">
        <v>0</v>
      </c>
      <c r="D17" s="74">
        <v>12852</v>
      </c>
      <c r="E17" s="432">
        <v>13720</v>
      </c>
      <c r="F17" s="432">
        <v>9986</v>
      </c>
      <c r="G17" s="432">
        <v>9456</v>
      </c>
      <c r="H17" s="432">
        <v>8774</v>
      </c>
      <c r="I17" s="432">
        <v>7920</v>
      </c>
      <c r="J17" s="432">
        <v>7376</v>
      </c>
      <c r="K17" s="472">
        <v>7330</v>
      </c>
      <c r="L17" s="432">
        <v>6813</v>
      </c>
      <c r="M17" s="432">
        <v>6781</v>
      </c>
      <c r="N17" s="432">
        <v>6632</v>
      </c>
      <c r="O17" s="432">
        <v>5857</v>
      </c>
      <c r="P17" s="432">
        <v>6674</v>
      </c>
      <c r="Q17" s="432">
        <v>6063</v>
      </c>
      <c r="R17" s="452">
        <v>6063</v>
      </c>
      <c r="S17" s="432">
        <v>5959</v>
      </c>
      <c r="T17" s="432">
        <v>5518</v>
      </c>
      <c r="U17" s="432">
        <v>5519</v>
      </c>
      <c r="V17" s="432">
        <v>5513</v>
      </c>
      <c r="W17" s="432">
        <v>5420</v>
      </c>
      <c r="X17" s="432">
        <v>5326</v>
      </c>
      <c r="Y17" s="472">
        <v>5252</v>
      </c>
      <c r="Z17" s="64" t="s">
        <v>66</v>
      </c>
    </row>
    <row r="18" spans="1:30" ht="12.75" customHeight="1">
      <c r="A18" s="8"/>
      <c r="B18" s="154" t="s">
        <v>57</v>
      </c>
      <c r="C18" s="331">
        <v>125200</v>
      </c>
      <c r="D18" s="332">
        <v>115228</v>
      </c>
      <c r="E18" s="497">
        <v>99728</v>
      </c>
      <c r="F18" s="434">
        <v>70115</v>
      </c>
      <c r="G18" s="434">
        <v>73146</v>
      </c>
      <c r="H18" s="434">
        <v>56900</v>
      </c>
      <c r="I18" s="434">
        <v>56175</v>
      </c>
      <c r="J18" s="434">
        <v>54598</v>
      </c>
      <c r="K18" s="474">
        <v>45730</v>
      </c>
      <c r="L18" s="434">
        <f>79+41106+5265</f>
        <v>46450</v>
      </c>
      <c r="M18" s="434">
        <f>79+41398</f>
        <v>41477</v>
      </c>
      <c r="N18" s="434">
        <f>79+40740</f>
        <v>40819</v>
      </c>
      <c r="O18" s="434">
        <f>79+38421</f>
        <v>38500</v>
      </c>
      <c r="P18" s="434">
        <v>30331</v>
      </c>
      <c r="Q18" s="434">
        <v>28493</v>
      </c>
      <c r="R18" s="434">
        <v>22140</v>
      </c>
      <c r="S18" s="434">
        <v>20625</v>
      </c>
      <c r="T18" s="434">
        <v>20515</v>
      </c>
      <c r="U18" s="434">
        <v>20270</v>
      </c>
      <c r="V18" s="434">
        <v>19079</v>
      </c>
      <c r="W18" s="434">
        <v>17364</v>
      </c>
      <c r="X18" s="434">
        <v>15383</v>
      </c>
      <c r="Y18" s="482">
        <f>13697</f>
        <v>13697</v>
      </c>
      <c r="Z18" s="304" t="s">
        <v>57</v>
      </c>
      <c r="AB18" s="2"/>
      <c r="AD18" s="2"/>
    </row>
    <row r="19" spans="1:30" ht="12.75" customHeight="1">
      <c r="A19" s="8"/>
      <c r="B19" s="10" t="s">
        <v>36</v>
      </c>
      <c r="C19" s="72" t="s">
        <v>65</v>
      </c>
      <c r="D19" s="73" t="s">
        <v>65</v>
      </c>
      <c r="E19" s="454" t="s">
        <v>65</v>
      </c>
      <c r="F19" s="454" t="s">
        <v>65</v>
      </c>
      <c r="G19" s="454" t="s">
        <v>65</v>
      </c>
      <c r="H19" s="454" t="s">
        <v>65</v>
      </c>
      <c r="I19" s="454" t="s">
        <v>65</v>
      </c>
      <c r="J19" s="454" t="s">
        <v>65</v>
      </c>
      <c r="K19" s="481" t="s">
        <v>65</v>
      </c>
      <c r="L19" s="454" t="s">
        <v>65</v>
      </c>
      <c r="M19" s="454" t="s">
        <v>65</v>
      </c>
      <c r="N19" s="454" t="s">
        <v>65</v>
      </c>
      <c r="O19" s="454" t="s">
        <v>65</v>
      </c>
      <c r="P19" s="454" t="s">
        <v>65</v>
      </c>
      <c r="Q19" s="454" t="s">
        <v>65</v>
      </c>
      <c r="R19" s="454" t="s">
        <v>65</v>
      </c>
      <c r="S19" s="454" t="s">
        <v>65</v>
      </c>
      <c r="T19" s="454" t="s">
        <v>65</v>
      </c>
      <c r="U19" s="454" t="s">
        <v>65</v>
      </c>
      <c r="V19" s="454" t="s">
        <v>65</v>
      </c>
      <c r="W19" s="454" t="s">
        <v>65</v>
      </c>
      <c r="X19" s="454" t="s">
        <v>65</v>
      </c>
      <c r="Y19" s="481" t="s">
        <v>65</v>
      </c>
      <c r="Z19" s="64" t="s">
        <v>36</v>
      </c>
      <c r="AD19" s="2"/>
    </row>
    <row r="20" spans="1:30" ht="12.75" customHeight="1">
      <c r="A20" s="8"/>
      <c r="B20" s="154" t="s">
        <v>40</v>
      </c>
      <c r="C20" s="331"/>
      <c r="D20" s="332"/>
      <c r="E20" s="434">
        <v>11085</v>
      </c>
      <c r="F20" s="434">
        <v>9146</v>
      </c>
      <c r="G20" s="434">
        <v>8105</v>
      </c>
      <c r="H20" s="434">
        <v>7911</v>
      </c>
      <c r="I20" s="434">
        <v>7952</v>
      </c>
      <c r="J20" s="434">
        <v>8706</v>
      </c>
      <c r="K20" s="474">
        <v>8871</v>
      </c>
      <c r="L20" s="434">
        <v>8848</v>
      </c>
      <c r="M20" s="434">
        <v>8891</v>
      </c>
      <c r="N20" s="434">
        <v>8796</v>
      </c>
      <c r="O20" s="434">
        <v>9493</v>
      </c>
      <c r="P20" s="434">
        <v>9033</v>
      </c>
      <c r="Q20" s="434">
        <v>9221</v>
      </c>
      <c r="R20" s="434">
        <v>9602</v>
      </c>
      <c r="S20" s="434">
        <v>9992</v>
      </c>
      <c r="T20" s="434">
        <v>10239</v>
      </c>
      <c r="U20" s="434">
        <v>9807</v>
      </c>
      <c r="V20" s="434">
        <v>8896</v>
      </c>
      <c r="W20" s="434">
        <v>8769</v>
      </c>
      <c r="X20" s="434">
        <v>8012</v>
      </c>
      <c r="Y20" s="474">
        <f>7215</f>
        <v>7215</v>
      </c>
      <c r="Z20" s="304" t="s">
        <v>40</v>
      </c>
    </row>
    <row r="21" spans="1:30" ht="12.75" customHeight="1">
      <c r="A21" s="8"/>
      <c r="B21" s="10" t="s">
        <v>41</v>
      </c>
      <c r="C21" s="75"/>
      <c r="D21" s="74"/>
      <c r="E21" s="452">
        <v>12860</v>
      </c>
      <c r="F21" s="432">
        <v>13155</v>
      </c>
      <c r="G21" s="432">
        <v>12509</v>
      </c>
      <c r="H21" s="432">
        <v>12391</v>
      </c>
      <c r="I21" s="432">
        <v>12144</v>
      </c>
      <c r="J21" s="432">
        <v>13134</v>
      </c>
      <c r="K21" s="472">
        <v>13192</v>
      </c>
      <c r="L21" s="432">
        <f>9358+29+4006</f>
        <v>13393</v>
      </c>
      <c r="M21" s="432">
        <f>9457+29</f>
        <v>9486</v>
      </c>
      <c r="N21" s="432">
        <f>9638+10</f>
        <v>9648</v>
      </c>
      <c r="O21" s="432">
        <f>9551+10</f>
        <v>9561</v>
      </c>
      <c r="P21" s="432">
        <v>9238</v>
      </c>
      <c r="Q21" s="432">
        <v>9212</v>
      </c>
      <c r="R21" s="432">
        <v>9112</v>
      </c>
      <c r="S21" s="432">
        <v>9202</v>
      </c>
      <c r="T21" s="432">
        <v>8784</v>
      </c>
      <c r="U21" s="432">
        <v>8574</v>
      </c>
      <c r="V21" s="432">
        <v>8333</v>
      </c>
      <c r="W21" s="432">
        <v>8131</v>
      </c>
      <c r="X21" s="432">
        <v>7772</v>
      </c>
      <c r="Y21" s="472">
        <v>7692</v>
      </c>
      <c r="Z21" s="64" t="s">
        <v>41</v>
      </c>
    </row>
    <row r="22" spans="1:30" ht="12.75" customHeight="1">
      <c r="A22" s="8"/>
      <c r="B22" s="154" t="s">
        <v>58</v>
      </c>
      <c r="C22" s="331">
        <v>4230</v>
      </c>
      <c r="D22" s="332">
        <v>3650</v>
      </c>
      <c r="E22" s="434">
        <v>2719</v>
      </c>
      <c r="F22" s="434">
        <v>2626</v>
      </c>
      <c r="G22" s="434">
        <v>2878</v>
      </c>
      <c r="H22" s="434">
        <v>3092</v>
      </c>
      <c r="I22" s="434">
        <v>3328</v>
      </c>
      <c r="J22" s="434">
        <v>3206</v>
      </c>
      <c r="K22" s="474">
        <v>3222</v>
      </c>
      <c r="L22" s="434">
        <f>3332+124</f>
        <v>3456</v>
      </c>
      <c r="M22" s="434">
        <v>3526</v>
      </c>
      <c r="N22" s="434">
        <v>3836</v>
      </c>
      <c r="O22" s="434">
        <v>3895</v>
      </c>
      <c r="P22" s="434">
        <v>4147</v>
      </c>
      <c r="Q22" s="434">
        <v>4005</v>
      </c>
      <c r="R22" s="434">
        <v>3603</v>
      </c>
      <c r="S22" s="434">
        <v>3255</v>
      </c>
      <c r="T22" s="434">
        <v>3184</v>
      </c>
      <c r="U22" s="434">
        <v>3006</v>
      </c>
      <c r="V22" s="434">
        <v>3043</v>
      </c>
      <c r="W22" s="434">
        <v>3117</v>
      </c>
      <c r="X22" s="434">
        <v>3161</v>
      </c>
      <c r="Y22" s="474">
        <v>3175</v>
      </c>
      <c r="Z22" s="304" t="s">
        <v>58</v>
      </c>
    </row>
    <row r="23" spans="1:30" ht="12.75" customHeight="1">
      <c r="A23" s="8"/>
      <c r="B23" s="10" t="s">
        <v>39</v>
      </c>
      <c r="C23" s="75"/>
      <c r="D23" s="74"/>
      <c r="E23" s="432"/>
      <c r="F23" s="432">
        <v>23528</v>
      </c>
      <c r="G23" s="432">
        <v>22789</v>
      </c>
      <c r="H23" s="432">
        <v>21819</v>
      </c>
      <c r="I23" s="432">
        <v>22178</v>
      </c>
      <c r="J23" s="432">
        <v>19783</v>
      </c>
      <c r="K23" s="472">
        <v>19130</v>
      </c>
      <c r="L23" s="432">
        <f>95+13080+649</f>
        <v>13824</v>
      </c>
      <c r="M23" s="432">
        <f>95+11624</f>
        <v>11719</v>
      </c>
      <c r="N23" s="432">
        <f>1+95+11670</f>
        <v>11766</v>
      </c>
      <c r="O23" s="432">
        <v>10683</v>
      </c>
      <c r="P23" s="432">
        <v>11357</v>
      </c>
      <c r="Q23" s="432">
        <v>12206</v>
      </c>
      <c r="R23" s="432">
        <v>11066</v>
      </c>
      <c r="S23" s="432">
        <v>10217</v>
      </c>
      <c r="T23" s="432">
        <v>9509</v>
      </c>
      <c r="U23" s="432">
        <v>8916</v>
      </c>
      <c r="V23" s="432">
        <v>9145</v>
      </c>
      <c r="W23" s="432">
        <v>8898</v>
      </c>
      <c r="X23" s="432">
        <v>8750</v>
      </c>
      <c r="Y23" s="472">
        <f>8679</f>
        <v>8679</v>
      </c>
      <c r="Z23" s="64" t="s">
        <v>39</v>
      </c>
    </row>
    <row r="24" spans="1:30" ht="12.75" customHeight="1">
      <c r="A24" s="8"/>
      <c r="B24" s="154" t="s">
        <v>42</v>
      </c>
      <c r="C24" s="333" t="s">
        <v>65</v>
      </c>
      <c r="D24" s="334" t="s">
        <v>65</v>
      </c>
      <c r="E24" s="464" t="s">
        <v>65</v>
      </c>
      <c r="F24" s="464" t="s">
        <v>65</v>
      </c>
      <c r="G24" s="464" t="s">
        <v>65</v>
      </c>
      <c r="H24" s="464" t="s">
        <v>65</v>
      </c>
      <c r="I24" s="464" t="s">
        <v>65</v>
      </c>
      <c r="J24" s="464" t="s">
        <v>65</v>
      </c>
      <c r="K24" s="483" t="s">
        <v>65</v>
      </c>
      <c r="L24" s="464" t="s">
        <v>65</v>
      </c>
      <c r="M24" s="464" t="s">
        <v>65</v>
      </c>
      <c r="N24" s="464" t="s">
        <v>65</v>
      </c>
      <c r="O24" s="464" t="s">
        <v>65</v>
      </c>
      <c r="P24" s="464" t="s">
        <v>65</v>
      </c>
      <c r="Q24" s="464" t="s">
        <v>65</v>
      </c>
      <c r="R24" s="464" t="s">
        <v>65</v>
      </c>
      <c r="S24" s="464" t="s">
        <v>65</v>
      </c>
      <c r="T24" s="464" t="s">
        <v>65</v>
      </c>
      <c r="U24" s="464" t="s">
        <v>65</v>
      </c>
      <c r="V24" s="464" t="s">
        <v>65</v>
      </c>
      <c r="W24" s="464" t="s">
        <v>65</v>
      </c>
      <c r="X24" s="346" t="s">
        <v>65</v>
      </c>
      <c r="Y24" s="352" t="s">
        <v>65</v>
      </c>
      <c r="Z24" s="304" t="s">
        <v>42</v>
      </c>
    </row>
    <row r="25" spans="1:30" ht="12.75" customHeight="1">
      <c r="A25" s="8"/>
      <c r="B25" s="10" t="s">
        <v>50</v>
      </c>
      <c r="C25" s="75">
        <v>18750</v>
      </c>
      <c r="D25" s="74">
        <v>11355</v>
      </c>
      <c r="E25" s="432">
        <v>6697</v>
      </c>
      <c r="F25" s="432">
        <v>4700</v>
      </c>
      <c r="G25" s="432">
        <v>3331</v>
      </c>
      <c r="H25" s="432">
        <v>2099</v>
      </c>
      <c r="I25" s="452">
        <v>1807</v>
      </c>
      <c r="J25" s="452"/>
      <c r="K25" s="470"/>
      <c r="L25" s="452"/>
      <c r="M25" s="452"/>
      <c r="N25" s="452"/>
      <c r="O25" s="452"/>
      <c r="P25" s="452"/>
      <c r="Q25" s="452"/>
      <c r="R25" s="452"/>
      <c r="S25" s="452"/>
      <c r="T25" s="452"/>
      <c r="U25" s="452"/>
      <c r="V25" s="452"/>
      <c r="W25" s="452"/>
      <c r="X25" s="2"/>
      <c r="Y25" s="653"/>
      <c r="Z25" s="64" t="s">
        <v>50</v>
      </c>
    </row>
    <row r="26" spans="1:30" ht="12.75" customHeight="1">
      <c r="A26" s="8"/>
      <c r="B26" s="154" t="s">
        <v>59</v>
      </c>
      <c r="C26" s="331">
        <v>39109</v>
      </c>
      <c r="D26" s="332">
        <v>38689</v>
      </c>
      <c r="E26" s="434">
        <v>34330</v>
      </c>
      <c r="F26" s="434">
        <v>23970</v>
      </c>
      <c r="G26" s="434">
        <v>24988</v>
      </c>
      <c r="H26" s="434">
        <v>24089</v>
      </c>
      <c r="I26" s="434">
        <v>22655</v>
      </c>
      <c r="J26" s="434">
        <v>22262</v>
      </c>
      <c r="K26" s="474">
        <v>22655</v>
      </c>
      <c r="L26" s="434">
        <f>67+16552+43+229</f>
        <v>16891</v>
      </c>
      <c r="M26" s="434">
        <f>59+18185+229</f>
        <v>18473</v>
      </c>
      <c r="N26" s="434">
        <f>56+30470</f>
        <v>30526</v>
      </c>
      <c r="O26" s="434">
        <f>52+27095</f>
        <v>27147</v>
      </c>
      <c r="P26" s="547">
        <v>21015</v>
      </c>
      <c r="Q26" s="434">
        <v>20684</v>
      </c>
      <c r="R26" s="434">
        <v>19706</v>
      </c>
      <c r="S26" s="434">
        <v>20108</v>
      </c>
      <c r="T26" s="434">
        <v>19771</v>
      </c>
      <c r="U26" s="434">
        <v>19294</v>
      </c>
      <c r="V26" s="434">
        <v>18817</v>
      </c>
      <c r="W26" s="434">
        <v>18619</v>
      </c>
      <c r="X26" s="434">
        <v>18242</v>
      </c>
      <c r="Y26" s="474">
        <f>17895</f>
        <v>17895</v>
      </c>
      <c r="Z26" s="304" t="s">
        <v>59</v>
      </c>
    </row>
    <row r="27" spans="1:30" ht="12.75" customHeight="1">
      <c r="A27" s="8"/>
      <c r="B27" s="10" t="s">
        <v>43</v>
      </c>
      <c r="C27" s="75">
        <v>229222</v>
      </c>
      <c r="D27" s="74">
        <v>231364</v>
      </c>
      <c r="E27" s="484">
        <v>275582</v>
      </c>
      <c r="F27" s="432">
        <v>130116</v>
      </c>
      <c r="G27" s="432">
        <v>130660</v>
      </c>
      <c r="H27" s="432">
        <v>119308</v>
      </c>
      <c r="I27" s="432">
        <v>111532</v>
      </c>
      <c r="J27" s="432">
        <v>107315</v>
      </c>
      <c r="K27" s="472">
        <v>103234</v>
      </c>
      <c r="L27" s="432">
        <v>103527</v>
      </c>
      <c r="M27" s="432">
        <v>104982</v>
      </c>
      <c r="N27" s="432">
        <v>101528</v>
      </c>
      <c r="O27" s="432">
        <v>95462</v>
      </c>
      <c r="P27" s="432">
        <v>89270</v>
      </c>
      <c r="Q27" s="432">
        <v>88928</v>
      </c>
      <c r="R27" s="432">
        <v>91483</v>
      </c>
      <c r="S27" s="432">
        <v>87726</v>
      </c>
      <c r="T27" s="432">
        <v>87538</v>
      </c>
      <c r="U27" s="432">
        <v>86364</v>
      </c>
      <c r="V27" s="432">
        <v>87598</v>
      </c>
      <c r="W27" s="432">
        <v>87696</v>
      </c>
      <c r="X27" s="432">
        <v>87990</v>
      </c>
      <c r="Y27" s="472">
        <f>86796</f>
        <v>86796</v>
      </c>
      <c r="Z27" s="64" t="s">
        <v>43</v>
      </c>
    </row>
    <row r="28" spans="1:30" ht="12.75" customHeight="1">
      <c r="A28" s="8"/>
      <c r="B28" s="154" t="s">
        <v>60</v>
      </c>
      <c r="C28" s="331">
        <v>9045</v>
      </c>
      <c r="D28" s="332">
        <v>5860</v>
      </c>
      <c r="E28" s="434">
        <v>4579</v>
      </c>
      <c r="F28" s="434">
        <v>4162</v>
      </c>
      <c r="G28" s="434">
        <v>4179</v>
      </c>
      <c r="H28" s="434">
        <v>4345</v>
      </c>
      <c r="I28" s="434">
        <v>3979</v>
      </c>
      <c r="J28" s="434">
        <v>3544</v>
      </c>
      <c r="K28" s="474">
        <v>3495</v>
      </c>
      <c r="L28" s="434">
        <f>2957+240</f>
        <v>3197</v>
      </c>
      <c r="M28" s="434">
        <v>2953</v>
      </c>
      <c r="N28" s="434">
        <v>3043</v>
      </c>
      <c r="O28" s="434"/>
      <c r="P28" s="434">
        <v>3194</v>
      </c>
      <c r="Q28" s="434">
        <v>3170</v>
      </c>
      <c r="R28" s="462">
        <v>3170</v>
      </c>
      <c r="S28" s="462">
        <v>3170</v>
      </c>
      <c r="T28" s="434">
        <v>3283</v>
      </c>
      <c r="U28" s="434">
        <v>3283</v>
      </c>
      <c r="V28" s="434">
        <v>3283</v>
      </c>
      <c r="W28" s="434">
        <v>3203</v>
      </c>
      <c r="X28" s="434">
        <v>3072</v>
      </c>
      <c r="Y28" s="474">
        <f>2684</f>
        <v>2684</v>
      </c>
      <c r="Z28" s="304" t="s">
        <v>60</v>
      </c>
      <c r="AC28" s="2"/>
    </row>
    <row r="29" spans="1:30" ht="12.75" customHeight="1">
      <c r="A29" s="8"/>
      <c r="B29" s="10" t="s">
        <v>44</v>
      </c>
      <c r="C29" s="75"/>
      <c r="D29" s="74">
        <v>144520</v>
      </c>
      <c r="E29" s="432">
        <v>166086</v>
      </c>
      <c r="F29" s="432">
        <v>117982</v>
      </c>
      <c r="G29" s="432">
        <v>96765</v>
      </c>
      <c r="H29" s="432">
        <v>101824</v>
      </c>
      <c r="I29" s="432">
        <v>75478</v>
      </c>
      <c r="J29" s="432">
        <v>64299</v>
      </c>
      <c r="K29" s="472">
        <v>65175</v>
      </c>
      <c r="L29" s="432">
        <f>50849+94+800+1232+450+11183+1308</f>
        <v>65916</v>
      </c>
      <c r="M29" s="432">
        <f>50151+1290+1625+550</f>
        <v>53616</v>
      </c>
      <c r="N29" s="432">
        <f>42925+1398+1735+220+585</f>
        <v>46863</v>
      </c>
      <c r="O29" s="432">
        <f>41754+2600+1719+220+585</f>
        <v>46878</v>
      </c>
      <c r="P29" s="432">
        <v>72605</v>
      </c>
      <c r="Q29" s="432">
        <v>69285</v>
      </c>
      <c r="R29" s="432">
        <v>72638</v>
      </c>
      <c r="S29" s="455">
        <f>36821+3571+1609+570</f>
        <v>42571</v>
      </c>
      <c r="T29" s="432">
        <f>32171+216+3512</f>
        <v>35899</v>
      </c>
      <c r="U29" s="432">
        <v>36858</v>
      </c>
      <c r="V29" s="432">
        <f>31413+30+4110</f>
        <v>35553</v>
      </c>
      <c r="W29" s="432">
        <v>34175</v>
      </c>
      <c r="X29" s="452">
        <f>29875+30+4175+1242</f>
        <v>35322</v>
      </c>
      <c r="Y29" s="472">
        <f>36855</f>
        <v>36855</v>
      </c>
      <c r="Z29" s="64" t="s">
        <v>44</v>
      </c>
    </row>
    <row r="30" spans="1:30" ht="12.75" customHeight="1">
      <c r="A30" s="8"/>
      <c r="B30" s="154" t="s">
        <v>46</v>
      </c>
      <c r="C30" s="331"/>
      <c r="D30" s="332"/>
      <c r="E30" s="434">
        <v>8692</v>
      </c>
      <c r="F30" s="434">
        <v>6258</v>
      </c>
      <c r="G30" s="434">
        <v>5981</v>
      </c>
      <c r="H30" s="434">
        <v>5774</v>
      </c>
      <c r="I30" s="434">
        <v>4770</v>
      </c>
      <c r="J30" s="434">
        <v>4627</v>
      </c>
      <c r="K30" s="474">
        <v>4465</v>
      </c>
      <c r="L30" s="434">
        <f>3995+513</f>
        <v>4508</v>
      </c>
      <c r="M30" s="434">
        <v>3979</v>
      </c>
      <c r="N30" s="434">
        <v>3921</v>
      </c>
      <c r="O30" s="434">
        <v>3905</v>
      </c>
      <c r="P30" s="434">
        <v>3211</v>
      </c>
      <c r="Q30" s="434">
        <v>3142</v>
      </c>
      <c r="R30" s="434">
        <v>3120</v>
      </c>
      <c r="S30" s="434">
        <v>3142</v>
      </c>
      <c r="T30" s="434">
        <v>3148</v>
      </c>
      <c r="U30" s="434">
        <v>3049</v>
      </c>
      <c r="V30" s="434">
        <v>2992</v>
      </c>
      <c r="W30" s="434">
        <v>2779</v>
      </c>
      <c r="X30" s="434">
        <v>2748</v>
      </c>
      <c r="Y30" s="474">
        <v>2692</v>
      </c>
      <c r="Z30" s="304" t="s">
        <v>46</v>
      </c>
    </row>
    <row r="31" spans="1:30" ht="12.75" customHeight="1">
      <c r="A31" s="8"/>
      <c r="B31" s="10" t="s">
        <v>45</v>
      </c>
      <c r="C31" s="72"/>
      <c r="D31" s="73"/>
      <c r="E31" s="454"/>
      <c r="F31" s="432">
        <v>26975</v>
      </c>
      <c r="G31" s="432">
        <v>24587</v>
      </c>
      <c r="H31" s="432">
        <v>24796</v>
      </c>
      <c r="I31" s="432">
        <v>23973</v>
      </c>
      <c r="J31" s="432">
        <v>24936</v>
      </c>
      <c r="K31" s="472">
        <v>25515</v>
      </c>
      <c r="L31" s="432">
        <v>25989</v>
      </c>
      <c r="M31" s="432">
        <v>27538</v>
      </c>
      <c r="N31" s="432">
        <v>20820</v>
      </c>
      <c r="O31" s="432">
        <v>14534</v>
      </c>
      <c r="P31" s="432">
        <v>15260</v>
      </c>
      <c r="Q31" s="432">
        <v>15964</v>
      </c>
      <c r="R31" s="432">
        <v>16384</v>
      </c>
      <c r="S31" s="432">
        <v>15982</v>
      </c>
      <c r="T31" s="432">
        <v>14970</v>
      </c>
      <c r="U31" s="432">
        <v>15533</v>
      </c>
      <c r="V31" s="432">
        <v>15786</v>
      </c>
      <c r="W31" s="432">
        <v>15509</v>
      </c>
      <c r="X31" s="432">
        <v>13836</v>
      </c>
      <c r="Y31" s="472">
        <f>13182</f>
        <v>13182</v>
      </c>
      <c r="Z31" s="64" t="s">
        <v>45</v>
      </c>
    </row>
    <row r="32" spans="1:30" ht="12.75" customHeight="1">
      <c r="A32" s="8"/>
      <c r="B32" s="154" t="s">
        <v>61</v>
      </c>
      <c r="C32" s="331">
        <v>22835</v>
      </c>
      <c r="D32" s="332">
        <v>21472</v>
      </c>
      <c r="E32" s="434">
        <v>15200</v>
      </c>
      <c r="F32" s="434">
        <v>12630</v>
      </c>
      <c r="G32" s="434">
        <v>12259</v>
      </c>
      <c r="H32" s="434">
        <v>11842</v>
      </c>
      <c r="I32" s="434">
        <v>11627</v>
      </c>
      <c r="J32" s="434">
        <v>11738</v>
      </c>
      <c r="K32" s="474">
        <v>11216</v>
      </c>
      <c r="L32" s="434">
        <f>10971+53</f>
        <v>11024</v>
      </c>
      <c r="M32" s="434">
        <v>10790</v>
      </c>
      <c r="N32" s="434">
        <v>10934</v>
      </c>
      <c r="O32" s="434">
        <v>10524</v>
      </c>
      <c r="P32" s="434">
        <v>10464</v>
      </c>
      <c r="Q32" s="434">
        <v>10364</v>
      </c>
      <c r="R32" s="434">
        <v>9817</v>
      </c>
      <c r="S32" s="434">
        <v>9457</v>
      </c>
      <c r="T32" s="434">
        <v>9078</v>
      </c>
      <c r="U32" s="434">
        <v>8854</v>
      </c>
      <c r="V32" s="434">
        <v>8876</v>
      </c>
      <c r="W32" s="434">
        <v>8821</v>
      </c>
      <c r="X32" s="434">
        <v>8741</v>
      </c>
      <c r="Y32" s="474">
        <v>8741</v>
      </c>
      <c r="Z32" s="304" t="s">
        <v>61</v>
      </c>
      <c r="AB32" s="2"/>
    </row>
    <row r="33" spans="1:30" ht="12.75" customHeight="1">
      <c r="A33" s="8"/>
      <c r="B33" s="10" t="s">
        <v>62</v>
      </c>
      <c r="C33" s="75">
        <v>53394</v>
      </c>
      <c r="D33" s="74">
        <v>45890</v>
      </c>
      <c r="E33" s="432">
        <v>27470</v>
      </c>
      <c r="F33" s="432">
        <v>17596</v>
      </c>
      <c r="G33" s="432">
        <v>17600</v>
      </c>
      <c r="H33" s="432">
        <v>17674</v>
      </c>
      <c r="I33" s="432">
        <v>16909</v>
      </c>
      <c r="J33" s="432">
        <v>16832</v>
      </c>
      <c r="K33" s="472">
        <v>16637</v>
      </c>
      <c r="L33" s="432">
        <v>16407</v>
      </c>
      <c r="M33" s="432">
        <v>15896</v>
      </c>
      <c r="N33" s="432">
        <v>15735</v>
      </c>
      <c r="O33" s="432">
        <v>14797</v>
      </c>
      <c r="P33" s="432">
        <v>15166</v>
      </c>
      <c r="Q33" s="432">
        <v>14578</v>
      </c>
      <c r="R33" s="432"/>
      <c r="S33" s="432"/>
      <c r="T33" s="432"/>
      <c r="U33" s="432"/>
      <c r="V33" s="432"/>
      <c r="W33" s="432"/>
      <c r="X33" s="432"/>
      <c r="Y33" s="472"/>
      <c r="Z33" s="64" t="s">
        <v>62</v>
      </c>
      <c r="AA33" s="2"/>
    </row>
    <row r="34" spans="1:30" ht="12.75" customHeight="1">
      <c r="A34" s="669"/>
      <c r="B34" s="551" t="s">
        <v>51</v>
      </c>
      <c r="C34" s="670">
        <v>389807</v>
      </c>
      <c r="D34" s="671">
        <v>141170</v>
      </c>
      <c r="E34" s="672">
        <v>34403</v>
      </c>
      <c r="F34" s="672"/>
      <c r="G34" s="673">
        <v>19050</v>
      </c>
      <c r="H34" s="673">
        <v>19106</v>
      </c>
      <c r="I34" s="674"/>
      <c r="J34" s="674"/>
      <c r="K34" s="675"/>
      <c r="L34" s="674"/>
      <c r="M34" s="674"/>
      <c r="N34" s="674">
        <v>8284</v>
      </c>
      <c r="O34" s="674"/>
      <c r="P34" s="674"/>
      <c r="Q34" s="674"/>
      <c r="R34" s="674"/>
      <c r="S34" s="674"/>
      <c r="T34" s="674"/>
      <c r="U34" s="674"/>
      <c r="V34" s="674"/>
      <c r="W34" s="674"/>
      <c r="X34" s="674"/>
      <c r="Y34" s="675"/>
      <c r="Z34" s="676" t="s">
        <v>51</v>
      </c>
    </row>
    <row r="35" spans="1:30" ht="12.75" customHeight="1">
      <c r="A35" s="8"/>
      <c r="B35" s="10" t="s">
        <v>161</v>
      </c>
      <c r="C35" s="75">
        <v>0</v>
      </c>
      <c r="D35" s="74">
        <v>12852</v>
      </c>
      <c r="E35" s="345" t="s">
        <v>65</v>
      </c>
      <c r="F35" s="345" t="s">
        <v>65</v>
      </c>
      <c r="G35" s="345" t="s">
        <v>65</v>
      </c>
      <c r="H35" s="345" t="s">
        <v>65</v>
      </c>
      <c r="I35" s="345" t="s">
        <v>65</v>
      </c>
      <c r="J35" s="345" t="s">
        <v>65</v>
      </c>
      <c r="K35" s="353" t="s">
        <v>65</v>
      </c>
      <c r="L35" s="345" t="s">
        <v>65</v>
      </c>
      <c r="M35" s="345" t="s">
        <v>65</v>
      </c>
      <c r="N35" s="345" t="s">
        <v>65</v>
      </c>
      <c r="O35" s="345" t="s">
        <v>65</v>
      </c>
      <c r="P35" s="345" t="s">
        <v>65</v>
      </c>
      <c r="Q35" s="345" t="s">
        <v>65</v>
      </c>
      <c r="R35" s="345" t="s">
        <v>65</v>
      </c>
      <c r="S35" s="345" t="s">
        <v>65</v>
      </c>
      <c r="T35" s="345" t="s">
        <v>65</v>
      </c>
      <c r="U35" s="345" t="s">
        <v>65</v>
      </c>
      <c r="V35" s="345" t="s">
        <v>65</v>
      </c>
      <c r="W35" s="345" t="s">
        <v>65</v>
      </c>
      <c r="X35" s="345" t="s">
        <v>65</v>
      </c>
      <c r="Y35" s="353" t="s">
        <v>65</v>
      </c>
      <c r="Z35" s="64" t="s">
        <v>161</v>
      </c>
    </row>
    <row r="36" spans="1:30" ht="12.75" customHeight="1">
      <c r="A36" s="8"/>
      <c r="B36" s="154" t="s">
        <v>0</v>
      </c>
      <c r="C36" s="331"/>
      <c r="D36" s="332"/>
      <c r="E36" s="434"/>
      <c r="F36" s="434"/>
      <c r="G36" s="434"/>
      <c r="H36" s="434"/>
      <c r="I36" s="434"/>
      <c r="J36" s="434">
        <v>1501</v>
      </c>
      <c r="K36" s="474">
        <v>1525</v>
      </c>
      <c r="L36" s="434">
        <v>1553</v>
      </c>
      <c r="M36" s="434">
        <v>1498</v>
      </c>
      <c r="N36" s="434">
        <v>1498</v>
      </c>
      <c r="O36" s="434">
        <v>1323</v>
      </c>
      <c r="P36" s="434">
        <v>1144</v>
      </c>
      <c r="Q36" s="434">
        <v>1007</v>
      </c>
      <c r="R36" s="434">
        <v>1011</v>
      </c>
      <c r="S36" s="462">
        <v>1011</v>
      </c>
      <c r="T36" s="462">
        <v>1011</v>
      </c>
      <c r="U36" s="434">
        <v>1161</v>
      </c>
      <c r="V36" s="434">
        <v>1281</v>
      </c>
      <c r="W36" s="434">
        <v>1289</v>
      </c>
      <c r="X36" s="462">
        <v>1289</v>
      </c>
      <c r="Y36" s="482">
        <f>X36</f>
        <v>1289</v>
      </c>
      <c r="Z36" s="304" t="s">
        <v>0</v>
      </c>
    </row>
    <row r="37" spans="1:30" ht="12.75" customHeight="1">
      <c r="A37" s="8"/>
      <c r="B37" s="10" t="s">
        <v>167</v>
      </c>
      <c r="C37" s="75"/>
      <c r="D37" s="74"/>
      <c r="E37" s="432"/>
      <c r="F37" s="432"/>
      <c r="G37" s="452"/>
      <c r="H37" s="452"/>
      <c r="I37" s="345"/>
      <c r="J37" s="345"/>
      <c r="K37" s="353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53"/>
      <c r="Z37" s="64" t="s">
        <v>167</v>
      </c>
    </row>
    <row r="38" spans="1:30" ht="12.75" customHeight="1">
      <c r="A38" s="8"/>
      <c r="B38" s="154" t="s">
        <v>160</v>
      </c>
      <c r="C38" s="331"/>
      <c r="D38" s="332"/>
      <c r="E38" s="434"/>
      <c r="F38" s="434"/>
      <c r="G38" s="434"/>
      <c r="H38" s="434"/>
      <c r="I38" s="434"/>
      <c r="J38" s="434"/>
      <c r="K38" s="474"/>
      <c r="L38" s="434"/>
      <c r="M38" s="434"/>
      <c r="N38" s="434"/>
      <c r="O38" s="434"/>
      <c r="P38" s="434"/>
      <c r="Q38" s="434">
        <v>8447</v>
      </c>
      <c r="R38" s="434">
        <v>8449</v>
      </c>
      <c r="S38" s="434">
        <v>8452</v>
      </c>
      <c r="T38" s="434">
        <v>8486</v>
      </c>
      <c r="U38" s="434">
        <v>8486</v>
      </c>
      <c r="V38" s="434">
        <v>7277</v>
      </c>
      <c r="W38" s="434">
        <v>6781</v>
      </c>
      <c r="X38" s="434">
        <v>6527</v>
      </c>
      <c r="Y38" s="482">
        <f>X38</f>
        <v>6527</v>
      </c>
      <c r="Z38" s="304" t="s">
        <v>160</v>
      </c>
    </row>
    <row r="39" spans="1:30" ht="12.75" customHeight="1">
      <c r="A39" s="8"/>
      <c r="B39" s="10" t="s">
        <v>47</v>
      </c>
      <c r="C39" s="77">
        <v>17374</v>
      </c>
      <c r="D39" s="76">
        <v>23228</v>
      </c>
      <c r="E39" s="345">
        <v>21941</v>
      </c>
      <c r="F39" s="432">
        <v>17872</v>
      </c>
      <c r="G39" s="432">
        <v>17571</v>
      </c>
      <c r="H39" s="432">
        <v>17030</v>
      </c>
      <c r="I39" s="432">
        <v>16841</v>
      </c>
      <c r="J39" s="432">
        <v>16004</v>
      </c>
      <c r="K39" s="472">
        <v>17499</v>
      </c>
      <c r="L39" s="432">
        <f>16320+1909</f>
        <v>18229</v>
      </c>
      <c r="M39" s="432">
        <v>17041</v>
      </c>
      <c r="N39" s="432">
        <v>17079</v>
      </c>
      <c r="O39" s="432">
        <v>17607</v>
      </c>
      <c r="P39" s="432">
        <v>17773</v>
      </c>
      <c r="Q39" s="432">
        <v>18200</v>
      </c>
      <c r="R39" s="432">
        <v>18167</v>
      </c>
      <c r="S39" s="432">
        <v>18607</v>
      </c>
      <c r="T39" s="432">
        <v>18967</v>
      </c>
      <c r="U39" s="432">
        <v>19077</v>
      </c>
      <c r="V39" s="432">
        <v>19570</v>
      </c>
      <c r="W39" s="436">
        <v>15979</v>
      </c>
      <c r="X39" s="436">
        <v>16902</v>
      </c>
      <c r="Y39" s="472">
        <v>17025</v>
      </c>
      <c r="Z39" s="64" t="s">
        <v>47</v>
      </c>
    </row>
    <row r="40" spans="1:30" ht="12.75" customHeight="1">
      <c r="A40" s="8"/>
      <c r="B40" s="153" t="s">
        <v>33</v>
      </c>
      <c r="C40" s="492" t="s">
        <v>65</v>
      </c>
      <c r="D40" s="493" t="s">
        <v>65</v>
      </c>
      <c r="E40" s="498" t="s">
        <v>65</v>
      </c>
      <c r="F40" s="498" t="s">
        <v>65</v>
      </c>
      <c r="G40" s="498" t="s">
        <v>65</v>
      </c>
      <c r="H40" s="498" t="s">
        <v>65</v>
      </c>
      <c r="I40" s="498" t="s">
        <v>65</v>
      </c>
      <c r="J40" s="498" t="s">
        <v>65</v>
      </c>
      <c r="K40" s="499" t="s">
        <v>65</v>
      </c>
      <c r="L40" s="498" t="s">
        <v>65</v>
      </c>
      <c r="M40" s="498" t="s">
        <v>65</v>
      </c>
      <c r="N40" s="498" t="s">
        <v>65</v>
      </c>
      <c r="O40" s="498" t="s">
        <v>65</v>
      </c>
      <c r="P40" s="498" t="s">
        <v>65</v>
      </c>
      <c r="Q40" s="498" t="s">
        <v>65</v>
      </c>
      <c r="R40" s="500" t="s">
        <v>65</v>
      </c>
      <c r="S40" s="500" t="s">
        <v>65</v>
      </c>
      <c r="T40" s="500" t="s">
        <v>65</v>
      </c>
      <c r="U40" s="500" t="s">
        <v>65</v>
      </c>
      <c r="V40" s="500" t="s">
        <v>65</v>
      </c>
      <c r="W40" s="464" t="s">
        <v>65</v>
      </c>
      <c r="X40" s="526" t="s">
        <v>65</v>
      </c>
      <c r="Y40" s="745" t="s">
        <v>65</v>
      </c>
      <c r="Z40" s="343" t="s">
        <v>33</v>
      </c>
      <c r="AC40" s="2"/>
      <c r="AD40" s="2"/>
    </row>
    <row r="41" spans="1:30" ht="12.75" customHeight="1">
      <c r="A41" s="8"/>
      <c r="B41" s="10" t="s">
        <v>63</v>
      </c>
      <c r="C41" s="75"/>
      <c r="D41" s="74"/>
      <c r="E41" s="432"/>
      <c r="F41" s="432"/>
      <c r="G41" s="432">
        <v>2741</v>
      </c>
      <c r="H41" s="432"/>
      <c r="I41" s="432"/>
      <c r="J41" s="432"/>
      <c r="K41" s="472"/>
      <c r="L41" s="432"/>
      <c r="M41" s="432"/>
      <c r="N41" s="432"/>
      <c r="O41" s="432"/>
      <c r="P41" s="432"/>
      <c r="Q41" s="432"/>
      <c r="R41" s="432"/>
      <c r="S41" s="432"/>
      <c r="T41" s="432"/>
      <c r="U41" s="432"/>
      <c r="V41" s="432"/>
      <c r="W41" s="432"/>
      <c r="X41" s="432"/>
      <c r="Y41" s="472"/>
      <c r="Z41" s="64" t="s">
        <v>63</v>
      </c>
    </row>
    <row r="42" spans="1:30" ht="12.75" customHeight="1">
      <c r="A42" s="8"/>
      <c r="B42" s="154" t="s">
        <v>34</v>
      </c>
      <c r="C42" s="336">
        <v>32545</v>
      </c>
      <c r="D42" s="335">
        <v>31417</v>
      </c>
      <c r="E42" s="466">
        <v>27104</v>
      </c>
      <c r="F42" s="434">
        <v>19894</v>
      </c>
      <c r="G42" s="434">
        <v>20394</v>
      </c>
      <c r="H42" s="434">
        <v>19553</v>
      </c>
      <c r="I42" s="434">
        <v>19497</v>
      </c>
      <c r="J42" s="434">
        <v>18917</v>
      </c>
      <c r="K42" s="475">
        <v>18339</v>
      </c>
      <c r="L42" s="466">
        <f>29+10888</f>
        <v>10917</v>
      </c>
      <c r="M42" s="466">
        <v>10464</v>
      </c>
      <c r="N42" s="466">
        <f>21+11495</f>
        <v>11516</v>
      </c>
      <c r="O42" s="466">
        <f>21+9121</f>
        <v>9142</v>
      </c>
      <c r="P42" s="466">
        <v>8794</v>
      </c>
      <c r="Q42" s="466">
        <v>8289</v>
      </c>
      <c r="R42" s="466">
        <v>7869</v>
      </c>
      <c r="S42" s="466">
        <v>7360</v>
      </c>
      <c r="T42" s="963">
        <v>6825</v>
      </c>
      <c r="U42" s="488">
        <v>6467</v>
      </c>
      <c r="V42" s="488">
        <v>6386</v>
      </c>
      <c r="W42" s="488">
        <v>5716</v>
      </c>
      <c r="X42" s="488">
        <v>5763</v>
      </c>
      <c r="Y42" s="475">
        <v>5247</v>
      </c>
      <c r="Z42" s="305" t="s">
        <v>34</v>
      </c>
    </row>
    <row r="43" spans="1:30" ht="12.75" customHeight="1">
      <c r="A43" s="8"/>
      <c r="B43" s="1092" t="s">
        <v>189</v>
      </c>
      <c r="C43" s="1092"/>
      <c r="D43" s="1092"/>
      <c r="E43" s="1092"/>
      <c r="F43" s="1092"/>
      <c r="G43" s="1092"/>
      <c r="H43" s="1092"/>
      <c r="I43" s="1092"/>
      <c r="J43" s="1092"/>
      <c r="K43" s="1092"/>
      <c r="L43" s="1092"/>
      <c r="M43" s="1092"/>
      <c r="N43" s="1092"/>
      <c r="O43" s="1092"/>
      <c r="P43" s="1092"/>
      <c r="Q43" s="1092"/>
      <c r="R43" s="1092"/>
      <c r="S43" s="1092"/>
      <c r="T43" s="1092"/>
      <c r="U43" s="1092"/>
      <c r="V43" s="1092"/>
      <c r="W43" s="1092"/>
      <c r="X43" s="1092"/>
      <c r="Y43" s="1092"/>
      <c r="Z43" s="1092"/>
    </row>
    <row r="44" spans="1:30" ht="15.75" customHeight="1">
      <c r="B44" s="270" t="s">
        <v>326</v>
      </c>
      <c r="C44" s="281"/>
      <c r="D44" s="281"/>
      <c r="E44" s="281"/>
      <c r="F44" s="281"/>
      <c r="G44" s="281"/>
      <c r="H44" s="281"/>
      <c r="I44" s="281"/>
      <c r="S44" s="2"/>
    </row>
    <row r="45" spans="1:30">
      <c r="B45" s="282" t="s">
        <v>93</v>
      </c>
      <c r="C45" s="286"/>
      <c r="D45" s="286"/>
      <c r="E45" s="286"/>
      <c r="F45" s="286"/>
      <c r="G45" s="286"/>
      <c r="H45" s="286"/>
      <c r="I45" s="286"/>
    </row>
    <row r="46" spans="1:30">
      <c r="B46" s="3" t="s">
        <v>349</v>
      </c>
    </row>
    <row r="47" spans="1:30">
      <c r="B47" s="3" t="s">
        <v>268</v>
      </c>
    </row>
    <row r="48" spans="1:30">
      <c r="B48" s="286" t="s">
        <v>308</v>
      </c>
      <c r="C48" s="286"/>
      <c r="D48" s="286"/>
      <c r="E48" s="286"/>
    </row>
    <row r="49" spans="2:5">
      <c r="B49" s="272" t="s">
        <v>309</v>
      </c>
      <c r="D49" s="279"/>
      <c r="E49" s="279"/>
    </row>
  </sheetData>
  <mergeCells count="3">
    <mergeCell ref="B2:Z2"/>
    <mergeCell ref="B3:Z3"/>
    <mergeCell ref="B43:Z43"/>
  </mergeCells>
  <phoneticPr fontId="4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A1:AJ68"/>
  <sheetViews>
    <sheetView topLeftCell="U1" zoomScaleNormal="100" workbookViewId="0">
      <selection activeCell="AI9" sqref="AI9"/>
    </sheetView>
  </sheetViews>
  <sheetFormatPr defaultRowHeight="11.25"/>
  <cols>
    <col min="1" max="1" width="2.7109375" style="3" customWidth="1"/>
    <col min="2" max="2" width="4" style="3" customWidth="1"/>
    <col min="3" max="9" width="6.7109375" style="3" hidden="1" customWidth="1"/>
    <col min="10" max="10" width="7.5703125" style="3" hidden="1" customWidth="1"/>
    <col min="11" max="14" width="6.7109375" style="3" hidden="1" customWidth="1"/>
    <col min="15" max="15" width="6.7109375" style="3" customWidth="1"/>
    <col min="16" max="16" width="6.7109375" style="20" customWidth="1"/>
    <col min="17" max="17" width="6.7109375" style="26" customWidth="1"/>
    <col min="18" max="20" width="6.7109375" style="25" customWidth="1"/>
    <col min="21" max="23" width="7.28515625" style="25" customWidth="1"/>
    <col min="24" max="24" width="6.7109375" style="25" customWidth="1"/>
    <col min="25" max="25" width="7.5703125" style="25" customWidth="1"/>
    <col min="26" max="26" width="8" style="3" customWidth="1"/>
    <col min="27" max="27" width="7.85546875" style="3" customWidth="1"/>
    <col min="28" max="28" width="8" style="3" customWidth="1"/>
    <col min="29" max="29" width="8.42578125" style="2" customWidth="1"/>
    <col min="30" max="30" width="7.5703125" style="3" customWidth="1"/>
    <col min="31" max="31" width="7.7109375" style="3" customWidth="1"/>
    <col min="32" max="34" width="7.42578125" style="3" customWidth="1"/>
    <col min="35" max="35" width="7.28515625" style="40" customWidth="1"/>
    <col min="36" max="36" width="7.7109375" style="3" customWidth="1"/>
    <col min="37" max="16384" width="9.140625" style="3"/>
  </cols>
  <sheetData>
    <row r="1" spans="1:36" ht="14.25" customHeight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148"/>
      <c r="Q1" s="149"/>
      <c r="R1" s="150"/>
      <c r="S1" s="150"/>
      <c r="AJ1" s="17" t="s">
        <v>118</v>
      </c>
    </row>
    <row r="2" spans="1:36" s="54" customFormat="1" ht="30" customHeight="1">
      <c r="B2" s="1039" t="s">
        <v>297</v>
      </c>
      <c r="C2" s="1039"/>
      <c r="D2" s="1039"/>
      <c r="E2" s="1039"/>
      <c r="F2" s="1039"/>
      <c r="G2" s="1039"/>
      <c r="H2" s="1039"/>
      <c r="I2" s="1039"/>
      <c r="J2" s="1039"/>
      <c r="K2" s="1039"/>
      <c r="L2" s="1039"/>
      <c r="M2" s="1039"/>
      <c r="N2" s="1039"/>
      <c r="O2" s="1039"/>
      <c r="P2" s="1039"/>
      <c r="Q2" s="1039"/>
      <c r="R2" s="1039"/>
      <c r="S2" s="1039"/>
      <c r="T2" s="1039"/>
      <c r="U2" s="1039"/>
      <c r="V2" s="1039"/>
      <c r="W2" s="1039"/>
      <c r="X2" s="1039"/>
      <c r="Y2" s="1039"/>
      <c r="Z2" s="1039"/>
      <c r="AA2" s="1039"/>
      <c r="AB2" s="1039"/>
      <c r="AC2" s="1039"/>
      <c r="AD2" s="1039"/>
      <c r="AE2" s="1039"/>
      <c r="AF2" s="1039"/>
      <c r="AG2" s="1039"/>
      <c r="AH2" s="1039"/>
      <c r="AI2" s="1039"/>
      <c r="AJ2" s="1039"/>
    </row>
    <row r="3" spans="1:36" ht="20.100000000000001" customHeight="1">
      <c r="B3" s="1043" t="s">
        <v>100</v>
      </c>
      <c r="C3" s="1043"/>
      <c r="D3" s="1043"/>
      <c r="E3" s="1043"/>
      <c r="F3" s="1043"/>
      <c r="G3" s="1043"/>
      <c r="H3" s="1043"/>
      <c r="I3" s="1043"/>
      <c r="J3" s="1043"/>
      <c r="K3" s="1043"/>
      <c r="L3" s="1043"/>
      <c r="M3" s="1043"/>
      <c r="N3" s="1043"/>
      <c r="O3" s="1043"/>
      <c r="P3" s="1043"/>
      <c r="Q3" s="1043"/>
      <c r="R3" s="1043"/>
      <c r="S3" s="1043"/>
      <c r="T3" s="1043"/>
      <c r="U3" s="1043"/>
      <c r="V3" s="1043"/>
      <c r="W3" s="1043"/>
      <c r="X3" s="1043"/>
      <c r="Y3" s="1043"/>
      <c r="Z3" s="1043"/>
      <c r="AA3" s="1043"/>
      <c r="AB3" s="1043"/>
      <c r="AC3" s="1043"/>
      <c r="AD3" s="1043"/>
      <c r="AE3" s="1043"/>
      <c r="AF3" s="1043"/>
      <c r="AG3" s="1043"/>
      <c r="AH3" s="1043"/>
      <c r="AI3" s="1043"/>
      <c r="AJ3" s="1043"/>
    </row>
    <row r="4" spans="1:36" ht="12.75" customHeight="1">
      <c r="W4" s="39"/>
      <c r="Y4" s="39"/>
      <c r="AH4" s="39" t="s">
        <v>2</v>
      </c>
    </row>
    <row r="5" spans="1:36" ht="20.100000000000001" customHeight="1">
      <c r="B5" s="97"/>
      <c r="C5" s="99">
        <v>1970</v>
      </c>
      <c r="D5" s="99">
        <v>1980</v>
      </c>
      <c r="E5" s="85">
        <v>1990</v>
      </c>
      <c r="F5" s="86">
        <v>1991</v>
      </c>
      <c r="G5" s="86">
        <v>1992</v>
      </c>
      <c r="H5" s="86">
        <v>1993</v>
      </c>
      <c r="I5" s="86">
        <v>1994</v>
      </c>
      <c r="J5" s="86">
        <v>1995</v>
      </c>
      <c r="K5" s="86">
        <v>1996</v>
      </c>
      <c r="L5" s="86">
        <v>1997</v>
      </c>
      <c r="M5" s="86">
        <v>1998</v>
      </c>
      <c r="N5" s="86">
        <v>1999</v>
      </c>
      <c r="O5" s="86">
        <v>2000</v>
      </c>
      <c r="P5" s="86">
        <v>2001</v>
      </c>
      <c r="Q5" s="86">
        <v>2002</v>
      </c>
      <c r="R5" s="86">
        <v>2003</v>
      </c>
      <c r="S5" s="86">
        <v>2004</v>
      </c>
      <c r="T5" s="86">
        <v>2005</v>
      </c>
      <c r="U5" s="86">
        <v>2006</v>
      </c>
      <c r="V5" s="86">
        <v>2007</v>
      </c>
      <c r="W5" s="86">
        <v>2008</v>
      </c>
      <c r="X5" s="86">
        <v>2009</v>
      </c>
      <c r="Y5" s="86">
        <v>2010</v>
      </c>
      <c r="Z5" s="86">
        <v>2011</v>
      </c>
      <c r="AA5" s="86">
        <v>2012</v>
      </c>
      <c r="AB5" s="86">
        <v>2013</v>
      </c>
      <c r="AC5" s="86">
        <v>2014</v>
      </c>
      <c r="AD5" s="86">
        <v>2015</v>
      </c>
      <c r="AE5" s="86">
        <v>2016</v>
      </c>
      <c r="AF5" s="86">
        <v>2017</v>
      </c>
      <c r="AG5" s="86">
        <v>2018</v>
      </c>
      <c r="AH5" s="549">
        <v>2019</v>
      </c>
      <c r="AI5" s="633" t="s">
        <v>359</v>
      </c>
      <c r="AJ5" s="2"/>
    </row>
    <row r="6" spans="1:36" ht="9.9499999999999993" customHeight="1">
      <c r="B6" s="97"/>
      <c r="C6" s="100"/>
      <c r="D6" s="100"/>
      <c r="E6" s="123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287"/>
      <c r="Z6" s="289"/>
      <c r="AA6" s="289"/>
      <c r="AB6" s="289"/>
      <c r="AC6" s="289"/>
      <c r="AD6" s="289"/>
      <c r="AE6" s="289"/>
      <c r="AF6" s="289"/>
      <c r="AG6" s="289"/>
      <c r="AH6" s="288"/>
      <c r="AI6" s="634" t="s">
        <v>92</v>
      </c>
      <c r="AJ6" s="2"/>
    </row>
    <row r="7" spans="1:36" ht="9.9499999999999993" customHeight="1">
      <c r="B7" s="551" t="s">
        <v>266</v>
      </c>
      <c r="C7" s="552"/>
      <c r="D7" s="552"/>
      <c r="E7" s="553">
        <f t="shared" ref="E7:O7" si="0">SUM(E9:E35)</f>
        <v>142905.84</v>
      </c>
      <c r="F7" s="553">
        <f t="shared" si="0"/>
        <v>147715.546</v>
      </c>
      <c r="G7" s="553">
        <f t="shared" si="0"/>
        <v>151935.88999999998</v>
      </c>
      <c r="H7" s="553">
        <f t="shared" si="0"/>
        <v>154504.25600000002</v>
      </c>
      <c r="I7" s="553">
        <f t="shared" si="0"/>
        <v>157225.75399999999</v>
      </c>
      <c r="J7" s="553">
        <f t="shared" si="0"/>
        <v>160510.82700000002</v>
      </c>
      <c r="K7" s="553">
        <f t="shared" si="0"/>
        <v>163940.296</v>
      </c>
      <c r="L7" s="553">
        <f t="shared" si="0"/>
        <v>162964.19499999998</v>
      </c>
      <c r="M7" s="553">
        <f t="shared" si="0"/>
        <v>167368.82200000001</v>
      </c>
      <c r="N7" s="553">
        <f t="shared" si="0"/>
        <v>172409.592</v>
      </c>
      <c r="O7" s="655">
        <f t="shared" si="0"/>
        <v>176925.68</v>
      </c>
      <c r="P7" s="655">
        <f t="shared" ref="P7:AH7" si="1">SUM(P9:P35)</f>
        <v>180942.44099999999</v>
      </c>
      <c r="Q7" s="655">
        <f t="shared" si="1"/>
        <v>184398.49799999999</v>
      </c>
      <c r="R7" s="655">
        <f t="shared" si="1"/>
        <v>186788.36999999997</v>
      </c>
      <c r="S7" s="655">
        <f t="shared" si="1"/>
        <v>189431.42999999991</v>
      </c>
      <c r="T7" s="655">
        <f t="shared" si="1"/>
        <v>193282.03199999998</v>
      </c>
      <c r="U7" s="655">
        <f t="shared" si="1"/>
        <v>197443.94699999999</v>
      </c>
      <c r="V7" s="655">
        <f t="shared" si="1"/>
        <v>202154.45699999997</v>
      </c>
      <c r="W7" s="655">
        <f t="shared" si="1"/>
        <v>206337.81099999999</v>
      </c>
      <c r="X7" s="655">
        <f t="shared" si="1"/>
        <v>208421.10999999996</v>
      </c>
      <c r="Y7" s="655">
        <f t="shared" si="1"/>
        <v>212324.36300000001</v>
      </c>
      <c r="Z7" s="655">
        <f t="shared" si="1"/>
        <v>215116.30799999999</v>
      </c>
      <c r="AA7" s="655">
        <f t="shared" si="1"/>
        <v>220113.24600000001</v>
      </c>
      <c r="AB7" s="655">
        <f t="shared" si="1"/>
        <v>221846.54699999999</v>
      </c>
      <c r="AC7" s="655">
        <f t="shared" si="1"/>
        <v>224189.139</v>
      </c>
      <c r="AD7" s="655">
        <f t="shared" si="1"/>
        <v>228092.269</v>
      </c>
      <c r="AE7" s="655">
        <f t="shared" si="1"/>
        <v>232941.35199999998</v>
      </c>
      <c r="AF7" s="655">
        <f t="shared" si="1"/>
        <v>237882.88800000001</v>
      </c>
      <c r="AG7" s="655">
        <f t="shared" si="1"/>
        <v>242901.86399999994</v>
      </c>
      <c r="AH7" s="655">
        <f t="shared" si="1"/>
        <v>247370.79299999998</v>
      </c>
      <c r="AI7" s="621">
        <f>AH7/AG7*100-100</f>
        <v>1.8398084421451983</v>
      </c>
      <c r="AJ7" s="551" t="s">
        <v>266</v>
      </c>
    </row>
    <row r="8" spans="1:36" ht="12.75" customHeight="1">
      <c r="B8" s="551" t="s">
        <v>168</v>
      </c>
      <c r="C8" s="552"/>
      <c r="D8" s="552"/>
      <c r="E8" s="553">
        <f t="shared" ref="E8:N8" si="2">SUM(E9:E45)</f>
        <v>168362.89600000001</v>
      </c>
      <c r="F8" s="553">
        <f t="shared" si="2"/>
        <v>173286.15700000001</v>
      </c>
      <c r="G8" s="553">
        <f t="shared" si="2"/>
        <v>177754.38099999999</v>
      </c>
      <c r="H8" s="553">
        <f t="shared" si="2"/>
        <v>183638.084</v>
      </c>
      <c r="I8" s="553">
        <f t="shared" si="2"/>
        <v>187112.46299999999</v>
      </c>
      <c r="J8" s="553">
        <f t="shared" si="2"/>
        <v>190916.62900000002</v>
      </c>
      <c r="K8" s="553">
        <f t="shared" si="2"/>
        <v>195458.02899999998</v>
      </c>
      <c r="L8" s="553">
        <f t="shared" si="2"/>
        <v>195584.17599999995</v>
      </c>
      <c r="M8" s="553">
        <f t="shared" si="2"/>
        <v>200839.33500000005</v>
      </c>
      <c r="N8" s="553">
        <f t="shared" si="2"/>
        <v>206945.62400000001</v>
      </c>
      <c r="O8" s="655">
        <f>SUM(O9:O36)</f>
        <v>201992.54399999999</v>
      </c>
      <c r="P8" s="655">
        <f t="shared" ref="P8:AH8" si="3">SUM(P9:P36)</f>
        <v>206758.14299999998</v>
      </c>
      <c r="Q8" s="655">
        <f t="shared" si="3"/>
        <v>210891.09099999999</v>
      </c>
      <c r="R8" s="655">
        <f t="shared" si="3"/>
        <v>213780.71799999996</v>
      </c>
      <c r="S8" s="655">
        <f t="shared" si="3"/>
        <v>217237.67399999991</v>
      </c>
      <c r="T8" s="655">
        <f t="shared" si="3"/>
        <v>221608.32899999997</v>
      </c>
      <c r="U8" s="655">
        <f t="shared" si="3"/>
        <v>225890.60799999998</v>
      </c>
      <c r="V8" s="655">
        <f t="shared" si="3"/>
        <v>231027.77599999995</v>
      </c>
      <c r="W8" s="655">
        <f t="shared" si="3"/>
        <v>235387.72499999998</v>
      </c>
      <c r="X8" s="655">
        <f t="shared" si="3"/>
        <v>237573.41399999996</v>
      </c>
      <c r="Y8" s="655">
        <f t="shared" si="3"/>
        <v>241657.93900000001</v>
      </c>
      <c r="Z8" s="655">
        <f t="shared" si="3"/>
        <v>244498.522</v>
      </c>
      <c r="AA8" s="655">
        <f t="shared" si="3"/>
        <v>249757.424</v>
      </c>
      <c r="AB8" s="655">
        <f t="shared" si="3"/>
        <v>251921.98300000001</v>
      </c>
      <c r="AC8" s="655">
        <f t="shared" si="3"/>
        <v>254702.43899999998</v>
      </c>
      <c r="AD8" s="655">
        <f t="shared" si="3"/>
        <v>259262.96900000001</v>
      </c>
      <c r="AE8" s="655">
        <f t="shared" si="3"/>
        <v>264733.652</v>
      </c>
      <c r="AF8" s="655">
        <f t="shared" si="3"/>
        <v>270042.788</v>
      </c>
      <c r="AG8" s="655">
        <f t="shared" si="3"/>
        <v>275395.16399999993</v>
      </c>
      <c r="AH8" s="655">
        <f t="shared" si="3"/>
        <v>280255.09299999999</v>
      </c>
      <c r="AI8" s="621">
        <f t="shared" ref="AI8:AI45" si="4">AH8/AG8*100-100</f>
        <v>1.7647110898432601</v>
      </c>
      <c r="AJ8" s="551" t="s">
        <v>168</v>
      </c>
    </row>
    <row r="9" spans="1:36" ht="12.75" customHeight="1">
      <c r="B9" s="10" t="s">
        <v>52</v>
      </c>
      <c r="C9" s="156">
        <v>2059.616</v>
      </c>
      <c r="D9" s="156">
        <v>3158.7370000000001</v>
      </c>
      <c r="E9" s="345">
        <v>3864</v>
      </c>
      <c r="F9" s="345">
        <v>3970</v>
      </c>
      <c r="G9" s="345">
        <v>4021</v>
      </c>
      <c r="H9" s="345">
        <v>4110</v>
      </c>
      <c r="I9" s="345">
        <v>4210</v>
      </c>
      <c r="J9" s="345">
        <v>4273</v>
      </c>
      <c r="K9" s="345">
        <v>4339</v>
      </c>
      <c r="L9" s="345">
        <v>4415</v>
      </c>
      <c r="M9" s="345">
        <v>4492</v>
      </c>
      <c r="N9" s="345">
        <v>4584</v>
      </c>
      <c r="O9" s="345">
        <v>4678</v>
      </c>
      <c r="P9" s="345">
        <v>4740</v>
      </c>
      <c r="Q9" s="345">
        <v>4787</v>
      </c>
      <c r="R9" s="345">
        <v>4821</v>
      </c>
      <c r="S9" s="345">
        <v>4874</v>
      </c>
      <c r="T9" s="345">
        <v>4919</v>
      </c>
      <c r="U9" s="345">
        <v>4976</v>
      </c>
      <c r="V9" s="345">
        <v>5049</v>
      </c>
      <c r="W9" s="345">
        <v>5131</v>
      </c>
      <c r="X9" s="345">
        <v>5193</v>
      </c>
      <c r="Y9" s="345">
        <v>5276</v>
      </c>
      <c r="Z9" s="345">
        <v>5407</v>
      </c>
      <c r="AA9" s="345">
        <v>5444</v>
      </c>
      <c r="AB9" s="345">
        <v>5493.4719999999998</v>
      </c>
      <c r="AC9" s="345">
        <v>5555.4989999999998</v>
      </c>
      <c r="AD9" s="345">
        <v>5623.5789999999997</v>
      </c>
      <c r="AE9" s="345">
        <v>5712.0609999999997</v>
      </c>
      <c r="AF9" s="356">
        <v>5785.4470000000001</v>
      </c>
      <c r="AG9" s="345">
        <v>5853.7820000000002</v>
      </c>
      <c r="AH9" s="823">
        <v>5889.21</v>
      </c>
      <c r="AI9" s="873">
        <f t="shared" si="4"/>
        <v>0.6052155683283047</v>
      </c>
      <c r="AJ9" s="598" t="s">
        <v>52</v>
      </c>
    </row>
    <row r="10" spans="1:36" ht="12.75" customHeight="1">
      <c r="B10" s="154" t="s">
        <v>35</v>
      </c>
      <c r="C10" s="157">
        <v>160</v>
      </c>
      <c r="D10" s="157">
        <v>820</v>
      </c>
      <c r="E10" s="346">
        <v>1317.4</v>
      </c>
      <c r="F10" s="346">
        <v>1359</v>
      </c>
      <c r="G10" s="346">
        <v>1411.3</v>
      </c>
      <c r="H10" s="346">
        <v>1505.451</v>
      </c>
      <c r="I10" s="346">
        <v>1587.873</v>
      </c>
      <c r="J10" s="346">
        <v>1647.5709999999999</v>
      </c>
      <c r="K10" s="346">
        <v>1707.0229999999999</v>
      </c>
      <c r="L10" s="346">
        <v>1730.5060000000001</v>
      </c>
      <c r="M10" s="346">
        <v>1809.35</v>
      </c>
      <c r="N10" s="346">
        <v>1908.4</v>
      </c>
      <c r="O10" s="346">
        <v>1992.7</v>
      </c>
      <c r="P10" s="346">
        <v>2085.6999999999998</v>
      </c>
      <c r="Q10" s="346">
        <v>2174.1</v>
      </c>
      <c r="R10" s="346">
        <v>2309.3000000000002</v>
      </c>
      <c r="S10" s="346">
        <v>2438.4</v>
      </c>
      <c r="T10" s="347">
        <v>2538.0920000000001</v>
      </c>
      <c r="U10" s="346">
        <v>1767.742</v>
      </c>
      <c r="V10" s="346">
        <v>2081.5169999999998</v>
      </c>
      <c r="W10" s="346">
        <v>2366.1959999999999</v>
      </c>
      <c r="X10" s="346">
        <v>2502</v>
      </c>
      <c r="Y10" s="346">
        <v>2602.4</v>
      </c>
      <c r="Z10" s="346">
        <v>2695</v>
      </c>
      <c r="AA10" s="346">
        <v>2807</v>
      </c>
      <c r="AB10" s="346">
        <v>2910.2</v>
      </c>
      <c r="AC10" s="346">
        <v>3013.9</v>
      </c>
      <c r="AD10" s="346">
        <v>3162</v>
      </c>
      <c r="AE10" s="346">
        <v>3143.5</v>
      </c>
      <c r="AF10" s="346">
        <v>2770.6</v>
      </c>
      <c r="AG10" s="346">
        <v>2773.3249999999998</v>
      </c>
      <c r="AH10" s="754">
        <v>2829.9459999999999</v>
      </c>
      <c r="AI10" s="301">
        <f t="shared" si="4"/>
        <v>2.0416287308555638</v>
      </c>
      <c r="AJ10" s="154" t="s">
        <v>35</v>
      </c>
    </row>
    <row r="11" spans="1:36" ht="12.75" customHeight="1">
      <c r="A11" s="8"/>
      <c r="B11" s="10" t="s">
        <v>37</v>
      </c>
      <c r="C11" s="156">
        <v>685</v>
      </c>
      <c r="D11" s="156">
        <v>1780</v>
      </c>
      <c r="E11" s="345">
        <v>2410</v>
      </c>
      <c r="F11" s="345">
        <v>2480</v>
      </c>
      <c r="G11" s="345">
        <v>2580</v>
      </c>
      <c r="H11" s="345">
        <v>2833.143</v>
      </c>
      <c r="I11" s="345">
        <v>2923.9160000000002</v>
      </c>
      <c r="J11" s="345">
        <v>3043.3159999999998</v>
      </c>
      <c r="K11" s="345">
        <v>3192.5320000000002</v>
      </c>
      <c r="L11" s="345">
        <v>3391.5410000000002</v>
      </c>
      <c r="M11" s="345">
        <v>3492.9609999999998</v>
      </c>
      <c r="N11" s="345">
        <v>3439.7449999999999</v>
      </c>
      <c r="O11" s="345">
        <v>3438.87</v>
      </c>
      <c r="P11" s="345">
        <v>3529.7910000000002</v>
      </c>
      <c r="Q11" s="345">
        <v>3647.067</v>
      </c>
      <c r="R11" s="345">
        <v>3706.0120000000002</v>
      </c>
      <c r="S11" s="345">
        <v>3815.547</v>
      </c>
      <c r="T11" s="345">
        <v>3958.7080000000001</v>
      </c>
      <c r="U11" s="345">
        <v>4108.6099999999997</v>
      </c>
      <c r="V11" s="345">
        <v>4280.0810000000001</v>
      </c>
      <c r="W11" s="345">
        <v>4423.37</v>
      </c>
      <c r="X11" s="345">
        <v>4435.0519999999997</v>
      </c>
      <c r="Y11" s="345">
        <v>4496.232</v>
      </c>
      <c r="Z11" s="345">
        <v>4581.6419999999998</v>
      </c>
      <c r="AA11" s="345">
        <v>4706</v>
      </c>
      <c r="AB11" s="345">
        <v>4729.1850000000004</v>
      </c>
      <c r="AC11" s="345">
        <v>4833.3860000000004</v>
      </c>
      <c r="AD11" s="345">
        <v>5115.3159999999998</v>
      </c>
      <c r="AE11" s="345">
        <v>5307.808</v>
      </c>
      <c r="AF11" s="345">
        <v>5538</v>
      </c>
      <c r="AG11" s="345">
        <v>5748</v>
      </c>
      <c r="AH11" s="755">
        <v>5924.9949999999999</v>
      </c>
      <c r="AI11" s="873">
        <f t="shared" si="4"/>
        <v>3.0792449547668781</v>
      </c>
      <c r="AJ11" s="10" t="s">
        <v>37</v>
      </c>
    </row>
    <row r="12" spans="1:36" ht="12.75" customHeight="1">
      <c r="A12" s="8"/>
      <c r="B12" s="154" t="s">
        <v>48</v>
      </c>
      <c r="C12" s="157">
        <v>1076.875</v>
      </c>
      <c r="D12" s="157">
        <v>1390</v>
      </c>
      <c r="E12" s="346">
        <v>1590</v>
      </c>
      <c r="F12" s="346">
        <v>1594</v>
      </c>
      <c r="G12" s="346">
        <v>1604.0530000000001</v>
      </c>
      <c r="H12" s="346">
        <v>1617.7339999999999</v>
      </c>
      <c r="I12" s="346">
        <v>1611.191</v>
      </c>
      <c r="J12" s="346">
        <v>1679.0070000000001</v>
      </c>
      <c r="K12" s="346">
        <v>1738.854</v>
      </c>
      <c r="L12" s="346">
        <v>1783.098</v>
      </c>
      <c r="M12" s="346">
        <v>1817.1469999999999</v>
      </c>
      <c r="N12" s="346">
        <v>1843.2539999999999</v>
      </c>
      <c r="O12" s="346">
        <v>1854.06</v>
      </c>
      <c r="P12" s="346">
        <v>1872.6310000000001</v>
      </c>
      <c r="Q12" s="346">
        <v>1888.29</v>
      </c>
      <c r="R12" s="346">
        <v>1894.6489999999999</v>
      </c>
      <c r="S12" s="346">
        <v>1915.8209999999999</v>
      </c>
      <c r="T12" s="346">
        <v>1964.682</v>
      </c>
      <c r="U12" s="346">
        <v>2020.0129999999999</v>
      </c>
      <c r="V12" s="346">
        <v>2068.4929999999999</v>
      </c>
      <c r="W12" s="346">
        <v>2099.09</v>
      </c>
      <c r="X12" s="346">
        <v>2120.3220000000001</v>
      </c>
      <c r="Y12" s="346">
        <v>2163.6750000000002</v>
      </c>
      <c r="Z12" s="346">
        <v>2197.8310000000001</v>
      </c>
      <c r="AA12" s="346">
        <v>2237.1219999999998</v>
      </c>
      <c r="AB12" s="346">
        <v>2278.1210000000001</v>
      </c>
      <c r="AC12" s="346">
        <v>2329.578</v>
      </c>
      <c r="AD12" s="346">
        <v>2390.8229999999999</v>
      </c>
      <c r="AE12" s="346">
        <v>2465.538</v>
      </c>
      <c r="AF12" s="346">
        <v>2530</v>
      </c>
      <c r="AG12" s="346">
        <v>2594.4690000000001</v>
      </c>
      <c r="AH12" s="754">
        <v>2651.7260000000001</v>
      </c>
      <c r="AI12" s="301">
        <f t="shared" si="4"/>
        <v>2.2068870354589052</v>
      </c>
      <c r="AJ12" s="154" t="s">
        <v>48</v>
      </c>
    </row>
    <row r="13" spans="1:36" ht="12.75" customHeight="1">
      <c r="A13" s="8"/>
      <c r="B13" s="10" t="s">
        <v>53</v>
      </c>
      <c r="C13" s="156">
        <v>15107.079</v>
      </c>
      <c r="D13" s="156">
        <v>25869.616000000005</v>
      </c>
      <c r="E13" s="345">
        <v>36772</v>
      </c>
      <c r="F13" s="345">
        <v>37947</v>
      </c>
      <c r="G13" s="345">
        <v>38892</v>
      </c>
      <c r="H13" s="345">
        <v>39202.065999999999</v>
      </c>
      <c r="I13" s="345">
        <v>39917.576999999997</v>
      </c>
      <c r="J13" s="345">
        <v>40499.442000000003</v>
      </c>
      <c r="K13" s="348">
        <v>41045.216999999997</v>
      </c>
      <c r="L13" s="345">
        <v>36924.646999999997</v>
      </c>
      <c r="M13" s="345">
        <v>37553.548999999999</v>
      </c>
      <c r="N13" s="345">
        <v>38426.775999999998</v>
      </c>
      <c r="O13" s="345">
        <v>39058.936999999998</v>
      </c>
      <c r="P13" s="345">
        <v>39388.319000000003</v>
      </c>
      <c r="Q13" s="345">
        <v>39720.951000000001</v>
      </c>
      <c r="R13" s="345">
        <v>40017.482000000004</v>
      </c>
      <c r="S13" s="345">
        <v>40179.476999999999</v>
      </c>
      <c r="T13" s="345">
        <v>40659.5</v>
      </c>
      <c r="U13" s="345">
        <v>41019.699999999997</v>
      </c>
      <c r="V13" s="345">
        <v>41183.593999999997</v>
      </c>
      <c r="W13" s="345">
        <v>41321.171000000002</v>
      </c>
      <c r="X13" s="345">
        <v>41737.627</v>
      </c>
      <c r="Y13" s="345">
        <v>42301.563000000002</v>
      </c>
      <c r="Z13" s="345">
        <v>42928</v>
      </c>
      <c r="AA13" s="345">
        <v>43431</v>
      </c>
      <c r="AB13" s="345">
        <v>43851.23</v>
      </c>
      <c r="AC13" s="345">
        <v>44403.124000000003</v>
      </c>
      <c r="AD13" s="345">
        <v>45071.209000000003</v>
      </c>
      <c r="AE13" s="345">
        <f>45803.56</f>
        <v>45803.56</v>
      </c>
      <c r="AF13" s="345">
        <v>46474.593999999997</v>
      </c>
      <c r="AG13" s="345">
        <v>47095.784</v>
      </c>
      <c r="AH13" s="755">
        <v>47715.976999999999</v>
      </c>
      <c r="AI13" s="873">
        <f t="shared" si="4"/>
        <v>1.3168758375484231</v>
      </c>
      <c r="AJ13" s="10" t="s">
        <v>53</v>
      </c>
    </row>
    <row r="14" spans="1:36" ht="12.75" customHeight="1">
      <c r="A14" s="8"/>
      <c r="B14" s="154" t="s">
        <v>38</v>
      </c>
      <c r="C14" s="157">
        <v>30</v>
      </c>
      <c r="D14" s="157">
        <v>127</v>
      </c>
      <c r="E14" s="346">
        <v>241</v>
      </c>
      <c r="F14" s="346">
        <v>261</v>
      </c>
      <c r="G14" s="346">
        <v>284</v>
      </c>
      <c r="H14" s="346">
        <v>317.42500000000001</v>
      </c>
      <c r="I14" s="346">
        <v>337.81200000000001</v>
      </c>
      <c r="J14" s="346">
        <v>383.44400000000002</v>
      </c>
      <c r="K14" s="346">
        <v>406.59800000000001</v>
      </c>
      <c r="L14" s="346">
        <v>427.678</v>
      </c>
      <c r="M14" s="346">
        <v>450.95400000000001</v>
      </c>
      <c r="N14" s="346">
        <v>458.7</v>
      </c>
      <c r="O14" s="346">
        <v>463.9</v>
      </c>
      <c r="P14" s="346">
        <v>407.3</v>
      </c>
      <c r="Q14" s="346">
        <v>400.7</v>
      </c>
      <c r="R14" s="346">
        <v>434</v>
      </c>
      <c r="S14" s="346">
        <v>471.2</v>
      </c>
      <c r="T14" s="346">
        <v>493.78</v>
      </c>
      <c r="U14" s="347">
        <v>554.01199999999994</v>
      </c>
      <c r="V14" s="346">
        <v>523.76599999999996</v>
      </c>
      <c r="W14" s="346">
        <v>551.83000000000004</v>
      </c>
      <c r="X14" s="346">
        <v>545.70000000000005</v>
      </c>
      <c r="Y14" s="346">
        <v>552.70000000000005</v>
      </c>
      <c r="Z14" s="346">
        <v>574</v>
      </c>
      <c r="AA14" s="346">
        <v>602.1</v>
      </c>
      <c r="AB14" s="346">
        <v>628.5</v>
      </c>
      <c r="AC14" s="346">
        <v>653</v>
      </c>
      <c r="AD14" s="346">
        <v>676.6</v>
      </c>
      <c r="AE14" s="346">
        <v>703.1</v>
      </c>
      <c r="AF14" s="346">
        <v>725.9</v>
      </c>
      <c r="AG14" s="346">
        <v>746.46400000000006</v>
      </c>
      <c r="AH14" s="754">
        <v>794.92600000000004</v>
      </c>
      <c r="AI14" s="301">
        <f t="shared" si="4"/>
        <v>6.4922085994769958</v>
      </c>
      <c r="AJ14" s="154" t="s">
        <v>38</v>
      </c>
    </row>
    <row r="15" spans="1:36" ht="12.75" customHeight="1">
      <c r="A15" s="8"/>
      <c r="B15" s="10" t="s">
        <v>56</v>
      </c>
      <c r="C15" s="156">
        <v>393.459</v>
      </c>
      <c r="D15" s="156">
        <v>738.11400000000003</v>
      </c>
      <c r="E15" s="345">
        <f>796.408+4.977</f>
        <v>801.38499999999999</v>
      </c>
      <c r="F15" s="345">
        <f>836.583+5.363</f>
        <v>841.94600000000003</v>
      </c>
      <c r="G15" s="345">
        <f>858.498+5.711</f>
        <v>864.20900000000006</v>
      </c>
      <c r="H15" s="345">
        <f>891.027+6.144</f>
        <v>897.17100000000005</v>
      </c>
      <c r="I15" s="345">
        <f>939.022+6.925</f>
        <v>945.947</v>
      </c>
      <c r="J15" s="345">
        <f>990.384+8.086</f>
        <v>998.47</v>
      </c>
      <c r="K15" s="345">
        <f>1057.383+9.219</f>
        <v>1066.6020000000001</v>
      </c>
      <c r="L15" s="345">
        <f>1134.429+10.34</f>
        <v>1144.769</v>
      </c>
      <c r="M15" s="345">
        <f>1196.901+11.249</f>
        <v>1208.1500000000001</v>
      </c>
      <c r="N15" s="345">
        <f>1269.245+13.076</f>
        <v>1282.3209999999999</v>
      </c>
      <c r="O15" s="345">
        <f>1319.25+13.637</f>
        <v>1332.8869999999999</v>
      </c>
      <c r="P15" s="345">
        <f>1384.704+16.547</f>
        <v>1401.251</v>
      </c>
      <c r="Q15" s="345">
        <f>1447.908+18.252</f>
        <v>1466.1599999999999</v>
      </c>
      <c r="R15" s="345">
        <f>1507.106+19.856</f>
        <v>1526.962</v>
      </c>
      <c r="S15" s="345">
        <f>1582.833+20.744</f>
        <v>1603.577</v>
      </c>
      <c r="T15" s="345">
        <f>1662.157+21.888</f>
        <v>1684.0449999999998</v>
      </c>
      <c r="U15" s="345">
        <f>1778.861+23.284</f>
        <v>1802.1450000000002</v>
      </c>
      <c r="V15" s="345">
        <f>1882.901+26.654</f>
        <v>1909.5550000000001</v>
      </c>
      <c r="W15" s="345">
        <f>1924.281+29.053</f>
        <v>1953.3340000000001</v>
      </c>
      <c r="X15" s="345">
        <f>1902.429+28.284</f>
        <v>1930.7130000000002</v>
      </c>
      <c r="Y15" s="345">
        <f>1872.715+26.68</f>
        <v>1899.395</v>
      </c>
      <c r="Z15" s="345">
        <f>1887.81+25.129</f>
        <v>1912.9389999999999</v>
      </c>
      <c r="AA15" s="345">
        <f>1882.55+24.18</f>
        <v>1906.73</v>
      </c>
      <c r="AB15" s="345">
        <f>1910.165+22.964</f>
        <v>1933.1289999999999</v>
      </c>
      <c r="AC15" s="345">
        <f>1943.868+22.373</f>
        <v>1966.241</v>
      </c>
      <c r="AD15" s="345">
        <f>1985.13+21.977</f>
        <v>2007.1070000000002</v>
      </c>
      <c r="AE15" s="345">
        <f>2026.977+21.675</f>
        <v>2048.652</v>
      </c>
      <c r="AF15" s="345">
        <f>2066.1+21.3</f>
        <v>2087.4</v>
      </c>
      <c r="AG15" s="345">
        <f>2106.4+21.43</f>
        <v>2127.83</v>
      </c>
      <c r="AH15" s="755">
        <f>(2174779+21769)/1000</f>
        <v>2196.5479999999998</v>
      </c>
      <c r="AI15" s="873">
        <f t="shared" si="4"/>
        <v>3.2294873180658215</v>
      </c>
      <c r="AJ15" s="10" t="s">
        <v>56</v>
      </c>
    </row>
    <row r="16" spans="1:36" ht="12.75" customHeight="1">
      <c r="A16" s="8"/>
      <c r="B16" s="154" t="s">
        <v>49</v>
      </c>
      <c r="C16" s="157">
        <v>226.893</v>
      </c>
      <c r="D16" s="157">
        <v>862.60900000000004</v>
      </c>
      <c r="E16" s="346">
        <v>1735.5229999999999</v>
      </c>
      <c r="F16" s="346">
        <v>1777.4839999999999</v>
      </c>
      <c r="G16" s="346">
        <v>1829.1</v>
      </c>
      <c r="H16" s="346">
        <v>1958.5440000000001</v>
      </c>
      <c r="I16" s="346">
        <v>2074.0810000000001</v>
      </c>
      <c r="J16" s="346">
        <v>2204.761</v>
      </c>
      <c r="K16" s="346">
        <v>2339.4209999999998</v>
      </c>
      <c r="L16" s="346">
        <v>2500.0990000000002</v>
      </c>
      <c r="M16" s="346">
        <v>2675.6759999999999</v>
      </c>
      <c r="N16" s="346">
        <v>2928.8809999999999</v>
      </c>
      <c r="O16" s="346">
        <v>3195.0650000000001</v>
      </c>
      <c r="P16" s="346">
        <v>3423.7040000000002</v>
      </c>
      <c r="Q16" s="346">
        <v>3646.069</v>
      </c>
      <c r="R16" s="346">
        <v>3839.549</v>
      </c>
      <c r="S16" s="346">
        <v>4073.511</v>
      </c>
      <c r="T16" s="346">
        <v>4303.1289999999999</v>
      </c>
      <c r="U16" s="346">
        <v>4543.0159999999996</v>
      </c>
      <c r="V16" s="346">
        <v>4798.53</v>
      </c>
      <c r="W16" s="346">
        <v>5023.9440000000004</v>
      </c>
      <c r="X16" s="346">
        <v>5131.96</v>
      </c>
      <c r="Y16" s="346">
        <v>5216.8729999999996</v>
      </c>
      <c r="Z16" s="346">
        <v>5203.5910000000003</v>
      </c>
      <c r="AA16" s="346">
        <v>5167.5569999999998</v>
      </c>
      <c r="AB16" s="346">
        <v>5124.2079999999996</v>
      </c>
      <c r="AC16" s="346">
        <v>5110.8729999999996</v>
      </c>
      <c r="AD16" s="346">
        <v>5107.62</v>
      </c>
      <c r="AE16" s="346">
        <v>5160.0559999999996</v>
      </c>
      <c r="AF16" s="346">
        <v>5235.9279999999999</v>
      </c>
      <c r="AG16" s="346">
        <v>5282.6949999999997</v>
      </c>
      <c r="AH16" s="754">
        <v>5406.5510000000004</v>
      </c>
      <c r="AI16" s="301">
        <f t="shared" si="4"/>
        <v>2.3445608728120959</v>
      </c>
      <c r="AJ16" s="154" t="s">
        <v>49</v>
      </c>
    </row>
    <row r="17" spans="1:36" ht="12.75" customHeight="1">
      <c r="A17" s="8"/>
      <c r="B17" s="10" t="s">
        <v>54</v>
      </c>
      <c r="C17" s="156">
        <v>2378</v>
      </c>
      <c r="D17" s="156">
        <v>7556.5110000000004</v>
      </c>
      <c r="E17" s="345">
        <v>11995.64</v>
      </c>
      <c r="F17" s="345">
        <v>12537.099</v>
      </c>
      <c r="G17" s="345">
        <v>13102.285</v>
      </c>
      <c r="H17" s="345">
        <v>13440.694</v>
      </c>
      <c r="I17" s="345">
        <v>13733.794</v>
      </c>
      <c r="J17" s="345">
        <v>14212.259</v>
      </c>
      <c r="K17" s="345">
        <v>14753.808999999999</v>
      </c>
      <c r="L17" s="345">
        <v>15297.366</v>
      </c>
      <c r="M17" s="345">
        <v>16050.057000000001</v>
      </c>
      <c r="N17" s="345">
        <v>16847.397000000001</v>
      </c>
      <c r="O17" s="345">
        <v>17449.235000000001</v>
      </c>
      <c r="P17" s="345">
        <v>18150.88</v>
      </c>
      <c r="Q17" s="348">
        <v>18732.632000000001</v>
      </c>
      <c r="R17" s="345">
        <v>18688.32</v>
      </c>
      <c r="S17" s="345">
        <v>19541.918000000001</v>
      </c>
      <c r="T17" s="345">
        <v>20250.377</v>
      </c>
      <c r="U17" s="345">
        <v>20908.724999999999</v>
      </c>
      <c r="V17" s="345">
        <v>21760.173999999999</v>
      </c>
      <c r="W17" s="345">
        <v>22145.364000000001</v>
      </c>
      <c r="X17" s="345">
        <v>21983.485000000001</v>
      </c>
      <c r="Y17" s="345">
        <v>22147.455000000002</v>
      </c>
      <c r="Z17" s="345">
        <v>22277</v>
      </c>
      <c r="AA17" s="345">
        <v>22247.527999999998</v>
      </c>
      <c r="AB17" s="345">
        <v>22024.538</v>
      </c>
      <c r="AC17" s="345">
        <v>22029.511999999999</v>
      </c>
      <c r="AD17" s="345">
        <v>22355.548999999999</v>
      </c>
      <c r="AE17" s="345">
        <v>22876.83</v>
      </c>
      <c r="AF17" s="345">
        <v>23500.401000000002</v>
      </c>
      <c r="AG17" s="345">
        <v>24074.151000000002</v>
      </c>
      <c r="AH17" s="755">
        <v>24558.126</v>
      </c>
      <c r="AI17" s="873">
        <f t="shared" si="4"/>
        <v>2.0103512684621592</v>
      </c>
      <c r="AJ17" s="10" t="s">
        <v>54</v>
      </c>
    </row>
    <row r="18" spans="1:36" ht="12.75" customHeight="1">
      <c r="A18" s="8"/>
      <c r="B18" s="154" t="s">
        <v>55</v>
      </c>
      <c r="C18" s="157">
        <v>11900</v>
      </c>
      <c r="D18" s="157">
        <v>19130</v>
      </c>
      <c r="E18" s="346">
        <v>27071.642</v>
      </c>
      <c r="F18" s="346">
        <v>27309.644</v>
      </c>
      <c r="G18" s="346">
        <v>27596.041000000001</v>
      </c>
      <c r="H18" s="346">
        <v>27680.285</v>
      </c>
      <c r="I18" s="346">
        <v>27761.921999999999</v>
      </c>
      <c r="J18" s="346">
        <v>27872.066999999999</v>
      </c>
      <c r="K18" s="346">
        <v>28017.221000000001</v>
      </c>
      <c r="L18" s="346">
        <v>28201.321</v>
      </c>
      <c r="M18" s="346">
        <v>28627.360000000001</v>
      </c>
      <c r="N18" s="346">
        <v>29272.165000000001</v>
      </c>
      <c r="O18" s="346">
        <v>29807.798999999999</v>
      </c>
      <c r="P18" s="346">
        <v>30330.382000000001</v>
      </c>
      <c r="Q18" s="346">
        <v>30590.742999999999</v>
      </c>
      <c r="R18" s="346">
        <v>30582.717000000001</v>
      </c>
      <c r="S18" s="346">
        <v>30537.243999999999</v>
      </c>
      <c r="T18" s="346">
        <v>30497.012999999999</v>
      </c>
      <c r="U18" s="346">
        <v>31002.304</v>
      </c>
      <c r="V18" s="346">
        <v>31442.880000000001</v>
      </c>
      <c r="W18" s="346">
        <v>31109.080999999998</v>
      </c>
      <c r="X18" s="350">
        <v>31393.734</v>
      </c>
      <c r="Y18" s="346">
        <v>32675.972000000002</v>
      </c>
      <c r="Z18" s="346">
        <v>32611.51</v>
      </c>
      <c r="AA18" s="350">
        <v>36217</v>
      </c>
      <c r="AB18" s="346">
        <v>36331.4</v>
      </c>
      <c r="AC18" s="346">
        <v>36567</v>
      </c>
      <c r="AD18" s="346">
        <v>36977.599999999999</v>
      </c>
      <c r="AE18" s="346">
        <v>37458</v>
      </c>
      <c r="AF18" s="346">
        <v>37935.300000000003</v>
      </c>
      <c r="AG18" s="346">
        <v>38371.1</v>
      </c>
      <c r="AH18" s="754">
        <v>38335</v>
      </c>
      <c r="AI18" s="301">
        <f t="shared" si="4"/>
        <v>-9.40812225867802E-2</v>
      </c>
      <c r="AJ18" s="154" t="s">
        <v>55</v>
      </c>
    </row>
    <row r="19" spans="1:36" ht="12.75" customHeight="1">
      <c r="A19" s="8"/>
      <c r="B19" s="10" t="s">
        <v>66</v>
      </c>
      <c r="C19" s="156" t="s">
        <v>64</v>
      </c>
      <c r="D19" s="156" t="s">
        <v>64</v>
      </c>
      <c r="E19" s="349">
        <v>580</v>
      </c>
      <c r="F19" s="349">
        <v>600</v>
      </c>
      <c r="G19" s="349">
        <v>620</v>
      </c>
      <c r="H19" s="345">
        <v>646.21</v>
      </c>
      <c r="I19" s="345">
        <v>698.39099999999996</v>
      </c>
      <c r="J19" s="345">
        <v>710.91</v>
      </c>
      <c r="K19" s="345">
        <v>835.71400000000006</v>
      </c>
      <c r="L19" s="345">
        <v>932.27800000000002</v>
      </c>
      <c r="M19" s="345">
        <v>1000.052</v>
      </c>
      <c r="N19" s="345">
        <v>1063.546</v>
      </c>
      <c r="O19" s="345">
        <v>1124.825</v>
      </c>
      <c r="P19" s="345">
        <v>1195.45</v>
      </c>
      <c r="Q19" s="345">
        <v>1244.252</v>
      </c>
      <c r="R19" s="345">
        <v>1293.421</v>
      </c>
      <c r="S19" s="345">
        <v>1337.538</v>
      </c>
      <c r="T19" s="345">
        <v>1384.6990000000001</v>
      </c>
      <c r="U19" s="345">
        <v>1435.7809999999999</v>
      </c>
      <c r="V19" s="345">
        <v>1491.127</v>
      </c>
      <c r="W19" s="348">
        <v>1535.28</v>
      </c>
      <c r="X19" s="345">
        <v>1532.549</v>
      </c>
      <c r="Y19" s="345">
        <v>1515.4490000000001</v>
      </c>
      <c r="Z19" s="345">
        <v>1518.278</v>
      </c>
      <c r="AA19" s="345">
        <v>1445.22</v>
      </c>
      <c r="AB19" s="345">
        <v>1448.299</v>
      </c>
      <c r="AC19" s="345">
        <v>1474.4949999999999</v>
      </c>
      <c r="AD19" s="345">
        <v>1499.8019999999999</v>
      </c>
      <c r="AE19" s="345">
        <v>1552.904</v>
      </c>
      <c r="AF19" s="345">
        <v>1596.087</v>
      </c>
      <c r="AG19" s="345">
        <v>1666.413</v>
      </c>
      <c r="AH19" s="755">
        <v>1724.9</v>
      </c>
      <c r="AI19" s="873">
        <f t="shared" si="4"/>
        <v>3.509754184586896</v>
      </c>
      <c r="AJ19" s="10" t="s">
        <v>66</v>
      </c>
    </row>
    <row r="20" spans="1:36" ht="12.75" customHeight="1">
      <c r="A20" s="8"/>
      <c r="B20" s="154" t="s">
        <v>57</v>
      </c>
      <c r="C20" s="157">
        <v>10181.191999999999</v>
      </c>
      <c r="D20" s="157">
        <v>17686.236000000001</v>
      </c>
      <c r="E20" s="346">
        <v>27415.828000000001</v>
      </c>
      <c r="F20" s="346">
        <v>28434.922999999999</v>
      </c>
      <c r="G20" s="346">
        <v>29429.628000000001</v>
      </c>
      <c r="H20" s="346">
        <v>29652.024000000001</v>
      </c>
      <c r="I20" s="346">
        <v>29665.308000000001</v>
      </c>
      <c r="J20" s="346">
        <v>30301.423999999999</v>
      </c>
      <c r="K20" s="346">
        <v>30467.172999999999</v>
      </c>
      <c r="L20" s="346">
        <v>30741.953000000001</v>
      </c>
      <c r="M20" s="346">
        <v>31370.764999999999</v>
      </c>
      <c r="N20" s="346">
        <v>32038.291000000001</v>
      </c>
      <c r="O20" s="346">
        <v>32583.814999999999</v>
      </c>
      <c r="P20" s="346">
        <v>33239.029000000002</v>
      </c>
      <c r="Q20" s="346">
        <v>33706.152999999998</v>
      </c>
      <c r="R20" s="346">
        <v>34310.446000000004</v>
      </c>
      <c r="S20" s="346">
        <v>33973.146999999997</v>
      </c>
      <c r="T20" s="346">
        <v>34667.485000000001</v>
      </c>
      <c r="U20" s="346">
        <v>35297.281999999999</v>
      </c>
      <c r="V20" s="346">
        <v>35680.097000000002</v>
      </c>
      <c r="W20" s="346">
        <v>36105.182999999997</v>
      </c>
      <c r="X20" s="346">
        <v>36372</v>
      </c>
      <c r="Y20" s="346">
        <v>36751.311000000002</v>
      </c>
      <c r="Z20" s="346">
        <v>37113.300000000003</v>
      </c>
      <c r="AA20" s="346">
        <v>37078</v>
      </c>
      <c r="AB20" s="346">
        <v>36962.934000000001</v>
      </c>
      <c r="AC20" s="346">
        <v>37080.752999999997</v>
      </c>
      <c r="AD20" s="346">
        <v>37351.233</v>
      </c>
      <c r="AE20" s="346">
        <v>37876.137999999999</v>
      </c>
      <c r="AF20" s="346">
        <v>38520.321000000004</v>
      </c>
      <c r="AG20" s="346">
        <v>39018.17</v>
      </c>
      <c r="AH20" s="754">
        <v>39545.232000000004</v>
      </c>
      <c r="AI20" s="301">
        <f t="shared" si="4"/>
        <v>1.3508116859401724</v>
      </c>
      <c r="AJ20" s="154" t="s">
        <v>57</v>
      </c>
    </row>
    <row r="21" spans="1:36" ht="12.75" customHeight="1">
      <c r="A21" s="8"/>
      <c r="B21" s="10" t="s">
        <v>36</v>
      </c>
      <c r="C21" s="156">
        <v>60</v>
      </c>
      <c r="D21" s="156">
        <v>90</v>
      </c>
      <c r="E21" s="345">
        <v>178.602</v>
      </c>
      <c r="F21" s="345">
        <v>190</v>
      </c>
      <c r="G21" s="345">
        <v>200</v>
      </c>
      <c r="H21" s="345">
        <v>203.61</v>
      </c>
      <c r="I21" s="345">
        <v>210.36500000000001</v>
      </c>
      <c r="J21" s="345">
        <v>219.749</v>
      </c>
      <c r="K21" s="345">
        <v>226.83199999999999</v>
      </c>
      <c r="L21" s="345">
        <v>234.976</v>
      </c>
      <c r="M21" s="345">
        <v>249.22499999999999</v>
      </c>
      <c r="N21" s="345">
        <v>256.98899999999998</v>
      </c>
      <c r="O21" s="345">
        <v>267.589</v>
      </c>
      <c r="P21" s="348">
        <v>280.06900000000002</v>
      </c>
      <c r="Q21" s="345">
        <v>287.62200000000001</v>
      </c>
      <c r="R21" s="345">
        <v>302.50099999999998</v>
      </c>
      <c r="S21" s="345">
        <v>335.63400000000001</v>
      </c>
      <c r="T21" s="345">
        <v>355.13400000000001</v>
      </c>
      <c r="U21" s="345">
        <v>372.94499999999999</v>
      </c>
      <c r="V21" s="345">
        <v>410.93599999999998</v>
      </c>
      <c r="W21" s="345">
        <v>443.517</v>
      </c>
      <c r="X21" s="345">
        <v>460.50400000000002</v>
      </c>
      <c r="Y21" s="345">
        <v>462.65199999999999</v>
      </c>
      <c r="Z21" s="345">
        <v>470</v>
      </c>
      <c r="AA21" s="345">
        <v>475.46199999999999</v>
      </c>
      <c r="AB21" s="345">
        <v>474.56099999999998</v>
      </c>
      <c r="AC21" s="345">
        <v>478.49200000000002</v>
      </c>
      <c r="AD21" s="345">
        <v>487.69200000000001</v>
      </c>
      <c r="AE21" s="345">
        <v>508.28399999999999</v>
      </c>
      <c r="AF21" s="345">
        <v>526.61699999999996</v>
      </c>
      <c r="AG21" s="345">
        <v>550.69500000000005</v>
      </c>
      <c r="AH21" s="755">
        <v>572.50099999999998</v>
      </c>
      <c r="AI21" s="873">
        <f t="shared" si="4"/>
        <v>3.9597236219685925</v>
      </c>
      <c r="AJ21" s="10" t="s">
        <v>36</v>
      </c>
    </row>
    <row r="22" spans="1:36" ht="12.75" customHeight="1">
      <c r="A22" s="8"/>
      <c r="B22" s="154" t="s">
        <v>40</v>
      </c>
      <c r="C22" s="157">
        <v>40</v>
      </c>
      <c r="D22" s="157">
        <v>166</v>
      </c>
      <c r="E22" s="346">
        <v>283</v>
      </c>
      <c r="F22" s="346">
        <v>329</v>
      </c>
      <c r="G22" s="346">
        <v>350</v>
      </c>
      <c r="H22" s="347">
        <v>367.47500000000002</v>
      </c>
      <c r="I22" s="346">
        <v>251.59299999999999</v>
      </c>
      <c r="J22" s="346">
        <v>332</v>
      </c>
      <c r="K22" s="346">
        <v>379.89499999999998</v>
      </c>
      <c r="L22" s="346">
        <v>431.81599999999997</v>
      </c>
      <c r="M22" s="346">
        <v>482.67</v>
      </c>
      <c r="N22" s="346">
        <v>525.572</v>
      </c>
      <c r="O22" s="346">
        <v>556.79999999999995</v>
      </c>
      <c r="P22" s="346">
        <v>586.20000000000005</v>
      </c>
      <c r="Q22" s="346">
        <v>619.1</v>
      </c>
      <c r="R22" s="346">
        <v>648.9</v>
      </c>
      <c r="S22" s="346">
        <v>686.12800000000004</v>
      </c>
      <c r="T22" s="346">
        <v>742.447</v>
      </c>
      <c r="U22" s="346">
        <v>822.01099999999997</v>
      </c>
      <c r="V22" s="346">
        <v>904.86900000000003</v>
      </c>
      <c r="W22" s="346">
        <v>932.82799999999997</v>
      </c>
      <c r="X22" s="346">
        <v>904.30799999999999</v>
      </c>
      <c r="Y22" s="350">
        <v>636.66399999999999</v>
      </c>
      <c r="Z22" s="346">
        <v>612.32000000000005</v>
      </c>
      <c r="AA22" s="346">
        <v>618.274</v>
      </c>
      <c r="AB22" s="346">
        <v>634.60299999999995</v>
      </c>
      <c r="AC22" s="346">
        <v>657.79899999999998</v>
      </c>
      <c r="AD22" s="346">
        <v>679.048</v>
      </c>
      <c r="AE22" s="346">
        <v>664.17700000000002</v>
      </c>
      <c r="AF22" s="346">
        <v>690</v>
      </c>
      <c r="AG22" s="346">
        <v>707.84100000000001</v>
      </c>
      <c r="AH22" s="754">
        <v>727.16399999999999</v>
      </c>
      <c r="AI22" s="301">
        <f t="shared" si="4"/>
        <v>2.729850347747572</v>
      </c>
      <c r="AJ22" s="154" t="s">
        <v>40</v>
      </c>
    </row>
    <row r="23" spans="1:36" ht="12.75" customHeight="1">
      <c r="A23" s="8"/>
      <c r="B23" s="10" t="s">
        <v>41</v>
      </c>
      <c r="C23" s="156">
        <v>43.7</v>
      </c>
      <c r="D23" s="156">
        <v>247</v>
      </c>
      <c r="E23" s="345">
        <v>493</v>
      </c>
      <c r="F23" s="345">
        <v>531</v>
      </c>
      <c r="G23" s="345">
        <v>565</v>
      </c>
      <c r="H23" s="345">
        <v>597.73500000000001</v>
      </c>
      <c r="I23" s="345">
        <v>652.80999999999995</v>
      </c>
      <c r="J23" s="345">
        <v>718.46900000000005</v>
      </c>
      <c r="K23" s="345">
        <v>785.08799999999997</v>
      </c>
      <c r="L23" s="345">
        <v>882.101</v>
      </c>
      <c r="M23" s="345">
        <v>980.91</v>
      </c>
      <c r="N23" s="345">
        <v>1089.3340000000001</v>
      </c>
      <c r="O23" s="345">
        <v>1172.394</v>
      </c>
      <c r="P23" s="345">
        <v>1133.4770000000001</v>
      </c>
      <c r="Q23" s="345">
        <v>1180.9449999999999</v>
      </c>
      <c r="R23" s="345">
        <v>1256.8530000000001</v>
      </c>
      <c r="S23" s="345">
        <v>1315.914</v>
      </c>
      <c r="T23" s="345">
        <v>1455.2760000000001</v>
      </c>
      <c r="U23" s="345">
        <v>1592.2380000000001</v>
      </c>
      <c r="V23" s="345">
        <v>1587.903</v>
      </c>
      <c r="W23" s="345">
        <v>1671.0650000000001</v>
      </c>
      <c r="X23" s="345">
        <v>1695.2860000000001</v>
      </c>
      <c r="Y23" s="345">
        <v>1691.855</v>
      </c>
      <c r="Z23" s="345">
        <v>1713.3</v>
      </c>
      <c r="AA23" s="345">
        <v>1753.4069999999999</v>
      </c>
      <c r="AB23" s="345">
        <f>1808.982</f>
        <v>1808.982</v>
      </c>
      <c r="AC23" s="530">
        <v>1205.6679999999999</v>
      </c>
      <c r="AD23" s="345">
        <v>1244.0630000000001</v>
      </c>
      <c r="AE23" s="345">
        <v>1298.7370000000001</v>
      </c>
      <c r="AF23" s="345">
        <v>1357</v>
      </c>
      <c r="AG23" s="345">
        <v>1430.52</v>
      </c>
      <c r="AH23" s="755">
        <v>1498.6880000000001</v>
      </c>
      <c r="AI23" s="873">
        <f t="shared" si="4"/>
        <v>4.7652601851075218</v>
      </c>
      <c r="AJ23" s="10" t="s">
        <v>41</v>
      </c>
    </row>
    <row r="24" spans="1:36" ht="12.75" customHeight="1">
      <c r="A24" s="8"/>
      <c r="B24" s="154" t="s">
        <v>58</v>
      </c>
      <c r="C24" s="157">
        <v>72</v>
      </c>
      <c r="D24" s="157">
        <v>128.6</v>
      </c>
      <c r="E24" s="346">
        <v>183.404</v>
      </c>
      <c r="F24" s="346">
        <v>192</v>
      </c>
      <c r="G24" s="346">
        <v>201</v>
      </c>
      <c r="H24" s="346">
        <v>208</v>
      </c>
      <c r="I24" s="346">
        <v>217.75399999999999</v>
      </c>
      <c r="J24" s="346">
        <v>229.03700000000001</v>
      </c>
      <c r="K24" s="346">
        <v>231.666</v>
      </c>
      <c r="L24" s="346">
        <v>236.834</v>
      </c>
      <c r="M24" s="346">
        <v>253.40600000000001</v>
      </c>
      <c r="N24" s="346">
        <v>263.47500000000002</v>
      </c>
      <c r="O24" s="346">
        <v>273.08600000000001</v>
      </c>
      <c r="P24" s="346">
        <v>280.709</v>
      </c>
      <c r="Q24" s="346">
        <v>287.245</v>
      </c>
      <c r="R24" s="346">
        <v>293.39800000000002</v>
      </c>
      <c r="S24" s="346">
        <v>299.75900000000001</v>
      </c>
      <c r="T24" s="346">
        <f>211.567+92.927+2.771</f>
        <v>307.26500000000004</v>
      </c>
      <c r="U24" s="346">
        <f>208.15+104.392+2.162</f>
        <v>314.70400000000001</v>
      </c>
      <c r="V24" s="346">
        <f>204.895+114.963+1.662</f>
        <v>321.52</v>
      </c>
      <c r="W24" s="346">
        <f>200.038+127.697+1.303</f>
        <v>329.03800000000001</v>
      </c>
      <c r="X24" s="346">
        <f>191.197+139.28+1.026</f>
        <v>331.50299999999999</v>
      </c>
      <c r="Y24" s="346">
        <f>184.633+151.812+0.794</f>
        <v>337.23900000000003</v>
      </c>
      <c r="Z24" s="346">
        <f>207.642+137.309+0.624</f>
        <v>345.57500000000005</v>
      </c>
      <c r="AA24" s="346">
        <f>207.902+147.456+0.492</f>
        <v>355.84999999999997</v>
      </c>
      <c r="AB24" s="346">
        <f>205.132+157.747+0.368</f>
        <v>363.24700000000001</v>
      </c>
      <c r="AC24" s="346">
        <f>0.289+168.612+203.926</f>
        <v>372.827</v>
      </c>
      <c r="AD24" s="346">
        <f>202.766+178.094+0.243</f>
        <v>381.10300000000001</v>
      </c>
      <c r="AE24" s="346">
        <f>201.732+189.004+0.199</f>
        <v>390.935</v>
      </c>
      <c r="AF24" s="346">
        <f>202.199+200.916+0.167</f>
        <v>403.28199999999998</v>
      </c>
      <c r="AG24" s="346">
        <f>201.287+213.715+0.143</f>
        <v>415.14499999999998</v>
      </c>
      <c r="AH24" s="754">
        <v>426.346</v>
      </c>
      <c r="AI24" s="301">
        <f t="shared" si="4"/>
        <v>2.698093437232771</v>
      </c>
      <c r="AJ24" s="154" t="s">
        <v>58</v>
      </c>
    </row>
    <row r="25" spans="1:36" s="23" customFormat="1" ht="12.75" customHeight="1">
      <c r="A25" s="298"/>
      <c r="B25" s="10" t="s">
        <v>39</v>
      </c>
      <c r="C25" s="156">
        <v>240</v>
      </c>
      <c r="D25" s="156">
        <v>1010</v>
      </c>
      <c r="E25" s="345">
        <v>1944</v>
      </c>
      <c r="F25" s="345">
        <v>2020</v>
      </c>
      <c r="G25" s="345">
        <v>2058</v>
      </c>
      <c r="H25" s="345">
        <v>2093.529</v>
      </c>
      <c r="I25" s="345">
        <v>2178.8910000000001</v>
      </c>
      <c r="J25" s="345">
        <v>2244.9459999999999</v>
      </c>
      <c r="K25" s="345">
        <v>2265.1799999999998</v>
      </c>
      <c r="L25" s="345">
        <v>2297.9639999999999</v>
      </c>
      <c r="M25" s="345">
        <v>2218.1239999999998</v>
      </c>
      <c r="N25" s="345">
        <v>2255.5259999999998</v>
      </c>
      <c r="O25" s="345">
        <v>2364.7060000000001</v>
      </c>
      <c r="P25" s="345">
        <v>2482.8270000000002</v>
      </c>
      <c r="Q25" s="345">
        <v>2629.5259999999998</v>
      </c>
      <c r="R25" s="345">
        <v>2777.2190000000001</v>
      </c>
      <c r="S25" s="345">
        <v>2828.433</v>
      </c>
      <c r="T25" s="345">
        <v>2888.7350000000001</v>
      </c>
      <c r="U25" s="345">
        <v>2953.7370000000001</v>
      </c>
      <c r="V25" s="345">
        <v>3012.165</v>
      </c>
      <c r="W25" s="345">
        <v>3055.4270000000001</v>
      </c>
      <c r="X25" s="345">
        <v>3013.7190000000001</v>
      </c>
      <c r="Y25" s="345">
        <v>2984.0630000000001</v>
      </c>
      <c r="Z25" s="345">
        <v>2967.808</v>
      </c>
      <c r="AA25" s="345">
        <v>2986.0279999999998</v>
      </c>
      <c r="AB25" s="345">
        <f>3040.732</f>
        <v>3040.732</v>
      </c>
      <c r="AC25" s="345">
        <v>3107.6950000000002</v>
      </c>
      <c r="AD25" s="345">
        <v>3196.8560000000002</v>
      </c>
      <c r="AE25" s="345">
        <v>3313.2060000000001</v>
      </c>
      <c r="AF25" s="345">
        <v>3472</v>
      </c>
      <c r="AG25" s="345">
        <v>3641.8229999999999</v>
      </c>
      <c r="AH25" s="755">
        <v>3812.0129999999999</v>
      </c>
      <c r="AI25" s="873">
        <f t="shared" si="4"/>
        <v>4.6732089945063109</v>
      </c>
      <c r="AJ25" s="10" t="s">
        <v>39</v>
      </c>
    </row>
    <row r="26" spans="1:36" ht="12.75" customHeight="1">
      <c r="A26" s="8"/>
      <c r="B26" s="154" t="s">
        <v>42</v>
      </c>
      <c r="C26" s="157" t="s">
        <v>64</v>
      </c>
      <c r="D26" s="157" t="s">
        <v>64</v>
      </c>
      <c r="E26" s="351">
        <v>120</v>
      </c>
      <c r="F26" s="346">
        <v>122</v>
      </c>
      <c r="G26" s="346">
        <v>125</v>
      </c>
      <c r="H26" s="346">
        <v>152.613</v>
      </c>
      <c r="I26" s="346">
        <v>170.63499999999999</v>
      </c>
      <c r="J26" s="346">
        <v>180.851</v>
      </c>
      <c r="K26" s="346">
        <v>182</v>
      </c>
      <c r="L26" s="347">
        <f>177.651+6.123</f>
        <v>183.774</v>
      </c>
      <c r="M26" s="346">
        <f>0.863+169.542+4.136+0.245</f>
        <v>174.786</v>
      </c>
      <c r="N26" s="346">
        <f>0.966+176.264+4.777+0.245</f>
        <v>182.25200000000001</v>
      </c>
      <c r="O26" s="346">
        <f>1.034+182.105+5.738+0.246</f>
        <v>189.12299999999999</v>
      </c>
      <c r="P26" s="346">
        <f>1.116+188.495+5.521+0.247</f>
        <v>195.37900000000002</v>
      </c>
      <c r="Q26" s="346">
        <f>1.165+195.055+5.454+0.247</f>
        <v>201.92100000000002</v>
      </c>
      <c r="R26" s="346">
        <f>1.194+201.924+5.447+0.247</f>
        <v>208.81200000000001</v>
      </c>
      <c r="S26" s="346">
        <f>1.19+204.702+5.245+0.246</f>
        <v>211.38300000000001</v>
      </c>
      <c r="T26" s="346">
        <f>1.133+206.148+5.034+0.246</f>
        <v>212.56100000000001</v>
      </c>
      <c r="U26" s="346">
        <f>1.123+211.84+4.943+0.247</f>
        <v>218.15300000000002</v>
      </c>
      <c r="V26" s="346">
        <v>224.89599999999999</v>
      </c>
      <c r="W26" s="346">
        <v>229.38899999999998</v>
      </c>
      <c r="X26" s="346">
        <v>233.48600000000002</v>
      </c>
      <c r="Y26" s="350">
        <v>240.95999999999998</v>
      </c>
      <c r="Z26" s="346">
        <v>247.37499999999997</v>
      </c>
      <c r="AA26" s="350">
        <f>235.315+7.244+0.291+3.277+3.029+0.879</f>
        <v>250.03499999999997</v>
      </c>
      <c r="AB26" s="346">
        <f>241.5+7.228+0.292+4.119+2.551+0.908</f>
        <v>256.59800000000001</v>
      </c>
      <c r="AC26" s="346">
        <f>257.817+0.293+4.958+2.293+0.974</f>
        <v>266.33500000000004</v>
      </c>
      <c r="AD26" s="346">
        <f>266.081+0.291+5.774+1.974+1.057</f>
        <v>275.17700000000002</v>
      </c>
      <c r="AE26" s="346">
        <f>273.069+0.29+6.762+1.655+1.157</f>
        <v>282.93299999999999</v>
      </c>
      <c r="AF26" s="346">
        <f>280.91+0.292+7.675+1.391+1.396</f>
        <v>291.66400000000004</v>
      </c>
      <c r="AG26" s="346">
        <f>288.062+0.291+8.608+1.17+2.011</f>
        <v>300.14200000000005</v>
      </c>
      <c r="AH26" s="754">
        <v>307.13</v>
      </c>
      <c r="AI26" s="301">
        <f t="shared" si="4"/>
        <v>2.328231303849492</v>
      </c>
      <c r="AJ26" s="154" t="s">
        <v>42</v>
      </c>
    </row>
    <row r="27" spans="1:36" s="23" customFormat="1" ht="12.75" customHeight="1">
      <c r="A27" s="298"/>
      <c r="B27" s="10" t="s">
        <v>50</v>
      </c>
      <c r="C27" s="156">
        <v>2564</v>
      </c>
      <c r="D27" s="156">
        <v>4550</v>
      </c>
      <c r="E27" s="345">
        <v>5509.1729999999998</v>
      </c>
      <c r="F27" s="345">
        <v>5554</v>
      </c>
      <c r="G27" s="345">
        <v>5658</v>
      </c>
      <c r="H27" s="345">
        <v>5755</v>
      </c>
      <c r="I27" s="345">
        <v>5884</v>
      </c>
      <c r="J27" s="345">
        <v>5633</v>
      </c>
      <c r="K27" s="345">
        <v>5740</v>
      </c>
      <c r="L27" s="345">
        <v>5931.3869999999997</v>
      </c>
      <c r="M27" s="345">
        <v>6119.5810000000001</v>
      </c>
      <c r="N27" s="345">
        <v>6343.1949999999997</v>
      </c>
      <c r="O27" s="345">
        <v>6539.2120000000004</v>
      </c>
      <c r="P27" s="345">
        <v>6710.6019999999999</v>
      </c>
      <c r="Q27" s="345">
        <v>6854.7430000000004</v>
      </c>
      <c r="R27" s="345">
        <v>6908.473</v>
      </c>
      <c r="S27" s="345">
        <v>6991.991</v>
      </c>
      <c r="T27" s="345">
        <v>7092.2929999999997</v>
      </c>
      <c r="U27" s="345">
        <v>7230.1779999999999</v>
      </c>
      <c r="V27" s="345">
        <v>7391.9030000000002</v>
      </c>
      <c r="W27" s="345">
        <v>7542.3310000000001</v>
      </c>
      <c r="X27" s="345">
        <v>7622</v>
      </c>
      <c r="Y27" s="345">
        <v>7736</v>
      </c>
      <c r="Z27" s="345">
        <v>7859</v>
      </c>
      <c r="AA27" s="345">
        <v>7915.6130000000003</v>
      </c>
      <c r="AB27" s="345">
        <f>7932.29</f>
        <v>7932.29</v>
      </c>
      <c r="AC27" s="345">
        <v>7979.0829999999996</v>
      </c>
      <c r="AD27" s="345">
        <v>8100.8639999999996</v>
      </c>
      <c r="AE27" s="345">
        <v>8222.9740000000002</v>
      </c>
      <c r="AF27" s="345">
        <v>8373</v>
      </c>
      <c r="AG27" s="345">
        <v>8530.5840000000007</v>
      </c>
      <c r="AH27" s="755">
        <v>8677.9110000000001</v>
      </c>
      <c r="AI27" s="873">
        <f t="shared" si="4"/>
        <v>1.7270447134686009</v>
      </c>
      <c r="AJ27" s="10" t="s">
        <v>50</v>
      </c>
    </row>
    <row r="28" spans="1:36" ht="12.75" customHeight="1">
      <c r="A28" s="8"/>
      <c r="B28" s="154" t="s">
        <v>59</v>
      </c>
      <c r="C28" s="157">
        <v>1197</v>
      </c>
      <c r="D28" s="157">
        <v>2247</v>
      </c>
      <c r="E28" s="346">
        <v>2991</v>
      </c>
      <c r="F28" s="346">
        <v>3100</v>
      </c>
      <c r="G28" s="346">
        <v>3245</v>
      </c>
      <c r="H28" s="346">
        <v>3367.6260000000002</v>
      </c>
      <c r="I28" s="346">
        <v>3479.5949999999998</v>
      </c>
      <c r="J28" s="346">
        <v>3593.5880000000002</v>
      </c>
      <c r="K28" s="346">
        <v>3690.692</v>
      </c>
      <c r="L28" s="346">
        <v>3782.5430000000001</v>
      </c>
      <c r="M28" s="346">
        <v>3887.174</v>
      </c>
      <c r="N28" s="346">
        <v>4009.6039999999998</v>
      </c>
      <c r="O28" s="346">
        <v>4097.1450000000004</v>
      </c>
      <c r="P28" s="347">
        <v>4182.027</v>
      </c>
      <c r="Q28" s="346">
        <v>3987.0929999999998</v>
      </c>
      <c r="R28" s="346">
        <v>4054.308</v>
      </c>
      <c r="S28" s="346">
        <v>4109.1289999999999</v>
      </c>
      <c r="T28" s="346">
        <v>4156.7430000000004</v>
      </c>
      <c r="U28" s="346">
        <v>4204.9690000000001</v>
      </c>
      <c r="V28" s="346">
        <v>4245.5829999999996</v>
      </c>
      <c r="W28" s="346">
        <v>4284.9189999999999</v>
      </c>
      <c r="X28" s="346">
        <v>4359.9440000000004</v>
      </c>
      <c r="Y28" s="346">
        <v>4441.027</v>
      </c>
      <c r="Z28" s="346">
        <v>4513.4210000000003</v>
      </c>
      <c r="AA28" s="346">
        <v>4584.2020000000002</v>
      </c>
      <c r="AB28" s="346">
        <v>4641.308</v>
      </c>
      <c r="AC28" s="346">
        <v>4694.9210000000003</v>
      </c>
      <c r="AD28" s="346">
        <v>4748.0479999999998</v>
      </c>
      <c r="AE28" s="346">
        <v>4821.5569999999998</v>
      </c>
      <c r="AF28" s="346">
        <v>4899</v>
      </c>
      <c r="AG28" s="346">
        <v>4978.8519999999999</v>
      </c>
      <c r="AH28" s="754">
        <v>5040</v>
      </c>
      <c r="AI28" s="301">
        <f t="shared" si="4"/>
        <v>1.2281546027076189</v>
      </c>
      <c r="AJ28" s="154" t="s">
        <v>59</v>
      </c>
    </row>
    <row r="29" spans="1:36" s="23" customFormat="1" ht="12.75" customHeight="1">
      <c r="A29" s="298"/>
      <c r="B29" s="10" t="s">
        <v>43</v>
      </c>
      <c r="C29" s="156">
        <v>479</v>
      </c>
      <c r="D29" s="156">
        <v>2380</v>
      </c>
      <c r="E29" s="345">
        <v>5261</v>
      </c>
      <c r="F29" s="345">
        <v>6110</v>
      </c>
      <c r="G29" s="345">
        <v>6505</v>
      </c>
      <c r="H29" s="345">
        <v>6770.5569999999998</v>
      </c>
      <c r="I29" s="345">
        <v>7153.1409999999996</v>
      </c>
      <c r="J29" s="345">
        <v>7517.2659999999996</v>
      </c>
      <c r="K29" s="345">
        <v>8054.4480000000003</v>
      </c>
      <c r="L29" s="345">
        <v>8533.4490000000005</v>
      </c>
      <c r="M29" s="345">
        <v>8890.7630000000008</v>
      </c>
      <c r="N29" s="345">
        <v>9282.9</v>
      </c>
      <c r="O29" s="345">
        <v>9991.2999999999993</v>
      </c>
      <c r="P29" s="345">
        <v>10503.1</v>
      </c>
      <c r="Q29" s="345">
        <v>11028.9</v>
      </c>
      <c r="R29" s="345">
        <v>11243.8</v>
      </c>
      <c r="S29" s="345">
        <v>11975.191000000001</v>
      </c>
      <c r="T29" s="345">
        <v>12339.352999999999</v>
      </c>
      <c r="U29" s="345">
        <v>13384.228999999999</v>
      </c>
      <c r="V29" s="345">
        <v>14588.739</v>
      </c>
      <c r="W29" s="345">
        <v>16079.532999999999</v>
      </c>
      <c r="X29" s="345">
        <v>16495</v>
      </c>
      <c r="Y29" s="345">
        <v>17239.8</v>
      </c>
      <c r="Z29" s="345">
        <v>18125</v>
      </c>
      <c r="AA29" s="345">
        <v>18744</v>
      </c>
      <c r="AB29" s="345">
        <v>19389.446</v>
      </c>
      <c r="AC29" s="345">
        <v>20003.863000000001</v>
      </c>
      <c r="AD29" s="345">
        <v>20723</v>
      </c>
      <c r="AE29" s="345">
        <v>21675.387999999999</v>
      </c>
      <c r="AF29" s="345">
        <v>22504</v>
      </c>
      <c r="AG29" s="345">
        <v>23429</v>
      </c>
      <c r="AH29" s="755">
        <v>24360.166000000001</v>
      </c>
      <c r="AI29" s="873">
        <f t="shared" si="4"/>
        <v>3.9744163216526545</v>
      </c>
      <c r="AJ29" s="10" t="s">
        <v>43</v>
      </c>
    </row>
    <row r="30" spans="1:36" ht="12.75" customHeight="1">
      <c r="A30" s="8"/>
      <c r="B30" s="154" t="s">
        <v>60</v>
      </c>
      <c r="C30" s="157">
        <v>421</v>
      </c>
      <c r="D30" s="157">
        <v>1269</v>
      </c>
      <c r="E30" s="346">
        <v>1849</v>
      </c>
      <c r="F30" s="351">
        <v>1950</v>
      </c>
      <c r="G30" s="351">
        <v>2100</v>
      </c>
      <c r="H30" s="351">
        <v>2250</v>
      </c>
      <c r="I30" s="351">
        <v>2410</v>
      </c>
      <c r="J30" s="346">
        <v>2560</v>
      </c>
      <c r="K30" s="346">
        <v>2750</v>
      </c>
      <c r="L30" s="346">
        <v>2950</v>
      </c>
      <c r="M30" s="346">
        <v>3150</v>
      </c>
      <c r="N30" s="346">
        <v>3350</v>
      </c>
      <c r="O30" s="346">
        <v>3443</v>
      </c>
      <c r="P30" s="346">
        <v>3589</v>
      </c>
      <c r="Q30" s="346">
        <v>3885</v>
      </c>
      <c r="R30" s="346">
        <v>3966</v>
      </c>
      <c r="S30" s="346">
        <v>4100</v>
      </c>
      <c r="T30" s="346">
        <v>4200</v>
      </c>
      <c r="U30" s="346">
        <v>4290</v>
      </c>
      <c r="V30" s="346">
        <v>4379</v>
      </c>
      <c r="W30" s="346">
        <v>4408</v>
      </c>
      <c r="X30" s="346">
        <v>4457</v>
      </c>
      <c r="Y30" s="350">
        <v>4692</v>
      </c>
      <c r="Z30" s="346">
        <v>4712</v>
      </c>
      <c r="AA30" s="346">
        <v>4259</v>
      </c>
      <c r="AB30" s="346">
        <v>4327.4780000000001</v>
      </c>
      <c r="AC30" s="346">
        <v>4699.6450000000004</v>
      </c>
      <c r="AD30" s="346">
        <v>4722.9629999999997</v>
      </c>
      <c r="AE30" s="346">
        <v>4850.2290000000003</v>
      </c>
      <c r="AF30" s="346">
        <v>5059.4719999999998</v>
      </c>
      <c r="AG30" s="346">
        <v>5282.97</v>
      </c>
      <c r="AH30" s="754">
        <v>5452.1189999999997</v>
      </c>
      <c r="AI30" s="301">
        <f t="shared" si="4"/>
        <v>3.2017785450229468</v>
      </c>
      <c r="AJ30" s="154" t="s">
        <v>60</v>
      </c>
    </row>
    <row r="31" spans="1:36" s="23" customFormat="1" ht="12.75" customHeight="1">
      <c r="A31" s="298"/>
      <c r="B31" s="10" t="s">
        <v>44</v>
      </c>
      <c r="C31" s="156">
        <v>40</v>
      </c>
      <c r="D31" s="156">
        <v>240</v>
      </c>
      <c r="E31" s="345">
        <v>1292.2829999999999</v>
      </c>
      <c r="F31" s="345">
        <v>1431.566</v>
      </c>
      <c r="G31" s="345">
        <v>1593.029</v>
      </c>
      <c r="H31" s="345">
        <v>1793.0540000000001</v>
      </c>
      <c r="I31" s="345">
        <v>2020.0170000000001</v>
      </c>
      <c r="J31" s="345">
        <v>2197.4769999999999</v>
      </c>
      <c r="K31" s="345">
        <v>2326.1770000000001</v>
      </c>
      <c r="L31" s="345">
        <v>2447.087</v>
      </c>
      <c r="M31" s="345">
        <v>2594.5709999999999</v>
      </c>
      <c r="N31" s="345">
        <v>2702.0210000000002</v>
      </c>
      <c r="O31" s="345">
        <v>2777.5940000000001</v>
      </c>
      <c r="P31" s="345">
        <v>2881.1909999999998</v>
      </c>
      <c r="Q31" s="345">
        <v>2973.39</v>
      </c>
      <c r="R31" s="345">
        <v>3087.6280000000002</v>
      </c>
      <c r="S31" s="345">
        <v>3225.3670000000002</v>
      </c>
      <c r="T31" s="345">
        <v>3363.779</v>
      </c>
      <c r="U31" s="348">
        <v>3603.4369999999999</v>
      </c>
      <c r="V31" s="345">
        <v>3541.2620000000002</v>
      </c>
      <c r="W31" s="345">
        <v>4027.3629999999998</v>
      </c>
      <c r="X31" s="345">
        <v>4244.8999999999996</v>
      </c>
      <c r="Y31" s="345">
        <v>4319.701</v>
      </c>
      <c r="Z31" s="345">
        <v>4334.5469999999996</v>
      </c>
      <c r="AA31" s="345">
        <v>4487.2510000000002</v>
      </c>
      <c r="AB31" s="345">
        <v>4695.66</v>
      </c>
      <c r="AC31" s="345">
        <v>4907.5640000000003</v>
      </c>
      <c r="AD31" s="345">
        <v>5155.0590000000002</v>
      </c>
      <c r="AE31" s="345">
        <v>5472.4229999999998</v>
      </c>
      <c r="AF31" s="345">
        <v>5998</v>
      </c>
      <c r="AG31" s="345">
        <v>6452.5360000000001</v>
      </c>
      <c r="AH31" s="755">
        <v>6902.9840000000004</v>
      </c>
      <c r="AI31" s="873">
        <f t="shared" si="4"/>
        <v>6.9809451663656006</v>
      </c>
      <c r="AJ31" s="10" t="s">
        <v>44</v>
      </c>
    </row>
    <row r="32" spans="1:36" ht="12.75" customHeight="1">
      <c r="A32" s="8"/>
      <c r="B32" s="154" t="s">
        <v>46</v>
      </c>
      <c r="C32" s="157">
        <v>150.80699999999999</v>
      </c>
      <c r="D32" s="157">
        <v>416.44799999999998</v>
      </c>
      <c r="E32" s="346">
        <v>587.10400000000004</v>
      </c>
      <c r="F32" s="346">
        <v>602.88400000000001</v>
      </c>
      <c r="G32" s="346">
        <v>606.245</v>
      </c>
      <c r="H32" s="346">
        <v>650.34400000000005</v>
      </c>
      <c r="I32" s="346">
        <v>668.30700000000002</v>
      </c>
      <c r="J32" s="346">
        <v>711.36400000000003</v>
      </c>
      <c r="K32" s="346">
        <v>743.05700000000002</v>
      </c>
      <c r="L32" s="346">
        <v>776.798</v>
      </c>
      <c r="M32" s="346">
        <v>811.67100000000005</v>
      </c>
      <c r="N32" s="346">
        <v>846.10900000000004</v>
      </c>
      <c r="O32" s="346">
        <v>866.096</v>
      </c>
      <c r="P32" s="346">
        <v>881.48699999999997</v>
      </c>
      <c r="Q32" s="346">
        <v>894.52099999999996</v>
      </c>
      <c r="R32" s="346">
        <v>910.42899999999997</v>
      </c>
      <c r="S32" s="346">
        <v>933.94100000000003</v>
      </c>
      <c r="T32" s="346">
        <v>960.21299999999997</v>
      </c>
      <c r="U32" s="346">
        <v>980.26099999999997</v>
      </c>
      <c r="V32" s="346">
        <v>1014.122</v>
      </c>
      <c r="W32" s="346">
        <v>1045.183</v>
      </c>
      <c r="X32" s="346">
        <v>1058.8579999999999</v>
      </c>
      <c r="Y32" s="346">
        <v>1061.646</v>
      </c>
      <c r="Z32" s="346">
        <v>1066.49</v>
      </c>
      <c r="AA32" s="346">
        <v>1066.028</v>
      </c>
      <c r="AB32" s="346">
        <f>1063.795</f>
        <v>1063.7950000000001</v>
      </c>
      <c r="AC32" s="346">
        <v>1068.3620000000001</v>
      </c>
      <c r="AD32" s="346">
        <v>1078.74</v>
      </c>
      <c r="AE32" s="346">
        <v>1096.5229999999999</v>
      </c>
      <c r="AF32" s="346">
        <v>1117.9349999999999</v>
      </c>
      <c r="AG32" s="346">
        <v>1143.1500000000001</v>
      </c>
      <c r="AH32" s="754">
        <v>1165.3710000000001</v>
      </c>
      <c r="AI32" s="301">
        <f t="shared" si="4"/>
        <v>1.9438393911560041</v>
      </c>
      <c r="AJ32" s="154" t="s">
        <v>46</v>
      </c>
    </row>
    <row r="33" spans="1:36" s="23" customFormat="1" ht="12.75" customHeight="1">
      <c r="A33" s="298"/>
      <c r="B33" s="10" t="s">
        <v>45</v>
      </c>
      <c r="C33" s="156">
        <v>164</v>
      </c>
      <c r="D33" s="156">
        <v>552</v>
      </c>
      <c r="E33" s="345">
        <v>880</v>
      </c>
      <c r="F33" s="345">
        <v>929</v>
      </c>
      <c r="G33" s="345">
        <v>971</v>
      </c>
      <c r="H33" s="345">
        <v>994.93299999999999</v>
      </c>
      <c r="I33" s="345">
        <v>994.04600000000005</v>
      </c>
      <c r="J33" s="345">
        <v>1015.794</v>
      </c>
      <c r="K33" s="345">
        <v>1058.425</v>
      </c>
      <c r="L33" s="345">
        <v>1135.914</v>
      </c>
      <c r="M33" s="345">
        <v>1196.1089999999999</v>
      </c>
      <c r="N33" s="345">
        <v>1236.4000000000001</v>
      </c>
      <c r="O33" s="345">
        <v>1274.2</v>
      </c>
      <c r="P33" s="345">
        <v>1292.8</v>
      </c>
      <c r="Q33" s="345">
        <v>1326.9</v>
      </c>
      <c r="R33" s="348">
        <v>1356.2</v>
      </c>
      <c r="S33" s="345">
        <v>1197.03</v>
      </c>
      <c r="T33" s="345">
        <v>1303.704</v>
      </c>
      <c r="U33" s="345">
        <v>1333.749</v>
      </c>
      <c r="V33" s="345">
        <v>1433.9259999999999</v>
      </c>
      <c r="W33" s="345">
        <v>1544.8879999999999</v>
      </c>
      <c r="X33" s="354">
        <v>1589.0440000000001</v>
      </c>
      <c r="Y33" s="354">
        <v>1669.0650000000001</v>
      </c>
      <c r="Z33" s="354">
        <v>1749.3</v>
      </c>
      <c r="AA33" s="354">
        <v>1824.19</v>
      </c>
      <c r="AB33" s="354">
        <f>1879.759</f>
        <v>1879.759</v>
      </c>
      <c r="AC33" s="354">
        <v>1949.0550000000001</v>
      </c>
      <c r="AD33" s="354">
        <v>2034.5740000000001</v>
      </c>
      <c r="AE33" s="354">
        <v>2121.7739999999999</v>
      </c>
      <c r="AF33" s="354">
        <v>2223.1170000000002</v>
      </c>
      <c r="AG33" s="354">
        <v>2321.6080000000002</v>
      </c>
      <c r="AH33" s="753">
        <v>2393.5770000000002</v>
      </c>
      <c r="AI33" s="873">
        <f t="shared" si="4"/>
        <v>3.0999634735924531</v>
      </c>
      <c r="AJ33" s="10" t="s">
        <v>45</v>
      </c>
    </row>
    <row r="34" spans="1:36" s="54" customFormat="1" ht="12.75" customHeight="1">
      <c r="A34" s="8"/>
      <c r="B34" s="154" t="s">
        <v>61</v>
      </c>
      <c r="C34" s="157">
        <v>712</v>
      </c>
      <c r="D34" s="157">
        <v>1226</v>
      </c>
      <c r="E34" s="346">
        <v>1938.856</v>
      </c>
      <c r="F34" s="346">
        <v>1923</v>
      </c>
      <c r="G34" s="346">
        <v>1936</v>
      </c>
      <c r="H34" s="346">
        <v>1872.933</v>
      </c>
      <c r="I34" s="346">
        <v>1872.588</v>
      </c>
      <c r="J34" s="346">
        <v>1900.855</v>
      </c>
      <c r="K34" s="346">
        <v>1942.752</v>
      </c>
      <c r="L34" s="346">
        <v>1948.126</v>
      </c>
      <c r="M34" s="346">
        <v>2021.116</v>
      </c>
      <c r="N34" s="346">
        <v>2082.58</v>
      </c>
      <c r="O34" s="346">
        <v>2134.7280000000001</v>
      </c>
      <c r="P34" s="346">
        <v>2160.6030000000001</v>
      </c>
      <c r="Q34" s="346">
        <v>2194.683</v>
      </c>
      <c r="R34" s="346">
        <v>2274.5770000000002</v>
      </c>
      <c r="S34" s="346">
        <v>2346.7260000000001</v>
      </c>
      <c r="T34" s="346">
        <v>2430.3449999999998</v>
      </c>
      <c r="U34" s="346">
        <v>2505.5430000000001</v>
      </c>
      <c r="V34" s="346">
        <v>2570.3560000000002</v>
      </c>
      <c r="W34" s="346">
        <v>2700.4920000000002</v>
      </c>
      <c r="X34" s="346">
        <v>2776.6640000000002</v>
      </c>
      <c r="Y34" s="346">
        <v>2877.4839999999999</v>
      </c>
      <c r="Z34" s="346">
        <v>2978.7289999999998</v>
      </c>
      <c r="AA34" s="346">
        <v>3057.4839999999999</v>
      </c>
      <c r="AB34" s="346">
        <f>3127.399</f>
        <v>3127.3989999999999</v>
      </c>
      <c r="AC34" s="346">
        <v>3194.95</v>
      </c>
      <c r="AD34" s="346">
        <v>3257.5810000000001</v>
      </c>
      <c r="AE34" s="346">
        <v>3346.0050000000001</v>
      </c>
      <c r="AF34" s="346">
        <v>3423</v>
      </c>
      <c r="AG34" s="346">
        <v>3494.8359999999998</v>
      </c>
      <c r="AH34" s="754">
        <f>3574570/1000</f>
        <v>3574.57</v>
      </c>
      <c r="AI34" s="301">
        <f t="shared" si="4"/>
        <v>2.2814804471511678</v>
      </c>
      <c r="AJ34" s="154" t="s">
        <v>61</v>
      </c>
    </row>
    <row r="35" spans="1:36" s="23" customFormat="1" ht="12.75" customHeight="1">
      <c r="A35" s="298"/>
      <c r="B35" s="11" t="s">
        <v>62</v>
      </c>
      <c r="C35" s="337">
        <v>2288</v>
      </c>
      <c r="D35" s="337">
        <v>2883</v>
      </c>
      <c r="E35" s="357">
        <v>3601</v>
      </c>
      <c r="F35" s="357">
        <v>3619</v>
      </c>
      <c r="G35" s="357">
        <v>3589</v>
      </c>
      <c r="H35" s="357">
        <v>3566.1</v>
      </c>
      <c r="I35" s="357">
        <v>3594.2</v>
      </c>
      <c r="J35" s="357">
        <v>3630.76</v>
      </c>
      <c r="K35" s="357">
        <v>3654.92</v>
      </c>
      <c r="L35" s="357">
        <v>3701.17</v>
      </c>
      <c r="M35" s="357">
        <v>3790.6950000000002</v>
      </c>
      <c r="N35" s="357">
        <v>3890.1590000000001</v>
      </c>
      <c r="O35" s="357">
        <v>3998.614</v>
      </c>
      <c r="P35" s="357">
        <v>4018.5329999999999</v>
      </c>
      <c r="Q35" s="357">
        <v>4042.7919999999999</v>
      </c>
      <c r="R35" s="357">
        <v>4075.4140000000002</v>
      </c>
      <c r="S35" s="357">
        <v>4113.424</v>
      </c>
      <c r="T35" s="357">
        <v>4153.674</v>
      </c>
      <c r="U35" s="357">
        <v>4202.4629999999997</v>
      </c>
      <c r="V35" s="357">
        <v>4258.4629999999997</v>
      </c>
      <c r="W35" s="357">
        <v>4278.9949999999999</v>
      </c>
      <c r="X35" s="357">
        <v>4300.7520000000004</v>
      </c>
      <c r="Y35" s="357">
        <v>4335.1819999999998</v>
      </c>
      <c r="Z35" s="357">
        <v>4401.3519999999999</v>
      </c>
      <c r="AA35" s="357">
        <v>4447.165</v>
      </c>
      <c r="AB35" s="357">
        <v>4495.473</v>
      </c>
      <c r="AC35" s="357">
        <v>4585.5190000000002</v>
      </c>
      <c r="AD35" s="357">
        <v>4669.0630000000001</v>
      </c>
      <c r="AE35" s="357">
        <v>4768.0600000000004</v>
      </c>
      <c r="AF35" s="357">
        <v>4844.8230000000003</v>
      </c>
      <c r="AG35" s="357">
        <v>4869.9790000000003</v>
      </c>
      <c r="AH35" s="756">
        <v>4887.116</v>
      </c>
      <c r="AI35" s="874">
        <f t="shared" si="4"/>
        <v>0.35189063443598911</v>
      </c>
      <c r="AJ35" s="11" t="s">
        <v>62</v>
      </c>
    </row>
    <row r="36" spans="1:36" ht="12.75" customHeight="1">
      <c r="A36" s="8"/>
      <c r="B36" s="551" t="s">
        <v>51</v>
      </c>
      <c r="C36" s="713">
        <v>11900</v>
      </c>
      <c r="D36" s="713">
        <v>15619</v>
      </c>
      <c r="E36" s="674">
        <v>20722</v>
      </c>
      <c r="F36" s="674">
        <v>20760</v>
      </c>
      <c r="G36" s="674">
        <v>20970</v>
      </c>
      <c r="H36" s="674">
        <v>21290.696</v>
      </c>
      <c r="I36" s="674">
        <v>21740.708999999999</v>
      </c>
      <c r="J36" s="674">
        <v>21950.81</v>
      </c>
      <c r="K36" s="674">
        <v>22818.718000000001</v>
      </c>
      <c r="L36" s="674">
        <v>23450</v>
      </c>
      <c r="M36" s="674">
        <f>23293+36+592.836+0.393</f>
        <v>23922.228999999999</v>
      </c>
      <c r="N36" s="674">
        <f>23975+37+615.567+0.375</f>
        <v>24627.941999999999</v>
      </c>
      <c r="O36" s="674">
        <f>24406+38+622.488+0.376</f>
        <v>25066.864000000001</v>
      </c>
      <c r="P36" s="674">
        <f>25126+39+650.323+0.379</f>
        <v>25815.702000000001</v>
      </c>
      <c r="Q36" s="674">
        <f>25782+39+671.18+0.413</f>
        <v>26492.593000000001</v>
      </c>
      <c r="R36" s="674">
        <f>26240+39+712.835+0.513</f>
        <v>26992.347999999998</v>
      </c>
      <c r="S36" s="355">
        <f>27028+41+736.706+0.538</f>
        <v>27806.243999999999</v>
      </c>
      <c r="T36" s="355">
        <f>27520+42+763.664+0.633</f>
        <v>28326.297000000002</v>
      </c>
      <c r="U36" s="355">
        <f>27609.2+43+793.763+0.698</f>
        <v>28446.661</v>
      </c>
      <c r="V36" s="674">
        <v>28873.319</v>
      </c>
      <c r="W36" s="674">
        <v>29049.914000000001</v>
      </c>
      <c r="X36" s="674">
        <v>29152.304000000004</v>
      </c>
      <c r="Y36" s="674">
        <v>29333.576000000001</v>
      </c>
      <c r="Z36" s="674">
        <v>29382.213999999996</v>
      </c>
      <c r="AA36" s="674">
        <v>29644.178</v>
      </c>
      <c r="AB36" s="674">
        <f>29140.9+43.473+890.484+0.579</f>
        <v>30075.436000000005</v>
      </c>
      <c r="AC36" s="940">
        <v>30513.3</v>
      </c>
      <c r="AD36" s="674">
        <v>31170.7</v>
      </c>
      <c r="AE36" s="674">
        <f>31792.3</f>
        <v>31792.3</v>
      </c>
      <c r="AF36" s="674">
        <v>32159.9</v>
      </c>
      <c r="AG36" s="674">
        <v>32493.3</v>
      </c>
      <c r="AH36" s="675">
        <f>328843/10</f>
        <v>32884.300000000003</v>
      </c>
      <c r="AI36" s="301">
        <f>AH36/AG36*100-100</f>
        <v>1.2033249931524495</v>
      </c>
      <c r="AJ36" s="155" t="s">
        <v>51</v>
      </c>
    </row>
    <row r="37" spans="1:36" ht="12.75" customHeight="1">
      <c r="A37" s="8"/>
      <c r="B37" s="10" t="s">
        <v>161</v>
      </c>
      <c r="C37" s="156"/>
      <c r="D37" s="156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45">
        <v>164.65299999999999</v>
      </c>
      <c r="Z37" s="345">
        <v>171.97300000000001</v>
      </c>
      <c r="AA37" s="345">
        <v>173.86500000000001</v>
      </c>
      <c r="AB37" s="345">
        <v>178.66200000000001</v>
      </c>
      <c r="AC37" s="345">
        <v>174.07300000000001</v>
      </c>
      <c r="AD37" s="345">
        <v>175.91200000000001</v>
      </c>
      <c r="AE37" s="345">
        <v>184.73400000000001</v>
      </c>
      <c r="AF37" s="345">
        <v>193.24199999999999</v>
      </c>
      <c r="AG37" s="345">
        <v>206.453</v>
      </c>
      <c r="AH37" s="823">
        <f>217959/1000</f>
        <v>217.959</v>
      </c>
      <c r="AI37" s="941">
        <f t="shared" si="4"/>
        <v>5.5731813051881147</v>
      </c>
      <c r="AJ37" s="10" t="s">
        <v>161</v>
      </c>
    </row>
    <row r="38" spans="1:36" ht="12.75" customHeight="1">
      <c r="A38" s="8"/>
      <c r="B38" s="154" t="s">
        <v>0</v>
      </c>
      <c r="C38" s="157"/>
      <c r="D38" s="157"/>
      <c r="E38" s="346"/>
      <c r="F38" s="346"/>
      <c r="G38" s="346"/>
      <c r="H38" s="346">
        <v>289.97899999999998</v>
      </c>
      <c r="I38" s="346">
        <v>263.18099999999998</v>
      </c>
      <c r="J38" s="346">
        <v>285.90699999999998</v>
      </c>
      <c r="K38" s="346">
        <v>284.02199999999999</v>
      </c>
      <c r="L38" s="346">
        <v>289.20400000000001</v>
      </c>
      <c r="M38" s="346">
        <v>288.678</v>
      </c>
      <c r="N38" s="346">
        <v>290</v>
      </c>
      <c r="O38" s="346">
        <v>300</v>
      </c>
      <c r="P38" s="346">
        <v>310</v>
      </c>
      <c r="Q38" s="346">
        <v>308</v>
      </c>
      <c r="R38" s="347">
        <v>299.80900000000003</v>
      </c>
      <c r="S38" s="346">
        <v>249.40299999999999</v>
      </c>
      <c r="T38" s="346">
        <v>253.23400000000001</v>
      </c>
      <c r="U38" s="346">
        <v>242.28700000000001</v>
      </c>
      <c r="V38" s="346">
        <f>248.774</f>
        <v>248.774</v>
      </c>
      <c r="W38" s="346">
        <f>263.112</f>
        <v>263.11200000000002</v>
      </c>
      <c r="X38" s="346">
        <f>282.196</f>
        <v>282.19600000000003</v>
      </c>
      <c r="Y38" s="346">
        <v>310.23099999999999</v>
      </c>
      <c r="Z38" s="346">
        <v>313.08</v>
      </c>
      <c r="AA38" s="346">
        <v>301.76100000000002</v>
      </c>
      <c r="AB38" s="346">
        <v>346.798</v>
      </c>
      <c r="AC38" s="346">
        <v>371.44900000000001</v>
      </c>
      <c r="AD38" s="346">
        <v>383.83300000000003</v>
      </c>
      <c r="AE38" s="346">
        <v>394.93400000000003</v>
      </c>
      <c r="AF38" s="346">
        <v>403.31599999999997</v>
      </c>
      <c r="AG38" s="754">
        <v>415.06200000000001</v>
      </c>
      <c r="AH38" s="754">
        <f>426045/1000</f>
        <v>426.04500000000002</v>
      </c>
      <c r="AI38" s="301">
        <f t="shared" si="4"/>
        <v>2.6461107015337575</v>
      </c>
      <c r="AJ38" s="154" t="s">
        <v>0</v>
      </c>
    </row>
    <row r="39" spans="1:36" s="23" customFormat="1" ht="12.75" customHeight="1">
      <c r="A39" s="298"/>
      <c r="B39" s="10" t="s">
        <v>167</v>
      </c>
      <c r="C39" s="156"/>
      <c r="D39" s="156"/>
      <c r="E39" s="345"/>
      <c r="F39" s="345"/>
      <c r="G39" s="345"/>
      <c r="H39" s="345">
        <v>56.728000000000002</v>
      </c>
      <c r="I39" s="345">
        <v>67.959999999999994</v>
      </c>
      <c r="J39" s="345">
        <v>58.682000000000002</v>
      </c>
      <c r="K39" s="345">
        <v>67.278000000000006</v>
      </c>
      <c r="L39" s="345">
        <v>76.822000000000003</v>
      </c>
      <c r="M39" s="345">
        <v>90.766000000000005</v>
      </c>
      <c r="N39" s="345">
        <v>92.251999999999995</v>
      </c>
      <c r="O39" s="345">
        <v>114.532</v>
      </c>
      <c r="P39" s="345">
        <v>133.53299999999999</v>
      </c>
      <c r="Q39" s="345">
        <v>148.53100000000001</v>
      </c>
      <c r="R39" s="345">
        <v>174.78200000000001</v>
      </c>
      <c r="S39" s="345">
        <v>190.00399999999999</v>
      </c>
      <c r="T39" s="345">
        <v>195.125</v>
      </c>
      <c r="U39" s="345">
        <v>225.114</v>
      </c>
      <c r="V39" s="345">
        <v>237.93199999999999</v>
      </c>
      <c r="W39" s="345">
        <v>264.82799999999997</v>
      </c>
      <c r="X39" s="345">
        <v>281.23599999999999</v>
      </c>
      <c r="Y39" s="345">
        <v>294.72899999999998</v>
      </c>
      <c r="Z39" s="345">
        <v>300.97399999999999</v>
      </c>
      <c r="AA39" s="345">
        <v>297.34100000000001</v>
      </c>
      <c r="AB39" s="345">
        <v>341.69099999999997</v>
      </c>
      <c r="AC39" s="345">
        <v>378.053</v>
      </c>
      <c r="AD39" s="354">
        <v>403.68</v>
      </c>
      <c r="AE39" s="354">
        <v>436.01299999999998</v>
      </c>
      <c r="AF39" s="354">
        <v>422</v>
      </c>
      <c r="AG39" s="354">
        <v>460.02699999999999</v>
      </c>
      <c r="AH39" s="753">
        <v>499.79</v>
      </c>
      <c r="AI39" s="873">
        <f t="shared" si="4"/>
        <v>8.6436230916881129</v>
      </c>
      <c r="AJ39" s="10" t="s">
        <v>167</v>
      </c>
    </row>
    <row r="40" spans="1:36" ht="12.75" customHeight="1">
      <c r="A40" s="8"/>
      <c r="B40" s="154" t="s">
        <v>160</v>
      </c>
      <c r="C40" s="157"/>
      <c r="D40" s="157"/>
      <c r="E40" s="346"/>
      <c r="F40" s="346"/>
      <c r="G40" s="346"/>
      <c r="H40" s="346"/>
      <c r="I40" s="346"/>
      <c r="J40" s="346"/>
      <c r="K40" s="346"/>
      <c r="L40" s="346"/>
      <c r="M40" s="346"/>
      <c r="N40" s="346"/>
      <c r="O40" s="346"/>
      <c r="P40" s="346">
        <v>1382.396</v>
      </c>
      <c r="Q40" s="346">
        <v>1343.6579999999999</v>
      </c>
      <c r="R40" s="346">
        <v>1388.1089999999999</v>
      </c>
      <c r="S40" s="346">
        <v>1449.8430000000001</v>
      </c>
      <c r="T40" s="346">
        <v>1481.498</v>
      </c>
      <c r="U40" s="346">
        <v>1511.837</v>
      </c>
      <c r="V40" s="346">
        <v>1476.6420000000001</v>
      </c>
      <c r="W40" s="346">
        <v>1486.6079999999999</v>
      </c>
      <c r="X40" s="346">
        <v>1637.002</v>
      </c>
      <c r="Y40" s="346">
        <v>1565.55</v>
      </c>
      <c r="Z40" s="346">
        <v>1677.51</v>
      </c>
      <c r="AA40" s="346">
        <v>1726.19</v>
      </c>
      <c r="AB40" s="346">
        <v>1770.2059999999999</v>
      </c>
      <c r="AC40" s="346">
        <v>1797.4269999999999</v>
      </c>
      <c r="AD40" s="346">
        <v>1834.89</v>
      </c>
      <c r="AE40" s="346">
        <v>1888.2950000000001</v>
      </c>
      <c r="AF40" s="346">
        <v>1969</v>
      </c>
      <c r="AG40" s="754">
        <f>1999753/1000</f>
        <v>1999.7529999999999</v>
      </c>
      <c r="AH40" s="754">
        <f>2083753/1000</f>
        <v>2083.7530000000002</v>
      </c>
      <c r="AI40" s="301">
        <f t="shared" si="4"/>
        <v>4.2005187640673682</v>
      </c>
      <c r="AJ40" s="154" t="s">
        <v>160</v>
      </c>
    </row>
    <row r="41" spans="1:36" ht="12.75" customHeight="1">
      <c r="A41" s="8"/>
      <c r="B41" s="11" t="s">
        <v>47</v>
      </c>
      <c r="C41" s="337" t="s">
        <v>64</v>
      </c>
      <c r="D41" s="337" t="s">
        <v>64</v>
      </c>
      <c r="E41" s="357"/>
      <c r="F41" s="357"/>
      <c r="G41" s="357"/>
      <c r="H41" s="357">
        <v>2619.8519999999999</v>
      </c>
      <c r="I41" s="357">
        <v>2861.64</v>
      </c>
      <c r="J41" s="357">
        <v>3058.5110000000004</v>
      </c>
      <c r="K41" s="357">
        <v>3274.1559999999999</v>
      </c>
      <c r="L41" s="357">
        <v>3570.105</v>
      </c>
      <c r="M41" s="357">
        <v>3838.288</v>
      </c>
      <c r="N41" s="357">
        <v>4072.326</v>
      </c>
      <c r="O41" s="357">
        <v>4422.18</v>
      </c>
      <c r="P41" s="357">
        <v>4534.8029999999999</v>
      </c>
      <c r="Q41" s="357">
        <v>4600.1400000000003</v>
      </c>
      <c r="R41" s="357">
        <v>4700.3429999999998</v>
      </c>
      <c r="S41" s="357">
        <v>5400.44</v>
      </c>
      <c r="T41" s="357">
        <v>5772.7449999999999</v>
      </c>
      <c r="U41" s="357">
        <v>6140.9920000000002</v>
      </c>
      <c r="V41" s="357">
        <v>6472.1559999999999</v>
      </c>
      <c r="W41" s="357">
        <v>6796.6289999999999</v>
      </c>
      <c r="X41" s="357">
        <f>7093.964</f>
        <v>7093.9639999999999</v>
      </c>
      <c r="Y41" s="357">
        <f>7544.871</f>
        <v>7544.8710000000001</v>
      </c>
      <c r="Z41" s="357">
        <v>8113.1109999999999</v>
      </c>
      <c r="AA41" s="357">
        <v>8648.875</v>
      </c>
      <c r="AB41" s="357">
        <f>9283.923</f>
        <v>9283.9230000000007</v>
      </c>
      <c r="AC41" s="357">
        <v>9857.9150000000009</v>
      </c>
      <c r="AD41" s="357">
        <v>10589.337</v>
      </c>
      <c r="AE41" s="357">
        <v>11317.998</v>
      </c>
      <c r="AF41" s="357">
        <v>12035.977999999999</v>
      </c>
      <c r="AG41" s="357">
        <v>12398.19</v>
      </c>
      <c r="AH41" s="358">
        <v>12503</v>
      </c>
      <c r="AI41" s="874">
        <f t="shared" si="4"/>
        <v>0.845365331552415</v>
      </c>
      <c r="AJ41" s="11" t="s">
        <v>47</v>
      </c>
    </row>
    <row r="42" spans="1:36" ht="12.75" customHeight="1">
      <c r="A42" s="8"/>
      <c r="B42" s="153" t="s">
        <v>33</v>
      </c>
      <c r="C42" s="338">
        <v>40.786000000000001</v>
      </c>
      <c r="D42" s="338">
        <v>85.924000000000007</v>
      </c>
      <c r="E42" s="359">
        <v>119.73099999999999</v>
      </c>
      <c r="F42" s="359">
        <v>120.86199999999999</v>
      </c>
      <c r="G42" s="359">
        <v>120.146</v>
      </c>
      <c r="H42" s="359">
        <v>116.19499999999999</v>
      </c>
      <c r="I42" s="359">
        <v>116.24299999999999</v>
      </c>
      <c r="J42" s="359">
        <v>119.232</v>
      </c>
      <c r="K42" s="359">
        <v>124.90900000000001</v>
      </c>
      <c r="L42" s="359">
        <v>132.46799999999999</v>
      </c>
      <c r="M42" s="359">
        <v>140.37200000000001</v>
      </c>
      <c r="N42" s="359">
        <v>151.40899999999999</v>
      </c>
      <c r="O42" s="359">
        <v>158.93600000000001</v>
      </c>
      <c r="P42" s="359">
        <v>159.86500000000001</v>
      </c>
      <c r="Q42" s="359">
        <v>161.721</v>
      </c>
      <c r="R42" s="359">
        <v>166.869</v>
      </c>
      <c r="S42" s="359">
        <v>175.42699999999999</v>
      </c>
      <c r="T42" s="359">
        <v>187.44200000000001</v>
      </c>
      <c r="U42" s="359">
        <v>197.30500000000001</v>
      </c>
      <c r="V42" s="359">
        <v>207.51300000000001</v>
      </c>
      <c r="W42" s="359">
        <v>209.74</v>
      </c>
      <c r="X42" s="359">
        <v>205.33799999999999</v>
      </c>
      <c r="Y42" s="359">
        <v>204.73599999999999</v>
      </c>
      <c r="Z42" s="359">
        <f>206.112</f>
        <v>206.11199999999999</v>
      </c>
      <c r="AA42" s="359">
        <f>210.07</f>
        <v>210.07</v>
      </c>
      <c r="AB42" s="526">
        <v>213.113</v>
      </c>
      <c r="AC42" s="526">
        <v>217.45400000000001</v>
      </c>
      <c r="AD42" s="526">
        <v>226.321</v>
      </c>
      <c r="AE42" s="526">
        <v>240.49</v>
      </c>
      <c r="AF42" s="526">
        <v>257.10000000000002</v>
      </c>
      <c r="AG42" s="346">
        <f>267383/1000</f>
        <v>267.38299999999998</v>
      </c>
      <c r="AH42" s="754">
        <f>269825/1000</f>
        <v>269.82499999999999</v>
      </c>
      <c r="AI42" s="301">
        <f t="shared" si="4"/>
        <v>0.91329665685553607</v>
      </c>
      <c r="AJ42" s="153" t="s">
        <v>33</v>
      </c>
    </row>
    <row r="43" spans="1:36" ht="12.75" customHeight="1">
      <c r="A43" s="8"/>
      <c r="B43" s="10" t="s">
        <v>72</v>
      </c>
      <c r="C43" s="156"/>
      <c r="D43" s="156"/>
      <c r="E43" s="345">
        <v>16.890999999999998</v>
      </c>
      <c r="F43" s="345">
        <v>17.327999999999999</v>
      </c>
      <c r="G43" s="345">
        <v>17.678999999999998</v>
      </c>
      <c r="H43" s="345">
        <v>17.766999999999999</v>
      </c>
      <c r="I43" s="345">
        <v>18.256</v>
      </c>
      <c r="J43" s="345">
        <v>18.82</v>
      </c>
      <c r="K43" s="345">
        <v>19.309999999999999</v>
      </c>
      <c r="L43" s="345">
        <v>19.925999999999998</v>
      </c>
      <c r="M43" s="345">
        <v>20.469000000000001</v>
      </c>
      <c r="N43" s="345">
        <v>21.15</v>
      </c>
      <c r="O43" s="345">
        <v>21.783999999999999</v>
      </c>
      <c r="P43" s="345">
        <v>22.626000000000001</v>
      </c>
      <c r="Q43" s="345">
        <v>23.265000000000001</v>
      </c>
      <c r="R43" s="345">
        <v>23.524000000000001</v>
      </c>
      <c r="S43" s="345">
        <v>23.934999999999999</v>
      </c>
      <c r="T43" s="345">
        <v>24.393000000000001</v>
      </c>
      <c r="U43" s="345">
        <v>24.292999999999999</v>
      </c>
      <c r="V43" s="345">
        <v>24.367999999999999</v>
      </c>
      <c r="W43" s="345">
        <v>25.462</v>
      </c>
      <c r="X43" s="345">
        <f>25.909</f>
        <v>25.908999999999999</v>
      </c>
      <c r="Y43" s="345">
        <v>26.89</v>
      </c>
      <c r="Z43" s="345">
        <v>27.327000000000002</v>
      </c>
      <c r="AA43" s="345">
        <v>28.004000000000001</v>
      </c>
      <c r="AB43" s="345">
        <v>28.102</v>
      </c>
      <c r="AC43" s="345">
        <v>28.474</v>
      </c>
      <c r="AD43" s="345">
        <v>28.802</v>
      </c>
      <c r="AE43" s="345">
        <v>29.241</v>
      </c>
      <c r="AF43" s="345">
        <v>29.675999999999998</v>
      </c>
      <c r="AG43" s="345">
        <v>29.949000000000002</v>
      </c>
      <c r="AH43" s="755">
        <v>30</v>
      </c>
      <c r="AI43" s="873">
        <f t="shared" si="4"/>
        <v>0.17028949213661804</v>
      </c>
      <c r="AJ43" s="64" t="s">
        <v>72</v>
      </c>
    </row>
    <row r="44" spans="1:36" ht="12.75" customHeight="1">
      <c r="A44" s="654"/>
      <c r="B44" s="352" t="s">
        <v>63</v>
      </c>
      <c r="C44" s="157">
        <v>690</v>
      </c>
      <c r="D44" s="157">
        <v>1230</v>
      </c>
      <c r="E44" s="346">
        <v>1613.037</v>
      </c>
      <c r="F44" s="346">
        <v>1614.623</v>
      </c>
      <c r="G44" s="346">
        <v>1619.4380000000001</v>
      </c>
      <c r="H44" s="346">
        <v>1633.088</v>
      </c>
      <c r="I44" s="346">
        <v>1653.6780000000001</v>
      </c>
      <c r="J44" s="346">
        <v>1684.664</v>
      </c>
      <c r="K44" s="346">
        <v>1661.2470000000001</v>
      </c>
      <c r="L44" s="346">
        <v>1758.001</v>
      </c>
      <c r="M44" s="346">
        <v>1786.404</v>
      </c>
      <c r="N44" s="346">
        <v>1813.6420000000001</v>
      </c>
      <c r="O44" s="346">
        <v>1851.9290000000001</v>
      </c>
      <c r="P44" s="346">
        <v>1872.8620000000001</v>
      </c>
      <c r="Q44" s="346">
        <v>1899.7670000000001</v>
      </c>
      <c r="R44" s="346">
        <v>1933.66</v>
      </c>
      <c r="S44" s="346">
        <v>1977.922</v>
      </c>
      <c r="T44" s="346">
        <v>2028.9090000000001</v>
      </c>
      <c r="U44" s="346">
        <v>2084.1930000000002</v>
      </c>
      <c r="V44" s="346">
        <v>2154.837</v>
      </c>
      <c r="W44" s="346">
        <v>2197.1930000000002</v>
      </c>
      <c r="X44" s="346">
        <v>2244</v>
      </c>
      <c r="Y44" s="346">
        <v>2308.5479999999998</v>
      </c>
      <c r="Z44" s="346">
        <v>2376</v>
      </c>
      <c r="AA44" s="346">
        <v>2443</v>
      </c>
      <c r="AB44" s="346">
        <f>2500.265</f>
        <v>2500.2649999999999</v>
      </c>
      <c r="AC44" s="346">
        <v>2555.4430000000002</v>
      </c>
      <c r="AD44" s="346">
        <v>2610.3519999999999</v>
      </c>
      <c r="AE44" s="346">
        <v>2662.91</v>
      </c>
      <c r="AF44" s="346">
        <v>2719.3960000000002</v>
      </c>
      <c r="AG44" s="346">
        <v>2751.9479999999999</v>
      </c>
      <c r="AH44" s="346">
        <v>2801</v>
      </c>
      <c r="AI44" s="301">
        <f t="shared" si="4"/>
        <v>1.7824464706455103</v>
      </c>
      <c r="AJ44" s="154" t="s">
        <v>63</v>
      </c>
    </row>
    <row r="45" spans="1:36" ht="12.75" customHeight="1">
      <c r="A45" s="8"/>
      <c r="B45" s="598" t="s">
        <v>34</v>
      </c>
      <c r="C45" s="723">
        <v>1383.204</v>
      </c>
      <c r="D45" s="723">
        <v>2246.752</v>
      </c>
      <c r="E45" s="724">
        <v>2985.3969999999999</v>
      </c>
      <c r="F45" s="724">
        <v>3057.7979999999998</v>
      </c>
      <c r="G45" s="724">
        <v>3091.2280000000001</v>
      </c>
      <c r="H45" s="724">
        <v>3109.5230000000001</v>
      </c>
      <c r="I45" s="724">
        <v>3165.0419999999999</v>
      </c>
      <c r="J45" s="724">
        <v>3229.1759999999999</v>
      </c>
      <c r="K45" s="724">
        <v>3268.0929999999998</v>
      </c>
      <c r="L45" s="724">
        <v>3323.4549999999999</v>
      </c>
      <c r="M45" s="724">
        <v>3383.3069999999998</v>
      </c>
      <c r="N45" s="724">
        <v>3467.3110000000001</v>
      </c>
      <c r="O45" s="724">
        <v>3545.2469999999998</v>
      </c>
      <c r="P45" s="724">
        <v>3629.7130000000002</v>
      </c>
      <c r="Q45" s="724">
        <v>3700.951</v>
      </c>
      <c r="R45" s="724">
        <v>3753.89</v>
      </c>
      <c r="S45" s="724">
        <v>3811.3510000000001</v>
      </c>
      <c r="T45" s="724">
        <v>3861.442</v>
      </c>
      <c r="U45" s="724">
        <v>3900.0140000000001</v>
      </c>
      <c r="V45" s="724">
        <v>3955.7869999999998</v>
      </c>
      <c r="W45" s="724">
        <v>3989.8110000000001</v>
      </c>
      <c r="X45" s="724">
        <f>4009.602</f>
        <v>4009.6019999999999</v>
      </c>
      <c r="Y45" s="724">
        <v>4075.8249999999998</v>
      </c>
      <c r="Z45" s="724">
        <v>4163</v>
      </c>
      <c r="AA45" s="724">
        <v>4255</v>
      </c>
      <c r="AB45" s="724">
        <v>4320.8850000000002</v>
      </c>
      <c r="AC45" s="724">
        <v>4384.49</v>
      </c>
      <c r="AD45" s="724">
        <v>4458.0690000000004</v>
      </c>
      <c r="AE45" s="724">
        <v>4524</v>
      </c>
      <c r="AF45" s="724">
        <v>4570.8</v>
      </c>
      <c r="AG45" s="724">
        <v>4602.6880000000001</v>
      </c>
      <c r="AH45" s="757">
        <v>4624</v>
      </c>
      <c r="AI45" s="873">
        <f t="shared" si="4"/>
        <v>0.46303377504624166</v>
      </c>
      <c r="AJ45" s="725" t="s">
        <v>34</v>
      </c>
    </row>
    <row r="46" spans="1:36" ht="12.75" customHeight="1">
      <c r="A46" s="8"/>
      <c r="B46" s="1044" t="s">
        <v>336</v>
      </c>
      <c r="C46" s="1045"/>
      <c r="D46" s="1045"/>
      <c r="E46" s="1045"/>
      <c r="F46" s="1045"/>
      <c r="G46" s="1045"/>
      <c r="H46" s="1045"/>
      <c r="I46" s="1045"/>
      <c r="J46" s="1045"/>
      <c r="K46" s="1045"/>
      <c r="L46" s="1045"/>
      <c r="M46" s="1045"/>
      <c r="N46" s="1045"/>
      <c r="O46" s="1045"/>
      <c r="P46" s="1045"/>
      <c r="Q46" s="1045"/>
      <c r="R46" s="1045"/>
      <c r="S46" s="1045"/>
      <c r="T46" s="1045"/>
      <c r="U46" s="1045"/>
      <c r="V46" s="1045"/>
      <c r="W46" s="1045"/>
      <c r="X46" s="1045"/>
      <c r="Y46" s="1045"/>
      <c r="Z46" s="1045"/>
      <c r="AA46" s="1045"/>
      <c r="AB46" s="1045"/>
      <c r="AC46" s="1045"/>
      <c r="AD46" s="1045"/>
      <c r="AE46" s="1045"/>
      <c r="AF46" s="1045"/>
      <c r="AG46" s="1045"/>
      <c r="AH46" s="1045"/>
      <c r="AI46" s="1045"/>
      <c r="AJ46" s="1045"/>
    </row>
    <row r="47" spans="1:36" ht="12.75" customHeight="1">
      <c r="A47" s="8"/>
      <c r="B47" s="1046" t="s">
        <v>326</v>
      </c>
      <c r="C47" s="1047"/>
      <c r="D47" s="1047"/>
      <c r="E47" s="1047"/>
      <c r="F47" s="1047"/>
      <c r="G47" s="1047"/>
      <c r="H47" s="1047"/>
      <c r="I47" s="1047"/>
      <c r="J47" s="1047"/>
      <c r="K47" s="1047"/>
      <c r="L47" s="1047"/>
      <c r="M47" s="1047"/>
      <c r="N47" s="1047"/>
      <c r="O47" s="1047"/>
      <c r="P47" s="1047"/>
      <c r="Q47" s="1047"/>
      <c r="R47" s="1047"/>
      <c r="S47" s="1047"/>
      <c r="T47" s="1047"/>
      <c r="U47" s="1047"/>
      <c r="V47" s="1047"/>
      <c r="W47" s="1047"/>
      <c r="X47" s="1047"/>
      <c r="Y47" s="1047"/>
      <c r="Z47" s="1047"/>
      <c r="AA47" s="1047"/>
      <c r="AB47" s="1047"/>
      <c r="AC47" s="1047"/>
      <c r="AD47" s="1047"/>
      <c r="AE47" s="1047"/>
      <c r="AF47" s="1047"/>
      <c r="AG47" s="1047"/>
      <c r="AH47" s="1047"/>
      <c r="AI47" s="1047"/>
      <c r="AJ47" s="1048"/>
    </row>
    <row r="48" spans="1:36" ht="17.25" customHeight="1">
      <c r="B48" s="1041" t="s">
        <v>162</v>
      </c>
      <c r="C48" s="1041"/>
      <c r="D48" s="1041"/>
      <c r="E48" s="1041"/>
      <c r="F48" s="1041"/>
      <c r="G48" s="1041"/>
      <c r="H48" s="1041"/>
      <c r="I48" s="1041"/>
      <c r="J48" s="1041"/>
      <c r="K48" s="1041"/>
      <c r="L48" s="1041"/>
      <c r="M48" s="1041"/>
      <c r="N48" s="1041"/>
      <c r="O48" s="1041"/>
      <c r="P48" s="1041"/>
      <c r="Q48" s="1041"/>
      <c r="R48" s="1041"/>
      <c r="S48" s="1041"/>
      <c r="T48" s="1041"/>
      <c r="U48" s="1041"/>
      <c r="V48" s="1041"/>
      <c r="W48" s="1041"/>
      <c r="X48" s="1041"/>
      <c r="Y48" s="1041"/>
      <c r="Z48" s="1041"/>
      <c r="AA48" s="1041"/>
      <c r="AB48" s="1041"/>
      <c r="AC48" s="1041"/>
      <c r="AD48" s="1041"/>
      <c r="AE48" s="1041"/>
      <c r="AF48" s="1041"/>
      <c r="AG48" s="1041"/>
      <c r="AH48" s="1041"/>
      <c r="AI48" s="1041"/>
      <c r="AJ48" s="1042"/>
    </row>
    <row r="49" spans="2:35" ht="12.75" customHeight="1">
      <c r="B49" s="3" t="s">
        <v>135</v>
      </c>
      <c r="P49" s="3"/>
      <c r="Q49" s="3"/>
      <c r="R49" s="3"/>
      <c r="S49" s="3"/>
      <c r="T49" s="3"/>
      <c r="U49" s="3"/>
      <c r="V49" s="3"/>
      <c r="W49" s="3"/>
      <c r="X49" s="3"/>
      <c r="Y49" s="3"/>
      <c r="AC49" s="3"/>
      <c r="AI49" s="3"/>
    </row>
    <row r="50" spans="2:35" ht="12.75" customHeight="1">
      <c r="B50" s="3" t="s">
        <v>339</v>
      </c>
      <c r="P50" s="3"/>
      <c r="Q50" s="3"/>
      <c r="R50" s="3"/>
      <c r="S50" s="2"/>
      <c r="T50" s="3"/>
      <c r="U50" s="3"/>
      <c r="V50" s="3"/>
      <c r="W50" s="3"/>
      <c r="X50" s="3"/>
      <c r="Y50" s="3"/>
      <c r="AC50" s="3"/>
      <c r="AI50" s="3"/>
    </row>
    <row r="51" spans="2:35" ht="12.75" customHeight="1">
      <c r="B51" s="3" t="s">
        <v>338</v>
      </c>
      <c r="P51" s="3"/>
      <c r="Q51" s="3"/>
      <c r="R51" s="3"/>
      <c r="S51" s="3"/>
      <c r="T51" s="3"/>
      <c r="U51" s="3"/>
      <c r="V51" s="3"/>
      <c r="W51" s="3"/>
      <c r="X51" s="3"/>
      <c r="Y51" s="3"/>
      <c r="AC51" s="3"/>
      <c r="AI51" s="3"/>
    </row>
    <row r="52" spans="2:35">
      <c r="P52" s="3"/>
      <c r="Q52" s="3"/>
      <c r="R52" s="3"/>
      <c r="S52" s="3"/>
      <c r="T52" s="3"/>
      <c r="U52" s="3"/>
      <c r="V52" s="3"/>
      <c r="W52" s="3"/>
      <c r="X52" s="3"/>
      <c r="Y52" s="3"/>
      <c r="AC52" s="3"/>
      <c r="AI52" s="3"/>
    </row>
    <row r="53" spans="2:35">
      <c r="P53" s="3"/>
      <c r="Q53" s="3"/>
      <c r="R53" s="3"/>
      <c r="S53" s="3"/>
      <c r="T53" s="3"/>
      <c r="U53" s="3"/>
      <c r="V53" s="3"/>
      <c r="W53" s="3"/>
      <c r="X53" s="3"/>
      <c r="Y53" s="3"/>
      <c r="AC53" s="3"/>
      <c r="AI53" s="3"/>
    </row>
    <row r="54" spans="2:35">
      <c r="P54" s="3"/>
      <c r="Q54" s="3"/>
      <c r="R54" s="3"/>
      <c r="S54" s="3"/>
      <c r="T54" s="3"/>
      <c r="U54" s="3"/>
      <c r="V54" s="3"/>
      <c r="W54" s="3"/>
      <c r="X54" s="3"/>
      <c r="Y54" s="3"/>
      <c r="AC54" s="3"/>
      <c r="AI54" s="3"/>
    </row>
    <row r="55" spans="2:35">
      <c r="P55" s="3"/>
      <c r="Q55" s="3"/>
      <c r="R55" s="3"/>
      <c r="S55" s="3"/>
      <c r="T55" s="3"/>
      <c r="U55" s="3"/>
      <c r="V55" s="3"/>
      <c r="W55" s="3"/>
      <c r="X55" s="3"/>
      <c r="Y55" s="3"/>
      <c r="AC55" s="3"/>
      <c r="AI55" s="3"/>
    </row>
    <row r="56" spans="2:35">
      <c r="P56" s="3"/>
      <c r="Q56" s="3"/>
      <c r="R56" s="3"/>
      <c r="S56" s="3"/>
      <c r="T56" s="3"/>
      <c r="U56" s="3"/>
      <c r="V56" s="3"/>
      <c r="W56" s="3"/>
      <c r="X56" s="3"/>
      <c r="Y56" s="3"/>
      <c r="AC56" s="3"/>
      <c r="AI56" s="3"/>
    </row>
    <row r="57" spans="2:35">
      <c r="P57" s="3"/>
      <c r="Q57" s="3"/>
      <c r="R57" s="3"/>
      <c r="S57" s="3"/>
      <c r="T57" s="3"/>
      <c r="U57" s="3"/>
      <c r="V57" s="3"/>
      <c r="W57" s="3"/>
      <c r="X57" s="3"/>
      <c r="Y57" s="3"/>
      <c r="AC57" s="3"/>
      <c r="AI57" s="3"/>
    </row>
    <row r="58" spans="2:35">
      <c r="P58" s="3"/>
      <c r="Q58" s="3"/>
      <c r="R58" s="3"/>
      <c r="S58" s="3"/>
      <c r="T58" s="3"/>
      <c r="U58" s="3"/>
      <c r="V58" s="3"/>
      <c r="W58" s="3"/>
      <c r="X58" s="3"/>
      <c r="Y58" s="3"/>
      <c r="AC58" s="3"/>
      <c r="AI58" s="3"/>
    </row>
    <row r="59" spans="2:35">
      <c r="P59" s="3"/>
      <c r="Q59" s="3"/>
      <c r="R59" s="3"/>
      <c r="S59" s="3"/>
      <c r="T59" s="3"/>
      <c r="U59" s="3"/>
      <c r="V59" s="3"/>
      <c r="W59" s="3"/>
      <c r="X59" s="3"/>
      <c r="Y59" s="3"/>
      <c r="AC59" s="3"/>
      <c r="AI59" s="3"/>
    </row>
    <row r="60" spans="2:35">
      <c r="P60" s="3"/>
      <c r="Q60" s="3"/>
      <c r="R60" s="3"/>
      <c r="S60" s="3"/>
      <c r="T60" s="3"/>
      <c r="U60" s="3"/>
      <c r="V60" s="3"/>
      <c r="W60" s="3"/>
      <c r="X60" s="3"/>
      <c r="Y60" s="3"/>
      <c r="AC60" s="3"/>
      <c r="AI60" s="3"/>
    </row>
    <row r="61" spans="2:35">
      <c r="P61" s="3"/>
      <c r="Q61" s="3"/>
      <c r="R61" s="3"/>
      <c r="S61" s="3"/>
      <c r="T61" s="3"/>
      <c r="U61" s="3"/>
      <c r="V61" s="3"/>
      <c r="W61" s="3"/>
      <c r="X61" s="3"/>
      <c r="Y61" s="3"/>
      <c r="AC61" s="3"/>
    </row>
    <row r="62" spans="2:35">
      <c r="P62" s="3"/>
      <c r="Q62" s="3"/>
      <c r="R62" s="3"/>
      <c r="S62" s="3"/>
      <c r="T62" s="3"/>
      <c r="U62" s="3"/>
      <c r="V62" s="3"/>
      <c r="W62" s="3"/>
      <c r="X62" s="3"/>
      <c r="Y62" s="3"/>
      <c r="AC62" s="3"/>
    </row>
    <row r="63" spans="2:35"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2:35"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6:25"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6:25"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6:25"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6:25">
      <c r="P68" s="3"/>
      <c r="Q68" s="3"/>
      <c r="R68" s="3"/>
      <c r="S68" s="3"/>
      <c r="T68" s="3"/>
      <c r="U68" s="3"/>
      <c r="V68" s="3"/>
      <c r="W68" s="3"/>
      <c r="X68" s="3"/>
      <c r="Y68" s="3"/>
    </row>
  </sheetData>
  <mergeCells count="5">
    <mergeCell ref="B48:AJ48"/>
    <mergeCell ref="B2:AJ2"/>
    <mergeCell ref="B3:AJ3"/>
    <mergeCell ref="B46:AJ46"/>
    <mergeCell ref="B47:AJ47"/>
  </mergeCells>
  <phoneticPr fontId="4" type="noConversion"/>
  <printOptions horizontalCentered="1"/>
  <pageMargins left="0.6692913385826772" right="0.6692913385826772" top="0.51181102362204722" bottom="0.27559055118110237" header="0" footer="0"/>
  <pageSetup paperSize="9" scale="8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>
    <tabColor rgb="FF92D050"/>
    <pageSetUpPr fitToPage="1"/>
  </sheetPr>
  <dimension ref="A1:AM53"/>
  <sheetViews>
    <sheetView topLeftCell="A19" zoomScaleNormal="100" workbookViewId="0">
      <selection activeCell="B51" sqref="B51:I52"/>
    </sheetView>
  </sheetViews>
  <sheetFormatPr defaultRowHeight="12.75"/>
  <cols>
    <col min="1" max="1" width="3.7109375" style="3" customWidth="1"/>
    <col min="2" max="2" width="4.42578125" style="3" customWidth="1"/>
    <col min="3" max="12" width="6.7109375" style="2" customWidth="1"/>
    <col min="13" max="13" width="6.5703125" style="2" customWidth="1"/>
    <col min="14" max="20" width="6.7109375" style="2" customWidth="1"/>
    <col min="21" max="25" width="7.28515625" style="2" customWidth="1"/>
    <col min="26" max="33" width="7" style="3" customWidth="1"/>
    <col min="34" max="34" width="7" style="20" customWidth="1"/>
    <col min="35" max="35" width="4.7109375" style="3" customWidth="1"/>
    <col min="36" max="36" width="8.28515625" style="622" customWidth="1"/>
    <col min="37" max="16384" width="9.140625" style="3"/>
  </cols>
  <sheetData>
    <row r="1" spans="1:39" ht="14.25" customHeight="1">
      <c r="B1" s="1038"/>
      <c r="C1" s="1038"/>
      <c r="D1" s="78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T1" s="37"/>
      <c r="AI1" s="37" t="s">
        <v>119</v>
      </c>
    </row>
    <row r="2" spans="1:39" s="54" customFormat="1" ht="30" customHeight="1">
      <c r="B2" s="1039" t="s">
        <v>11</v>
      </c>
      <c r="C2" s="1039"/>
      <c r="D2" s="1039"/>
      <c r="E2" s="1039"/>
      <c r="F2" s="1039"/>
      <c r="G2" s="1039"/>
      <c r="H2" s="1039"/>
      <c r="I2" s="1039"/>
      <c r="J2" s="1039"/>
      <c r="K2" s="1039"/>
      <c r="L2" s="1039"/>
      <c r="M2" s="1039"/>
      <c r="N2" s="1039"/>
      <c r="O2" s="1039"/>
      <c r="P2" s="1039"/>
      <c r="Q2" s="1039"/>
      <c r="R2" s="1039"/>
      <c r="S2" s="1039"/>
      <c r="T2" s="1039"/>
      <c r="U2" s="1039"/>
      <c r="V2" s="1039"/>
      <c r="W2" s="1039"/>
      <c r="X2" s="1039"/>
      <c r="Y2" s="1039"/>
      <c r="Z2" s="1039"/>
      <c r="AA2" s="1039"/>
      <c r="AB2" s="1039"/>
      <c r="AC2" s="1039"/>
      <c r="AD2" s="1039"/>
      <c r="AE2" s="1039"/>
      <c r="AF2" s="1039"/>
      <c r="AG2" s="1039"/>
      <c r="AH2" s="1039"/>
      <c r="AI2" s="1039"/>
      <c r="AJ2" s="622"/>
    </row>
    <row r="3" spans="1:39" ht="15" customHeight="1">
      <c r="B3" s="1049" t="s">
        <v>100</v>
      </c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</row>
    <row r="4" spans="1:39" ht="12.75" customHeight="1">
      <c r="B4" s="4"/>
      <c r="C4" s="4"/>
      <c r="E4" s="158"/>
      <c r="F4" s="158"/>
      <c r="G4" s="158"/>
      <c r="H4" s="158"/>
      <c r="I4" s="158"/>
      <c r="J4" s="22"/>
      <c r="K4" s="22"/>
      <c r="L4" s="22"/>
      <c r="M4" s="22"/>
      <c r="N4" s="22"/>
      <c r="O4" s="22"/>
      <c r="W4" s="34"/>
      <c r="Y4" s="55"/>
      <c r="AF4" s="34" t="s">
        <v>2</v>
      </c>
      <c r="AG4" s="55"/>
      <c r="AI4" s="38"/>
    </row>
    <row r="5" spans="1:39" ht="20.100000000000001" customHeight="1">
      <c r="B5" s="4"/>
      <c r="C5" s="85">
        <v>1970</v>
      </c>
      <c r="D5" s="99">
        <v>1980</v>
      </c>
      <c r="E5" s="85">
        <v>1990</v>
      </c>
      <c r="F5" s="86">
        <v>1991</v>
      </c>
      <c r="G5" s="86">
        <v>1992</v>
      </c>
      <c r="H5" s="86">
        <v>1993</v>
      </c>
      <c r="I5" s="86">
        <v>1994</v>
      </c>
      <c r="J5" s="86">
        <v>1995</v>
      </c>
      <c r="K5" s="86">
        <v>1996</v>
      </c>
      <c r="L5" s="86">
        <v>1997</v>
      </c>
      <c r="M5" s="86">
        <v>1998</v>
      </c>
      <c r="N5" s="86">
        <v>1999</v>
      </c>
      <c r="O5" s="86">
        <v>2000</v>
      </c>
      <c r="P5" s="86">
        <v>2001</v>
      </c>
      <c r="Q5" s="86">
        <v>2002</v>
      </c>
      <c r="R5" s="86">
        <v>2003</v>
      </c>
      <c r="S5" s="86">
        <v>2004</v>
      </c>
      <c r="T5" s="86">
        <v>2005</v>
      </c>
      <c r="U5" s="86">
        <v>2006</v>
      </c>
      <c r="V5" s="86">
        <v>2007</v>
      </c>
      <c r="W5" s="86">
        <v>2008</v>
      </c>
      <c r="X5" s="86">
        <v>2009</v>
      </c>
      <c r="Y5" s="86">
        <v>2010</v>
      </c>
      <c r="Z5" s="86">
        <v>2011</v>
      </c>
      <c r="AA5" s="86">
        <v>2012</v>
      </c>
      <c r="AB5" s="86">
        <v>2013</v>
      </c>
      <c r="AC5" s="86">
        <v>2014</v>
      </c>
      <c r="AD5" s="86">
        <v>2015</v>
      </c>
      <c r="AE5" s="86">
        <v>2016</v>
      </c>
      <c r="AF5" s="86">
        <v>2017</v>
      </c>
      <c r="AG5" s="549">
        <v>2018</v>
      </c>
      <c r="AH5" s="151" t="s">
        <v>270</v>
      </c>
      <c r="AI5" s="6"/>
    </row>
    <row r="6" spans="1:39" ht="9.9499999999999993" customHeight="1">
      <c r="B6" s="4"/>
      <c r="C6" s="123"/>
      <c r="D6" s="100"/>
      <c r="E6" s="123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287"/>
      <c r="Z6" s="289"/>
      <c r="AA6" s="289"/>
      <c r="AB6" s="287"/>
      <c r="AC6" s="287"/>
      <c r="AD6" s="287"/>
      <c r="AE6" s="287"/>
      <c r="AF6" s="287"/>
      <c r="AG6" s="152"/>
      <c r="AH6" s="152" t="s">
        <v>92</v>
      </c>
      <c r="AI6" s="6"/>
    </row>
    <row r="7" spans="1:39" ht="9.9499999999999993" customHeight="1">
      <c r="B7" s="555" t="s">
        <v>266</v>
      </c>
      <c r="C7" s="556"/>
      <c r="D7" s="554"/>
      <c r="E7" s="557">
        <f>SUM(E9:E35)</f>
        <v>665.30600000000015</v>
      </c>
      <c r="F7" s="557">
        <f t="shared" ref="F7:AG7" si="0">SUM(F9:F35)</f>
        <v>661.3475333333331</v>
      </c>
      <c r="G7" s="557">
        <f t="shared" si="0"/>
        <v>665.92006666666657</v>
      </c>
      <c r="H7" s="557">
        <f t="shared" si="0"/>
        <v>671.50059999999985</v>
      </c>
      <c r="I7" s="557">
        <f t="shared" si="0"/>
        <v>675.68080000000009</v>
      </c>
      <c r="J7" s="557">
        <f t="shared" si="0"/>
        <v>678.12</v>
      </c>
      <c r="K7" s="557">
        <f t="shared" si="0"/>
        <v>682.42499999999995</v>
      </c>
      <c r="L7" s="557">
        <f t="shared" si="0"/>
        <v>678.80100000000004</v>
      </c>
      <c r="M7" s="557">
        <f t="shared" si="0"/>
        <v>679.91600000000017</v>
      </c>
      <c r="N7" s="557">
        <f t="shared" si="0"/>
        <v>684.13799999999992</v>
      </c>
      <c r="O7" s="557">
        <f t="shared" si="0"/>
        <v>692.90200000000004</v>
      </c>
      <c r="P7" s="557">
        <f t="shared" si="0"/>
        <v>697.99399999999991</v>
      </c>
      <c r="Q7" s="557">
        <f t="shared" si="0"/>
        <v>703.81999999999994</v>
      </c>
      <c r="R7" s="557">
        <f t="shared" si="0"/>
        <v>706.38499999999999</v>
      </c>
      <c r="S7" s="557">
        <f t="shared" si="0"/>
        <v>697.67200000000025</v>
      </c>
      <c r="T7" s="557">
        <f t="shared" si="0"/>
        <v>689.56900000000007</v>
      </c>
      <c r="U7" s="557">
        <f t="shared" si="0"/>
        <v>686.08800000000008</v>
      </c>
      <c r="V7" s="557">
        <f t="shared" si="0"/>
        <v>690.69800000000021</v>
      </c>
      <c r="W7" s="557">
        <f t="shared" si="0"/>
        <v>707.80099999999993</v>
      </c>
      <c r="X7" s="557">
        <f t="shared" si="0"/>
        <v>708.91200000000015</v>
      </c>
      <c r="Y7" s="557">
        <f t="shared" si="0"/>
        <v>707.57299999999987</v>
      </c>
      <c r="Z7" s="557">
        <f t="shared" si="0"/>
        <v>709.9140000000001</v>
      </c>
      <c r="AA7" s="557">
        <f t="shared" si="0"/>
        <v>705.63599999999985</v>
      </c>
      <c r="AB7" s="557">
        <f t="shared" si="0"/>
        <v>709.43200000000002</v>
      </c>
      <c r="AC7" s="557">
        <f t="shared" si="0"/>
        <v>713.56000000000006</v>
      </c>
      <c r="AD7" s="557">
        <f t="shared" si="0"/>
        <v>726.8610000000001</v>
      </c>
      <c r="AE7" s="557">
        <f t="shared" si="0"/>
        <v>735.68600000000004</v>
      </c>
      <c r="AF7" s="663">
        <f t="shared" si="0"/>
        <v>745.79899999999998</v>
      </c>
      <c r="AG7" s="663">
        <f t="shared" si="0"/>
        <v>756.01500000000021</v>
      </c>
      <c r="AH7" s="599">
        <f>AG7/AF7*100-100</f>
        <v>1.3698060737545035</v>
      </c>
      <c r="AI7" s="555" t="s">
        <v>266</v>
      </c>
    </row>
    <row r="8" spans="1:39" ht="12.75" customHeight="1">
      <c r="B8" s="555" t="s">
        <v>168</v>
      </c>
      <c r="C8" s="556"/>
      <c r="D8" s="554"/>
      <c r="E8" s="557">
        <f t="shared" ref="E8:AE8" si="1">SUM(E9:E36)</f>
        <v>740.30600000000015</v>
      </c>
      <c r="F8" s="557">
        <f t="shared" si="1"/>
        <v>736.8475333333331</v>
      </c>
      <c r="G8" s="557">
        <f t="shared" si="1"/>
        <v>741.92006666666657</v>
      </c>
      <c r="H8" s="557">
        <f t="shared" si="1"/>
        <v>748.00059999999985</v>
      </c>
      <c r="I8" s="557">
        <f t="shared" si="1"/>
        <v>752.18080000000009</v>
      </c>
      <c r="J8" s="557">
        <f t="shared" si="1"/>
        <v>754.02</v>
      </c>
      <c r="K8" s="557">
        <f t="shared" si="1"/>
        <v>761.125</v>
      </c>
      <c r="L8" s="557">
        <f t="shared" si="1"/>
        <v>759.50099999999998</v>
      </c>
      <c r="M8" s="557">
        <f t="shared" si="1"/>
        <v>762.21600000000012</v>
      </c>
      <c r="N8" s="557">
        <f t="shared" si="1"/>
        <v>769.93799999999987</v>
      </c>
      <c r="O8" s="557">
        <f t="shared" si="1"/>
        <v>781.50200000000007</v>
      </c>
      <c r="P8" s="557">
        <f t="shared" si="1"/>
        <v>788.79399999999987</v>
      </c>
      <c r="Q8" s="557">
        <f t="shared" si="1"/>
        <v>798.42</v>
      </c>
      <c r="R8" s="557">
        <f t="shared" si="1"/>
        <v>804.88499999999999</v>
      </c>
      <c r="S8" s="557">
        <f t="shared" si="1"/>
        <v>799.8720000000003</v>
      </c>
      <c r="T8" s="557">
        <f t="shared" si="1"/>
        <v>795.1690000000001</v>
      </c>
      <c r="U8" s="557">
        <f t="shared" si="1"/>
        <v>792.6880000000001</v>
      </c>
      <c r="V8" s="557">
        <f t="shared" si="1"/>
        <v>799.89800000000025</v>
      </c>
      <c r="W8" s="557">
        <f t="shared" si="1"/>
        <v>818.70099999999991</v>
      </c>
      <c r="X8" s="557">
        <f t="shared" si="1"/>
        <v>820.39900000000011</v>
      </c>
      <c r="Y8" s="557">
        <f t="shared" si="1"/>
        <v>819.10799999999983</v>
      </c>
      <c r="Z8" s="557">
        <f t="shared" si="1"/>
        <v>820.1350000000001</v>
      </c>
      <c r="AA8" s="557">
        <f t="shared" si="1"/>
        <v>816.72999999999979</v>
      </c>
      <c r="AB8" s="557">
        <f t="shared" si="1"/>
        <v>821.04700000000003</v>
      </c>
      <c r="AC8" s="557">
        <f t="shared" si="1"/>
        <v>825.73100000000011</v>
      </c>
      <c r="AD8" s="557">
        <f t="shared" si="1"/>
        <v>840.20100000000014</v>
      </c>
      <c r="AE8" s="557">
        <f t="shared" si="1"/>
        <v>849.59500000000003</v>
      </c>
      <c r="AF8" s="663">
        <f>SUM(AF9:AF36)</f>
        <v>858.99900000000002</v>
      </c>
      <c r="AG8" s="663">
        <f>SUM(AG9:AG36)</f>
        <v>868.11500000000024</v>
      </c>
      <c r="AH8" s="599">
        <f t="shared" ref="AH8:AH45" si="2">AG8/AF8*100-100</f>
        <v>1.061235228446165</v>
      </c>
      <c r="AI8" s="555" t="s">
        <v>168</v>
      </c>
      <c r="AJ8" s="622">
        <v>2020</v>
      </c>
      <c r="AK8" s="6" t="s">
        <v>201</v>
      </c>
      <c r="AL8" s="6" t="s">
        <v>202</v>
      </c>
      <c r="AM8" s="6" t="s">
        <v>203</v>
      </c>
    </row>
    <row r="9" spans="1:39" ht="12.75" customHeight="1">
      <c r="B9" s="10" t="s">
        <v>52</v>
      </c>
      <c r="C9" s="532">
        <v>16.169</v>
      </c>
      <c r="D9" s="532">
        <v>17.175999999999998</v>
      </c>
      <c r="E9" s="121">
        <v>15.644</v>
      </c>
      <c r="F9" s="121">
        <v>15.378</v>
      </c>
      <c r="G9" s="121">
        <v>15.004</v>
      </c>
      <c r="H9" s="121">
        <v>14.981999999999999</v>
      </c>
      <c r="I9" s="121">
        <v>14.85</v>
      </c>
      <c r="J9" s="121">
        <v>14.646000000000001</v>
      </c>
      <c r="K9" s="121">
        <v>14.683999999999999</v>
      </c>
      <c r="L9" s="121">
        <v>14.667</v>
      </c>
      <c r="M9" s="121">
        <v>14.587999999999999</v>
      </c>
      <c r="N9" s="121">
        <v>14.673</v>
      </c>
      <c r="O9" s="121">
        <v>14.722</v>
      </c>
      <c r="P9" s="121">
        <v>14.676</v>
      </c>
      <c r="Q9" s="121">
        <v>14.769</v>
      </c>
      <c r="R9" s="121">
        <v>15.06</v>
      </c>
      <c r="S9" s="121">
        <v>15.327999999999999</v>
      </c>
      <c r="T9" s="121">
        <v>15.391</v>
      </c>
      <c r="U9" s="121">
        <v>15.329000000000001</v>
      </c>
      <c r="V9" s="121">
        <v>15.465999999999999</v>
      </c>
      <c r="W9" s="121">
        <v>15.997</v>
      </c>
      <c r="X9" s="121">
        <v>16.059000000000001</v>
      </c>
      <c r="Y9" s="121">
        <v>16.170000000000002</v>
      </c>
      <c r="Z9" s="121">
        <v>16.013000000000002</v>
      </c>
      <c r="AA9" s="121">
        <v>16.053999999999998</v>
      </c>
      <c r="AB9" s="121">
        <v>16.260999999999999</v>
      </c>
      <c r="AC9" s="121">
        <v>16.77</v>
      </c>
      <c r="AD9" s="121">
        <v>17.067</v>
      </c>
      <c r="AE9" s="121">
        <v>15.97</v>
      </c>
      <c r="AF9" s="121">
        <v>15.987</v>
      </c>
      <c r="AG9" s="662">
        <v>16.167000000000002</v>
      </c>
      <c r="AH9" s="274">
        <f t="shared" si="2"/>
        <v>1.1259148057797006</v>
      </c>
      <c r="AI9" s="274" t="s">
        <v>52</v>
      </c>
      <c r="AJ9" s="622" t="s">
        <v>264</v>
      </c>
      <c r="AK9" s="3" t="s">
        <v>237</v>
      </c>
      <c r="AL9" s="3" t="s">
        <v>204</v>
      </c>
      <c r="AM9" s="3" t="s">
        <v>205</v>
      </c>
    </row>
    <row r="10" spans="1:39" ht="12.75" customHeight="1">
      <c r="B10" s="154" t="s">
        <v>35</v>
      </c>
      <c r="C10" s="531"/>
      <c r="D10" s="531">
        <v>21</v>
      </c>
      <c r="E10" s="163">
        <f>33.8+0.8</f>
        <v>34.599999999999994</v>
      </c>
      <c r="F10" s="163">
        <f>35.6+0.8</f>
        <v>36.4</v>
      </c>
      <c r="G10" s="163">
        <f>37.1+0.8</f>
        <v>37.9</v>
      </c>
      <c r="H10" s="163">
        <f>39.3+0.8</f>
        <v>40.099999999999994</v>
      </c>
      <c r="I10" s="163">
        <v>41.432000000000002</v>
      </c>
      <c r="J10" s="163">
        <v>41.838999999999999</v>
      </c>
      <c r="K10" s="163">
        <v>41.642000000000003</v>
      </c>
      <c r="L10" s="163">
        <v>41.201999999999998</v>
      </c>
      <c r="M10" s="163">
        <v>42.264000000000003</v>
      </c>
      <c r="N10" s="163">
        <v>42.720999999999997</v>
      </c>
      <c r="O10" s="163">
        <v>43.005000000000003</v>
      </c>
      <c r="P10" s="163">
        <v>43.566000000000003</v>
      </c>
      <c r="Q10" s="163">
        <v>43.86</v>
      </c>
      <c r="R10" s="275">
        <v>44.3</v>
      </c>
      <c r="S10" s="163">
        <v>36.6</v>
      </c>
      <c r="T10" s="275">
        <v>37.799999999999997</v>
      </c>
      <c r="U10" s="163">
        <v>22.8</v>
      </c>
      <c r="V10" s="163">
        <v>23.9</v>
      </c>
      <c r="W10" s="163">
        <v>25.2</v>
      </c>
      <c r="X10" s="163">
        <v>25.1</v>
      </c>
      <c r="Y10" s="163">
        <v>24.5</v>
      </c>
      <c r="Z10" s="163">
        <v>23.651</v>
      </c>
      <c r="AA10" s="163">
        <v>23.289000000000001</v>
      </c>
      <c r="AB10" s="163">
        <v>23.3</v>
      </c>
      <c r="AC10" s="163">
        <v>23.6</v>
      </c>
      <c r="AD10" s="163">
        <v>24.1</v>
      </c>
      <c r="AE10" s="163">
        <v>23.4</v>
      </c>
      <c r="AF10" s="163">
        <v>21</v>
      </c>
      <c r="AG10" s="165">
        <v>20.818000000000001</v>
      </c>
      <c r="AH10" s="273">
        <f t="shared" si="2"/>
        <v>-0.86666666666666003</v>
      </c>
      <c r="AI10" s="273" t="s">
        <v>35</v>
      </c>
      <c r="AJ10" s="622" t="s">
        <v>263</v>
      </c>
      <c r="AK10" s="55" t="s">
        <v>206</v>
      </c>
      <c r="AL10" s="6" t="s">
        <v>207</v>
      </c>
      <c r="AM10" s="6" t="s">
        <v>207</v>
      </c>
    </row>
    <row r="11" spans="1:39" ht="12.75" customHeight="1">
      <c r="A11" s="8"/>
      <c r="B11" s="10" t="s">
        <v>37</v>
      </c>
      <c r="C11" s="532"/>
      <c r="D11" s="532">
        <v>20.3</v>
      </c>
      <c r="E11" s="121">
        <v>20.474</v>
      </c>
      <c r="F11" s="299">
        <f>$E$11+($H$11-$E$11)/3</f>
        <v>20.050333333333334</v>
      </c>
      <c r="G11" s="299">
        <f>$E$11+($H$11-$E$11)/3*2</f>
        <v>19.626666666666665</v>
      </c>
      <c r="H11" s="121">
        <v>19.202999999999999</v>
      </c>
      <c r="I11" s="121">
        <f>19.071+0.685</f>
        <v>19.756</v>
      </c>
      <c r="J11" s="121">
        <f>19.756+0.718</f>
        <v>20.474</v>
      </c>
      <c r="K11" s="121">
        <f>20.489+0.711</f>
        <v>21.2</v>
      </c>
      <c r="L11" s="121">
        <f>20.755+0.721</f>
        <v>21.475999999999999</v>
      </c>
      <c r="M11" s="121">
        <f>19.96+0.708</f>
        <v>20.667999999999999</v>
      </c>
      <c r="N11" s="121">
        <f>18.981+0.721</f>
        <v>19.702000000000002</v>
      </c>
      <c r="O11" s="121">
        <f>18.259+0.727</f>
        <v>18.986000000000001</v>
      </c>
      <c r="P11" s="121">
        <f>18.384+0.739</f>
        <v>19.123000000000001</v>
      </c>
      <c r="Q11" s="121">
        <f>21.34+0.726</f>
        <v>22.065999999999999</v>
      </c>
      <c r="R11" s="121">
        <f>20.627+0.723</f>
        <v>21.349999999999998</v>
      </c>
      <c r="S11" s="121">
        <f>19.948+0.726</f>
        <v>20.673999999999999</v>
      </c>
      <c r="T11" s="121">
        <f>20.134+0.719</f>
        <v>20.853000000000002</v>
      </c>
      <c r="U11" s="121">
        <f>20.331+0.744</f>
        <v>21.074999999999999</v>
      </c>
      <c r="V11" s="121">
        <f>20.416+0.74</f>
        <v>21.155999999999999</v>
      </c>
      <c r="W11" s="121">
        <f>20.375+0.738</f>
        <v>21.113</v>
      </c>
      <c r="X11" s="121">
        <f>19.943+0.733</f>
        <v>20.676000000000002</v>
      </c>
      <c r="Y11" s="121">
        <f>19.653+0.735</f>
        <v>20.387999999999998</v>
      </c>
      <c r="Z11" s="121">
        <v>20.402000000000001</v>
      </c>
      <c r="AA11" s="121">
        <f>19.882+0.728</f>
        <v>20.610000000000003</v>
      </c>
      <c r="AB11" s="121">
        <f>19.619+0.699</f>
        <v>20.318000000000001</v>
      </c>
      <c r="AC11" s="121">
        <f>19.808+0.703</f>
        <v>20.510999999999999</v>
      </c>
      <c r="AD11" s="121">
        <f>19.95+0.717</f>
        <v>20.666999999999998</v>
      </c>
      <c r="AE11" s="121">
        <f>20.097+0.779</f>
        <v>20.876000000000001</v>
      </c>
      <c r="AF11" s="121">
        <v>21.4</v>
      </c>
      <c r="AG11" s="166">
        <f>21.271+0.756</f>
        <v>22.027000000000001</v>
      </c>
      <c r="AH11" s="274">
        <f t="shared" si="2"/>
        <v>2.9299065420560879</v>
      </c>
      <c r="AI11" s="274" t="s">
        <v>37</v>
      </c>
      <c r="AJ11" s="622" t="s">
        <v>261</v>
      </c>
      <c r="AK11" s="3" t="s">
        <v>238</v>
      </c>
      <c r="AL11" s="3" t="s">
        <v>239</v>
      </c>
      <c r="AM11" s="3" t="s">
        <v>240</v>
      </c>
    </row>
    <row r="12" spans="1:39" ht="12.75" customHeight="1">
      <c r="A12" s="8"/>
      <c r="B12" s="154" t="s">
        <v>48</v>
      </c>
      <c r="C12" s="531">
        <v>5.0389999999999997</v>
      </c>
      <c r="D12" s="531">
        <v>7.351</v>
      </c>
      <c r="E12" s="163">
        <v>8.109</v>
      </c>
      <c r="F12" s="163">
        <v>9.9890000000000008</v>
      </c>
      <c r="G12" s="163">
        <v>11.259</v>
      </c>
      <c r="H12" s="163">
        <v>12.976000000000001</v>
      </c>
      <c r="I12" s="163">
        <v>13.614000000000001</v>
      </c>
      <c r="J12" s="163">
        <v>13.669</v>
      </c>
      <c r="K12" s="163">
        <v>13.786</v>
      </c>
      <c r="L12" s="163">
        <v>13.779</v>
      </c>
      <c r="M12" s="163">
        <v>13.911</v>
      </c>
      <c r="N12" s="163">
        <v>13.909000000000001</v>
      </c>
      <c r="O12" s="163">
        <v>13.968</v>
      </c>
      <c r="P12" s="163">
        <v>13.954000000000001</v>
      </c>
      <c r="Q12" s="163">
        <v>13.986000000000001</v>
      </c>
      <c r="R12" s="163">
        <v>14.132</v>
      </c>
      <c r="S12" s="163">
        <v>14.191000000000001</v>
      </c>
      <c r="T12" s="163">
        <v>14.401999999999999</v>
      </c>
      <c r="U12" s="163">
        <v>14.552</v>
      </c>
      <c r="V12" s="163">
        <v>14.481999999999999</v>
      </c>
      <c r="W12" s="163">
        <v>14.452</v>
      </c>
      <c r="X12" s="163">
        <f>14.51</f>
        <v>14.51</v>
      </c>
      <c r="Y12" s="163">
        <f>14.496</f>
        <v>14.496</v>
      </c>
      <c r="Z12" s="163">
        <v>14.013999999999999</v>
      </c>
      <c r="AA12" s="163">
        <v>13.484999999999999</v>
      </c>
      <c r="AB12" s="163">
        <v>13.27</v>
      </c>
      <c r="AC12" s="163">
        <v>13.407999999999999</v>
      </c>
      <c r="AD12" s="163">
        <v>13.382999999999999</v>
      </c>
      <c r="AE12" s="163">
        <v>13.417</v>
      </c>
      <c r="AF12" s="163">
        <v>13.5</v>
      </c>
      <c r="AG12" s="165">
        <v>13.157999999999999</v>
      </c>
      <c r="AH12" s="273">
        <f t="shared" si="2"/>
        <v>-2.5333333333333314</v>
      </c>
      <c r="AI12" s="273" t="s">
        <v>48</v>
      </c>
      <c r="AJ12" s="622" t="s">
        <v>262</v>
      </c>
      <c r="AK12" s="3" t="s">
        <v>208</v>
      </c>
      <c r="AL12" s="6" t="s">
        <v>208</v>
      </c>
      <c r="AM12" s="6" t="s">
        <v>208</v>
      </c>
    </row>
    <row r="13" spans="1:39" ht="12.75" customHeight="1">
      <c r="A13" s="8"/>
      <c r="B13" s="10" t="s">
        <v>53</v>
      </c>
      <c r="C13" s="532">
        <v>63.939</v>
      </c>
      <c r="D13" s="532">
        <v>95.757999999999996</v>
      </c>
      <c r="E13" s="121">
        <v>100.37</v>
      </c>
      <c r="F13" s="121">
        <v>89.59</v>
      </c>
      <c r="G13" s="121">
        <v>88.433000000000007</v>
      </c>
      <c r="H13" s="121">
        <v>88.745999999999995</v>
      </c>
      <c r="I13" s="121">
        <v>87.421000000000006</v>
      </c>
      <c r="J13" s="121">
        <v>85.433999999999997</v>
      </c>
      <c r="K13" s="276">
        <v>84.653999999999996</v>
      </c>
      <c r="L13" s="121">
        <v>75.453000000000003</v>
      </c>
      <c r="M13" s="121">
        <v>75.593999999999994</v>
      </c>
      <c r="N13" s="121">
        <v>76.63</v>
      </c>
      <c r="O13" s="121">
        <v>77.183000000000007</v>
      </c>
      <c r="P13" s="121">
        <v>77.088999999999999</v>
      </c>
      <c r="Q13" s="121">
        <v>77.06</v>
      </c>
      <c r="R13" s="121">
        <v>76.664000000000001</v>
      </c>
      <c r="S13" s="121">
        <v>76.028000000000006</v>
      </c>
      <c r="T13" s="121">
        <v>75.203000000000003</v>
      </c>
      <c r="U13" s="121">
        <v>75.084999999999994</v>
      </c>
      <c r="V13" s="121">
        <v>75.067999999999998</v>
      </c>
      <c r="W13" s="121">
        <v>75.27</v>
      </c>
      <c r="X13" s="121">
        <v>76.433000000000007</v>
      </c>
      <c r="Y13" s="121">
        <f>76.463</f>
        <v>76.462999999999994</v>
      </c>
      <c r="Z13" s="121">
        <v>75.988</v>
      </c>
      <c r="AA13" s="121">
        <v>76.022999999999996</v>
      </c>
      <c r="AB13" s="121">
        <v>76.793999999999997</v>
      </c>
      <c r="AC13" s="121">
        <v>77.501000000000005</v>
      </c>
      <c r="AD13" s="121">
        <v>78.344999999999999</v>
      </c>
      <c r="AE13" s="121">
        <f>78.949</f>
        <v>78.948999999999998</v>
      </c>
      <c r="AF13" s="121">
        <v>79.400000000000006</v>
      </c>
      <c r="AG13" s="166">
        <v>80.519000000000005</v>
      </c>
      <c r="AH13" s="274">
        <f t="shared" si="2"/>
        <v>1.4093198992443376</v>
      </c>
      <c r="AI13" s="274" t="s">
        <v>53</v>
      </c>
      <c r="AJ13" s="3" t="s">
        <v>209</v>
      </c>
      <c r="AK13" s="3" t="s">
        <v>209</v>
      </c>
      <c r="AL13" s="3" t="s">
        <v>210</v>
      </c>
      <c r="AM13" s="3" t="s">
        <v>211</v>
      </c>
    </row>
    <row r="14" spans="1:39" ht="12.75" customHeight="1">
      <c r="A14" s="8"/>
      <c r="B14" s="154" t="s">
        <v>38</v>
      </c>
      <c r="C14" s="531"/>
      <c r="D14" s="531">
        <v>6.4</v>
      </c>
      <c r="E14" s="163">
        <v>7.9</v>
      </c>
      <c r="F14" s="163">
        <v>8.6</v>
      </c>
      <c r="G14" s="163">
        <v>8.4</v>
      </c>
      <c r="H14" s="163">
        <v>8.6999999999999993</v>
      </c>
      <c r="I14" s="163">
        <v>6.3</v>
      </c>
      <c r="J14" s="163">
        <v>7</v>
      </c>
      <c r="K14" s="163">
        <v>6.7</v>
      </c>
      <c r="L14" s="163">
        <v>6.5</v>
      </c>
      <c r="M14" s="163">
        <v>6.3</v>
      </c>
      <c r="N14" s="163">
        <v>6.2</v>
      </c>
      <c r="O14" s="163">
        <v>6.1</v>
      </c>
      <c r="P14" s="163">
        <v>5.5</v>
      </c>
      <c r="Q14" s="163">
        <v>5.3</v>
      </c>
      <c r="R14" s="163">
        <v>5.4</v>
      </c>
      <c r="S14" s="163">
        <v>5.3</v>
      </c>
      <c r="T14" s="163">
        <v>5.194</v>
      </c>
      <c r="U14" s="275">
        <v>5.3780000000000001</v>
      </c>
      <c r="V14" s="163">
        <v>4.3099999999999996</v>
      </c>
      <c r="W14" s="163">
        <v>4.2919999999999998</v>
      </c>
      <c r="X14" s="163">
        <v>4.117</v>
      </c>
      <c r="Y14" s="163">
        <v>4.1669999999999998</v>
      </c>
      <c r="Z14" s="163">
        <v>4.1559999999999997</v>
      </c>
      <c r="AA14" s="163">
        <v>4.3109999999999999</v>
      </c>
      <c r="AB14" s="163">
        <v>4.5</v>
      </c>
      <c r="AC14" s="163">
        <v>4.5999999999999996</v>
      </c>
      <c r="AD14" s="163">
        <v>4.8</v>
      </c>
      <c r="AE14" s="163">
        <v>4.8</v>
      </c>
      <c r="AF14" s="163">
        <v>4.9000000000000004</v>
      </c>
      <c r="AG14" s="165">
        <v>5</v>
      </c>
      <c r="AH14" s="273">
        <f t="shared" si="2"/>
        <v>2.0408163265306172</v>
      </c>
      <c r="AI14" s="273" t="s">
        <v>38</v>
      </c>
      <c r="AJ14" s="6" t="s">
        <v>212</v>
      </c>
      <c r="AK14" s="6" t="s">
        <v>212</v>
      </c>
      <c r="AL14" s="6" t="s">
        <v>212</v>
      </c>
      <c r="AM14" s="6" t="s">
        <v>212</v>
      </c>
    </row>
    <row r="15" spans="1:39" ht="12.75" customHeight="1">
      <c r="A15" s="8"/>
      <c r="B15" s="10" t="s">
        <v>56</v>
      </c>
      <c r="C15" s="532">
        <v>2.012</v>
      </c>
      <c r="D15" s="532">
        <v>2.722</v>
      </c>
      <c r="E15" s="121">
        <v>4.0469999999999997</v>
      </c>
      <c r="F15" s="121">
        <v>4.3879999999999999</v>
      </c>
      <c r="G15" s="121">
        <v>4.5570000000000004</v>
      </c>
      <c r="H15" s="121">
        <v>4.835</v>
      </c>
      <c r="I15" s="121">
        <v>4.9850000000000003</v>
      </c>
      <c r="J15" s="121">
        <v>5.282</v>
      </c>
      <c r="K15" s="121">
        <v>5.5350000000000001</v>
      </c>
      <c r="L15" s="121">
        <v>5.8449999999999998</v>
      </c>
      <c r="M15" s="121">
        <v>6.0960000000000001</v>
      </c>
      <c r="N15" s="121">
        <v>6.5640000000000001</v>
      </c>
      <c r="O15" s="121">
        <v>6.9569999999999999</v>
      </c>
      <c r="P15" s="121">
        <v>7.0839999999999996</v>
      </c>
      <c r="Q15" s="121">
        <v>7.09</v>
      </c>
      <c r="R15" s="121">
        <v>7.3920000000000003</v>
      </c>
      <c r="S15" s="121">
        <v>7.43</v>
      </c>
      <c r="T15" s="121">
        <v>7.625</v>
      </c>
      <c r="U15" s="121">
        <v>7.9969999999999999</v>
      </c>
      <c r="V15" s="121">
        <v>8.4510000000000005</v>
      </c>
      <c r="W15" s="121">
        <v>8.9109999999999996</v>
      </c>
      <c r="X15" s="121">
        <f>8.556</f>
        <v>8.5559999999999992</v>
      </c>
      <c r="Y15" s="121">
        <f>8.245</f>
        <v>8.2449999999999992</v>
      </c>
      <c r="Z15" s="121">
        <v>8.2759999999999998</v>
      </c>
      <c r="AA15" s="121">
        <v>8.266</v>
      </c>
      <c r="AB15" s="121">
        <v>8.4879999999999995</v>
      </c>
      <c r="AC15" s="121">
        <v>8.8019999999999996</v>
      </c>
      <c r="AD15" s="121">
        <v>9.2590000000000003</v>
      </c>
      <c r="AE15" s="121">
        <v>9.8409999999999993</v>
      </c>
      <c r="AF15" s="121">
        <v>10.3</v>
      </c>
      <c r="AG15" s="166">
        <v>10.944000000000001</v>
      </c>
      <c r="AH15" s="274">
        <f t="shared" si="2"/>
        <v>6.2524271844660149</v>
      </c>
      <c r="AI15" s="274" t="s">
        <v>56</v>
      </c>
      <c r="AJ15" s="2" t="s">
        <v>213</v>
      </c>
      <c r="AK15" s="2" t="s">
        <v>213</v>
      </c>
      <c r="AL15" s="3" t="s">
        <v>241</v>
      </c>
      <c r="AM15" s="3" t="s">
        <v>241</v>
      </c>
    </row>
    <row r="16" spans="1:39" ht="12.75" customHeight="1">
      <c r="A16" s="8"/>
      <c r="B16" s="154" t="s">
        <v>49</v>
      </c>
      <c r="C16" s="531">
        <v>10.545999999999999</v>
      </c>
      <c r="D16" s="531">
        <v>18.010999999999999</v>
      </c>
      <c r="E16" s="163">
        <v>21.43</v>
      </c>
      <c r="F16" s="163">
        <v>22.08</v>
      </c>
      <c r="G16" s="163">
        <v>22.673999999999999</v>
      </c>
      <c r="H16" s="163">
        <v>23.206</v>
      </c>
      <c r="I16" s="163">
        <v>23.54</v>
      </c>
      <c r="J16" s="163">
        <v>24.6</v>
      </c>
      <c r="K16" s="163">
        <v>25.096</v>
      </c>
      <c r="L16" s="163">
        <v>25.622</v>
      </c>
      <c r="M16" s="163">
        <v>26.32</v>
      </c>
      <c r="N16" s="163">
        <v>26.768999999999998</v>
      </c>
      <c r="O16" s="163">
        <v>27.036999999999999</v>
      </c>
      <c r="P16" s="163">
        <v>27.114999999999998</v>
      </c>
      <c r="Q16" s="163">
        <v>27.247</v>
      </c>
      <c r="R16" s="163">
        <v>27.138999999999999</v>
      </c>
      <c r="S16" s="163">
        <v>26.78</v>
      </c>
      <c r="T16" s="163">
        <v>26.829000000000001</v>
      </c>
      <c r="U16" s="163">
        <v>26.937999999999999</v>
      </c>
      <c r="V16" s="163">
        <v>27.102</v>
      </c>
      <c r="W16" s="163">
        <v>27.186</v>
      </c>
      <c r="X16" s="163">
        <v>27.324000000000002</v>
      </c>
      <c r="Y16" s="163">
        <v>27.311</v>
      </c>
      <c r="Z16" s="163">
        <v>27.120999999999999</v>
      </c>
      <c r="AA16" s="163">
        <v>26.962</v>
      </c>
      <c r="AB16" s="163">
        <v>26.783000000000001</v>
      </c>
      <c r="AC16" s="163">
        <v>26.585999999999999</v>
      </c>
      <c r="AD16" s="163">
        <v>26.541</v>
      </c>
      <c r="AE16" s="163">
        <v>26.481000000000002</v>
      </c>
      <c r="AF16" s="163">
        <v>26.388999999999999</v>
      </c>
      <c r="AG16" s="165">
        <v>26.478999999999999</v>
      </c>
      <c r="AH16" s="273">
        <f t="shared" si="2"/>
        <v>0.34105119557391106</v>
      </c>
      <c r="AI16" s="273" t="s">
        <v>49</v>
      </c>
      <c r="AJ16" s="3" t="s">
        <v>214</v>
      </c>
      <c r="AK16" s="3" t="s">
        <v>214</v>
      </c>
      <c r="AL16" s="3" t="s">
        <v>214</v>
      </c>
      <c r="AM16" s="3" t="s">
        <v>214</v>
      </c>
    </row>
    <row r="17" spans="1:39" ht="12.75" customHeight="1">
      <c r="A17" s="8"/>
      <c r="B17" s="10" t="s">
        <v>54</v>
      </c>
      <c r="C17" s="532">
        <v>30.728000000000002</v>
      </c>
      <c r="D17" s="532">
        <v>42.631</v>
      </c>
      <c r="E17" s="121">
        <v>45.767000000000003</v>
      </c>
      <c r="F17" s="121">
        <v>46.603999999999999</v>
      </c>
      <c r="G17" s="121">
        <v>47.18</v>
      </c>
      <c r="H17" s="121">
        <v>47.027999999999999</v>
      </c>
      <c r="I17" s="121">
        <v>47.088000000000001</v>
      </c>
      <c r="J17" s="121">
        <v>47.375</v>
      </c>
      <c r="K17" s="121">
        <v>48.405000000000001</v>
      </c>
      <c r="L17" s="121">
        <v>50.034999999999997</v>
      </c>
      <c r="M17" s="121">
        <v>51.805</v>
      </c>
      <c r="N17" s="121">
        <v>53.54</v>
      </c>
      <c r="O17" s="121">
        <v>54.731999999999999</v>
      </c>
      <c r="P17" s="121">
        <v>56.146000000000001</v>
      </c>
      <c r="Q17" s="121">
        <v>56.953000000000003</v>
      </c>
      <c r="R17" s="121">
        <v>55.993000000000002</v>
      </c>
      <c r="S17" s="121">
        <v>56.957000000000001</v>
      </c>
      <c r="T17" s="121">
        <v>58.247999999999998</v>
      </c>
      <c r="U17" s="121">
        <v>59.104999999999997</v>
      </c>
      <c r="V17" s="121">
        <v>61.039000000000001</v>
      </c>
      <c r="W17" s="121">
        <v>62.195999999999998</v>
      </c>
      <c r="X17" s="121">
        <v>62.662999999999997</v>
      </c>
      <c r="Y17" s="121">
        <v>62.445</v>
      </c>
      <c r="Z17" s="121">
        <v>62.357999999999997</v>
      </c>
      <c r="AA17" s="121">
        <v>61.127000000000002</v>
      </c>
      <c r="AB17" s="121">
        <v>59.892000000000003</v>
      </c>
      <c r="AC17" s="121">
        <v>59.798999999999999</v>
      </c>
      <c r="AD17" s="121">
        <v>60.252000000000002</v>
      </c>
      <c r="AE17" s="121">
        <v>61.838000000000001</v>
      </c>
      <c r="AF17" s="121">
        <v>63.588999999999999</v>
      </c>
      <c r="AG17" s="166">
        <v>64.905000000000001</v>
      </c>
      <c r="AH17" s="274">
        <f t="shared" si="2"/>
        <v>2.0695403293022423</v>
      </c>
      <c r="AI17" s="274" t="s">
        <v>54</v>
      </c>
      <c r="AJ17" s="6" t="s">
        <v>215</v>
      </c>
      <c r="AK17" s="6" t="s">
        <v>215</v>
      </c>
      <c r="AL17" s="6" t="s">
        <v>216</v>
      </c>
      <c r="AM17" s="6" t="s">
        <v>216</v>
      </c>
    </row>
    <row r="18" spans="1:39" ht="12.75" customHeight="1">
      <c r="A18" s="8"/>
      <c r="B18" s="154" t="s">
        <v>55</v>
      </c>
      <c r="C18" s="531">
        <v>41</v>
      </c>
      <c r="D18" s="531">
        <v>59</v>
      </c>
      <c r="E18" s="163">
        <v>70</v>
      </c>
      <c r="F18" s="163">
        <v>76</v>
      </c>
      <c r="G18" s="163">
        <v>76</v>
      </c>
      <c r="H18" s="163">
        <v>76</v>
      </c>
      <c r="I18" s="163">
        <v>78</v>
      </c>
      <c r="J18" s="163">
        <v>79</v>
      </c>
      <c r="K18" s="163">
        <v>82</v>
      </c>
      <c r="L18" s="163">
        <v>82</v>
      </c>
      <c r="M18" s="296">
        <v>84.960999999999999</v>
      </c>
      <c r="N18" s="163">
        <v>85.668000000000006</v>
      </c>
      <c r="O18" s="163">
        <v>85.748999999999995</v>
      </c>
      <c r="P18" s="163">
        <v>86.953999999999994</v>
      </c>
      <c r="Q18" s="163">
        <v>85.876000000000005</v>
      </c>
      <c r="R18" s="163">
        <v>87.100999999999999</v>
      </c>
      <c r="S18" s="163">
        <v>88.417000000000002</v>
      </c>
      <c r="T18" s="163">
        <v>90.055000000000007</v>
      </c>
      <c r="U18" s="163">
        <v>92.152000000000001</v>
      </c>
      <c r="V18" s="163">
        <v>94.391999999999996</v>
      </c>
      <c r="W18" s="163">
        <v>92.873999999999995</v>
      </c>
      <c r="X18" s="296">
        <v>90.65</v>
      </c>
      <c r="Y18" s="163">
        <v>91.450999999999993</v>
      </c>
      <c r="Z18" s="163">
        <v>93.028999999999996</v>
      </c>
      <c r="AA18" s="163">
        <v>94.099000000000004</v>
      </c>
      <c r="AB18" s="163">
        <v>96.040999999999997</v>
      </c>
      <c r="AC18" s="163">
        <v>96.745999999999995</v>
      </c>
      <c r="AD18" s="163">
        <v>99.001999999999995</v>
      </c>
      <c r="AE18" s="163">
        <v>100.303</v>
      </c>
      <c r="AF18" s="163">
        <v>100.85299999999999</v>
      </c>
      <c r="AG18" s="165">
        <v>100.712</v>
      </c>
      <c r="AH18" s="273">
        <f t="shared" si="2"/>
        <v>-0.13980744251533395</v>
      </c>
      <c r="AI18" s="273" t="s">
        <v>55</v>
      </c>
      <c r="AJ18" s="2" t="s">
        <v>217</v>
      </c>
      <c r="AK18" s="2" t="s">
        <v>217</v>
      </c>
      <c r="AL18" s="2" t="s">
        <v>218</v>
      </c>
      <c r="AM18" s="6" t="s">
        <v>242</v>
      </c>
    </row>
    <row r="19" spans="1:39" ht="12.75" customHeight="1">
      <c r="A19" s="8"/>
      <c r="B19" s="10" t="s">
        <v>66</v>
      </c>
      <c r="C19" s="532"/>
      <c r="D19" s="532"/>
      <c r="E19" s="121">
        <v>5.8360000000000003</v>
      </c>
      <c r="F19" s="121">
        <v>4.8760000000000003</v>
      </c>
      <c r="G19" s="121">
        <v>4.1040000000000001</v>
      </c>
      <c r="H19" s="121">
        <v>3.895</v>
      </c>
      <c r="I19" s="121">
        <v>4.0259999999999998</v>
      </c>
      <c r="J19" s="121">
        <v>3.8969999999999998</v>
      </c>
      <c r="K19" s="121">
        <v>4.5960000000000001</v>
      </c>
      <c r="L19" s="121">
        <v>4.7709999999999999</v>
      </c>
      <c r="M19" s="121">
        <v>4.8140000000000001</v>
      </c>
      <c r="N19" s="121">
        <v>4.7430000000000003</v>
      </c>
      <c r="O19" s="121">
        <v>4.66</v>
      </c>
      <c r="P19" s="121">
        <v>4.7699999999999996</v>
      </c>
      <c r="Q19" s="121">
        <v>4.7919999999999998</v>
      </c>
      <c r="R19" s="121">
        <v>4.8330000000000002</v>
      </c>
      <c r="S19" s="121">
        <v>4.8689999999999998</v>
      </c>
      <c r="T19" s="121">
        <v>4.851</v>
      </c>
      <c r="U19" s="121">
        <v>4.9139999999999997</v>
      </c>
      <c r="V19" s="121">
        <v>5.0430000000000001</v>
      </c>
      <c r="W19" s="121">
        <v>5.0990000000000002</v>
      </c>
      <c r="X19" s="121">
        <v>5.0709999999999997</v>
      </c>
      <c r="Y19" s="299">
        <v>4.8769999999999998</v>
      </c>
      <c r="Z19" s="121">
        <v>4.8410000000000002</v>
      </c>
      <c r="AA19" s="121">
        <v>4.6550000000000002</v>
      </c>
      <c r="AB19" s="121">
        <v>4.7889999999999997</v>
      </c>
      <c r="AC19" s="121">
        <v>5.04</v>
      </c>
      <c r="AD19" s="121">
        <v>5.2759999999999998</v>
      </c>
      <c r="AE19" s="121">
        <v>5.5129999999999999</v>
      </c>
      <c r="AF19" s="121">
        <v>5.6980000000000004</v>
      </c>
      <c r="AG19" s="166">
        <v>5.8769999999999998</v>
      </c>
      <c r="AH19" s="274">
        <f t="shared" si="2"/>
        <v>3.1414531414531268</v>
      </c>
      <c r="AI19" s="274" t="s">
        <v>66</v>
      </c>
      <c r="AJ19" s="622" t="s">
        <v>265</v>
      </c>
      <c r="AK19" s="3" t="s">
        <v>219</v>
      </c>
      <c r="AL19" s="3" t="s">
        <v>219</v>
      </c>
      <c r="AM19" s="3" t="s">
        <v>219</v>
      </c>
    </row>
    <row r="20" spans="1:39" ht="12.75" customHeight="1">
      <c r="A20" s="8"/>
      <c r="B20" s="154" t="s">
        <v>57</v>
      </c>
      <c r="C20" s="531">
        <v>32.899000000000001</v>
      </c>
      <c r="D20" s="531">
        <v>58.149000000000001</v>
      </c>
      <c r="E20" s="163">
        <v>77.730999999999995</v>
      </c>
      <c r="F20" s="163">
        <v>78</v>
      </c>
      <c r="G20" s="163">
        <v>78.179000000000002</v>
      </c>
      <c r="H20" s="163">
        <v>76.974000000000004</v>
      </c>
      <c r="I20" s="163">
        <v>76.075999999999993</v>
      </c>
      <c r="J20" s="163">
        <v>75.022999999999996</v>
      </c>
      <c r="K20" s="163">
        <v>78.183000000000007</v>
      </c>
      <c r="L20" s="163">
        <v>84.177000000000007</v>
      </c>
      <c r="M20" s="163">
        <v>84.822000000000003</v>
      </c>
      <c r="N20" s="163">
        <v>85.762</v>
      </c>
      <c r="O20" s="163">
        <v>87.956000000000003</v>
      </c>
      <c r="P20" s="163">
        <v>89.858000000000004</v>
      </c>
      <c r="Q20" s="163">
        <v>91.715999999999994</v>
      </c>
      <c r="R20" s="163">
        <v>92.700999999999993</v>
      </c>
      <c r="S20" s="163">
        <v>92.873999999999995</v>
      </c>
      <c r="T20" s="163">
        <v>94.436999999999998</v>
      </c>
      <c r="U20" s="163">
        <v>96.099000000000004</v>
      </c>
      <c r="V20" s="163">
        <v>96.418999999999997</v>
      </c>
      <c r="W20" s="163">
        <v>97.596999999999994</v>
      </c>
      <c r="X20" s="163">
        <v>98.724000000000004</v>
      </c>
      <c r="Y20" s="163">
        <v>99.894999999999996</v>
      </c>
      <c r="Z20" s="163">
        <v>100.438</v>
      </c>
      <c r="AA20" s="163">
        <v>99.537000000000006</v>
      </c>
      <c r="AB20" s="163">
        <v>98.551000000000002</v>
      </c>
      <c r="AC20" s="163">
        <v>97.914000000000001</v>
      </c>
      <c r="AD20" s="163">
        <v>97.991</v>
      </c>
      <c r="AE20" s="163">
        <v>97.816999999999993</v>
      </c>
      <c r="AF20" s="163">
        <v>99.1</v>
      </c>
      <c r="AG20" s="165">
        <v>100.042</v>
      </c>
      <c r="AH20" s="273">
        <f t="shared" si="2"/>
        <v>0.95055499495460083</v>
      </c>
      <c r="AI20" s="301" t="s">
        <v>57</v>
      </c>
      <c r="AJ20" s="622" t="s">
        <v>280</v>
      </c>
      <c r="AK20" s="2" t="s">
        <v>220</v>
      </c>
      <c r="AL20" s="2" t="s">
        <v>220</v>
      </c>
      <c r="AM20" s="2" t="s">
        <v>220</v>
      </c>
    </row>
    <row r="21" spans="1:39" ht="12.75" customHeight="1">
      <c r="A21" s="8"/>
      <c r="B21" s="10" t="s">
        <v>36</v>
      </c>
      <c r="C21" s="532"/>
      <c r="D21" s="532">
        <v>1.6</v>
      </c>
      <c r="E21" s="121">
        <v>2.3079999999999998</v>
      </c>
      <c r="F21" s="121">
        <v>2.1760000000000002</v>
      </c>
      <c r="G21" s="121">
        <v>2.371</v>
      </c>
      <c r="H21" s="121">
        <v>2.4380000000000002</v>
      </c>
      <c r="I21" s="121">
        <v>2.5459999999999998</v>
      </c>
      <c r="J21" s="121">
        <v>2.67</v>
      </c>
      <c r="K21" s="121">
        <v>2.8010000000000002</v>
      </c>
      <c r="L21" s="121">
        <v>2.8</v>
      </c>
      <c r="M21" s="121">
        <v>2.754</v>
      </c>
      <c r="N21" s="121">
        <v>2.835</v>
      </c>
      <c r="O21" s="121">
        <v>2.9489999999999998</v>
      </c>
      <c r="P21" s="121">
        <v>3.0030000000000001</v>
      </c>
      <c r="Q21" s="121">
        <v>2.9969999999999999</v>
      </c>
      <c r="R21" s="121">
        <v>3.2749999999999999</v>
      </c>
      <c r="S21" s="121">
        <v>3.1989999999999998</v>
      </c>
      <c r="T21" s="121">
        <v>3.2170000000000001</v>
      </c>
      <c r="U21" s="121">
        <v>3.2210000000000001</v>
      </c>
      <c r="V21" s="121">
        <v>3.2919999999999998</v>
      </c>
      <c r="W21" s="121">
        <v>3.4020000000000001</v>
      </c>
      <c r="X21" s="121">
        <f>3.449</f>
        <v>3.4489999999999998</v>
      </c>
      <c r="Y21" s="121">
        <v>3.403</v>
      </c>
      <c r="Z21" s="121">
        <v>3.4609999999999999</v>
      </c>
      <c r="AA21" s="121">
        <v>3.5569999999999999</v>
      </c>
      <c r="AB21" s="121">
        <v>3.4950000000000001</v>
      </c>
      <c r="AC21" s="541">
        <v>2.581</v>
      </c>
      <c r="AD21" s="121">
        <v>2.7120000000000002</v>
      </c>
      <c r="AE21" s="121">
        <v>2.8420000000000001</v>
      </c>
      <c r="AF21" s="121">
        <v>2.9910000000000001</v>
      </c>
      <c r="AG21" s="166">
        <v>3.0840000000000001</v>
      </c>
      <c r="AH21" s="274">
        <f t="shared" si="2"/>
        <v>3.1093279839518431</v>
      </c>
      <c r="AI21" s="274" t="s">
        <v>36</v>
      </c>
      <c r="AJ21" s="622" t="s">
        <v>154</v>
      </c>
      <c r="AK21" s="2" t="s">
        <v>221</v>
      </c>
      <c r="AL21" s="3" t="s">
        <v>243</v>
      </c>
      <c r="AM21" s="6" t="s">
        <v>244</v>
      </c>
    </row>
    <row r="22" spans="1:39" ht="12.75" customHeight="1">
      <c r="A22" s="8"/>
      <c r="B22" s="154" t="s">
        <v>40</v>
      </c>
      <c r="C22" s="531"/>
      <c r="D22" s="531"/>
      <c r="E22" s="163">
        <v>12.138</v>
      </c>
      <c r="F22" s="164">
        <f>$E$22+($J$22-$E$22)/5</f>
        <v>13.003399999999999</v>
      </c>
      <c r="G22" s="164">
        <f>$E$22+($J$22-$E$22)/5*2</f>
        <v>13.8688</v>
      </c>
      <c r="H22" s="164">
        <f>$E$22+($J$22-$E$22)/5*3</f>
        <v>14.7342</v>
      </c>
      <c r="I22" s="164">
        <f>$E$22+($J$22-$E$22)/5*4</f>
        <v>15.599599999999999</v>
      </c>
      <c r="J22" s="163">
        <v>16.465</v>
      </c>
      <c r="K22" s="163">
        <v>17.274999999999999</v>
      </c>
      <c r="L22" s="275">
        <v>18.558</v>
      </c>
      <c r="M22" s="163">
        <v>11.505000000000001</v>
      </c>
      <c r="N22" s="163">
        <v>11.555999999999999</v>
      </c>
      <c r="O22" s="163">
        <v>11.500999999999999</v>
      </c>
      <c r="P22" s="163">
        <v>11.294</v>
      </c>
      <c r="Q22" s="163">
        <v>11.164</v>
      </c>
      <c r="R22" s="163">
        <v>10.983000000000001</v>
      </c>
      <c r="S22" s="163">
        <v>10.74</v>
      </c>
      <c r="T22" s="163">
        <v>10.644</v>
      </c>
      <c r="U22" s="163">
        <v>10.628</v>
      </c>
      <c r="V22" s="163">
        <v>10.624000000000001</v>
      </c>
      <c r="W22" s="163">
        <v>10.542999999999999</v>
      </c>
      <c r="X22" s="163">
        <v>9.6869999999999994</v>
      </c>
      <c r="Y22" s="296">
        <v>5.3769999999999998</v>
      </c>
      <c r="Z22" s="163">
        <v>5.1859999999999999</v>
      </c>
      <c r="AA22" s="163">
        <v>5.0439999999999996</v>
      </c>
      <c r="AB22" s="163">
        <v>4.9889999999999999</v>
      </c>
      <c r="AC22" s="163">
        <v>4.8449999999999998</v>
      </c>
      <c r="AD22" s="163">
        <v>4.7969999999999997</v>
      </c>
      <c r="AE22" s="163">
        <v>4.6959999999999997</v>
      </c>
      <c r="AF22" s="163">
        <v>4.7</v>
      </c>
      <c r="AG22" s="165">
        <v>4.6319999999999997</v>
      </c>
      <c r="AH22" s="273">
        <f t="shared" si="2"/>
        <v>-1.4468085106383057</v>
      </c>
      <c r="AI22" s="301" t="s">
        <v>40</v>
      </c>
      <c r="AJ22" s="3" t="s">
        <v>222</v>
      </c>
      <c r="AK22" s="3" t="s">
        <v>222</v>
      </c>
      <c r="AL22" s="3" t="s">
        <v>245</v>
      </c>
      <c r="AM22" s="3" t="s">
        <v>223</v>
      </c>
    </row>
    <row r="23" spans="1:39" ht="12.75" customHeight="1">
      <c r="A23" s="8"/>
      <c r="B23" s="10" t="s">
        <v>41</v>
      </c>
      <c r="C23" s="532"/>
      <c r="D23" s="532">
        <v>10.5</v>
      </c>
      <c r="E23" s="121">
        <v>15.2</v>
      </c>
      <c r="F23" s="299">
        <f>$E$23+($J$23-$E$23)/5</f>
        <v>15.6768</v>
      </c>
      <c r="G23" s="299">
        <f>$E$23+($J$23-$E$23)/5*2</f>
        <v>16.153600000000001</v>
      </c>
      <c r="H23" s="299">
        <f>$E$23+($J$23-$E$23)/5*3</f>
        <v>16.630399999999998</v>
      </c>
      <c r="I23" s="299">
        <f>$E$23+($J$23-$E$23)/5*4</f>
        <v>17.107199999999999</v>
      </c>
      <c r="J23" s="121">
        <f>17.052+0.532</f>
        <v>17.584</v>
      </c>
      <c r="K23" s="121">
        <f>15.482+0.544</f>
        <v>16.026</v>
      </c>
      <c r="L23" s="121">
        <f>14.888+0.547</f>
        <v>15.435</v>
      </c>
      <c r="M23" s="121">
        <f>15.156+0.523</f>
        <v>15.679</v>
      </c>
      <c r="N23" s="121">
        <f>15.59+0.5</f>
        <v>16.09</v>
      </c>
      <c r="O23" s="121">
        <f>15.069+0.474</f>
        <v>15.543000000000001</v>
      </c>
      <c r="P23" s="121">
        <f>15.171+0.47</f>
        <v>15.641</v>
      </c>
      <c r="Q23" s="121">
        <f>15.376+0.466</f>
        <v>15.841999999999999</v>
      </c>
      <c r="R23" s="121">
        <f>15.543+0.463</f>
        <v>16.006</v>
      </c>
      <c r="S23" s="121">
        <f>14.377+0.476</f>
        <v>14.853000000000002</v>
      </c>
      <c r="T23" s="121">
        <f>14.839+0.472</f>
        <v>15.311</v>
      </c>
      <c r="U23" s="121">
        <f>15.134+0.485</f>
        <v>15.619</v>
      </c>
      <c r="V23" s="121">
        <f>13.997+0.491</f>
        <v>14.488</v>
      </c>
      <c r="W23" s="121">
        <f>13.824+0.488</f>
        <v>14.311999999999999</v>
      </c>
      <c r="X23" s="121">
        <f>13.36+0.477</f>
        <v>13.837</v>
      </c>
      <c r="Y23" s="121">
        <f>13.261+0.467</f>
        <v>13.728</v>
      </c>
      <c r="Z23" s="121">
        <v>13.545</v>
      </c>
      <c r="AA23" s="121">
        <f>12.649+0.458</f>
        <v>13.106999999999999</v>
      </c>
      <c r="AB23" s="121">
        <f>12.606+0.457</f>
        <v>13.063000000000001</v>
      </c>
      <c r="AC23" s="541">
        <v>6.9370000000000003</v>
      </c>
      <c r="AD23" s="121">
        <v>6.8559999999999999</v>
      </c>
      <c r="AE23" s="121">
        <v>6.9260000000000002</v>
      </c>
      <c r="AF23" s="121">
        <v>7.2</v>
      </c>
      <c r="AG23" s="166">
        <v>7.5170000000000003</v>
      </c>
      <c r="AH23" s="274">
        <f t="shared" si="2"/>
        <v>4.4027777777777715</v>
      </c>
      <c r="AI23" s="274" t="s">
        <v>41</v>
      </c>
      <c r="AJ23" s="6" t="s">
        <v>224</v>
      </c>
      <c r="AK23" s="6" t="s">
        <v>224</v>
      </c>
      <c r="AL23" s="6" t="s">
        <v>224</v>
      </c>
      <c r="AM23" s="6" t="s">
        <v>224</v>
      </c>
    </row>
    <row r="24" spans="1:39" ht="12.75" customHeight="1">
      <c r="A24" s="8"/>
      <c r="B24" s="154" t="s">
        <v>58</v>
      </c>
      <c r="C24" s="531">
        <v>0.56000000000000005</v>
      </c>
      <c r="D24" s="531">
        <v>0.64700000000000002</v>
      </c>
      <c r="E24" s="163">
        <v>0.76</v>
      </c>
      <c r="F24" s="163">
        <v>0.77700000000000002</v>
      </c>
      <c r="G24" s="163">
        <v>0.81399999999999995</v>
      </c>
      <c r="H24" s="163">
        <v>0.85</v>
      </c>
      <c r="I24" s="163">
        <v>0.84599999999999997</v>
      </c>
      <c r="J24" s="163">
        <v>0.871</v>
      </c>
      <c r="K24" s="163">
        <v>0.91400000000000003</v>
      </c>
      <c r="L24" s="163">
        <v>0.94399999999999995</v>
      </c>
      <c r="M24" s="163">
        <v>0.94499999999999995</v>
      </c>
      <c r="N24" s="163">
        <v>0.98399999999999999</v>
      </c>
      <c r="O24" s="163">
        <v>1.0509999999999999</v>
      </c>
      <c r="P24" s="163">
        <v>1.123</v>
      </c>
      <c r="Q24" s="163">
        <v>1.1759999999999999</v>
      </c>
      <c r="R24" s="163">
        <v>1.2270000000000001</v>
      </c>
      <c r="S24" s="163">
        <v>1.27</v>
      </c>
      <c r="T24" s="163">
        <v>1.34</v>
      </c>
      <c r="U24" s="163">
        <v>1.38</v>
      </c>
      <c r="V24" s="163">
        <v>1.456</v>
      </c>
      <c r="W24" s="163">
        <v>1.546</v>
      </c>
      <c r="X24" s="163">
        <f>1.624</f>
        <v>1.6240000000000001</v>
      </c>
      <c r="Y24" s="163">
        <v>1.637</v>
      </c>
      <c r="Z24" s="163">
        <v>1.7030000000000001</v>
      </c>
      <c r="AA24" s="163">
        <v>1.728</v>
      </c>
      <c r="AB24" s="163">
        <v>1.7589999999999999</v>
      </c>
      <c r="AC24" s="163">
        <v>1.778</v>
      </c>
      <c r="AD24" s="550">
        <v>1.857</v>
      </c>
      <c r="AE24" s="550">
        <v>1.9039999999999999</v>
      </c>
      <c r="AF24" s="550">
        <v>2</v>
      </c>
      <c r="AG24" s="543">
        <v>2.0419999999999998</v>
      </c>
      <c r="AH24" s="273">
        <f t="shared" si="2"/>
        <v>2.0999999999999943</v>
      </c>
      <c r="AI24" s="301" t="s">
        <v>58</v>
      </c>
      <c r="AJ24" s="6" t="s">
        <v>246</v>
      </c>
      <c r="AK24" s="6" t="s">
        <v>246</v>
      </c>
      <c r="AL24" s="6" t="s">
        <v>246</v>
      </c>
      <c r="AM24" s="6" t="s">
        <v>247</v>
      </c>
    </row>
    <row r="25" spans="1:39" ht="12.75" customHeight="1">
      <c r="A25" s="8"/>
      <c r="B25" s="10" t="s">
        <v>39</v>
      </c>
      <c r="C25" s="532"/>
      <c r="D25" s="532">
        <v>22.2</v>
      </c>
      <c r="E25" s="121">
        <v>26.437999999999999</v>
      </c>
      <c r="F25" s="121">
        <v>24.497</v>
      </c>
      <c r="G25" s="121">
        <v>23.187000000000001</v>
      </c>
      <c r="H25" s="121">
        <v>22.186</v>
      </c>
      <c r="I25" s="121">
        <v>21.785</v>
      </c>
      <c r="J25" s="121">
        <v>20.463999999999999</v>
      </c>
      <c r="K25" s="121">
        <v>19.381</v>
      </c>
      <c r="L25" s="121">
        <v>18.89</v>
      </c>
      <c r="M25" s="121">
        <v>18.795000000000002</v>
      </c>
      <c r="N25" s="121">
        <v>17.733000000000001</v>
      </c>
      <c r="O25" s="121">
        <v>17.855</v>
      </c>
      <c r="P25" s="121">
        <v>17.817</v>
      </c>
      <c r="Q25" s="121">
        <v>17.873000000000001</v>
      </c>
      <c r="R25" s="121">
        <v>17.876999999999999</v>
      </c>
      <c r="S25" s="121">
        <v>17.428000000000001</v>
      </c>
      <c r="T25" s="121">
        <v>17.45</v>
      </c>
      <c r="U25" s="121">
        <v>17.721</v>
      </c>
      <c r="V25" s="121">
        <v>17.899000000000001</v>
      </c>
      <c r="W25" s="121">
        <v>17.954999999999998</v>
      </c>
      <c r="X25" s="121">
        <v>17.72</v>
      </c>
      <c r="Y25" s="121">
        <f>17.641</f>
        <v>17.640999999999998</v>
      </c>
      <c r="Z25" s="121">
        <v>17.366</v>
      </c>
      <c r="AA25" s="121">
        <v>17.300999999999998</v>
      </c>
      <c r="AB25" s="121">
        <v>17.568999999999999</v>
      </c>
      <c r="AC25" s="121">
        <v>17.922999999999998</v>
      </c>
      <c r="AD25" s="121">
        <v>18.135000000000002</v>
      </c>
      <c r="AE25" s="121">
        <v>18.481999999999999</v>
      </c>
      <c r="AF25" s="121">
        <v>18.7</v>
      </c>
      <c r="AG25" s="166">
        <v>19.134</v>
      </c>
      <c r="AH25" s="274">
        <f t="shared" si="2"/>
        <v>2.3208556149732544</v>
      </c>
      <c r="AI25" s="274" t="s">
        <v>39</v>
      </c>
      <c r="AJ25" s="3" t="s">
        <v>248</v>
      </c>
      <c r="AK25" s="3" t="s">
        <v>248</v>
      </c>
      <c r="AL25" s="3" t="s">
        <v>248</v>
      </c>
      <c r="AM25" s="3" t="s">
        <v>248</v>
      </c>
    </row>
    <row r="26" spans="1:39" ht="12.75" customHeight="1">
      <c r="A26" s="8"/>
      <c r="B26" s="154" t="s">
        <v>42</v>
      </c>
      <c r="C26" s="531"/>
      <c r="D26" s="531"/>
      <c r="E26" s="163">
        <v>0.97799999999999998</v>
      </c>
      <c r="F26" s="164">
        <f>$E$26+($H$26-$E$26)/3</f>
        <v>0.96399999999999997</v>
      </c>
      <c r="G26" s="164">
        <f>$E$26+($H$26-$E$26)/3*2</f>
        <v>0.95000000000000007</v>
      </c>
      <c r="H26" s="163">
        <v>0.93600000000000005</v>
      </c>
      <c r="I26" s="163">
        <v>0.96399999999999997</v>
      </c>
      <c r="J26" s="163">
        <v>1.014</v>
      </c>
      <c r="K26" s="163">
        <v>0.96699999999999997</v>
      </c>
      <c r="L26" s="163">
        <v>1.077</v>
      </c>
      <c r="M26" s="163">
        <f>0.162+0.375+0.57</f>
        <v>1.107</v>
      </c>
      <c r="N26" s="163">
        <f>0.157+0.39+0.572</f>
        <v>1.119</v>
      </c>
      <c r="O26" s="163">
        <f>0.156+0.397+0.573</f>
        <v>1.1259999999999999</v>
      </c>
      <c r="P26" s="163">
        <f>0.156+0.398+0.571</f>
        <v>1.125</v>
      </c>
      <c r="Q26" s="163">
        <v>1.133</v>
      </c>
      <c r="R26" s="163">
        <v>1.1499999999999999</v>
      </c>
      <c r="S26" s="163">
        <v>1.1579999999999999</v>
      </c>
      <c r="T26" s="163">
        <f>0.144+0.422+0.577</f>
        <v>1.1429999999999998</v>
      </c>
      <c r="U26" s="163">
        <f>0.144+0.426+0.578</f>
        <v>1.1479999999999999</v>
      </c>
      <c r="V26" s="163">
        <f>0.15+0.433+0.582</f>
        <v>1.165</v>
      </c>
      <c r="W26" s="163">
        <f>0.161+0.433+0.582</f>
        <v>1.1759999999999999</v>
      </c>
      <c r="X26" s="163">
        <f>0.159+0.451+0.576</f>
        <v>1.1859999999999999</v>
      </c>
      <c r="Y26" s="296">
        <f>0.214+0.318+0.737+0.566</f>
        <v>1.835</v>
      </c>
      <c r="Z26" s="163">
        <v>1.7420000000000002</v>
      </c>
      <c r="AA26" s="163">
        <f>0.344+0.27+0.843+0.289</f>
        <v>1.7459999999999998</v>
      </c>
      <c r="AB26" s="163">
        <f>0.239+0.866+0.263+0.344</f>
        <v>1.7119999999999997</v>
      </c>
      <c r="AC26" s="163">
        <f>0.284+0.913+0.236+0.362</f>
        <v>1.7949999999999999</v>
      </c>
      <c r="AD26" s="163">
        <f>0.353+0.22+0.971+0.408</f>
        <v>1.952</v>
      </c>
      <c r="AE26" s="163">
        <f>0.405+1.029+0.199+0.363</f>
        <v>1.996</v>
      </c>
      <c r="AF26" s="163">
        <f>0.432+1.079+0.187+0.371</f>
        <v>2.069</v>
      </c>
      <c r="AG26" s="165">
        <f>0.388+0.165+1.123+0.436</f>
        <v>2.1120000000000001</v>
      </c>
      <c r="AH26" s="273">
        <f t="shared" si="2"/>
        <v>2.0782986950217577</v>
      </c>
      <c r="AI26" s="301" t="s">
        <v>42</v>
      </c>
      <c r="AJ26" s="3" t="s">
        <v>225</v>
      </c>
      <c r="AK26" s="3" t="s">
        <v>225</v>
      </c>
      <c r="AL26" s="3" t="s">
        <v>225</v>
      </c>
      <c r="AM26" s="3" t="s">
        <v>225</v>
      </c>
    </row>
    <row r="27" spans="1:39" ht="12.75" customHeight="1">
      <c r="A27" s="8"/>
      <c r="B27" s="10" t="s">
        <v>50</v>
      </c>
      <c r="C27" s="532">
        <v>9.5</v>
      </c>
      <c r="D27" s="532">
        <v>11.2</v>
      </c>
      <c r="E27" s="121">
        <v>12.1</v>
      </c>
      <c r="F27" s="121">
        <v>12.427</v>
      </c>
      <c r="G27" s="121">
        <v>12.340999999999999</v>
      </c>
      <c r="H27" s="121">
        <v>12.525</v>
      </c>
      <c r="I27" s="121">
        <v>12</v>
      </c>
      <c r="J27" s="121">
        <v>11.635999999999999</v>
      </c>
      <c r="K27" s="121">
        <v>11.334</v>
      </c>
      <c r="L27" s="121">
        <v>10.801</v>
      </c>
      <c r="M27" s="121">
        <v>11.006</v>
      </c>
      <c r="N27" s="121">
        <v>11.21</v>
      </c>
      <c r="O27" s="121">
        <v>11.374000000000001</v>
      </c>
      <c r="P27" s="121">
        <v>11.326000000000001</v>
      </c>
      <c r="Q27" s="121">
        <v>11.382</v>
      </c>
      <c r="R27" s="121">
        <v>11.343999999999999</v>
      </c>
      <c r="S27" s="121">
        <v>11.231</v>
      </c>
      <c r="T27" s="121">
        <v>10.994999999999999</v>
      </c>
      <c r="U27" s="121">
        <v>10.845000000000001</v>
      </c>
      <c r="V27" s="121">
        <v>11.090999999999999</v>
      </c>
      <c r="W27" s="121">
        <v>11.332000000000001</v>
      </c>
      <c r="X27" s="121">
        <v>11.634</v>
      </c>
      <c r="Y27" s="121">
        <f>11.277</f>
        <v>11.276999999999999</v>
      </c>
      <c r="Z27" s="121">
        <v>10.986000000000001</v>
      </c>
      <c r="AA27" s="121">
        <f>10.464</f>
        <v>10.464</v>
      </c>
      <c r="AB27" s="121">
        <f>9.922</f>
        <v>9.9220000000000006</v>
      </c>
      <c r="AC27" s="121">
        <v>9.5969999999999995</v>
      </c>
      <c r="AD27" s="121">
        <v>9.4109999999999996</v>
      </c>
      <c r="AE27" s="121">
        <v>9.8219999999999992</v>
      </c>
      <c r="AF27" s="121">
        <v>9.9</v>
      </c>
      <c r="AG27" s="166">
        <v>9.7170000000000005</v>
      </c>
      <c r="AH27" s="274">
        <f t="shared" si="2"/>
        <v>-1.8484848484848442</v>
      </c>
      <c r="AI27" s="274" t="s">
        <v>50</v>
      </c>
      <c r="AJ27" s="23" t="s">
        <v>226</v>
      </c>
      <c r="AK27" s="23" t="s">
        <v>226</v>
      </c>
      <c r="AL27" s="23" t="s">
        <v>226</v>
      </c>
      <c r="AM27" s="23" t="s">
        <v>226</v>
      </c>
    </row>
    <row r="28" spans="1:39" ht="12.75" customHeight="1">
      <c r="A28" s="8"/>
      <c r="B28" s="154" t="s">
        <v>59</v>
      </c>
      <c r="C28" s="531">
        <v>6.8040000000000003</v>
      </c>
      <c r="D28" s="531">
        <v>8.89</v>
      </c>
      <c r="E28" s="163">
        <v>9.4019999999999992</v>
      </c>
      <c r="F28" s="163">
        <v>9.2690000000000001</v>
      </c>
      <c r="G28" s="163">
        <v>9.375</v>
      </c>
      <c r="H28" s="163">
        <v>9.4830000000000005</v>
      </c>
      <c r="I28" s="163">
        <v>9.5980000000000008</v>
      </c>
      <c r="J28" s="163">
        <v>9.7520000000000007</v>
      </c>
      <c r="K28" s="163">
        <v>9.74</v>
      </c>
      <c r="L28" s="163">
        <v>9.6999999999999993</v>
      </c>
      <c r="M28" s="163">
        <v>9.6750000000000007</v>
      </c>
      <c r="N28" s="163">
        <v>9.8339999999999996</v>
      </c>
      <c r="O28" s="163">
        <v>9.9179999999999993</v>
      </c>
      <c r="P28" s="275">
        <v>9.9019999999999992</v>
      </c>
      <c r="Q28" s="163">
        <v>9.1790000000000003</v>
      </c>
      <c r="R28" s="163">
        <v>9.2309999999999999</v>
      </c>
      <c r="S28" s="163">
        <v>9.4079999999999995</v>
      </c>
      <c r="T28" s="163">
        <v>9.3010000000000002</v>
      </c>
      <c r="U28" s="163">
        <v>9.2970000000000006</v>
      </c>
      <c r="V28" s="163">
        <v>9.2989999999999995</v>
      </c>
      <c r="W28" s="163">
        <v>9.3680000000000003</v>
      </c>
      <c r="X28" s="163">
        <v>9.5990000000000002</v>
      </c>
      <c r="Y28" s="163">
        <f>9.648</f>
        <v>9.6479999999999997</v>
      </c>
      <c r="Z28" s="163">
        <v>9.6020000000000003</v>
      </c>
      <c r="AA28" s="163">
        <v>9.5459999999999994</v>
      </c>
      <c r="AB28" s="163">
        <v>9.5790000000000006</v>
      </c>
      <c r="AC28" s="163">
        <v>9.5850000000000009</v>
      </c>
      <c r="AD28" s="163">
        <v>9.6790000000000003</v>
      </c>
      <c r="AE28" s="163">
        <v>9.8249999999999993</v>
      </c>
      <c r="AF28" s="163">
        <v>10</v>
      </c>
      <c r="AG28" s="165">
        <v>10.037000000000001</v>
      </c>
      <c r="AH28" s="273">
        <f t="shared" si="2"/>
        <v>0.37000000000000455</v>
      </c>
      <c r="AI28" s="301" t="s">
        <v>59</v>
      </c>
      <c r="AJ28" s="3" t="s">
        <v>227</v>
      </c>
      <c r="AK28" s="3" t="s">
        <v>227</v>
      </c>
      <c r="AL28" s="3" t="s">
        <v>227</v>
      </c>
      <c r="AM28" s="3" t="s">
        <v>227</v>
      </c>
    </row>
    <row r="29" spans="1:39" ht="12.75" customHeight="1">
      <c r="A29" s="8"/>
      <c r="B29" s="10" t="s">
        <v>43</v>
      </c>
      <c r="C29" s="532"/>
      <c r="D29" s="532">
        <v>66.400000000000006</v>
      </c>
      <c r="E29" s="121">
        <v>92.403000000000006</v>
      </c>
      <c r="F29" s="121">
        <v>86.950999999999993</v>
      </c>
      <c r="G29" s="121">
        <v>86.578000000000003</v>
      </c>
      <c r="H29" s="121">
        <v>86.153999999999996</v>
      </c>
      <c r="I29" s="121">
        <v>86.852000000000004</v>
      </c>
      <c r="J29" s="121">
        <v>85.412999999999997</v>
      </c>
      <c r="K29" s="121">
        <v>85.596000000000004</v>
      </c>
      <c r="L29" s="121">
        <v>81.787999999999997</v>
      </c>
      <c r="M29" s="121">
        <v>80.826999999999998</v>
      </c>
      <c r="N29" s="121">
        <v>78.957999999999998</v>
      </c>
      <c r="O29" s="121">
        <v>82.59</v>
      </c>
      <c r="P29" s="121">
        <v>82.5</v>
      </c>
      <c r="Q29" s="121">
        <v>83.388999999999996</v>
      </c>
      <c r="R29" s="121">
        <v>82.769000000000005</v>
      </c>
      <c r="S29" s="121">
        <v>82.676000000000002</v>
      </c>
      <c r="T29" s="121">
        <v>79.566999999999993</v>
      </c>
      <c r="U29" s="121">
        <v>83.495999999999995</v>
      </c>
      <c r="V29" s="121">
        <v>87.585999999999999</v>
      </c>
      <c r="W29" s="121">
        <v>92.400999999999996</v>
      </c>
      <c r="X29" s="121">
        <v>95.415000000000006</v>
      </c>
      <c r="Y29" s="121">
        <v>97.043999999999997</v>
      </c>
      <c r="Z29" s="121">
        <v>100.29900000000001</v>
      </c>
      <c r="AA29" s="121">
        <v>99.858000000000004</v>
      </c>
      <c r="AB29" s="121">
        <v>102.602</v>
      </c>
      <c r="AC29" s="121">
        <v>106.057</v>
      </c>
      <c r="AD29" s="121">
        <v>109.84399999999999</v>
      </c>
      <c r="AE29" s="121">
        <v>113.139</v>
      </c>
      <c r="AF29" s="121">
        <v>116.1</v>
      </c>
      <c r="AG29" s="166">
        <v>119</v>
      </c>
      <c r="AH29" s="274">
        <f t="shared" si="2"/>
        <v>2.4978466838931865</v>
      </c>
      <c r="AI29" s="274" t="s">
        <v>43</v>
      </c>
      <c r="AJ29" s="23" t="s">
        <v>249</v>
      </c>
      <c r="AK29" s="23" t="s">
        <v>249</v>
      </c>
      <c r="AL29" s="23" t="s">
        <v>249</v>
      </c>
      <c r="AM29" s="23" t="s">
        <v>249</v>
      </c>
    </row>
    <row r="30" spans="1:39" ht="12.75" customHeight="1">
      <c r="A30" s="8"/>
      <c r="B30" s="154" t="s">
        <v>60</v>
      </c>
      <c r="C30" s="531">
        <v>5.8730000000000002</v>
      </c>
      <c r="D30" s="531">
        <v>8.4890000000000008</v>
      </c>
      <c r="E30" s="163">
        <v>12.099</v>
      </c>
      <c r="F30" s="163">
        <v>12.348000000000001</v>
      </c>
      <c r="G30" s="163">
        <v>12.961</v>
      </c>
      <c r="H30" s="163">
        <v>13.554</v>
      </c>
      <c r="I30" s="163">
        <v>14.353</v>
      </c>
      <c r="J30" s="163">
        <v>15.02</v>
      </c>
      <c r="K30" s="163">
        <v>15.680999999999999</v>
      </c>
      <c r="L30" s="163">
        <v>16.431000000000001</v>
      </c>
      <c r="M30" s="163">
        <v>17.513000000000002</v>
      </c>
      <c r="N30" s="163">
        <v>18.544</v>
      </c>
      <c r="O30" s="275">
        <v>19.78</v>
      </c>
      <c r="P30" s="163">
        <v>20.76</v>
      </c>
      <c r="Q30" s="163">
        <v>21.387</v>
      </c>
      <c r="R30" s="163">
        <v>21.652999999999999</v>
      </c>
      <c r="S30" s="302">
        <v>21.8</v>
      </c>
      <c r="T30" s="163">
        <v>14.673999999999999</v>
      </c>
      <c r="U30" s="163">
        <v>15</v>
      </c>
      <c r="V30" s="163">
        <v>15.1</v>
      </c>
      <c r="W30" s="163">
        <v>15.4</v>
      </c>
      <c r="X30" s="163">
        <f>15.5</f>
        <v>15.5</v>
      </c>
      <c r="Y30" s="296">
        <v>15.425000000000001</v>
      </c>
      <c r="Z30" s="163">
        <v>15.180999999999999</v>
      </c>
      <c r="AA30" s="163">
        <v>12.356999999999999</v>
      </c>
      <c r="AB30" s="163">
        <v>12.111000000000001</v>
      </c>
      <c r="AC30" s="163">
        <v>14.941000000000001</v>
      </c>
      <c r="AD30" s="163">
        <v>14.717000000000001</v>
      </c>
      <c r="AE30" s="163">
        <v>14.85</v>
      </c>
      <c r="AF30" s="163">
        <v>15.2</v>
      </c>
      <c r="AG30" s="165">
        <v>15.493</v>
      </c>
      <c r="AH30" s="273">
        <f t="shared" si="2"/>
        <v>1.9276315789473699</v>
      </c>
      <c r="AI30" s="301" t="s">
        <v>60</v>
      </c>
      <c r="AJ30" s="3" t="s">
        <v>250</v>
      </c>
      <c r="AK30" s="3" t="s">
        <v>250</v>
      </c>
      <c r="AL30" s="2" t="s">
        <v>228</v>
      </c>
      <c r="AM30" s="2" t="s">
        <v>228</v>
      </c>
    </row>
    <row r="31" spans="1:39" ht="12.75" customHeight="1">
      <c r="A31" s="8"/>
      <c r="B31" s="10" t="s">
        <v>44</v>
      </c>
      <c r="C31" s="532"/>
      <c r="D31" s="532">
        <v>25</v>
      </c>
      <c r="E31" s="121">
        <f>24.297+3.975</f>
        <v>28.272000000000002</v>
      </c>
      <c r="F31" s="121">
        <f>25.199+5.956</f>
        <v>31.155000000000001</v>
      </c>
      <c r="G31" s="121">
        <f>26.847+8.232</f>
        <v>35.079000000000001</v>
      </c>
      <c r="H31" s="121">
        <f>28.085+9.646</f>
        <v>37.731000000000002</v>
      </c>
      <c r="I31" s="121">
        <f>28.862+11.155</f>
        <v>40.016999999999996</v>
      </c>
      <c r="J31" s="121">
        <f>30.365+11.682</f>
        <v>42.046999999999997</v>
      </c>
      <c r="K31" s="121">
        <f>27.372+12.143</f>
        <v>39.515000000000001</v>
      </c>
      <c r="L31" s="121">
        <f>27.426+12.532</f>
        <v>39.957999999999998</v>
      </c>
      <c r="M31" s="121">
        <f>27.399+12.986</f>
        <v>40.385000000000005</v>
      </c>
      <c r="N31" s="121">
        <f>27.317+13.305</f>
        <v>40.622</v>
      </c>
      <c r="O31" s="121">
        <f>27.181+13.535</f>
        <v>40.716000000000001</v>
      </c>
      <c r="P31" s="121">
        <f>26.965+13.826</f>
        <v>40.790999999999997</v>
      </c>
      <c r="Q31" s="121">
        <f>26.672+14.108</f>
        <v>40.78</v>
      </c>
      <c r="R31" s="121">
        <f>25.829+16.118</f>
        <v>41.947000000000003</v>
      </c>
      <c r="S31" s="121">
        <f>25.421+17.771</f>
        <v>43.192</v>
      </c>
      <c r="T31" s="121">
        <f>21.976+17.297</f>
        <v>39.272999999999996</v>
      </c>
      <c r="U31" s="276">
        <f>22.663+17.755</f>
        <v>40.417999999999999</v>
      </c>
      <c r="V31" s="121">
        <f>17.151+17.051</f>
        <v>34.201999999999998</v>
      </c>
      <c r="W31" s="121">
        <v>41.514000000000003</v>
      </c>
      <c r="X31" s="121">
        <f>41.16</f>
        <v>41.16</v>
      </c>
      <c r="Y31" s="121">
        <v>40.877000000000002</v>
      </c>
      <c r="Z31" s="121">
        <v>40.887</v>
      </c>
      <c r="AA31" s="121">
        <v>42.01</v>
      </c>
      <c r="AB31" s="121">
        <v>42.835999999999999</v>
      </c>
      <c r="AC31" s="121">
        <v>44.283000000000001</v>
      </c>
      <c r="AD31" s="121">
        <v>47.347000000000001</v>
      </c>
      <c r="AE31" s="121">
        <v>48.802999999999997</v>
      </c>
      <c r="AF31" s="121">
        <v>50.3</v>
      </c>
      <c r="AG31" s="166">
        <v>51.802</v>
      </c>
      <c r="AH31" s="274">
        <f t="shared" si="2"/>
        <v>2.9860834990059715</v>
      </c>
      <c r="AI31" s="274" t="s">
        <v>44</v>
      </c>
      <c r="AJ31" s="3" t="s">
        <v>251</v>
      </c>
      <c r="AK31" s="3" t="s">
        <v>251</v>
      </c>
      <c r="AL31" s="193" t="s">
        <v>153</v>
      </c>
      <c r="AM31" s="6" t="s">
        <v>229</v>
      </c>
    </row>
    <row r="32" spans="1:39" ht="12.75" customHeight="1">
      <c r="A32" s="8"/>
      <c r="B32" s="154" t="s">
        <v>46</v>
      </c>
      <c r="C32" s="531">
        <v>1.6639999999999999</v>
      </c>
      <c r="D32" s="531">
        <v>2.5049999999999999</v>
      </c>
      <c r="E32" s="163">
        <v>3.077</v>
      </c>
      <c r="F32" s="163">
        <v>2.855</v>
      </c>
      <c r="G32" s="163">
        <v>2.67</v>
      </c>
      <c r="H32" s="163">
        <v>2.597</v>
      </c>
      <c r="I32" s="163">
        <v>2.512</v>
      </c>
      <c r="J32" s="163">
        <v>2.4729999999999999</v>
      </c>
      <c r="K32" s="163">
        <v>2.407</v>
      </c>
      <c r="L32" s="163">
        <v>2.3690000000000002</v>
      </c>
      <c r="M32" s="163">
        <v>2.3250000000000002</v>
      </c>
      <c r="N32" s="163">
        <v>2.3149999999999999</v>
      </c>
      <c r="O32" s="163">
        <v>2.2549999999999999</v>
      </c>
      <c r="P32" s="163">
        <v>2.2130000000000001</v>
      </c>
      <c r="Q32" s="163">
        <v>2.1960000000000002</v>
      </c>
      <c r="R32" s="163">
        <v>2.19</v>
      </c>
      <c r="S32" s="163">
        <v>2.2690000000000001</v>
      </c>
      <c r="T32" s="163">
        <v>2.2549999999999999</v>
      </c>
      <c r="U32" s="163">
        <v>2.2770000000000001</v>
      </c>
      <c r="V32" s="163">
        <v>2.33</v>
      </c>
      <c r="W32" s="163">
        <v>2.3780000000000001</v>
      </c>
      <c r="X32" s="163">
        <v>2.3940000000000001</v>
      </c>
      <c r="Y32" s="163">
        <f>2.4</f>
        <v>2.4</v>
      </c>
      <c r="Z32" s="163">
        <v>2.4220000000000002</v>
      </c>
      <c r="AA32" s="163">
        <v>2.41</v>
      </c>
      <c r="AB32" s="163">
        <f>2.465</f>
        <v>2.4649999999999999</v>
      </c>
      <c r="AC32" s="163">
        <v>2.5590000000000002</v>
      </c>
      <c r="AD32" s="163">
        <v>2.6309999999999998</v>
      </c>
      <c r="AE32" s="163">
        <v>2.6789999999999998</v>
      </c>
      <c r="AF32" s="163">
        <v>2.782</v>
      </c>
      <c r="AG32" s="165">
        <v>2.8340000000000001</v>
      </c>
      <c r="AH32" s="273">
        <f t="shared" si="2"/>
        <v>1.8691588785046775</v>
      </c>
      <c r="AI32" s="301" t="s">
        <v>46</v>
      </c>
      <c r="AJ32" s="193" t="s">
        <v>153</v>
      </c>
      <c r="AK32" s="193" t="s">
        <v>153</v>
      </c>
      <c r="AL32" s="193" t="s">
        <v>153</v>
      </c>
      <c r="AM32" s="2" t="s">
        <v>229</v>
      </c>
    </row>
    <row r="33" spans="1:39" ht="12.75" customHeight="1">
      <c r="A33" s="8"/>
      <c r="B33" s="10" t="s">
        <v>45</v>
      </c>
      <c r="C33" s="532"/>
      <c r="D33" s="532">
        <v>10</v>
      </c>
      <c r="E33" s="121">
        <v>14.301</v>
      </c>
      <c r="F33" s="121">
        <v>13.77</v>
      </c>
      <c r="G33" s="121">
        <v>13.337999999999999</v>
      </c>
      <c r="H33" s="121">
        <v>12.654999999999999</v>
      </c>
      <c r="I33" s="121">
        <v>12.066000000000001</v>
      </c>
      <c r="J33" s="121">
        <v>11.811999999999999</v>
      </c>
      <c r="K33" s="121">
        <v>11.321</v>
      </c>
      <c r="L33" s="121">
        <v>11.234999999999999</v>
      </c>
      <c r="M33" s="121">
        <v>11.292999999999999</v>
      </c>
      <c r="N33" s="121">
        <v>11.101000000000001</v>
      </c>
      <c r="O33" s="121">
        <v>10.92</v>
      </c>
      <c r="P33" s="121">
        <v>10.648999999999999</v>
      </c>
      <c r="Q33" s="121">
        <v>10.589</v>
      </c>
      <c r="R33" s="121">
        <v>10.568</v>
      </c>
      <c r="S33" s="121">
        <v>8.9209999999999994</v>
      </c>
      <c r="T33" s="121">
        <v>9.1129999999999995</v>
      </c>
      <c r="U33" s="121">
        <v>8.782</v>
      </c>
      <c r="V33" s="121">
        <v>10.48</v>
      </c>
      <c r="W33" s="121">
        <v>10.537000000000001</v>
      </c>
      <c r="X33" s="300">
        <f>9.4</f>
        <v>9.4</v>
      </c>
      <c r="Y33" s="300">
        <f>9.35</f>
        <v>9.35</v>
      </c>
      <c r="Z33" s="300">
        <v>9.0739999999999998</v>
      </c>
      <c r="AA33" s="300">
        <v>8.9570000000000007</v>
      </c>
      <c r="AB33" s="300">
        <f>8.821</f>
        <v>8.8209999999999997</v>
      </c>
      <c r="AC33" s="300">
        <v>9.1590000000000007</v>
      </c>
      <c r="AD33" s="300">
        <v>9.27</v>
      </c>
      <c r="AE33" s="300">
        <v>9.0909999999999993</v>
      </c>
      <c r="AF33" s="300">
        <v>9.2409999999999997</v>
      </c>
      <c r="AG33" s="339">
        <v>9.0660000000000007</v>
      </c>
      <c r="AH33" s="274">
        <f t="shared" si="2"/>
        <v>-1.8937344443241955</v>
      </c>
      <c r="AI33" s="274" t="s">
        <v>45</v>
      </c>
      <c r="AJ33" s="193" t="s">
        <v>153</v>
      </c>
      <c r="AK33" s="193" t="s">
        <v>153</v>
      </c>
      <c r="AL33" s="193" t="s">
        <v>153</v>
      </c>
      <c r="AM33" s="2" t="s">
        <v>229</v>
      </c>
    </row>
    <row r="34" spans="1:39" ht="12.75" customHeight="1">
      <c r="A34" s="8"/>
      <c r="B34" s="154" t="s">
        <v>61</v>
      </c>
      <c r="C34" s="531">
        <v>8.1159999999999997</v>
      </c>
      <c r="D34" s="531">
        <v>8.9629999999999992</v>
      </c>
      <c r="E34" s="163">
        <v>9.327</v>
      </c>
      <c r="F34" s="163">
        <v>8.968</v>
      </c>
      <c r="G34" s="163">
        <v>8.6649999999999991</v>
      </c>
      <c r="H34" s="163">
        <v>8.2550000000000008</v>
      </c>
      <c r="I34" s="163">
        <v>8.0540000000000003</v>
      </c>
      <c r="J34" s="163">
        <v>8.0830000000000002</v>
      </c>
      <c r="K34" s="163">
        <v>8.2330000000000005</v>
      </c>
      <c r="L34" s="163">
        <v>8.4499999999999993</v>
      </c>
      <c r="M34" s="163">
        <v>9.0399999999999991</v>
      </c>
      <c r="N34" s="163">
        <v>9.4870000000000001</v>
      </c>
      <c r="O34" s="163">
        <v>9.8520000000000003</v>
      </c>
      <c r="P34" s="163">
        <v>9.7690000000000001</v>
      </c>
      <c r="Q34" s="163">
        <v>10.005000000000001</v>
      </c>
      <c r="R34" s="163">
        <v>10.358000000000001</v>
      </c>
      <c r="S34" s="163">
        <v>10.715999999999999</v>
      </c>
      <c r="T34" s="163">
        <v>10.920999999999999</v>
      </c>
      <c r="U34" s="163">
        <v>11.189</v>
      </c>
      <c r="V34" s="163">
        <v>11.542999999999999</v>
      </c>
      <c r="W34" s="163">
        <v>12.276</v>
      </c>
      <c r="X34" s="163">
        <f>13.017</f>
        <v>13.016999999999999</v>
      </c>
      <c r="Y34" s="163">
        <f>13.65</f>
        <v>13.65</v>
      </c>
      <c r="Z34" s="163">
        <v>14.226000000000001</v>
      </c>
      <c r="AA34" s="163">
        <v>14.93</v>
      </c>
      <c r="AB34" s="163">
        <f>15.536</f>
        <v>15.536</v>
      </c>
      <c r="AC34" s="163">
        <v>16.251000000000001</v>
      </c>
      <c r="AD34" s="163">
        <v>16.856000000000002</v>
      </c>
      <c r="AE34" s="163">
        <v>17.536000000000001</v>
      </c>
      <c r="AF34" s="163">
        <v>18.100000000000001</v>
      </c>
      <c r="AG34" s="165">
        <v>18.518999999999998</v>
      </c>
      <c r="AH34" s="273">
        <f t="shared" si="2"/>
        <v>2.3149171270718085</v>
      </c>
      <c r="AI34" s="301" t="s">
        <v>61</v>
      </c>
      <c r="AJ34" s="3" t="s">
        <v>252</v>
      </c>
      <c r="AK34" s="3" t="s">
        <v>252</v>
      </c>
      <c r="AL34" s="6" t="s">
        <v>253</v>
      </c>
      <c r="AM34" s="6" t="s">
        <v>254</v>
      </c>
    </row>
    <row r="35" spans="1:39" ht="12.75" customHeight="1">
      <c r="A35" s="8"/>
      <c r="B35" s="10" t="s">
        <v>62</v>
      </c>
      <c r="C35" s="532">
        <v>14.253</v>
      </c>
      <c r="D35" s="532">
        <v>12.795999999999999</v>
      </c>
      <c r="E35" s="121">
        <v>14.595000000000001</v>
      </c>
      <c r="F35" s="121">
        <v>14.555</v>
      </c>
      <c r="G35" s="121">
        <v>14.252000000000001</v>
      </c>
      <c r="H35" s="121">
        <v>14.127000000000001</v>
      </c>
      <c r="I35" s="121">
        <v>14.292999999999999</v>
      </c>
      <c r="J35" s="121">
        <v>14.577</v>
      </c>
      <c r="K35" s="121">
        <v>14.753</v>
      </c>
      <c r="L35" s="121">
        <v>14.837999999999999</v>
      </c>
      <c r="M35" s="121">
        <v>14.923999999999999</v>
      </c>
      <c r="N35" s="121">
        <v>14.869</v>
      </c>
      <c r="O35" s="121">
        <v>14.417</v>
      </c>
      <c r="P35" s="121">
        <v>14.246</v>
      </c>
      <c r="Q35" s="121">
        <v>14.013</v>
      </c>
      <c r="R35" s="121">
        <v>13.742000000000001</v>
      </c>
      <c r="S35" s="121">
        <v>13.363</v>
      </c>
      <c r="T35" s="121">
        <v>13.477</v>
      </c>
      <c r="U35" s="121">
        <v>13.643000000000001</v>
      </c>
      <c r="V35" s="121">
        <v>13.315</v>
      </c>
      <c r="W35" s="121">
        <v>13.474</v>
      </c>
      <c r="X35" s="121">
        <f>13.407</f>
        <v>13.407</v>
      </c>
      <c r="Y35" s="121">
        <v>13.872999999999999</v>
      </c>
      <c r="Z35" s="121">
        <v>13.946999999999999</v>
      </c>
      <c r="AA35" s="121">
        <v>14.202999999999999</v>
      </c>
      <c r="AB35" s="121">
        <v>13.986000000000001</v>
      </c>
      <c r="AC35" s="121">
        <v>13.992000000000001</v>
      </c>
      <c r="AD35" s="121">
        <v>14.114000000000001</v>
      </c>
      <c r="AE35" s="121">
        <v>13.89</v>
      </c>
      <c r="AF35" s="121">
        <v>14.4</v>
      </c>
      <c r="AG35" s="166">
        <v>14.378</v>
      </c>
      <c r="AH35" s="277">
        <f t="shared" si="2"/>
        <v>-0.15277777777778567</v>
      </c>
      <c r="AI35" s="274" t="s">
        <v>62</v>
      </c>
      <c r="AJ35" s="3" t="s">
        <v>255</v>
      </c>
      <c r="AK35" s="3" t="s">
        <v>255</v>
      </c>
      <c r="AL35" s="3" t="s">
        <v>255</v>
      </c>
      <c r="AM35" s="3" t="s">
        <v>255</v>
      </c>
    </row>
    <row r="36" spans="1:39" ht="12.75" customHeight="1">
      <c r="A36" s="8"/>
      <c r="B36" s="551" t="s">
        <v>51</v>
      </c>
      <c r="C36" s="628">
        <v>84.2</v>
      </c>
      <c r="D36" s="628">
        <v>83.3</v>
      </c>
      <c r="E36" s="629">
        <v>75</v>
      </c>
      <c r="F36" s="629">
        <v>75.5</v>
      </c>
      <c r="G36" s="629">
        <v>76</v>
      </c>
      <c r="H36" s="630">
        <v>76.5</v>
      </c>
      <c r="I36" s="631">
        <f>74.5+2</f>
        <v>76.5</v>
      </c>
      <c r="J36" s="631">
        <f>73.8+2.1</f>
        <v>75.899999999999991</v>
      </c>
      <c r="K36" s="631">
        <f>76.6+2.1</f>
        <v>78.699999999999989</v>
      </c>
      <c r="L36" s="631">
        <f>78.6+2.1</f>
        <v>80.699999999999989</v>
      </c>
      <c r="M36" s="631">
        <f>80.1+2.2</f>
        <v>82.3</v>
      </c>
      <c r="N36" s="631">
        <f>83.6+2.2</f>
        <v>85.8</v>
      </c>
      <c r="O36" s="631">
        <f>86.3+2.3</f>
        <v>88.6</v>
      </c>
      <c r="P36" s="631">
        <f>88.5+2.3</f>
        <v>90.8</v>
      </c>
      <c r="Q36" s="631">
        <f>92.3+2.3</f>
        <v>94.6</v>
      </c>
      <c r="R36" s="631">
        <f>96.1+2.4</f>
        <v>98.5</v>
      </c>
      <c r="S36" s="631">
        <f>99.8+2.4</f>
        <v>102.2</v>
      </c>
      <c r="T36" s="631">
        <f>103+2.6</f>
        <v>105.6</v>
      </c>
      <c r="U36" s="631">
        <f>103.9+2.7</f>
        <v>106.60000000000001</v>
      </c>
      <c r="V36" s="631">
        <f>106.3+2.9</f>
        <v>109.2</v>
      </c>
      <c r="W36" s="631">
        <f>107.9+3</f>
        <v>110.9</v>
      </c>
      <c r="X36" s="631">
        <f>108.5+2.987</f>
        <v>111.48699999999999</v>
      </c>
      <c r="Y36" s="631">
        <f>108.5+3.035</f>
        <v>111.535</v>
      </c>
      <c r="Z36" s="631">
        <v>110.221</v>
      </c>
      <c r="AA36" s="631">
        <f>108+3.094</f>
        <v>111.09399999999999</v>
      </c>
      <c r="AB36" s="631">
        <f>108.3+3.315</f>
        <v>111.61499999999999</v>
      </c>
      <c r="AC36" s="631">
        <v>112.17100000000001</v>
      </c>
      <c r="AD36" s="631">
        <v>113.34</v>
      </c>
      <c r="AE36" s="631">
        <v>113.90900000000001</v>
      </c>
      <c r="AF36" s="664">
        <v>113.2</v>
      </c>
      <c r="AG36" s="632">
        <v>112.1</v>
      </c>
      <c r="AH36" s="555">
        <f t="shared" si="2"/>
        <v>-0.97173144876325068</v>
      </c>
      <c r="AI36" s="621" t="s">
        <v>51</v>
      </c>
      <c r="AJ36" s="622" t="s">
        <v>271</v>
      </c>
      <c r="AK36" s="79"/>
      <c r="AL36" s="79" t="s">
        <v>256</v>
      </c>
      <c r="AM36" s="79" t="s">
        <v>257</v>
      </c>
    </row>
    <row r="37" spans="1:39" ht="12.75" customHeight="1">
      <c r="A37" s="8"/>
      <c r="B37" s="10" t="s">
        <v>167</v>
      </c>
      <c r="C37" s="159"/>
      <c r="D37" s="159"/>
      <c r="E37" s="299"/>
      <c r="F37" s="299"/>
      <c r="G37" s="299"/>
      <c r="H37" s="299">
        <v>7.5819999999999999</v>
      </c>
      <c r="I37" s="121">
        <v>8.1489999999999991</v>
      </c>
      <c r="J37" s="121">
        <v>6.6509999999999998</v>
      </c>
      <c r="K37" s="121">
        <v>7.6120000000000001</v>
      </c>
      <c r="L37" s="121">
        <v>8.7469999999999999</v>
      </c>
      <c r="M37" s="121">
        <v>9.2270000000000003</v>
      </c>
      <c r="N37" s="121">
        <v>12.305999999999999</v>
      </c>
      <c r="O37" s="121">
        <v>16.806000000000001</v>
      </c>
      <c r="P37" s="121">
        <v>20.812999999999999</v>
      </c>
      <c r="Q37" s="121">
        <v>21.026</v>
      </c>
      <c r="R37" s="121">
        <v>21.693000000000001</v>
      </c>
      <c r="S37" s="121">
        <v>25.065999999999999</v>
      </c>
      <c r="T37" s="121">
        <v>29.452999999999999</v>
      </c>
      <c r="U37" s="121">
        <v>35.972999999999999</v>
      </c>
      <c r="V37" s="121">
        <v>29.506</v>
      </c>
      <c r="W37" s="344">
        <v>6.6449999999999996</v>
      </c>
      <c r="X37" s="121">
        <v>6.5940000000000003</v>
      </c>
      <c r="Y37" s="121">
        <v>7.032</v>
      </c>
      <c r="Z37" s="121">
        <v>6.6980000000000004</v>
      </c>
      <c r="AA37" s="121">
        <v>5.25</v>
      </c>
      <c r="AB37" s="121">
        <v>5.6760000000000002</v>
      </c>
      <c r="AC37" s="121">
        <v>6.048</v>
      </c>
      <c r="AD37" s="121">
        <v>6.423</v>
      </c>
      <c r="AE37" s="121">
        <v>7.05</v>
      </c>
      <c r="AF37" s="121">
        <v>6.7610000000000001</v>
      </c>
      <c r="AG37" s="166">
        <v>7.1459999999999999</v>
      </c>
      <c r="AH37" s="274">
        <f t="shared" si="2"/>
        <v>5.6944239017896621</v>
      </c>
      <c r="AI37" s="274" t="s">
        <v>167</v>
      </c>
      <c r="AJ37" s="622" t="s">
        <v>281</v>
      </c>
      <c r="AK37" s="3" t="s">
        <v>230</v>
      </c>
      <c r="AL37" s="3" t="s">
        <v>231</v>
      </c>
      <c r="AM37" s="3" t="s">
        <v>231</v>
      </c>
    </row>
    <row r="38" spans="1:39" ht="12.75" customHeight="1">
      <c r="A38" s="8"/>
      <c r="B38" s="154" t="s">
        <v>161</v>
      </c>
      <c r="C38" s="160"/>
      <c r="D38" s="160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>
        <v>1.2170000000000001</v>
      </c>
      <c r="AA38" s="163">
        <v>1.1990000000000001</v>
      </c>
      <c r="AB38" s="163">
        <v>1.246</v>
      </c>
      <c r="AC38" s="163">
        <v>1.2470000000000001</v>
      </c>
      <c r="AD38" s="163">
        <v>1.2609999999999999</v>
      </c>
      <c r="AE38" s="163">
        <v>1.3080000000000001</v>
      </c>
      <c r="AF38" s="163">
        <v>1.37</v>
      </c>
      <c r="AG38" s="165">
        <v>1.4590000000000001</v>
      </c>
      <c r="AH38" s="273">
        <f t="shared" si="2"/>
        <v>6.4963503649635044</v>
      </c>
      <c r="AI38" s="301" t="s">
        <v>161</v>
      </c>
      <c r="AJ38" s="622" t="s">
        <v>232</v>
      </c>
      <c r="AK38" s="2" t="s">
        <v>232</v>
      </c>
      <c r="AL38" s="6" t="s">
        <v>233</v>
      </c>
      <c r="AM38" s="6" t="s">
        <v>233</v>
      </c>
    </row>
    <row r="39" spans="1:39" ht="12.75" customHeight="1">
      <c r="A39" s="8"/>
      <c r="B39" s="10" t="s">
        <v>0</v>
      </c>
      <c r="C39" s="159"/>
      <c r="D39" s="159"/>
      <c r="E39" s="121">
        <v>2.3199999999999998</v>
      </c>
      <c r="F39" s="121">
        <v>2.5760000000000001</v>
      </c>
      <c r="G39" s="121">
        <v>2.8279999999999998</v>
      </c>
      <c r="H39" s="121">
        <v>2.9209999999999998</v>
      </c>
      <c r="I39" s="121">
        <v>2.4529999999999998</v>
      </c>
      <c r="J39" s="121">
        <v>2.5409999999999999</v>
      </c>
      <c r="K39" s="121">
        <v>2.4420000000000002</v>
      </c>
      <c r="L39" s="121">
        <v>2.4300000000000002</v>
      </c>
      <c r="M39" s="121">
        <v>2.4780000000000002</v>
      </c>
      <c r="N39" s="121">
        <v>2.4790000000000001</v>
      </c>
      <c r="O39" s="121">
        <v>2.4980000000000002</v>
      </c>
      <c r="P39" s="121">
        <v>2.62</v>
      </c>
      <c r="Q39" s="121">
        <v>2.4969999999999999</v>
      </c>
      <c r="R39" s="121">
        <v>2.4780000000000002</v>
      </c>
      <c r="S39" s="121">
        <v>2.1760000000000002</v>
      </c>
      <c r="T39" s="121">
        <v>2.2690000000000001</v>
      </c>
      <c r="U39" s="121">
        <v>2.2200000000000002</v>
      </c>
      <c r="V39" s="121">
        <f>2.284</f>
        <v>2.2839999999999998</v>
      </c>
      <c r="W39" s="121">
        <f>2.27</f>
        <v>2.27</v>
      </c>
      <c r="X39" s="121">
        <f>2.454</f>
        <v>2.4540000000000002</v>
      </c>
      <c r="Y39" s="121">
        <f>2.695</f>
        <v>2.6949999999999998</v>
      </c>
      <c r="Z39" s="121">
        <v>2.6360000000000001</v>
      </c>
      <c r="AA39" s="121">
        <v>2.7189999999999999</v>
      </c>
      <c r="AB39" s="121">
        <v>3.0219999999999998</v>
      </c>
      <c r="AC39" s="121">
        <v>3.1640000000000001</v>
      </c>
      <c r="AD39" s="121">
        <v>3.2429999999999999</v>
      </c>
      <c r="AE39" s="121">
        <v>3.23</v>
      </c>
      <c r="AF39" s="121">
        <v>3.1880000000000002</v>
      </c>
      <c r="AG39" s="166">
        <v>3.2010000000000001</v>
      </c>
      <c r="AH39" s="274">
        <f t="shared" si="2"/>
        <v>0.40777917189460311</v>
      </c>
      <c r="AI39" s="274" t="s">
        <v>0</v>
      </c>
      <c r="AJ39" s="622" t="s">
        <v>272</v>
      </c>
      <c r="AK39" s="193" t="s">
        <v>153</v>
      </c>
      <c r="AL39" s="3" t="s">
        <v>258</v>
      </c>
      <c r="AM39" s="2" t="s">
        <v>234</v>
      </c>
    </row>
    <row r="40" spans="1:39" ht="12.75" customHeight="1">
      <c r="A40" s="8"/>
      <c r="B40" s="154" t="s">
        <v>160</v>
      </c>
      <c r="C40" s="160"/>
      <c r="D40" s="160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>
        <v>9.2870000000000008</v>
      </c>
      <c r="Q40" s="163">
        <v>8.9109999999999996</v>
      </c>
      <c r="R40" s="163">
        <v>9.1440000000000001</v>
      </c>
      <c r="S40" s="163">
        <v>9.125</v>
      </c>
      <c r="T40" s="163">
        <v>9.6959999999999997</v>
      </c>
      <c r="U40" s="163">
        <v>9.3119999999999994</v>
      </c>
      <c r="V40" s="163">
        <v>8.8870000000000005</v>
      </c>
      <c r="W40" s="163">
        <v>8.5570000000000004</v>
      </c>
      <c r="X40" s="163">
        <v>8.8529999999999998</v>
      </c>
      <c r="Y40" s="163">
        <v>8.0340000000000007</v>
      </c>
      <c r="Z40" s="163">
        <v>8.8049999999999997</v>
      </c>
      <c r="AA40" s="163">
        <v>8.8339999999999996</v>
      </c>
      <c r="AB40" s="163">
        <v>9.0190000000000001</v>
      </c>
      <c r="AC40" s="163">
        <v>9.0440000000000005</v>
      </c>
      <c r="AD40" s="163">
        <v>9.4819999999999993</v>
      </c>
      <c r="AE40" s="163">
        <v>9.6259999999999994</v>
      </c>
      <c r="AF40" s="163">
        <v>9.9</v>
      </c>
      <c r="AG40" s="165">
        <v>9.8800000000000008</v>
      </c>
      <c r="AH40" s="273">
        <f t="shared" si="2"/>
        <v>-0.20202020202019355</v>
      </c>
      <c r="AI40" s="301" t="s">
        <v>160</v>
      </c>
      <c r="AJ40" s="3" t="s">
        <v>235</v>
      </c>
      <c r="AK40" s="3" t="s">
        <v>235</v>
      </c>
      <c r="AL40" s="3" t="s">
        <v>235</v>
      </c>
      <c r="AM40" s="3" t="s">
        <v>235</v>
      </c>
    </row>
    <row r="41" spans="1:39" ht="12.75" customHeight="1">
      <c r="A41" s="8"/>
      <c r="B41" s="11" t="s">
        <v>47</v>
      </c>
      <c r="C41" s="161"/>
      <c r="D41" s="161"/>
      <c r="E41" s="122">
        <v>188.09899999999999</v>
      </c>
      <c r="F41" s="122">
        <v>202.60499999999999</v>
      </c>
      <c r="G41" s="122">
        <v>220.904</v>
      </c>
      <c r="H41" s="122">
        <v>244.154</v>
      </c>
      <c r="I41" s="122">
        <v>253.96899999999999</v>
      </c>
      <c r="J41" s="122">
        <v>263.24799999999999</v>
      </c>
      <c r="K41" s="122">
        <v>277.67200000000003</v>
      </c>
      <c r="L41" s="122">
        <v>298.95299999999997</v>
      </c>
      <c r="M41" s="122">
        <v>319.85599999999999</v>
      </c>
      <c r="N41" s="122">
        <v>333.86900000000003</v>
      </c>
      <c r="O41" s="122">
        <v>354.339</v>
      </c>
      <c r="P41" s="122">
        <v>358.68700000000001</v>
      </c>
      <c r="Q41" s="122">
        <v>361.79700000000003</v>
      </c>
      <c r="R41" s="122">
        <f>245.394+123.5</f>
        <v>368.89400000000001</v>
      </c>
      <c r="S41" s="122">
        <f>318.954+152.712</f>
        <v>471.666</v>
      </c>
      <c r="T41" s="122">
        <f>338.539+163.39</f>
        <v>501.92899999999997</v>
      </c>
      <c r="U41" s="122">
        <f>357.523+175.949</f>
        <v>533.47199999999998</v>
      </c>
      <c r="V41" s="122">
        <f>372.601+189.128</f>
        <v>561.72900000000004</v>
      </c>
      <c r="W41" s="122">
        <f>383.548+199.934</f>
        <v>583.48199999999997</v>
      </c>
      <c r="X41" s="122">
        <f>384.053+201.033</f>
        <v>585.08600000000001</v>
      </c>
      <c r="Y41" s="122">
        <f>386.973+208.51</f>
        <v>595.48299999999995</v>
      </c>
      <c r="Z41" s="122">
        <v>609.34100000000001</v>
      </c>
      <c r="AA41" s="122">
        <f>396.119+235.949</f>
        <v>632.06799999999998</v>
      </c>
      <c r="AB41" s="122">
        <f>421.848+219.885</f>
        <v>641.73299999999995</v>
      </c>
      <c r="AC41" s="122">
        <v>638.46400000000006</v>
      </c>
      <c r="AD41" s="122">
        <v>666.26900000000001</v>
      </c>
      <c r="AE41" s="122">
        <v>684.29399999999998</v>
      </c>
      <c r="AF41" s="122">
        <v>700.5</v>
      </c>
      <c r="AG41" s="174">
        <v>706.05</v>
      </c>
      <c r="AH41" s="277">
        <f t="shared" si="2"/>
        <v>0.79229122055673429</v>
      </c>
      <c r="AI41" s="277" t="s">
        <v>47</v>
      </c>
      <c r="AJ41" s="193" t="s">
        <v>153</v>
      </c>
      <c r="AK41" s="193" t="s">
        <v>153</v>
      </c>
      <c r="AL41" s="2" t="s">
        <v>153</v>
      </c>
      <c r="AM41" s="2" t="s">
        <v>229</v>
      </c>
    </row>
    <row r="42" spans="1:39" ht="12.75" customHeight="1">
      <c r="A42" s="8"/>
      <c r="B42" s="154" t="s">
        <v>33</v>
      </c>
      <c r="C42" s="340"/>
      <c r="D42" s="340"/>
      <c r="E42" s="341">
        <v>1.3280000000000001</v>
      </c>
      <c r="F42" s="341">
        <v>1.389</v>
      </c>
      <c r="G42" s="341">
        <v>1.157</v>
      </c>
      <c r="H42" s="341">
        <v>1.1930000000000001</v>
      </c>
      <c r="I42" s="341">
        <v>1.2490000000000001</v>
      </c>
      <c r="J42" s="341">
        <v>1.2949999999999999</v>
      </c>
      <c r="K42" s="341">
        <v>1.363</v>
      </c>
      <c r="L42" s="341">
        <v>1.4830000000000001</v>
      </c>
      <c r="M42" s="341">
        <v>1.544</v>
      </c>
      <c r="N42" s="341">
        <v>1.621</v>
      </c>
      <c r="O42" s="341">
        <v>1.673</v>
      </c>
      <c r="P42" s="341">
        <v>1.7110000000000001</v>
      </c>
      <c r="Q42" s="341">
        <v>1.6990000000000001</v>
      </c>
      <c r="R42" s="341">
        <v>1.7090000000000001</v>
      </c>
      <c r="S42" s="341">
        <v>1.762</v>
      </c>
      <c r="T42" s="341">
        <v>1.899</v>
      </c>
      <c r="U42" s="341">
        <v>1.929</v>
      </c>
      <c r="V42" s="341">
        <v>1.9430000000000001</v>
      </c>
      <c r="W42" s="341">
        <v>1.9550000000000001</v>
      </c>
      <c r="X42" s="341">
        <v>1.8879999999999999</v>
      </c>
      <c r="Y42" s="341">
        <v>1.9159999999999999</v>
      </c>
      <c r="Z42" s="341">
        <v>1.972</v>
      </c>
      <c r="AA42" s="341">
        <v>2.0840000000000001</v>
      </c>
      <c r="AB42" s="527">
        <v>2.1789999999999998</v>
      </c>
      <c r="AC42" s="341">
        <v>2.2999999999999998</v>
      </c>
      <c r="AD42" s="527">
        <v>2.4630000000000001</v>
      </c>
      <c r="AE42" s="527">
        <v>2.8620000000000001</v>
      </c>
      <c r="AF42" s="527">
        <v>3.13</v>
      </c>
      <c r="AG42" s="165">
        <v>3.198</v>
      </c>
      <c r="AH42" s="273">
        <f t="shared" si="2"/>
        <v>2.1725239616613408</v>
      </c>
      <c r="AI42" s="301" t="s">
        <v>33</v>
      </c>
      <c r="AJ42" s="3" t="s">
        <v>259</v>
      </c>
      <c r="AK42" s="3" t="s">
        <v>259</v>
      </c>
      <c r="AL42" s="3" t="s">
        <v>259</v>
      </c>
      <c r="AM42" s="3" t="s">
        <v>259</v>
      </c>
    </row>
    <row r="43" spans="1:39" ht="12.75" customHeight="1">
      <c r="A43" s="8"/>
      <c r="B43" s="10" t="s">
        <v>63</v>
      </c>
      <c r="C43" s="159"/>
      <c r="D43" s="159"/>
      <c r="E43" s="121">
        <v>21.222000000000001</v>
      </c>
      <c r="F43" s="121">
        <v>23.288</v>
      </c>
      <c r="G43" s="121">
        <v>26.76</v>
      </c>
      <c r="H43" s="121">
        <v>29.134</v>
      </c>
      <c r="I43" s="121">
        <v>30.547000000000001</v>
      </c>
      <c r="J43" s="121">
        <v>32.515000000000001</v>
      </c>
      <c r="K43" s="121">
        <v>33.959000000000003</v>
      </c>
      <c r="L43" s="121">
        <v>35.170999999999999</v>
      </c>
      <c r="M43" s="121">
        <v>36.218000000000004</v>
      </c>
      <c r="N43" s="121">
        <v>37.039000000000001</v>
      </c>
      <c r="O43" s="121">
        <v>36.686</v>
      </c>
      <c r="P43" s="121">
        <v>35.667000000000002</v>
      </c>
      <c r="Q43" s="121">
        <v>34.11</v>
      </c>
      <c r="R43" s="121">
        <v>32.374000000000002</v>
      </c>
      <c r="S43" s="121">
        <v>30.591999999999999</v>
      </c>
      <c r="T43" s="121">
        <v>28.783000000000001</v>
      </c>
      <c r="U43" s="121">
        <v>26.954000000000001</v>
      </c>
      <c r="V43" s="121">
        <v>25.204000000000001</v>
      </c>
      <c r="W43" s="121">
        <v>23.324000000000002</v>
      </c>
      <c r="X43" s="121">
        <v>21.474</v>
      </c>
      <c r="Y43" s="121">
        <v>20.347999999999999</v>
      </c>
      <c r="Z43" s="121">
        <v>19.239999999999998</v>
      </c>
      <c r="AA43" s="121">
        <v>18.22</v>
      </c>
      <c r="AB43" s="121">
        <f>17.584</f>
        <v>17.584</v>
      </c>
      <c r="AC43" s="121">
        <v>17.111000000000001</v>
      </c>
      <c r="AD43" s="121">
        <v>16.667999999999999</v>
      </c>
      <c r="AE43" s="121">
        <v>16.257999999999999</v>
      </c>
      <c r="AF43" s="121">
        <v>16.041</v>
      </c>
      <c r="AG43" s="166">
        <v>15.634</v>
      </c>
      <c r="AH43" s="274">
        <f t="shared" si="2"/>
        <v>-2.5372483012281037</v>
      </c>
      <c r="AI43" s="274" t="s">
        <v>63</v>
      </c>
      <c r="AJ43" s="193" t="s">
        <v>153</v>
      </c>
      <c r="AK43" s="193" t="s">
        <v>153</v>
      </c>
      <c r="AL43" s="3" t="s">
        <v>236</v>
      </c>
      <c r="AM43" s="3" t="s">
        <v>236</v>
      </c>
    </row>
    <row r="44" spans="1:39" ht="12.75" customHeight="1">
      <c r="A44" s="8"/>
      <c r="B44" s="154" t="s">
        <v>34</v>
      </c>
      <c r="C44" s="160"/>
      <c r="D44" s="160"/>
      <c r="E44" s="163">
        <v>31.18</v>
      </c>
      <c r="F44" s="163">
        <v>32.968000000000004</v>
      </c>
      <c r="G44" s="163">
        <v>34.136000000000003</v>
      </c>
      <c r="H44" s="163">
        <v>34.851999999999997</v>
      </c>
      <c r="I44" s="163">
        <v>35.676000000000002</v>
      </c>
      <c r="J44" s="163">
        <v>36.517000000000003</v>
      </c>
      <c r="K44" s="163">
        <v>37.661999999999999</v>
      </c>
      <c r="L44" s="163">
        <v>38.508000000000003</v>
      </c>
      <c r="M44" s="163">
        <v>39.012</v>
      </c>
      <c r="N44" s="163">
        <v>39.692</v>
      </c>
      <c r="O44" s="163">
        <v>40.26</v>
      </c>
      <c r="P44" s="163">
        <v>41.341999999999999</v>
      </c>
      <c r="Q44" s="163">
        <v>42.401000000000003</v>
      </c>
      <c r="R44" s="163">
        <v>43.628999999999998</v>
      </c>
      <c r="S44" s="163">
        <v>44.783999999999999</v>
      </c>
      <c r="T44" s="163">
        <v>45.784999999999997</v>
      </c>
      <c r="U44" s="163">
        <v>46.445</v>
      </c>
      <c r="V44" s="163">
        <v>48.026000000000003</v>
      </c>
      <c r="W44" s="163">
        <v>48.536000000000001</v>
      </c>
      <c r="X44" s="163">
        <f>50.675</f>
        <v>50.674999999999997</v>
      </c>
      <c r="Y44" s="163">
        <v>52.750999999999998</v>
      </c>
      <c r="Z44" s="163">
        <v>55.421999999999997</v>
      </c>
      <c r="AA44" s="163">
        <v>58.3</v>
      </c>
      <c r="AB44" s="163">
        <v>60.151000000000003</v>
      </c>
      <c r="AC44" s="163">
        <v>62.436</v>
      </c>
      <c r="AD44" s="163">
        <v>65.72</v>
      </c>
      <c r="AE44" s="163">
        <v>69.676000000000002</v>
      </c>
      <c r="AF44" s="163">
        <v>73.813999999999993</v>
      </c>
      <c r="AG44" s="165">
        <v>77.984999999999999</v>
      </c>
      <c r="AH44" s="273">
        <f t="shared" si="2"/>
        <v>5.6506895710840723</v>
      </c>
      <c r="AI44" s="301" t="s">
        <v>34</v>
      </c>
      <c r="AJ44" s="6" t="s">
        <v>260</v>
      </c>
      <c r="AK44" s="6" t="s">
        <v>260</v>
      </c>
      <c r="AL44" s="6" t="s">
        <v>260</v>
      </c>
      <c r="AM44" s="6" t="s">
        <v>260</v>
      </c>
    </row>
    <row r="45" spans="1:39" ht="12.75" customHeight="1">
      <c r="A45" s="8"/>
      <c r="B45" s="10" t="s">
        <v>72</v>
      </c>
      <c r="C45" s="161"/>
      <c r="D45" s="161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>
        <f>0.225-0.122</f>
        <v>0.10300000000000001</v>
      </c>
      <c r="P45" s="122">
        <f>0.224-0.111</f>
        <v>0.113</v>
      </c>
      <c r="Q45" s="122">
        <f>0.224-0.121</f>
        <v>0.10300000000000001</v>
      </c>
      <c r="R45" s="122">
        <f>0.226-0.127</f>
        <v>9.9000000000000005E-2</v>
      </c>
      <c r="S45" s="122">
        <f>0.237-0.135</f>
        <v>0.10199999999999998</v>
      </c>
      <c r="T45" s="122">
        <f>0.247-0.142</f>
        <v>0.10500000000000001</v>
      </c>
      <c r="U45" s="122">
        <f>0.239-0.133</f>
        <v>0.10599999999999998</v>
      </c>
      <c r="V45" s="122">
        <f>0.246-0.145</f>
        <v>0.10100000000000001</v>
      </c>
      <c r="W45" s="122">
        <f>0.266-0.167</f>
        <v>9.9000000000000005E-2</v>
      </c>
      <c r="X45" s="122">
        <f>0.27-0.142-0.025</f>
        <v>0.10300000000000004</v>
      </c>
      <c r="Y45" s="122">
        <f>0.277-0.147-0.025</f>
        <v>0.10500000000000004</v>
      </c>
      <c r="Z45" s="122">
        <v>0.10499999999999998</v>
      </c>
      <c r="AA45" s="122">
        <f>0.057+0.029+0.019</f>
        <v>0.10500000000000001</v>
      </c>
      <c r="AB45" s="122">
        <f>0.059+0.023+0.019</f>
        <v>0.10099999999999999</v>
      </c>
      <c r="AC45" s="122">
        <v>0.10100000000000001</v>
      </c>
      <c r="AD45" s="122">
        <v>0.10299999999999999</v>
      </c>
      <c r="AE45" s="122">
        <v>9.8000000000000004E-2</v>
      </c>
      <c r="AF45" s="122">
        <v>0.1</v>
      </c>
      <c r="AG45" s="166">
        <v>9.9000000000000005E-2</v>
      </c>
      <c r="AH45" s="273">
        <f t="shared" si="2"/>
        <v>-1</v>
      </c>
      <c r="AI45" s="277" t="s">
        <v>72</v>
      </c>
      <c r="AJ45" s="193" t="s">
        <v>153</v>
      </c>
      <c r="AK45" s="193" t="s">
        <v>153</v>
      </c>
      <c r="AL45" s="2" t="s">
        <v>153</v>
      </c>
      <c r="AM45" s="2" t="s">
        <v>229</v>
      </c>
    </row>
    <row r="46" spans="1:39" ht="12.75" customHeight="1">
      <c r="A46" s="8"/>
      <c r="B46" s="1044" t="s">
        <v>284</v>
      </c>
      <c r="C46" s="1044"/>
      <c r="D46" s="1044"/>
      <c r="E46" s="1044"/>
      <c r="F46" s="1044"/>
      <c r="G46" s="1044"/>
      <c r="H46" s="1044"/>
      <c r="I46" s="1044"/>
      <c r="J46" s="1044"/>
      <c r="K46" s="1044"/>
      <c r="L46" s="1044"/>
      <c r="M46" s="1044"/>
      <c r="N46" s="1044"/>
      <c r="O46" s="1044"/>
      <c r="P46" s="1044"/>
      <c r="Q46" s="1044"/>
      <c r="R46" s="1044"/>
      <c r="S46" s="1044"/>
      <c r="T46" s="1044"/>
      <c r="U46" s="1044"/>
      <c r="V46" s="1044"/>
      <c r="W46" s="1044"/>
      <c r="X46" s="1044"/>
      <c r="Y46" s="1044"/>
      <c r="Z46" s="1044"/>
      <c r="AA46" s="1044"/>
      <c r="AB46" s="1044"/>
      <c r="AC46" s="1044"/>
      <c r="AD46" s="1044"/>
      <c r="AE46" s="1044"/>
      <c r="AF46" s="1044"/>
      <c r="AG46" s="1044"/>
      <c r="AH46" s="1044"/>
      <c r="AI46" s="1044"/>
    </row>
    <row r="47" spans="1:39" ht="12.75" customHeight="1">
      <c r="A47" s="8"/>
      <c r="B47" s="1046" t="s">
        <v>142</v>
      </c>
      <c r="C47" s="1047"/>
      <c r="D47" s="1047"/>
      <c r="E47" s="1047"/>
      <c r="F47" s="1047"/>
      <c r="G47" s="1047"/>
      <c r="H47" s="1047"/>
      <c r="I47" s="1047"/>
      <c r="J47" s="1047"/>
      <c r="K47" s="1047"/>
      <c r="L47" s="1047"/>
      <c r="M47" s="1047"/>
      <c r="N47" s="1047"/>
      <c r="O47" s="1047"/>
      <c r="P47" s="1047"/>
      <c r="Q47" s="1047"/>
      <c r="R47" s="1047"/>
      <c r="S47" s="1047"/>
      <c r="T47" s="1047"/>
      <c r="U47" s="1047"/>
      <c r="V47" s="1047"/>
      <c r="W47" s="1047"/>
      <c r="X47" s="1047"/>
      <c r="Y47" s="1047"/>
      <c r="Z47" s="1047"/>
      <c r="AA47" s="1047"/>
      <c r="AB47" s="1047"/>
      <c r="AC47" s="1047"/>
      <c r="AD47" s="1047"/>
      <c r="AE47" s="1047"/>
      <c r="AF47" s="1047"/>
      <c r="AG47" s="1047"/>
      <c r="AH47" s="1047"/>
      <c r="AI47" s="1047"/>
    </row>
    <row r="48" spans="1:39" ht="15.75" customHeight="1">
      <c r="B48" s="1041" t="s">
        <v>143</v>
      </c>
      <c r="C48" s="1041"/>
      <c r="D48" s="1041"/>
      <c r="E48" s="1041"/>
      <c r="F48" s="1041"/>
      <c r="G48" s="1041"/>
      <c r="H48" s="1041"/>
      <c r="I48" s="1041"/>
      <c r="J48" s="1041"/>
      <c r="K48" s="1041"/>
      <c r="L48" s="1041"/>
      <c r="M48" s="1041"/>
      <c r="N48" s="1041"/>
      <c r="O48" s="1041"/>
      <c r="P48" s="1041"/>
      <c r="Q48" s="1041"/>
      <c r="R48" s="1041"/>
      <c r="S48" s="1041"/>
      <c r="T48" s="1041"/>
      <c r="U48" s="1041"/>
      <c r="V48" s="1041"/>
      <c r="W48" s="1041"/>
      <c r="X48" s="1041"/>
      <c r="Y48" s="1041"/>
      <c r="Z48" s="1041"/>
      <c r="AA48" s="1041"/>
      <c r="AB48" s="1041"/>
      <c r="AC48" s="1041"/>
      <c r="AD48" s="1041"/>
      <c r="AE48" s="1041"/>
      <c r="AF48" s="1041"/>
      <c r="AG48" s="1041"/>
      <c r="AH48" s="1041"/>
      <c r="AI48" s="1041"/>
    </row>
    <row r="49" spans="2:37" ht="12.75" customHeight="1">
      <c r="B49" s="1047" t="s">
        <v>282</v>
      </c>
      <c r="C49" s="1047"/>
      <c r="D49" s="1047"/>
      <c r="E49" s="1047"/>
      <c r="F49" s="1047"/>
      <c r="G49" s="1047"/>
      <c r="H49" s="1047"/>
      <c r="I49" s="1047"/>
      <c r="J49" s="1047"/>
      <c r="K49" s="1047"/>
      <c r="L49" s="1047"/>
      <c r="M49" s="1047"/>
      <c r="N49" s="1047"/>
      <c r="O49" s="1047"/>
      <c r="P49" s="1047"/>
      <c r="Q49" s="1047"/>
      <c r="R49" s="1047"/>
      <c r="S49" s="1047"/>
      <c r="T49" s="1047"/>
      <c r="U49" s="1047"/>
      <c r="V49" s="1047"/>
      <c r="W49" s="1047"/>
      <c r="X49" s="1047"/>
      <c r="Y49" s="1047"/>
      <c r="Z49" s="1047"/>
      <c r="AA49" s="1047"/>
      <c r="AB49" s="1047"/>
      <c r="AC49" s="1047"/>
      <c r="AD49" s="1047"/>
      <c r="AE49" s="1047"/>
      <c r="AF49" s="1047"/>
      <c r="AG49" s="1047"/>
      <c r="AH49" s="1047"/>
      <c r="AI49" s="1047"/>
    </row>
    <row r="50" spans="2:37" ht="12.75" customHeight="1">
      <c r="AC50" s="40"/>
      <c r="AD50" s="3" t="s">
        <v>269</v>
      </c>
    </row>
    <row r="51" spans="2:37">
      <c r="B51" s="3" t="s">
        <v>279</v>
      </c>
      <c r="AD51" s="3">
        <v>2014</v>
      </c>
      <c r="AE51" s="3">
        <v>2015</v>
      </c>
      <c r="AF51" s="3">
        <v>2016</v>
      </c>
      <c r="AG51" s="3">
        <v>2017</v>
      </c>
      <c r="AK51" s="3">
        <v>2018</v>
      </c>
    </row>
    <row r="52" spans="2:37">
      <c r="B52" s="3" t="s">
        <v>283</v>
      </c>
      <c r="AD52" s="121">
        <v>16.77</v>
      </c>
      <c r="AE52" s="121">
        <v>17.067</v>
      </c>
      <c r="AF52" s="121">
        <v>15.967000000000001</v>
      </c>
      <c r="AG52" s="166">
        <v>15.984</v>
      </c>
      <c r="AH52" s="20">
        <f>AE52/AD52*100-100</f>
        <v>1.7710196779964207</v>
      </c>
      <c r="AI52" s="20">
        <f>AF52/AE52*100-100</f>
        <v>-6.4451866174488686</v>
      </c>
      <c r="AJ52" s="622">
        <f>AG52/AF52*100-100</f>
        <v>0.10646959353665864</v>
      </c>
      <c r="AK52" s="627">
        <f>AG52+AG52*AJ52/100</f>
        <v>16.001018099830901</v>
      </c>
    </row>
    <row r="53" spans="2:37">
      <c r="AE53" s="3">
        <f>AD52+AD52*AH52/100</f>
        <v>17.067</v>
      </c>
    </row>
  </sheetData>
  <mergeCells count="7">
    <mergeCell ref="B47:AI47"/>
    <mergeCell ref="B48:AI48"/>
    <mergeCell ref="B49:AI49"/>
    <mergeCell ref="B1:C1"/>
    <mergeCell ref="B2:AI2"/>
    <mergeCell ref="B3:AI3"/>
    <mergeCell ref="B46:AI46"/>
  </mergeCells>
  <phoneticPr fontId="4" type="noConversion"/>
  <printOptions horizontalCentered="1"/>
  <pageMargins left="0.39" right="0.39" top="0.51181102362204722" bottom="0.27559055118110237" header="0" footer="0"/>
  <pageSetup paperSize="9" scale="8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3"/>
  <sheetViews>
    <sheetView topLeftCell="A16" workbookViewId="0">
      <selection activeCell="B47" sqref="B47:AJ47"/>
    </sheetView>
  </sheetViews>
  <sheetFormatPr defaultRowHeight="11.25"/>
  <cols>
    <col min="1" max="1" width="3.7109375" style="3" customWidth="1"/>
    <col min="2" max="2" width="4.42578125" style="3" customWidth="1"/>
    <col min="3" max="12" width="6.7109375" style="2" customWidth="1"/>
    <col min="13" max="13" width="6.5703125" style="2" customWidth="1"/>
    <col min="14" max="20" width="6.7109375" style="2" customWidth="1"/>
    <col min="21" max="25" width="7.28515625" style="2" customWidth="1"/>
    <col min="26" max="33" width="7" style="3" customWidth="1"/>
    <col min="34" max="34" width="5.85546875" style="3" customWidth="1"/>
    <col min="35" max="35" width="7" style="20" customWidth="1"/>
    <col min="36" max="36" width="4.7109375" style="3" customWidth="1"/>
    <col min="37" max="16384" width="9.140625" style="3"/>
  </cols>
  <sheetData>
    <row r="1" spans="1:36" ht="14.25" customHeight="1">
      <c r="B1" s="1038"/>
      <c r="C1" s="1038"/>
      <c r="D1" s="78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T1" s="37"/>
      <c r="AJ1" s="37" t="s">
        <v>119</v>
      </c>
    </row>
    <row r="2" spans="1:36" s="54" customFormat="1" ht="30" customHeight="1">
      <c r="B2" s="1039" t="s">
        <v>290</v>
      </c>
      <c r="C2" s="1039"/>
      <c r="D2" s="1039"/>
      <c r="E2" s="1039"/>
      <c r="F2" s="1039"/>
      <c r="G2" s="1039"/>
      <c r="H2" s="1039"/>
      <c r="I2" s="1039"/>
      <c r="J2" s="1039"/>
      <c r="K2" s="1039"/>
      <c r="L2" s="1039"/>
      <c r="M2" s="1039"/>
      <c r="N2" s="1039"/>
      <c r="O2" s="1039"/>
      <c r="P2" s="1039"/>
      <c r="Q2" s="1039"/>
      <c r="R2" s="1039"/>
      <c r="S2" s="1039"/>
      <c r="T2" s="1039"/>
      <c r="U2" s="1039"/>
      <c r="V2" s="1039"/>
      <c r="W2" s="1039"/>
      <c r="X2" s="1039"/>
      <c r="Y2" s="1039"/>
      <c r="Z2" s="1039"/>
      <c r="AA2" s="1039"/>
      <c r="AB2" s="1039"/>
      <c r="AC2" s="1039"/>
      <c r="AD2" s="1039"/>
      <c r="AE2" s="1039"/>
      <c r="AF2" s="1039"/>
      <c r="AG2" s="1039"/>
      <c r="AH2" s="1039"/>
      <c r="AI2" s="1039"/>
      <c r="AJ2" s="1039"/>
    </row>
    <row r="3" spans="1:36" ht="15" customHeight="1">
      <c r="B3" s="1049" t="s">
        <v>100</v>
      </c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</row>
    <row r="4" spans="1:36" ht="12.75" customHeight="1">
      <c r="B4" s="4"/>
      <c r="C4" s="4"/>
      <c r="E4" s="158"/>
      <c r="F4" s="158"/>
      <c r="G4" s="158"/>
      <c r="H4" s="158"/>
      <c r="I4" s="158"/>
      <c r="J4" s="22"/>
      <c r="K4" s="22"/>
      <c r="L4" s="22"/>
      <c r="M4" s="22"/>
      <c r="N4" s="22"/>
      <c r="O4" s="22"/>
      <c r="W4" s="34"/>
      <c r="Y4" s="55"/>
      <c r="AG4" s="34"/>
      <c r="AH4" s="55"/>
      <c r="AJ4" s="38"/>
    </row>
    <row r="5" spans="1:36" ht="20.100000000000001" customHeight="1">
      <c r="B5" s="4"/>
      <c r="C5" s="85">
        <v>1970</v>
      </c>
      <c r="D5" s="99">
        <v>1980</v>
      </c>
      <c r="E5" s="85">
        <v>1990</v>
      </c>
      <c r="F5" s="86">
        <v>1991</v>
      </c>
      <c r="G5" s="86">
        <v>1992</v>
      </c>
      <c r="H5" s="86">
        <v>1993</v>
      </c>
      <c r="I5" s="86">
        <v>1994</v>
      </c>
      <c r="J5" s="86">
        <v>1995</v>
      </c>
      <c r="K5" s="86">
        <v>1996</v>
      </c>
      <c r="L5" s="86">
        <v>1997</v>
      </c>
      <c r="M5" s="86">
        <v>1998</v>
      </c>
      <c r="N5" s="86">
        <v>1999</v>
      </c>
      <c r="O5" s="86">
        <v>2000</v>
      </c>
      <c r="P5" s="86">
        <v>2001</v>
      </c>
      <c r="Q5" s="86">
        <v>2002</v>
      </c>
      <c r="R5" s="86">
        <v>2003</v>
      </c>
      <c r="S5" s="86">
        <v>2004</v>
      </c>
      <c r="T5" s="86">
        <v>2005</v>
      </c>
      <c r="U5" s="86">
        <v>2006</v>
      </c>
      <c r="V5" s="86">
        <v>2007</v>
      </c>
      <c r="W5" s="86">
        <v>2008</v>
      </c>
      <c r="X5" s="86">
        <v>2009</v>
      </c>
      <c r="Y5" s="86">
        <v>2010</v>
      </c>
      <c r="Z5" s="86">
        <v>2011</v>
      </c>
      <c r="AA5" s="86">
        <v>2012</v>
      </c>
      <c r="AB5" s="86">
        <v>2013</v>
      </c>
      <c r="AC5" s="86">
        <v>2014</v>
      </c>
      <c r="AD5" s="86">
        <v>2015</v>
      </c>
      <c r="AE5" s="86">
        <v>2016</v>
      </c>
      <c r="AF5" s="86">
        <v>2017</v>
      </c>
      <c r="AG5" s="86">
        <v>2018</v>
      </c>
      <c r="AH5" s="549">
        <v>2019</v>
      </c>
      <c r="AI5" s="151" t="s">
        <v>359</v>
      </c>
      <c r="AJ5" s="6"/>
    </row>
    <row r="6" spans="1:36" ht="9.9499999999999993" customHeight="1">
      <c r="B6" s="4"/>
      <c r="C6" s="123"/>
      <c r="D6" s="100"/>
      <c r="E6" s="123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287"/>
      <c r="Z6" s="289"/>
      <c r="AA6" s="289"/>
      <c r="AB6" s="287"/>
      <c r="AC6" s="287"/>
      <c r="AD6" s="287"/>
      <c r="AE6" s="287"/>
      <c r="AF6" s="287"/>
      <c r="AG6" s="289"/>
      <c r="AH6" s="152"/>
      <c r="AI6" s="152" t="s">
        <v>92</v>
      </c>
      <c r="AJ6" s="6"/>
    </row>
    <row r="7" spans="1:36" ht="9.9499999999999993" customHeight="1">
      <c r="B7" s="555" t="s">
        <v>266</v>
      </c>
      <c r="C7" s="556"/>
      <c r="D7" s="554"/>
      <c r="E7" s="663">
        <f>SUM(E9:E35)</f>
        <v>665.30600000000015</v>
      </c>
      <c r="F7" s="663">
        <f t="shared" ref="F7:AH7" si="0">SUM(F9:F35)</f>
        <v>661.3475333333331</v>
      </c>
      <c r="G7" s="663">
        <f t="shared" si="0"/>
        <v>665.92006666666657</v>
      </c>
      <c r="H7" s="663">
        <f t="shared" si="0"/>
        <v>671.50059999999985</v>
      </c>
      <c r="I7" s="663">
        <f t="shared" si="0"/>
        <v>675.68080000000009</v>
      </c>
      <c r="J7" s="663">
        <f t="shared" si="0"/>
        <v>678.12</v>
      </c>
      <c r="K7" s="663">
        <f t="shared" si="0"/>
        <v>682.42499999999995</v>
      </c>
      <c r="L7" s="663">
        <f t="shared" si="0"/>
        <v>678.80100000000004</v>
      </c>
      <c r="M7" s="663">
        <f t="shared" si="0"/>
        <v>679.91600000000017</v>
      </c>
      <c r="N7" s="663">
        <f t="shared" si="0"/>
        <v>684.13799999999992</v>
      </c>
      <c r="O7" s="663">
        <f t="shared" si="0"/>
        <v>692.90200000000004</v>
      </c>
      <c r="P7" s="1016">
        <f t="shared" si="0"/>
        <v>697.99399999999991</v>
      </c>
      <c r="Q7" s="1016">
        <f t="shared" si="0"/>
        <v>703.81999999999994</v>
      </c>
      <c r="R7" s="1016">
        <f t="shared" si="0"/>
        <v>706.38499999999999</v>
      </c>
      <c r="S7" s="1016">
        <f t="shared" si="0"/>
        <v>697.67200000000025</v>
      </c>
      <c r="T7" s="1016">
        <f t="shared" si="0"/>
        <v>689.56900000000007</v>
      </c>
      <c r="U7" s="1016">
        <f t="shared" si="0"/>
        <v>686.08800000000008</v>
      </c>
      <c r="V7" s="1016">
        <f t="shared" si="0"/>
        <v>690.69800000000021</v>
      </c>
      <c r="W7" s="1016">
        <f t="shared" si="0"/>
        <v>707.79599999999994</v>
      </c>
      <c r="X7" s="1016">
        <f t="shared" si="0"/>
        <v>708.91200000000015</v>
      </c>
      <c r="Y7" s="1016">
        <f t="shared" si="0"/>
        <v>707.62299999999993</v>
      </c>
      <c r="Z7" s="1016">
        <f t="shared" si="0"/>
        <v>710.00100000000009</v>
      </c>
      <c r="AA7" s="1016">
        <f t="shared" si="0"/>
        <v>705.61299999999972</v>
      </c>
      <c r="AB7" s="1016">
        <f t="shared" si="0"/>
        <v>708.99299999999994</v>
      </c>
      <c r="AC7" s="1016">
        <f t="shared" si="0"/>
        <v>712.87099999999998</v>
      </c>
      <c r="AD7" s="1016">
        <f t="shared" si="0"/>
        <v>725.93299999999999</v>
      </c>
      <c r="AE7" s="1016">
        <f t="shared" si="0"/>
        <v>735.81599999999992</v>
      </c>
      <c r="AF7" s="1016">
        <f t="shared" si="0"/>
        <v>745.96600000000001</v>
      </c>
      <c r="AG7" s="1016">
        <f t="shared" si="0"/>
        <v>756.35400000000016</v>
      </c>
      <c r="AH7" s="1016">
        <f t="shared" si="0"/>
        <v>769.30100000000016</v>
      </c>
      <c r="AI7" s="599">
        <f>AH7/AG7*100-100</f>
        <v>1.7117645970008653</v>
      </c>
      <c r="AJ7" s="555" t="s">
        <v>266</v>
      </c>
    </row>
    <row r="8" spans="1:36" ht="12.75" customHeight="1">
      <c r="B8" s="555" t="s">
        <v>168</v>
      </c>
      <c r="C8" s="556"/>
      <c r="D8" s="554"/>
      <c r="E8" s="663">
        <f t="shared" ref="E8:AE8" si="1">SUM(E9:E36)</f>
        <v>740.30600000000015</v>
      </c>
      <c r="F8" s="663">
        <f t="shared" si="1"/>
        <v>736.8475333333331</v>
      </c>
      <c r="G8" s="663">
        <f t="shared" si="1"/>
        <v>741.92006666666657</v>
      </c>
      <c r="H8" s="663">
        <f t="shared" si="1"/>
        <v>748.00059999999985</v>
      </c>
      <c r="I8" s="663">
        <f t="shared" si="1"/>
        <v>752.18080000000009</v>
      </c>
      <c r="J8" s="663">
        <f t="shared" si="1"/>
        <v>754.02</v>
      </c>
      <c r="K8" s="663">
        <f t="shared" si="1"/>
        <v>761.125</v>
      </c>
      <c r="L8" s="663">
        <f t="shared" si="1"/>
        <v>759.50099999999998</v>
      </c>
      <c r="M8" s="663">
        <f t="shared" si="1"/>
        <v>762.21600000000012</v>
      </c>
      <c r="N8" s="663">
        <f t="shared" si="1"/>
        <v>769.93799999999987</v>
      </c>
      <c r="O8" s="663">
        <f t="shared" si="1"/>
        <v>781.50200000000007</v>
      </c>
      <c r="P8" s="1016">
        <f t="shared" si="1"/>
        <v>788.79399999999987</v>
      </c>
      <c r="Q8" s="1016">
        <f t="shared" si="1"/>
        <v>798.42</v>
      </c>
      <c r="R8" s="1016">
        <f t="shared" si="1"/>
        <v>804.88499999999999</v>
      </c>
      <c r="S8" s="1016">
        <f t="shared" si="1"/>
        <v>799.8720000000003</v>
      </c>
      <c r="T8" s="1016">
        <f t="shared" si="1"/>
        <v>795.1690000000001</v>
      </c>
      <c r="U8" s="1016">
        <f t="shared" si="1"/>
        <v>792.6880000000001</v>
      </c>
      <c r="V8" s="1016">
        <f t="shared" si="1"/>
        <v>799.89800000000025</v>
      </c>
      <c r="W8" s="1016">
        <f t="shared" si="1"/>
        <v>818.69599999999991</v>
      </c>
      <c r="X8" s="1016">
        <f t="shared" si="1"/>
        <v>820.39900000000011</v>
      </c>
      <c r="Y8" s="1016">
        <f t="shared" si="1"/>
        <v>819.1579999999999</v>
      </c>
      <c r="Z8" s="1016">
        <f t="shared" si="1"/>
        <v>820.22200000000009</v>
      </c>
      <c r="AA8" s="1016">
        <f t="shared" si="1"/>
        <v>816.70699999999965</v>
      </c>
      <c r="AB8" s="1016">
        <f t="shared" si="1"/>
        <v>820.60799999999995</v>
      </c>
      <c r="AC8" s="1016">
        <f t="shared" si="1"/>
        <v>825.04200000000003</v>
      </c>
      <c r="AD8" s="1016">
        <f t="shared" si="1"/>
        <v>839.27300000000002</v>
      </c>
      <c r="AE8" s="1016">
        <f t="shared" si="1"/>
        <v>849.72499999999991</v>
      </c>
      <c r="AF8" s="1016">
        <f>SUM(AF9:AF36)</f>
        <v>859.16600000000005</v>
      </c>
      <c r="AG8" s="1016">
        <f>SUM(AG9:AG36)</f>
        <v>868.45400000000018</v>
      </c>
      <c r="AH8" s="1016">
        <f>SUM(AH9:AH36)</f>
        <v>880.20100000000014</v>
      </c>
      <c r="AI8" s="599">
        <f t="shared" ref="AI8:AI45" si="2">AH8/AG8*100-100</f>
        <v>1.3526335303884878</v>
      </c>
      <c r="AJ8" s="555" t="s">
        <v>168</v>
      </c>
    </row>
    <row r="9" spans="1:36" ht="12.75" customHeight="1">
      <c r="B9" s="10" t="s">
        <v>52</v>
      </c>
      <c r="C9" s="532">
        <v>16.169</v>
      </c>
      <c r="D9" s="532">
        <v>17.175999999999998</v>
      </c>
      <c r="E9" s="121">
        <v>15.644</v>
      </c>
      <c r="F9" s="121">
        <v>15.378</v>
      </c>
      <c r="G9" s="121">
        <v>15.004</v>
      </c>
      <c r="H9" s="121">
        <v>14.981999999999999</v>
      </c>
      <c r="I9" s="121">
        <v>14.85</v>
      </c>
      <c r="J9" s="121">
        <v>14.646000000000001</v>
      </c>
      <c r="K9" s="121">
        <v>14.683999999999999</v>
      </c>
      <c r="L9" s="121">
        <v>14.667</v>
      </c>
      <c r="M9" s="121">
        <v>14.587999999999999</v>
      </c>
      <c r="N9" s="121">
        <v>14.673</v>
      </c>
      <c r="O9" s="121">
        <v>14.722</v>
      </c>
      <c r="P9" s="121">
        <v>14.676</v>
      </c>
      <c r="Q9" s="121">
        <v>14.769</v>
      </c>
      <c r="R9" s="121">
        <v>15.06</v>
      </c>
      <c r="S9" s="121">
        <v>15.327999999999999</v>
      </c>
      <c r="T9" s="121">
        <v>15.391</v>
      </c>
      <c r="U9" s="121">
        <v>15.329000000000001</v>
      </c>
      <c r="V9" s="758">
        <v>15.465999999999999</v>
      </c>
      <c r="W9" s="755">
        <f>15992/1000</f>
        <v>15.992000000000001</v>
      </c>
      <c r="X9" s="121">
        <v>16.059000000000001</v>
      </c>
      <c r="Y9" s="121">
        <v>16.22</v>
      </c>
      <c r="Z9" s="121">
        <v>16.100000000000001</v>
      </c>
      <c r="AA9" s="121">
        <f>16031/1000</f>
        <v>16.030999999999999</v>
      </c>
      <c r="AB9" s="121">
        <f>15822/1000</f>
        <v>15.821999999999999</v>
      </c>
      <c r="AC9" s="121">
        <f>15976/1000</f>
        <v>15.976000000000001</v>
      </c>
      <c r="AD9" s="121">
        <f>16094/1000</f>
        <v>16.094000000000001</v>
      </c>
      <c r="AE9" s="121">
        <v>16.04</v>
      </c>
      <c r="AF9" s="121">
        <f>16062/1000</f>
        <v>16.062000000000001</v>
      </c>
      <c r="AG9" s="119">
        <f>16125/1000</f>
        <v>16.125</v>
      </c>
      <c r="AH9" s="166">
        <f>16542/1000</f>
        <v>16.542000000000002</v>
      </c>
      <c r="AI9" s="274">
        <f t="shared" si="2"/>
        <v>2.5860465116279272</v>
      </c>
      <c r="AJ9" s="274" t="s">
        <v>52</v>
      </c>
    </row>
    <row r="10" spans="1:36" ht="12.75" customHeight="1">
      <c r="B10" s="154" t="s">
        <v>35</v>
      </c>
      <c r="C10" s="531"/>
      <c r="D10" s="531">
        <v>21</v>
      </c>
      <c r="E10" s="163">
        <f>33.8+0.8</f>
        <v>34.599999999999994</v>
      </c>
      <c r="F10" s="163">
        <f>35.6+0.8</f>
        <v>36.4</v>
      </c>
      <c r="G10" s="163">
        <f>37.1+0.8</f>
        <v>37.9</v>
      </c>
      <c r="H10" s="163">
        <f>39.3+0.8</f>
        <v>40.099999999999994</v>
      </c>
      <c r="I10" s="163">
        <v>41.432000000000002</v>
      </c>
      <c r="J10" s="163">
        <v>41.838999999999999</v>
      </c>
      <c r="K10" s="163">
        <v>41.642000000000003</v>
      </c>
      <c r="L10" s="163">
        <v>41.201999999999998</v>
      </c>
      <c r="M10" s="163">
        <v>42.264000000000003</v>
      </c>
      <c r="N10" s="163">
        <v>42.720999999999997</v>
      </c>
      <c r="O10" s="163">
        <v>43.005000000000003</v>
      </c>
      <c r="P10" s="163">
        <v>43.566000000000003</v>
      </c>
      <c r="Q10" s="163">
        <v>43.86</v>
      </c>
      <c r="R10" s="275">
        <v>44.3</v>
      </c>
      <c r="S10" s="163">
        <v>36.6</v>
      </c>
      <c r="T10" s="275">
        <v>37.799999999999997</v>
      </c>
      <c r="U10" s="163">
        <v>22.8</v>
      </c>
      <c r="V10" s="163">
        <v>23.9</v>
      </c>
      <c r="W10" s="163">
        <v>25.2</v>
      </c>
      <c r="X10" s="163">
        <v>25.1</v>
      </c>
      <c r="Y10" s="163">
        <v>24.5</v>
      </c>
      <c r="Z10" s="163">
        <v>23.651</v>
      </c>
      <c r="AA10" s="163">
        <v>23.289000000000001</v>
      </c>
      <c r="AB10" s="163">
        <v>23.3</v>
      </c>
      <c r="AC10" s="163">
        <v>23.6</v>
      </c>
      <c r="AD10" s="163">
        <v>24.1</v>
      </c>
      <c r="AE10" s="163">
        <v>23.4</v>
      </c>
      <c r="AF10" s="163">
        <v>21</v>
      </c>
      <c r="AG10" s="163">
        <v>20.818000000000001</v>
      </c>
      <c r="AH10" s="165">
        <f>20687/1000</f>
        <v>20.687000000000001</v>
      </c>
      <c r="AI10" s="273">
        <f t="shared" si="2"/>
        <v>-0.62926313766932651</v>
      </c>
      <c r="AJ10" s="273" t="s">
        <v>35</v>
      </c>
    </row>
    <row r="11" spans="1:36" ht="12.75" customHeight="1">
      <c r="A11" s="8"/>
      <c r="B11" s="10" t="s">
        <v>37</v>
      </c>
      <c r="C11" s="532"/>
      <c r="D11" s="532">
        <v>20.3</v>
      </c>
      <c r="E11" s="121">
        <v>20.474</v>
      </c>
      <c r="F11" s="299">
        <f>$E$11+($H$11-$E$11)/3</f>
        <v>20.050333333333334</v>
      </c>
      <c r="G11" s="299">
        <f>$E$11+($H$11-$E$11)/3*2</f>
        <v>19.626666666666665</v>
      </c>
      <c r="H11" s="121">
        <v>19.202999999999999</v>
      </c>
      <c r="I11" s="121">
        <f>19.071+0.685</f>
        <v>19.756</v>
      </c>
      <c r="J11" s="121">
        <f>19.756+0.718</f>
        <v>20.474</v>
      </c>
      <c r="K11" s="121">
        <f>20.489+0.711</f>
        <v>21.2</v>
      </c>
      <c r="L11" s="121">
        <f>20.755+0.721</f>
        <v>21.475999999999999</v>
      </c>
      <c r="M11" s="121">
        <f>19.96+0.708</f>
        <v>20.667999999999999</v>
      </c>
      <c r="N11" s="121">
        <f>18.981+0.721</f>
        <v>19.702000000000002</v>
      </c>
      <c r="O11" s="121">
        <f>18.259+0.727</f>
        <v>18.986000000000001</v>
      </c>
      <c r="P11" s="121">
        <f>18.384+0.739</f>
        <v>19.123000000000001</v>
      </c>
      <c r="Q11" s="121">
        <f>21.34+0.726</f>
        <v>22.065999999999999</v>
      </c>
      <c r="R11" s="121">
        <f>20.627+0.723</f>
        <v>21.349999999999998</v>
      </c>
      <c r="S11" s="121">
        <f>19.948+0.726</f>
        <v>20.673999999999999</v>
      </c>
      <c r="T11" s="121">
        <f>20.134+0.719</f>
        <v>20.853000000000002</v>
      </c>
      <c r="U11" s="121">
        <f>20.331+0.744</f>
        <v>21.074999999999999</v>
      </c>
      <c r="V11" s="121">
        <f>20.416+0.74</f>
        <v>21.155999999999999</v>
      </c>
      <c r="W11" s="121">
        <f>20.375+0.738</f>
        <v>21.113</v>
      </c>
      <c r="X11" s="121">
        <f>19.943+0.733</f>
        <v>20.676000000000002</v>
      </c>
      <c r="Y11" s="121">
        <f>19.653+0.735</f>
        <v>20.387999999999998</v>
      </c>
      <c r="Z11" s="121">
        <v>20.402000000000001</v>
      </c>
      <c r="AA11" s="121">
        <f>19.882+0.728</f>
        <v>20.610000000000003</v>
      </c>
      <c r="AB11" s="121">
        <f>19.619+0.699</f>
        <v>20.318000000000001</v>
      </c>
      <c r="AC11" s="121">
        <f>19.808+0.703</f>
        <v>20.510999999999999</v>
      </c>
      <c r="AD11" s="121">
        <f>19.95+0.717</f>
        <v>20.666999999999998</v>
      </c>
      <c r="AE11" s="121">
        <f>20.097+0.779</f>
        <v>20.876000000000001</v>
      </c>
      <c r="AF11" s="121">
        <v>21.4</v>
      </c>
      <c r="AG11" s="121">
        <f>21.271+0.756</f>
        <v>22.027000000000001</v>
      </c>
      <c r="AH11" s="166">
        <f>(21484+722)/1000</f>
        <v>22.206</v>
      </c>
      <c r="AI11" s="274">
        <f t="shared" si="2"/>
        <v>0.81263903391291592</v>
      </c>
      <c r="AJ11" s="274" t="s">
        <v>37</v>
      </c>
    </row>
    <row r="12" spans="1:36" ht="12.75" customHeight="1">
      <c r="A12" s="8"/>
      <c r="B12" s="154" t="s">
        <v>48</v>
      </c>
      <c r="C12" s="531">
        <v>5.0389999999999997</v>
      </c>
      <c r="D12" s="531">
        <v>7.351</v>
      </c>
      <c r="E12" s="163">
        <v>8.109</v>
      </c>
      <c r="F12" s="163">
        <v>9.9890000000000008</v>
      </c>
      <c r="G12" s="163">
        <v>11.259</v>
      </c>
      <c r="H12" s="163">
        <v>12.976000000000001</v>
      </c>
      <c r="I12" s="163">
        <v>13.614000000000001</v>
      </c>
      <c r="J12" s="163">
        <v>13.669</v>
      </c>
      <c r="K12" s="163">
        <v>13.786</v>
      </c>
      <c r="L12" s="163">
        <v>13.779</v>
      </c>
      <c r="M12" s="163">
        <v>13.911</v>
      </c>
      <c r="N12" s="163">
        <v>13.909000000000001</v>
      </c>
      <c r="O12" s="163">
        <v>13.968</v>
      </c>
      <c r="P12" s="163">
        <v>13.954000000000001</v>
      </c>
      <c r="Q12" s="163">
        <v>13.986000000000001</v>
      </c>
      <c r="R12" s="163">
        <v>14.132</v>
      </c>
      <c r="S12" s="163">
        <v>14.191000000000001</v>
      </c>
      <c r="T12" s="163">
        <v>14.401999999999999</v>
      </c>
      <c r="U12" s="163">
        <v>14.552</v>
      </c>
      <c r="V12" s="163">
        <v>14.481999999999999</v>
      </c>
      <c r="W12" s="163">
        <v>14.452</v>
      </c>
      <c r="X12" s="163">
        <f>14.51</f>
        <v>14.51</v>
      </c>
      <c r="Y12" s="163">
        <f>14.496</f>
        <v>14.496</v>
      </c>
      <c r="Z12" s="163">
        <v>14.013999999999999</v>
      </c>
      <c r="AA12" s="163">
        <v>13.484999999999999</v>
      </c>
      <c r="AB12" s="163">
        <v>13.27</v>
      </c>
      <c r="AC12" s="163">
        <v>13.407999999999999</v>
      </c>
      <c r="AD12" s="163">
        <v>13.382999999999999</v>
      </c>
      <c r="AE12" s="163">
        <v>13.417</v>
      </c>
      <c r="AF12" s="163">
        <v>13.5</v>
      </c>
      <c r="AG12" s="163">
        <v>13.157999999999999</v>
      </c>
      <c r="AH12" s="165">
        <f>13003/1000</f>
        <v>13.003</v>
      </c>
      <c r="AI12" s="273">
        <f t="shared" si="2"/>
        <v>-1.1779905760753877</v>
      </c>
      <c r="AJ12" s="273" t="s">
        <v>48</v>
      </c>
    </row>
    <row r="13" spans="1:36" ht="12.75" customHeight="1">
      <c r="A13" s="8"/>
      <c r="B13" s="10" t="s">
        <v>53</v>
      </c>
      <c r="C13" s="532">
        <v>63.939</v>
      </c>
      <c r="D13" s="532">
        <v>95.757999999999996</v>
      </c>
      <c r="E13" s="121">
        <v>100.37</v>
      </c>
      <c r="F13" s="121">
        <v>89.59</v>
      </c>
      <c r="G13" s="121">
        <v>88.433000000000007</v>
      </c>
      <c r="H13" s="121">
        <v>88.745999999999995</v>
      </c>
      <c r="I13" s="121">
        <v>87.421000000000006</v>
      </c>
      <c r="J13" s="121">
        <v>85.433999999999997</v>
      </c>
      <c r="K13" s="276">
        <v>84.653999999999996</v>
      </c>
      <c r="L13" s="121">
        <v>75.453000000000003</v>
      </c>
      <c r="M13" s="121">
        <v>75.593999999999994</v>
      </c>
      <c r="N13" s="121">
        <v>76.63</v>
      </c>
      <c r="O13" s="121">
        <v>77.183000000000007</v>
      </c>
      <c r="P13" s="121">
        <v>77.088999999999999</v>
      </c>
      <c r="Q13" s="121">
        <v>77.06</v>
      </c>
      <c r="R13" s="121">
        <v>76.664000000000001</v>
      </c>
      <c r="S13" s="121">
        <v>76.028000000000006</v>
      </c>
      <c r="T13" s="121">
        <v>75.203000000000003</v>
      </c>
      <c r="U13" s="121">
        <v>75.084999999999994</v>
      </c>
      <c r="V13" s="121">
        <v>75.067999999999998</v>
      </c>
      <c r="W13" s="121">
        <v>75.27</v>
      </c>
      <c r="X13" s="121">
        <v>76.433000000000007</v>
      </c>
      <c r="Y13" s="121">
        <f>76.463</f>
        <v>76.462999999999994</v>
      </c>
      <c r="Z13" s="121">
        <v>75.988</v>
      </c>
      <c r="AA13" s="121">
        <v>76.022999999999996</v>
      </c>
      <c r="AB13" s="121">
        <v>76.793999999999997</v>
      </c>
      <c r="AC13" s="121">
        <v>77.501000000000005</v>
      </c>
      <c r="AD13" s="121">
        <v>78.344999999999999</v>
      </c>
      <c r="AE13" s="121">
        <f>78.949</f>
        <v>78.948999999999998</v>
      </c>
      <c r="AF13" s="121">
        <v>79.400000000000006</v>
      </c>
      <c r="AG13" s="121">
        <v>80.519000000000005</v>
      </c>
      <c r="AH13" s="166">
        <f>81364/1000</f>
        <v>81.364000000000004</v>
      </c>
      <c r="AI13" s="274">
        <f t="shared" si="2"/>
        <v>1.049441746668478</v>
      </c>
      <c r="AJ13" s="274" t="s">
        <v>53</v>
      </c>
    </row>
    <row r="14" spans="1:36" ht="12.75" customHeight="1">
      <c r="A14" s="8"/>
      <c r="B14" s="154" t="s">
        <v>38</v>
      </c>
      <c r="C14" s="531"/>
      <c r="D14" s="531">
        <v>6.4</v>
      </c>
      <c r="E14" s="163">
        <v>7.9</v>
      </c>
      <c r="F14" s="163">
        <v>8.6</v>
      </c>
      <c r="G14" s="163">
        <v>8.4</v>
      </c>
      <c r="H14" s="163">
        <v>8.6999999999999993</v>
      </c>
      <c r="I14" s="163">
        <v>6.3</v>
      </c>
      <c r="J14" s="163">
        <v>7</v>
      </c>
      <c r="K14" s="163">
        <v>6.7</v>
      </c>
      <c r="L14" s="163">
        <v>6.5</v>
      </c>
      <c r="M14" s="163">
        <v>6.3</v>
      </c>
      <c r="N14" s="163">
        <v>6.2</v>
      </c>
      <c r="O14" s="163">
        <v>6.1</v>
      </c>
      <c r="P14" s="163">
        <v>5.5</v>
      </c>
      <c r="Q14" s="163">
        <v>5.3</v>
      </c>
      <c r="R14" s="163">
        <v>5.4</v>
      </c>
      <c r="S14" s="163">
        <v>5.3</v>
      </c>
      <c r="T14" s="163">
        <v>5.194</v>
      </c>
      <c r="U14" s="275">
        <v>5.3780000000000001</v>
      </c>
      <c r="V14" s="163">
        <v>4.3099999999999996</v>
      </c>
      <c r="W14" s="163">
        <v>4.2919999999999998</v>
      </c>
      <c r="X14" s="163">
        <v>4.117</v>
      </c>
      <c r="Y14" s="163">
        <v>4.1669999999999998</v>
      </c>
      <c r="Z14" s="163">
        <v>4.1559999999999997</v>
      </c>
      <c r="AA14" s="163">
        <v>4.3109999999999999</v>
      </c>
      <c r="AB14" s="163">
        <v>4.5</v>
      </c>
      <c r="AC14" s="163">
        <v>4.5999999999999996</v>
      </c>
      <c r="AD14" s="163">
        <v>4.8</v>
      </c>
      <c r="AE14" s="163">
        <v>4.8</v>
      </c>
      <c r="AF14" s="163">
        <v>4.9000000000000004</v>
      </c>
      <c r="AG14" s="163">
        <v>5</v>
      </c>
      <c r="AH14" s="165">
        <f>5221/1000</f>
        <v>5.2210000000000001</v>
      </c>
      <c r="AI14" s="273">
        <f t="shared" si="2"/>
        <v>4.4200000000000017</v>
      </c>
      <c r="AJ14" s="273" t="s">
        <v>38</v>
      </c>
    </row>
    <row r="15" spans="1:36" ht="12.75" customHeight="1">
      <c r="A15" s="8"/>
      <c r="B15" s="10" t="s">
        <v>56</v>
      </c>
      <c r="C15" s="532">
        <v>2.012</v>
      </c>
      <c r="D15" s="532">
        <v>2.722</v>
      </c>
      <c r="E15" s="121">
        <v>4.0469999999999997</v>
      </c>
      <c r="F15" s="121">
        <v>4.3879999999999999</v>
      </c>
      <c r="G15" s="121">
        <v>4.5570000000000004</v>
      </c>
      <c r="H15" s="121">
        <v>4.835</v>
      </c>
      <c r="I15" s="121">
        <v>4.9850000000000003</v>
      </c>
      <c r="J15" s="121">
        <v>5.282</v>
      </c>
      <c r="K15" s="121">
        <v>5.5350000000000001</v>
      </c>
      <c r="L15" s="121">
        <v>5.8449999999999998</v>
      </c>
      <c r="M15" s="121">
        <v>6.0960000000000001</v>
      </c>
      <c r="N15" s="121">
        <v>6.5640000000000001</v>
      </c>
      <c r="O15" s="121">
        <v>6.9569999999999999</v>
      </c>
      <c r="P15" s="121">
        <v>7.0839999999999996</v>
      </c>
      <c r="Q15" s="121">
        <v>7.09</v>
      </c>
      <c r="R15" s="121">
        <v>7.3920000000000003</v>
      </c>
      <c r="S15" s="121">
        <v>7.43</v>
      </c>
      <c r="T15" s="121">
        <v>7.625</v>
      </c>
      <c r="U15" s="121">
        <v>7.9969999999999999</v>
      </c>
      <c r="V15" s="121">
        <v>8.4510000000000005</v>
      </c>
      <c r="W15" s="121">
        <v>8.9109999999999996</v>
      </c>
      <c r="X15" s="121">
        <f>8.556</f>
        <v>8.5559999999999992</v>
      </c>
      <c r="Y15" s="121">
        <f>8.245</f>
        <v>8.2449999999999992</v>
      </c>
      <c r="Z15" s="121">
        <v>8.2759999999999998</v>
      </c>
      <c r="AA15" s="121">
        <v>8.266</v>
      </c>
      <c r="AB15" s="121">
        <v>8.4879999999999995</v>
      </c>
      <c r="AC15" s="121">
        <v>8.8019999999999996</v>
      </c>
      <c r="AD15" s="121">
        <v>9.2590000000000003</v>
      </c>
      <c r="AE15" s="121">
        <v>9.8409999999999993</v>
      </c>
      <c r="AF15" s="121">
        <v>10.3</v>
      </c>
      <c r="AG15" s="121">
        <v>10.944000000000001</v>
      </c>
      <c r="AH15" s="166">
        <f>11424/1000</f>
        <v>11.423999999999999</v>
      </c>
      <c r="AI15" s="274">
        <f t="shared" si="2"/>
        <v>4.3859649122806985</v>
      </c>
      <c r="AJ15" s="274" t="s">
        <v>56</v>
      </c>
    </row>
    <row r="16" spans="1:36" ht="12.75" customHeight="1">
      <c r="A16" s="8"/>
      <c r="B16" s="154" t="s">
        <v>49</v>
      </c>
      <c r="C16" s="531">
        <v>10.545999999999999</v>
      </c>
      <c r="D16" s="531">
        <v>18.010999999999999</v>
      </c>
      <c r="E16" s="163">
        <v>21.43</v>
      </c>
      <c r="F16" s="163">
        <v>22.08</v>
      </c>
      <c r="G16" s="163">
        <v>22.673999999999999</v>
      </c>
      <c r="H16" s="163">
        <v>23.206</v>
      </c>
      <c r="I16" s="163">
        <v>23.54</v>
      </c>
      <c r="J16" s="163">
        <v>24.6</v>
      </c>
      <c r="K16" s="163">
        <v>25.096</v>
      </c>
      <c r="L16" s="163">
        <v>25.622</v>
      </c>
      <c r="M16" s="163">
        <v>26.32</v>
      </c>
      <c r="N16" s="163">
        <v>26.768999999999998</v>
      </c>
      <c r="O16" s="163">
        <v>27.036999999999999</v>
      </c>
      <c r="P16" s="163">
        <v>27.114999999999998</v>
      </c>
      <c r="Q16" s="163">
        <v>27.247</v>
      </c>
      <c r="R16" s="163">
        <v>27.138999999999999</v>
      </c>
      <c r="S16" s="163">
        <v>26.78</v>
      </c>
      <c r="T16" s="163">
        <v>26.829000000000001</v>
      </c>
      <c r="U16" s="163">
        <v>26.937999999999999</v>
      </c>
      <c r="V16" s="163">
        <v>27.102</v>
      </c>
      <c r="W16" s="163">
        <v>27.186</v>
      </c>
      <c r="X16" s="163">
        <v>27.324000000000002</v>
      </c>
      <c r="Y16" s="163">
        <v>27.311</v>
      </c>
      <c r="Z16" s="163">
        <v>27.120999999999999</v>
      </c>
      <c r="AA16" s="163">
        <v>26.962</v>
      </c>
      <c r="AB16" s="163">
        <v>26.783000000000001</v>
      </c>
      <c r="AC16" s="163">
        <v>26.690999999999999</v>
      </c>
      <c r="AD16" s="163">
        <v>26.585999999999999</v>
      </c>
      <c r="AE16" s="163">
        <v>26.541</v>
      </c>
      <c r="AF16" s="163">
        <v>26.481000000000002</v>
      </c>
      <c r="AG16" s="163">
        <v>26.388999999999999</v>
      </c>
      <c r="AH16" s="165">
        <v>26.478999999999999</v>
      </c>
      <c r="AI16" s="273">
        <f t="shared" si="2"/>
        <v>0.34105119557391106</v>
      </c>
      <c r="AJ16" s="273" t="s">
        <v>49</v>
      </c>
    </row>
    <row r="17" spans="1:36" ht="12.75" customHeight="1">
      <c r="A17" s="8"/>
      <c r="B17" s="10" t="s">
        <v>54</v>
      </c>
      <c r="C17" s="532">
        <v>30.728000000000002</v>
      </c>
      <c r="D17" s="532">
        <v>42.631</v>
      </c>
      <c r="E17" s="121">
        <v>45.767000000000003</v>
      </c>
      <c r="F17" s="121">
        <v>46.603999999999999</v>
      </c>
      <c r="G17" s="121">
        <v>47.18</v>
      </c>
      <c r="H17" s="121">
        <v>47.027999999999999</v>
      </c>
      <c r="I17" s="121">
        <v>47.088000000000001</v>
      </c>
      <c r="J17" s="121">
        <v>47.375</v>
      </c>
      <c r="K17" s="121">
        <v>48.405000000000001</v>
      </c>
      <c r="L17" s="121">
        <v>50.034999999999997</v>
      </c>
      <c r="M17" s="121">
        <v>51.805</v>
      </c>
      <c r="N17" s="121">
        <v>53.54</v>
      </c>
      <c r="O17" s="121">
        <v>54.731999999999999</v>
      </c>
      <c r="P17" s="121">
        <v>56.146000000000001</v>
      </c>
      <c r="Q17" s="121">
        <v>56.953000000000003</v>
      </c>
      <c r="R17" s="121">
        <v>55.993000000000002</v>
      </c>
      <c r="S17" s="121">
        <v>56.957000000000001</v>
      </c>
      <c r="T17" s="121">
        <v>58.247999999999998</v>
      </c>
      <c r="U17" s="121">
        <v>59.104999999999997</v>
      </c>
      <c r="V17" s="121">
        <v>61.039000000000001</v>
      </c>
      <c r="W17" s="121">
        <v>62.195999999999998</v>
      </c>
      <c r="X17" s="121">
        <v>62.662999999999997</v>
      </c>
      <c r="Y17" s="121">
        <v>62.445</v>
      </c>
      <c r="Z17" s="121">
        <v>62.357999999999997</v>
      </c>
      <c r="AA17" s="121">
        <v>61.127000000000002</v>
      </c>
      <c r="AB17" s="121">
        <v>59.892000000000003</v>
      </c>
      <c r="AC17" s="121">
        <v>59.798999999999999</v>
      </c>
      <c r="AD17" s="121">
        <v>60.252000000000002</v>
      </c>
      <c r="AE17" s="121">
        <v>61.838000000000001</v>
      </c>
      <c r="AF17" s="121">
        <v>63.588999999999999</v>
      </c>
      <c r="AG17" s="121">
        <v>64.905000000000001</v>
      </c>
      <c r="AH17" s="166">
        <f>65470/1000</f>
        <v>65.47</v>
      </c>
      <c r="AI17" s="274">
        <f t="shared" si="2"/>
        <v>0.87050304290885094</v>
      </c>
      <c r="AJ17" s="274" t="s">
        <v>54</v>
      </c>
    </row>
    <row r="18" spans="1:36" ht="12.75" customHeight="1">
      <c r="A18" s="8"/>
      <c r="B18" s="154" t="s">
        <v>55</v>
      </c>
      <c r="C18" s="531">
        <v>41</v>
      </c>
      <c r="D18" s="531">
        <v>59</v>
      </c>
      <c r="E18" s="163">
        <v>70</v>
      </c>
      <c r="F18" s="163">
        <v>76</v>
      </c>
      <c r="G18" s="163">
        <v>76</v>
      </c>
      <c r="H18" s="163">
        <v>76</v>
      </c>
      <c r="I18" s="163">
        <v>78</v>
      </c>
      <c r="J18" s="163">
        <v>79</v>
      </c>
      <c r="K18" s="163">
        <v>82</v>
      </c>
      <c r="L18" s="163">
        <v>82</v>
      </c>
      <c r="M18" s="296">
        <v>84.960999999999999</v>
      </c>
      <c r="N18" s="163">
        <v>85.668000000000006</v>
      </c>
      <c r="O18" s="163">
        <v>85.748999999999995</v>
      </c>
      <c r="P18" s="163">
        <v>86.953999999999994</v>
      </c>
      <c r="Q18" s="163">
        <v>85.876000000000005</v>
      </c>
      <c r="R18" s="163">
        <v>87.100999999999999</v>
      </c>
      <c r="S18" s="163">
        <v>88.417000000000002</v>
      </c>
      <c r="T18" s="163">
        <v>90.055000000000007</v>
      </c>
      <c r="U18" s="163">
        <v>92.152000000000001</v>
      </c>
      <c r="V18" s="163">
        <v>94.391999999999996</v>
      </c>
      <c r="W18" s="163">
        <v>92.873999999999995</v>
      </c>
      <c r="X18" s="296">
        <v>90.65</v>
      </c>
      <c r="Y18" s="163">
        <v>91.450999999999993</v>
      </c>
      <c r="Z18" s="163">
        <v>93.028999999999996</v>
      </c>
      <c r="AA18" s="163">
        <v>94.099000000000004</v>
      </c>
      <c r="AB18" s="163">
        <v>96.040999999999997</v>
      </c>
      <c r="AC18" s="163">
        <v>96.745999999999995</v>
      </c>
      <c r="AD18" s="163">
        <v>99.001999999999995</v>
      </c>
      <c r="AE18" s="163">
        <v>100.303</v>
      </c>
      <c r="AF18" s="163">
        <v>100.85299999999999</v>
      </c>
      <c r="AG18" s="163">
        <v>100.712</v>
      </c>
      <c r="AH18" s="899">
        <f>101519/1000</f>
        <v>101.51900000000001</v>
      </c>
      <c r="AI18" s="273">
        <f t="shared" si="2"/>
        <v>0.80129478115816255</v>
      </c>
      <c r="AJ18" s="273" t="s">
        <v>55</v>
      </c>
    </row>
    <row r="19" spans="1:36" ht="12.75" customHeight="1">
      <c r="A19" s="8"/>
      <c r="B19" s="10" t="s">
        <v>66</v>
      </c>
      <c r="C19" s="532"/>
      <c r="D19" s="532"/>
      <c r="E19" s="121">
        <v>5.8360000000000003</v>
      </c>
      <c r="F19" s="121">
        <v>4.8760000000000003</v>
      </c>
      <c r="G19" s="121">
        <v>4.1040000000000001</v>
      </c>
      <c r="H19" s="121">
        <v>3.895</v>
      </c>
      <c r="I19" s="121">
        <v>4.0259999999999998</v>
      </c>
      <c r="J19" s="121">
        <v>3.8969999999999998</v>
      </c>
      <c r="K19" s="121">
        <v>4.5960000000000001</v>
      </c>
      <c r="L19" s="121">
        <v>4.7709999999999999</v>
      </c>
      <c r="M19" s="121">
        <v>4.8140000000000001</v>
      </c>
      <c r="N19" s="121">
        <v>4.7430000000000003</v>
      </c>
      <c r="O19" s="121">
        <v>4.66</v>
      </c>
      <c r="P19" s="121">
        <v>4.7699999999999996</v>
      </c>
      <c r="Q19" s="121">
        <v>4.7919999999999998</v>
      </c>
      <c r="R19" s="121">
        <v>4.8330000000000002</v>
      </c>
      <c r="S19" s="121">
        <v>4.8689999999999998</v>
      </c>
      <c r="T19" s="121">
        <v>4.851</v>
      </c>
      <c r="U19" s="121">
        <v>4.9139999999999997</v>
      </c>
      <c r="V19" s="121">
        <v>5.0430000000000001</v>
      </c>
      <c r="W19" s="121">
        <v>5.0990000000000002</v>
      </c>
      <c r="X19" s="121">
        <v>5.0709999999999997</v>
      </c>
      <c r="Y19" s="299">
        <v>4.8769999999999998</v>
      </c>
      <c r="Z19" s="121">
        <v>4.8410000000000002</v>
      </c>
      <c r="AA19" s="121">
        <v>4.6550000000000002</v>
      </c>
      <c r="AB19" s="121">
        <v>4.7889999999999997</v>
      </c>
      <c r="AC19" s="121">
        <v>5.04</v>
      </c>
      <c r="AD19" s="121">
        <v>5.2759999999999998</v>
      </c>
      <c r="AE19" s="121">
        <v>5.5129999999999999</v>
      </c>
      <c r="AF19" s="121">
        <v>5.6980000000000004</v>
      </c>
      <c r="AG19" s="121">
        <v>5.8769999999999998</v>
      </c>
      <c r="AH19" s="166">
        <f>6041/1000</f>
        <v>6.0410000000000004</v>
      </c>
      <c r="AI19" s="274">
        <f t="shared" si="2"/>
        <v>2.7905393908456801</v>
      </c>
      <c r="AJ19" s="274" t="s">
        <v>66</v>
      </c>
    </row>
    <row r="20" spans="1:36" ht="12.75" customHeight="1">
      <c r="A20" s="8"/>
      <c r="B20" s="154" t="s">
        <v>57</v>
      </c>
      <c r="C20" s="531">
        <v>32.899000000000001</v>
      </c>
      <c r="D20" s="531">
        <v>58.149000000000001</v>
      </c>
      <c r="E20" s="163">
        <v>77.730999999999995</v>
      </c>
      <c r="F20" s="163">
        <v>78</v>
      </c>
      <c r="G20" s="163">
        <v>78.179000000000002</v>
      </c>
      <c r="H20" s="163">
        <v>76.974000000000004</v>
      </c>
      <c r="I20" s="163">
        <v>76.075999999999993</v>
      </c>
      <c r="J20" s="163">
        <v>75.022999999999996</v>
      </c>
      <c r="K20" s="163">
        <v>78.183000000000007</v>
      </c>
      <c r="L20" s="163">
        <v>84.177000000000007</v>
      </c>
      <c r="M20" s="163">
        <v>84.822000000000003</v>
      </c>
      <c r="N20" s="163">
        <v>85.762</v>
      </c>
      <c r="O20" s="163">
        <v>87.956000000000003</v>
      </c>
      <c r="P20" s="163">
        <v>89.858000000000004</v>
      </c>
      <c r="Q20" s="163">
        <v>91.715999999999994</v>
      </c>
      <c r="R20" s="163">
        <v>92.700999999999993</v>
      </c>
      <c r="S20" s="163">
        <v>92.873999999999995</v>
      </c>
      <c r="T20" s="163">
        <v>94.436999999999998</v>
      </c>
      <c r="U20" s="163">
        <v>96.099000000000004</v>
      </c>
      <c r="V20" s="163">
        <v>96.418999999999997</v>
      </c>
      <c r="W20" s="163">
        <v>97.596999999999994</v>
      </c>
      <c r="X20" s="163">
        <v>98.724000000000004</v>
      </c>
      <c r="Y20" s="163">
        <v>99.894999999999996</v>
      </c>
      <c r="Z20" s="163">
        <v>100.438</v>
      </c>
      <c r="AA20" s="163">
        <v>99.537000000000006</v>
      </c>
      <c r="AB20" s="163">
        <v>98.551000000000002</v>
      </c>
      <c r="AC20" s="163">
        <v>97.914000000000001</v>
      </c>
      <c r="AD20" s="163">
        <v>97.991</v>
      </c>
      <c r="AE20" s="163">
        <v>97.816999999999993</v>
      </c>
      <c r="AF20" s="163">
        <v>99.1</v>
      </c>
      <c r="AG20" s="163">
        <v>100.042</v>
      </c>
      <c r="AH20" s="165">
        <f>100149/1000</f>
        <v>100.149</v>
      </c>
      <c r="AI20" s="273">
        <f t="shared" si="2"/>
        <v>0.10695507886686073</v>
      </c>
      <c r="AJ20" s="301" t="s">
        <v>57</v>
      </c>
    </row>
    <row r="21" spans="1:36" ht="12.75" customHeight="1">
      <c r="A21" s="8"/>
      <c r="B21" s="10" t="s">
        <v>36</v>
      </c>
      <c r="C21" s="532"/>
      <c r="D21" s="532">
        <v>1.6</v>
      </c>
      <c r="E21" s="121">
        <v>2.3079999999999998</v>
      </c>
      <c r="F21" s="121">
        <v>2.1760000000000002</v>
      </c>
      <c r="G21" s="121">
        <v>2.371</v>
      </c>
      <c r="H21" s="121">
        <v>2.4380000000000002</v>
      </c>
      <c r="I21" s="121">
        <v>2.5459999999999998</v>
      </c>
      <c r="J21" s="121">
        <v>2.67</v>
      </c>
      <c r="K21" s="121">
        <v>2.8010000000000002</v>
      </c>
      <c r="L21" s="121">
        <v>2.8</v>
      </c>
      <c r="M21" s="121">
        <v>2.754</v>
      </c>
      <c r="N21" s="121">
        <v>2.835</v>
      </c>
      <c r="O21" s="121">
        <v>2.9489999999999998</v>
      </c>
      <c r="P21" s="121">
        <v>3.0030000000000001</v>
      </c>
      <c r="Q21" s="121">
        <v>2.9969999999999999</v>
      </c>
      <c r="R21" s="121">
        <v>3.2749999999999999</v>
      </c>
      <c r="S21" s="121">
        <v>3.1989999999999998</v>
      </c>
      <c r="T21" s="121">
        <v>3.2170000000000001</v>
      </c>
      <c r="U21" s="121">
        <v>3.2210000000000001</v>
      </c>
      <c r="V21" s="121">
        <v>3.2919999999999998</v>
      </c>
      <c r="W21" s="121">
        <v>3.4020000000000001</v>
      </c>
      <c r="X21" s="121">
        <f>3.449</f>
        <v>3.4489999999999998</v>
      </c>
      <c r="Y21" s="121">
        <v>3.403</v>
      </c>
      <c r="Z21" s="121">
        <v>3.4609999999999999</v>
      </c>
      <c r="AA21" s="121">
        <v>3.5569999999999999</v>
      </c>
      <c r="AB21" s="121">
        <v>3.4950000000000001</v>
      </c>
      <c r="AC21" s="541">
        <v>2.581</v>
      </c>
      <c r="AD21" s="121">
        <v>2.7120000000000002</v>
      </c>
      <c r="AE21" s="121">
        <v>2.8420000000000001</v>
      </c>
      <c r="AF21" s="121">
        <v>2.9910000000000001</v>
      </c>
      <c r="AG21" s="121">
        <v>3.0840000000000001</v>
      </c>
      <c r="AH21" s="166">
        <f>3151/1000</f>
        <v>3.1509999999999998</v>
      </c>
      <c r="AI21" s="274">
        <f t="shared" si="2"/>
        <v>2.1725032425421489</v>
      </c>
      <c r="AJ21" s="274" t="s">
        <v>36</v>
      </c>
    </row>
    <row r="22" spans="1:36" ht="12.75" customHeight="1">
      <c r="A22" s="8"/>
      <c r="B22" s="154" t="s">
        <v>40</v>
      </c>
      <c r="C22" s="531"/>
      <c r="D22" s="531"/>
      <c r="E22" s="163">
        <v>12.138</v>
      </c>
      <c r="F22" s="164">
        <f>$E$22+($J$22-$E$22)/5</f>
        <v>13.003399999999999</v>
      </c>
      <c r="G22" s="164">
        <f>$E$22+($J$22-$E$22)/5*2</f>
        <v>13.8688</v>
      </c>
      <c r="H22" s="164">
        <f>$E$22+($J$22-$E$22)/5*3</f>
        <v>14.7342</v>
      </c>
      <c r="I22" s="164">
        <f>$E$22+($J$22-$E$22)/5*4</f>
        <v>15.599599999999999</v>
      </c>
      <c r="J22" s="163">
        <v>16.465</v>
      </c>
      <c r="K22" s="163">
        <v>17.274999999999999</v>
      </c>
      <c r="L22" s="275">
        <v>18.558</v>
      </c>
      <c r="M22" s="163">
        <v>11.505000000000001</v>
      </c>
      <c r="N22" s="163">
        <v>11.555999999999999</v>
      </c>
      <c r="O22" s="163">
        <v>11.500999999999999</v>
      </c>
      <c r="P22" s="163">
        <v>11.294</v>
      </c>
      <c r="Q22" s="163">
        <v>11.164</v>
      </c>
      <c r="R22" s="163">
        <v>10.983000000000001</v>
      </c>
      <c r="S22" s="163">
        <v>10.74</v>
      </c>
      <c r="T22" s="163">
        <v>10.644</v>
      </c>
      <c r="U22" s="163">
        <v>10.628</v>
      </c>
      <c r="V22" s="163">
        <v>10.624000000000001</v>
      </c>
      <c r="W22" s="163">
        <v>10.542999999999999</v>
      </c>
      <c r="X22" s="163">
        <v>9.6869999999999994</v>
      </c>
      <c r="Y22" s="296">
        <v>5.3769999999999998</v>
      </c>
      <c r="Z22" s="163">
        <v>5.1859999999999999</v>
      </c>
      <c r="AA22" s="163">
        <v>5.0439999999999996</v>
      </c>
      <c r="AB22" s="163">
        <v>4.9889999999999999</v>
      </c>
      <c r="AC22" s="163">
        <v>4.8449999999999998</v>
      </c>
      <c r="AD22" s="163">
        <v>4.7969999999999997</v>
      </c>
      <c r="AE22" s="163">
        <v>4.6959999999999997</v>
      </c>
      <c r="AF22" s="163">
        <v>4.7</v>
      </c>
      <c r="AG22" s="163">
        <v>4.6319999999999997</v>
      </c>
      <c r="AH22" s="165">
        <f>4549/1000</f>
        <v>4.5490000000000004</v>
      </c>
      <c r="AI22" s="273">
        <f t="shared" si="2"/>
        <v>-1.7918825561312417</v>
      </c>
      <c r="AJ22" s="301" t="s">
        <v>40</v>
      </c>
    </row>
    <row r="23" spans="1:36" ht="12.75" customHeight="1">
      <c r="A23" s="8"/>
      <c r="B23" s="10" t="s">
        <v>41</v>
      </c>
      <c r="C23" s="532"/>
      <c r="D23" s="532">
        <v>10.5</v>
      </c>
      <c r="E23" s="121">
        <v>15.2</v>
      </c>
      <c r="F23" s="299">
        <f>$E$23+($J$23-$E$23)/5</f>
        <v>15.6768</v>
      </c>
      <c r="G23" s="299">
        <f>$E$23+($J$23-$E$23)/5*2</f>
        <v>16.153600000000001</v>
      </c>
      <c r="H23" s="299">
        <f>$E$23+($J$23-$E$23)/5*3</f>
        <v>16.630399999999998</v>
      </c>
      <c r="I23" s="299">
        <f>$E$23+($J$23-$E$23)/5*4</f>
        <v>17.107199999999999</v>
      </c>
      <c r="J23" s="121">
        <f>17.052+0.532</f>
        <v>17.584</v>
      </c>
      <c r="K23" s="121">
        <f>15.482+0.544</f>
        <v>16.026</v>
      </c>
      <c r="L23" s="121">
        <f>14.888+0.547</f>
        <v>15.435</v>
      </c>
      <c r="M23" s="121">
        <f>15.156+0.523</f>
        <v>15.679</v>
      </c>
      <c r="N23" s="121">
        <f>15.59+0.5</f>
        <v>16.09</v>
      </c>
      <c r="O23" s="121">
        <f>15.069+0.474</f>
        <v>15.543000000000001</v>
      </c>
      <c r="P23" s="121">
        <f>15.171+0.47</f>
        <v>15.641</v>
      </c>
      <c r="Q23" s="121">
        <f>15.376+0.466</f>
        <v>15.841999999999999</v>
      </c>
      <c r="R23" s="121">
        <f>15.543+0.463</f>
        <v>16.006</v>
      </c>
      <c r="S23" s="121">
        <f>14.377+0.476</f>
        <v>14.853000000000002</v>
      </c>
      <c r="T23" s="121">
        <f>14.839+0.472</f>
        <v>15.311</v>
      </c>
      <c r="U23" s="121">
        <f>15.134+0.485</f>
        <v>15.619</v>
      </c>
      <c r="V23" s="121">
        <f>13.997+0.491</f>
        <v>14.488</v>
      </c>
      <c r="W23" s="121">
        <f>13.824+0.488</f>
        <v>14.311999999999999</v>
      </c>
      <c r="X23" s="121">
        <f>13.36+0.477</f>
        <v>13.837</v>
      </c>
      <c r="Y23" s="121">
        <f>13.261+0.467</f>
        <v>13.728</v>
      </c>
      <c r="Z23" s="121">
        <v>13.545</v>
      </c>
      <c r="AA23" s="121">
        <f>12.649+0.458</f>
        <v>13.106999999999999</v>
      </c>
      <c r="AB23" s="121">
        <f>12.606+0.457</f>
        <v>13.063000000000001</v>
      </c>
      <c r="AC23" s="541">
        <v>6.9370000000000003</v>
      </c>
      <c r="AD23" s="121">
        <v>6.8559999999999999</v>
      </c>
      <c r="AE23" s="121">
        <v>6.9260000000000002</v>
      </c>
      <c r="AF23" s="121">
        <v>7.2</v>
      </c>
      <c r="AG23" s="121">
        <v>7.5170000000000003</v>
      </c>
      <c r="AH23" s="166">
        <f>7646/1000</f>
        <v>7.6459999999999999</v>
      </c>
      <c r="AI23" s="274">
        <f t="shared" si="2"/>
        <v>1.7161101503259175</v>
      </c>
      <c r="AJ23" s="274" t="s">
        <v>41</v>
      </c>
    </row>
    <row r="24" spans="1:36" ht="12.75" customHeight="1">
      <c r="A24" s="8"/>
      <c r="B24" s="154" t="s">
        <v>58</v>
      </c>
      <c r="C24" s="531">
        <v>0.56000000000000005</v>
      </c>
      <c r="D24" s="531">
        <v>0.64700000000000002</v>
      </c>
      <c r="E24" s="163">
        <v>0.76</v>
      </c>
      <c r="F24" s="163">
        <v>0.77700000000000002</v>
      </c>
      <c r="G24" s="163">
        <v>0.81399999999999995</v>
      </c>
      <c r="H24" s="163">
        <v>0.85</v>
      </c>
      <c r="I24" s="163">
        <v>0.84599999999999997</v>
      </c>
      <c r="J24" s="163">
        <v>0.871</v>
      </c>
      <c r="K24" s="163">
        <v>0.91400000000000003</v>
      </c>
      <c r="L24" s="163">
        <v>0.94399999999999995</v>
      </c>
      <c r="M24" s="163">
        <v>0.94499999999999995</v>
      </c>
      <c r="N24" s="163">
        <v>0.98399999999999999</v>
      </c>
      <c r="O24" s="163">
        <v>1.0509999999999999</v>
      </c>
      <c r="P24" s="163">
        <v>1.123</v>
      </c>
      <c r="Q24" s="163">
        <v>1.1759999999999999</v>
      </c>
      <c r="R24" s="163">
        <v>1.2270000000000001</v>
      </c>
      <c r="S24" s="163">
        <v>1.27</v>
      </c>
      <c r="T24" s="163">
        <v>1.34</v>
      </c>
      <c r="U24" s="163">
        <v>1.38</v>
      </c>
      <c r="V24" s="163">
        <v>1.456</v>
      </c>
      <c r="W24" s="163">
        <v>1.546</v>
      </c>
      <c r="X24" s="163">
        <f>1.624</f>
        <v>1.6240000000000001</v>
      </c>
      <c r="Y24" s="163">
        <v>1.637</v>
      </c>
      <c r="Z24" s="163">
        <v>1.7030000000000001</v>
      </c>
      <c r="AA24" s="163">
        <v>1.728</v>
      </c>
      <c r="AB24" s="163">
        <v>1.7589999999999999</v>
      </c>
      <c r="AC24" s="163">
        <v>1.778</v>
      </c>
      <c r="AD24" s="550">
        <v>1.857</v>
      </c>
      <c r="AE24" s="550">
        <v>1.9039999999999999</v>
      </c>
      <c r="AF24" s="550">
        <v>2</v>
      </c>
      <c r="AG24" s="550">
        <v>2.0419999999999998</v>
      </c>
      <c r="AH24" s="543">
        <f>2158/1000</f>
        <v>2.1579999999999999</v>
      </c>
      <c r="AI24" s="273">
        <f t="shared" si="2"/>
        <v>5.6807051909892152</v>
      </c>
      <c r="AJ24" s="301" t="s">
        <v>58</v>
      </c>
    </row>
    <row r="25" spans="1:36" ht="12.75" customHeight="1">
      <c r="A25" s="8"/>
      <c r="B25" s="10" t="s">
        <v>39</v>
      </c>
      <c r="C25" s="532"/>
      <c r="D25" s="532">
        <v>22.2</v>
      </c>
      <c r="E25" s="121">
        <v>26.437999999999999</v>
      </c>
      <c r="F25" s="121">
        <v>24.497</v>
      </c>
      <c r="G25" s="121">
        <v>23.187000000000001</v>
      </c>
      <c r="H25" s="121">
        <v>22.186</v>
      </c>
      <c r="I25" s="121">
        <v>21.785</v>
      </c>
      <c r="J25" s="121">
        <v>20.463999999999999</v>
      </c>
      <c r="K25" s="121">
        <v>19.381</v>
      </c>
      <c r="L25" s="121">
        <v>18.89</v>
      </c>
      <c r="M25" s="121">
        <v>18.795000000000002</v>
      </c>
      <c r="N25" s="121">
        <v>17.733000000000001</v>
      </c>
      <c r="O25" s="121">
        <v>17.855</v>
      </c>
      <c r="P25" s="121">
        <v>17.817</v>
      </c>
      <c r="Q25" s="121">
        <v>17.873000000000001</v>
      </c>
      <c r="R25" s="121">
        <v>17.876999999999999</v>
      </c>
      <c r="S25" s="121">
        <v>17.428000000000001</v>
      </c>
      <c r="T25" s="121">
        <v>17.45</v>
      </c>
      <c r="U25" s="121">
        <v>17.721</v>
      </c>
      <c r="V25" s="121">
        <v>17.899000000000001</v>
      </c>
      <c r="W25" s="121">
        <v>17.954999999999998</v>
      </c>
      <c r="X25" s="121">
        <v>17.72</v>
      </c>
      <c r="Y25" s="121">
        <f>17.641</f>
        <v>17.640999999999998</v>
      </c>
      <c r="Z25" s="121">
        <v>17.366</v>
      </c>
      <c r="AA25" s="121">
        <v>17.300999999999998</v>
      </c>
      <c r="AB25" s="121">
        <v>17.568999999999999</v>
      </c>
      <c r="AC25" s="121">
        <v>17.922999999999998</v>
      </c>
      <c r="AD25" s="121">
        <v>18.135000000000002</v>
      </c>
      <c r="AE25" s="121">
        <v>18.481999999999999</v>
      </c>
      <c r="AF25" s="121">
        <v>18.7</v>
      </c>
      <c r="AG25" s="121">
        <v>19.134</v>
      </c>
      <c r="AH25" s="166">
        <f>19454/1000</f>
        <v>19.454000000000001</v>
      </c>
      <c r="AI25" s="274">
        <f t="shared" si="2"/>
        <v>1.6724155952754245</v>
      </c>
      <c r="AJ25" s="274" t="s">
        <v>39</v>
      </c>
    </row>
    <row r="26" spans="1:36" ht="12.75" customHeight="1">
      <c r="A26" s="8"/>
      <c r="B26" s="154" t="s">
        <v>42</v>
      </c>
      <c r="C26" s="531"/>
      <c r="D26" s="531"/>
      <c r="E26" s="163">
        <v>0.97799999999999998</v>
      </c>
      <c r="F26" s="164">
        <f>$E$26+($H$26-$E$26)/3</f>
        <v>0.96399999999999997</v>
      </c>
      <c r="G26" s="164">
        <f>$E$26+($H$26-$E$26)/3*2</f>
        <v>0.95000000000000007</v>
      </c>
      <c r="H26" s="163">
        <v>0.93600000000000005</v>
      </c>
      <c r="I26" s="163">
        <v>0.96399999999999997</v>
      </c>
      <c r="J26" s="163">
        <v>1.014</v>
      </c>
      <c r="K26" s="163">
        <v>0.96699999999999997</v>
      </c>
      <c r="L26" s="163">
        <v>1.077</v>
      </c>
      <c r="M26" s="163">
        <f>0.162+0.375+0.57</f>
        <v>1.107</v>
      </c>
      <c r="N26" s="163">
        <f>0.157+0.39+0.572</f>
        <v>1.119</v>
      </c>
      <c r="O26" s="163">
        <f>0.156+0.397+0.573</f>
        <v>1.1259999999999999</v>
      </c>
      <c r="P26" s="163">
        <f>0.156+0.398+0.571</f>
        <v>1.125</v>
      </c>
      <c r="Q26" s="163">
        <v>1.133</v>
      </c>
      <c r="R26" s="163">
        <v>1.1499999999999999</v>
      </c>
      <c r="S26" s="163">
        <v>1.1579999999999999</v>
      </c>
      <c r="T26" s="163">
        <f>0.144+0.422+0.577</f>
        <v>1.1429999999999998</v>
      </c>
      <c r="U26" s="163">
        <f>0.144+0.426+0.578</f>
        <v>1.1479999999999999</v>
      </c>
      <c r="V26" s="163">
        <f>0.15+0.433+0.582</f>
        <v>1.165</v>
      </c>
      <c r="W26" s="163">
        <f>0.161+0.433+0.582</f>
        <v>1.1759999999999999</v>
      </c>
      <c r="X26" s="163">
        <f>0.159+0.451+0.576</f>
        <v>1.1859999999999999</v>
      </c>
      <c r="Y26" s="296">
        <f>0.214+0.318+0.737+0.566</f>
        <v>1.835</v>
      </c>
      <c r="Z26" s="163">
        <v>1.7420000000000002</v>
      </c>
      <c r="AA26" s="163">
        <f>0.344+0.27+0.843+0.289</f>
        <v>1.7459999999999998</v>
      </c>
      <c r="AB26" s="163">
        <f>0.239+0.866+0.263+0.344</f>
        <v>1.7119999999999997</v>
      </c>
      <c r="AC26" s="163">
        <f>0.284+0.913+0.236+0.362</f>
        <v>1.7949999999999999</v>
      </c>
      <c r="AD26" s="163">
        <f>0.353+0.22+0.971+0.408</f>
        <v>1.952</v>
      </c>
      <c r="AE26" s="163">
        <f>0.405+1.029+0.199+0.363</f>
        <v>1.996</v>
      </c>
      <c r="AF26" s="163">
        <f>0.432+1.079+0.187+0.371</f>
        <v>2.069</v>
      </c>
      <c r="AG26" s="163">
        <f>0.388+0.165+1.123+0.436</f>
        <v>2.1120000000000001</v>
      </c>
      <c r="AH26" s="165">
        <f>2112/1000</f>
        <v>2.1120000000000001</v>
      </c>
      <c r="AI26" s="273">
        <f t="shared" si="2"/>
        <v>0</v>
      </c>
      <c r="AJ26" s="301" t="s">
        <v>42</v>
      </c>
    </row>
    <row r="27" spans="1:36" ht="12.75" customHeight="1">
      <c r="A27" s="8"/>
      <c r="B27" s="10" t="s">
        <v>50</v>
      </c>
      <c r="C27" s="532">
        <v>9.5</v>
      </c>
      <c r="D27" s="532">
        <v>11.2</v>
      </c>
      <c r="E27" s="121">
        <v>12.1</v>
      </c>
      <c r="F27" s="121">
        <v>12.427</v>
      </c>
      <c r="G27" s="121">
        <v>12.340999999999999</v>
      </c>
      <c r="H27" s="121">
        <v>12.525</v>
      </c>
      <c r="I27" s="121">
        <v>12</v>
      </c>
      <c r="J27" s="121">
        <v>11.635999999999999</v>
      </c>
      <c r="K27" s="121">
        <v>11.334</v>
      </c>
      <c r="L27" s="121">
        <v>10.801</v>
      </c>
      <c r="M27" s="121">
        <v>11.006</v>
      </c>
      <c r="N27" s="121">
        <v>11.21</v>
      </c>
      <c r="O27" s="121">
        <v>11.374000000000001</v>
      </c>
      <c r="P27" s="121">
        <v>11.326000000000001</v>
      </c>
      <c r="Q27" s="121">
        <v>11.382</v>
      </c>
      <c r="R27" s="121">
        <v>11.343999999999999</v>
      </c>
      <c r="S27" s="121">
        <v>11.231</v>
      </c>
      <c r="T27" s="121">
        <v>10.994999999999999</v>
      </c>
      <c r="U27" s="121">
        <v>10.845000000000001</v>
      </c>
      <c r="V27" s="121">
        <v>11.090999999999999</v>
      </c>
      <c r="W27" s="121">
        <v>11.332000000000001</v>
      </c>
      <c r="X27" s="121">
        <v>11.634</v>
      </c>
      <c r="Y27" s="121">
        <f>11.277</f>
        <v>11.276999999999999</v>
      </c>
      <c r="Z27" s="121">
        <v>10.986000000000001</v>
      </c>
      <c r="AA27" s="121">
        <f>10.464</f>
        <v>10.464</v>
      </c>
      <c r="AB27" s="121">
        <f>9.922</f>
        <v>9.9220000000000006</v>
      </c>
      <c r="AC27" s="121">
        <v>9.5969999999999995</v>
      </c>
      <c r="AD27" s="121">
        <v>9.4109999999999996</v>
      </c>
      <c r="AE27" s="121">
        <v>9.8219999999999992</v>
      </c>
      <c r="AF27" s="121">
        <v>9.9</v>
      </c>
      <c r="AG27" s="121">
        <v>9.7170000000000005</v>
      </c>
      <c r="AH27" s="166">
        <f>9876/1000</f>
        <v>9.8759999999999994</v>
      </c>
      <c r="AI27" s="274">
        <f t="shared" si="2"/>
        <v>1.6363075023155176</v>
      </c>
      <c r="AJ27" s="274" t="s">
        <v>50</v>
      </c>
    </row>
    <row r="28" spans="1:36" ht="12.75" customHeight="1">
      <c r="A28" s="8"/>
      <c r="B28" s="154" t="s">
        <v>59</v>
      </c>
      <c r="C28" s="531">
        <v>6.8040000000000003</v>
      </c>
      <c r="D28" s="531">
        <v>8.89</v>
      </c>
      <c r="E28" s="163">
        <v>9.4019999999999992</v>
      </c>
      <c r="F28" s="163">
        <v>9.2690000000000001</v>
      </c>
      <c r="G28" s="163">
        <v>9.375</v>
      </c>
      <c r="H28" s="163">
        <v>9.4830000000000005</v>
      </c>
      <c r="I28" s="163">
        <v>9.5980000000000008</v>
      </c>
      <c r="J28" s="163">
        <v>9.7520000000000007</v>
      </c>
      <c r="K28" s="163">
        <v>9.74</v>
      </c>
      <c r="L28" s="163">
        <v>9.6999999999999993</v>
      </c>
      <c r="M28" s="163">
        <v>9.6750000000000007</v>
      </c>
      <c r="N28" s="163">
        <v>9.8339999999999996</v>
      </c>
      <c r="O28" s="163">
        <v>9.9179999999999993</v>
      </c>
      <c r="P28" s="275">
        <v>9.9019999999999992</v>
      </c>
      <c r="Q28" s="163">
        <v>9.1790000000000003</v>
      </c>
      <c r="R28" s="163">
        <v>9.2309999999999999</v>
      </c>
      <c r="S28" s="163">
        <v>9.4079999999999995</v>
      </c>
      <c r="T28" s="163">
        <v>9.3010000000000002</v>
      </c>
      <c r="U28" s="163">
        <v>9.2970000000000006</v>
      </c>
      <c r="V28" s="163">
        <v>9.2989999999999995</v>
      </c>
      <c r="W28" s="163">
        <v>9.3680000000000003</v>
      </c>
      <c r="X28" s="163">
        <v>9.5990000000000002</v>
      </c>
      <c r="Y28" s="163">
        <f>9.648</f>
        <v>9.6479999999999997</v>
      </c>
      <c r="Z28" s="163">
        <v>9.6020000000000003</v>
      </c>
      <c r="AA28" s="163">
        <v>9.5459999999999994</v>
      </c>
      <c r="AB28" s="163">
        <v>9.5790000000000006</v>
      </c>
      <c r="AC28" s="163">
        <v>9.5850000000000009</v>
      </c>
      <c r="AD28" s="163">
        <v>9.6790000000000003</v>
      </c>
      <c r="AE28" s="163">
        <v>9.8249999999999993</v>
      </c>
      <c r="AF28" s="163">
        <v>10</v>
      </c>
      <c r="AG28" s="163">
        <v>10.037000000000001</v>
      </c>
      <c r="AH28" s="165">
        <f>10148/1000</f>
        <v>10.148</v>
      </c>
      <c r="AI28" s="273">
        <f t="shared" si="2"/>
        <v>1.1059081398824304</v>
      </c>
      <c r="AJ28" s="301" t="s">
        <v>59</v>
      </c>
    </row>
    <row r="29" spans="1:36" ht="12.75" customHeight="1">
      <c r="A29" s="8"/>
      <c r="B29" s="10" t="s">
        <v>43</v>
      </c>
      <c r="C29" s="532"/>
      <c r="D29" s="532">
        <v>66.400000000000006</v>
      </c>
      <c r="E29" s="121">
        <v>92.403000000000006</v>
      </c>
      <c r="F29" s="121">
        <v>86.950999999999993</v>
      </c>
      <c r="G29" s="121">
        <v>86.578000000000003</v>
      </c>
      <c r="H29" s="121">
        <v>86.153999999999996</v>
      </c>
      <c r="I29" s="121">
        <v>86.852000000000004</v>
      </c>
      <c r="J29" s="121">
        <v>85.412999999999997</v>
      </c>
      <c r="K29" s="121">
        <v>85.596000000000004</v>
      </c>
      <c r="L29" s="121">
        <v>81.787999999999997</v>
      </c>
      <c r="M29" s="121">
        <v>80.826999999999998</v>
      </c>
      <c r="N29" s="121">
        <v>78.957999999999998</v>
      </c>
      <c r="O29" s="121">
        <v>82.59</v>
      </c>
      <c r="P29" s="121">
        <v>82.5</v>
      </c>
      <c r="Q29" s="121">
        <v>83.388999999999996</v>
      </c>
      <c r="R29" s="121">
        <v>82.769000000000005</v>
      </c>
      <c r="S29" s="121">
        <v>82.676000000000002</v>
      </c>
      <c r="T29" s="121">
        <v>79.566999999999993</v>
      </c>
      <c r="U29" s="121">
        <v>83.495999999999995</v>
      </c>
      <c r="V29" s="121">
        <v>87.585999999999999</v>
      </c>
      <c r="W29" s="121">
        <v>92.400999999999996</v>
      </c>
      <c r="X29" s="121">
        <v>95.415000000000006</v>
      </c>
      <c r="Y29" s="121">
        <v>97.043999999999997</v>
      </c>
      <c r="Z29" s="121">
        <v>100.29900000000001</v>
      </c>
      <c r="AA29" s="121">
        <v>99.858000000000004</v>
      </c>
      <c r="AB29" s="121">
        <v>102.602</v>
      </c>
      <c r="AC29" s="121">
        <v>106.057</v>
      </c>
      <c r="AD29" s="121">
        <v>109.84399999999999</v>
      </c>
      <c r="AE29" s="121">
        <v>113.139</v>
      </c>
      <c r="AF29" s="121">
        <v>116.1</v>
      </c>
      <c r="AG29" s="121">
        <f>119471/1000</f>
        <v>119.471</v>
      </c>
      <c r="AH29" s="166">
        <f>122604/1000</f>
        <v>122.604</v>
      </c>
      <c r="AI29" s="274">
        <f t="shared" si="2"/>
        <v>2.6223937189778326</v>
      </c>
      <c r="AJ29" s="274" t="s">
        <v>43</v>
      </c>
    </row>
    <row r="30" spans="1:36" ht="12.75" customHeight="1">
      <c r="A30" s="8"/>
      <c r="B30" s="154" t="s">
        <v>60</v>
      </c>
      <c r="C30" s="531">
        <v>5.8730000000000002</v>
      </c>
      <c r="D30" s="531">
        <v>8.4890000000000008</v>
      </c>
      <c r="E30" s="163">
        <v>12.099</v>
      </c>
      <c r="F30" s="163">
        <v>12.348000000000001</v>
      </c>
      <c r="G30" s="163">
        <v>12.961</v>
      </c>
      <c r="H30" s="163">
        <v>13.554</v>
      </c>
      <c r="I30" s="163">
        <v>14.353</v>
      </c>
      <c r="J30" s="163">
        <v>15.02</v>
      </c>
      <c r="K30" s="163">
        <v>15.680999999999999</v>
      </c>
      <c r="L30" s="163">
        <v>16.431000000000001</v>
      </c>
      <c r="M30" s="163">
        <v>17.513000000000002</v>
      </c>
      <c r="N30" s="163">
        <v>18.544</v>
      </c>
      <c r="O30" s="275">
        <v>19.78</v>
      </c>
      <c r="P30" s="163">
        <v>20.76</v>
      </c>
      <c r="Q30" s="163">
        <v>21.387</v>
      </c>
      <c r="R30" s="163">
        <v>21.652999999999999</v>
      </c>
      <c r="S30" s="302">
        <v>21.8</v>
      </c>
      <c r="T30" s="163">
        <v>14.673999999999999</v>
      </c>
      <c r="U30" s="163">
        <v>15</v>
      </c>
      <c r="V30" s="163">
        <v>15.1</v>
      </c>
      <c r="W30" s="163">
        <v>15.4</v>
      </c>
      <c r="X30" s="163">
        <f>15.5</f>
        <v>15.5</v>
      </c>
      <c r="Y30" s="296">
        <v>15.425000000000001</v>
      </c>
      <c r="Z30" s="163">
        <v>15.180999999999999</v>
      </c>
      <c r="AA30" s="163">
        <v>12.356999999999999</v>
      </c>
      <c r="AB30" s="163">
        <v>12.111000000000001</v>
      </c>
      <c r="AC30" s="163">
        <v>14.941000000000001</v>
      </c>
      <c r="AD30" s="163">
        <v>14.717000000000001</v>
      </c>
      <c r="AE30" s="163">
        <v>14.85</v>
      </c>
      <c r="AF30" s="163">
        <v>15.2</v>
      </c>
      <c r="AG30" s="163">
        <v>15.493</v>
      </c>
      <c r="AH30" s="165">
        <f>17819/1000</f>
        <v>17.818999999999999</v>
      </c>
      <c r="AI30" s="273">
        <f t="shared" si="2"/>
        <v>15.013231782095133</v>
      </c>
      <c r="AJ30" s="273" t="s">
        <v>60</v>
      </c>
    </row>
    <row r="31" spans="1:36" ht="12.75" customHeight="1">
      <c r="A31" s="8"/>
      <c r="B31" s="10" t="s">
        <v>44</v>
      </c>
      <c r="C31" s="532"/>
      <c r="D31" s="532">
        <v>25</v>
      </c>
      <c r="E31" s="121">
        <f>24.297+3.975</f>
        <v>28.272000000000002</v>
      </c>
      <c r="F31" s="121">
        <f>25.199+5.956</f>
        <v>31.155000000000001</v>
      </c>
      <c r="G31" s="121">
        <f>26.847+8.232</f>
        <v>35.079000000000001</v>
      </c>
      <c r="H31" s="121">
        <f>28.085+9.646</f>
        <v>37.731000000000002</v>
      </c>
      <c r="I31" s="121">
        <f>28.862+11.155</f>
        <v>40.016999999999996</v>
      </c>
      <c r="J31" s="121">
        <f>30.365+11.682</f>
        <v>42.046999999999997</v>
      </c>
      <c r="K31" s="121">
        <f>27.372+12.143</f>
        <v>39.515000000000001</v>
      </c>
      <c r="L31" s="121">
        <f>27.426+12.532</f>
        <v>39.957999999999998</v>
      </c>
      <c r="M31" s="121">
        <f>27.399+12.986</f>
        <v>40.385000000000005</v>
      </c>
      <c r="N31" s="121">
        <f>27.317+13.305</f>
        <v>40.622</v>
      </c>
      <c r="O31" s="121">
        <f>27.181+13.535</f>
        <v>40.716000000000001</v>
      </c>
      <c r="P31" s="121">
        <f>26.965+13.826</f>
        <v>40.790999999999997</v>
      </c>
      <c r="Q31" s="121">
        <f>26.672+14.108</f>
        <v>40.78</v>
      </c>
      <c r="R31" s="121">
        <f>25.829+16.118</f>
        <v>41.947000000000003</v>
      </c>
      <c r="S31" s="121">
        <f>25.421+17.771</f>
        <v>43.192</v>
      </c>
      <c r="T31" s="121">
        <f>21.976+17.297</f>
        <v>39.272999999999996</v>
      </c>
      <c r="U31" s="276">
        <f>22.663+17.755</f>
        <v>40.417999999999999</v>
      </c>
      <c r="V31" s="121">
        <f>17.151+17.051</f>
        <v>34.201999999999998</v>
      </c>
      <c r="W31" s="121">
        <v>41.514000000000003</v>
      </c>
      <c r="X31" s="121">
        <f>41.16</f>
        <v>41.16</v>
      </c>
      <c r="Y31" s="121">
        <v>40.877000000000002</v>
      </c>
      <c r="Z31" s="121">
        <v>40.887</v>
      </c>
      <c r="AA31" s="121">
        <v>42.01</v>
      </c>
      <c r="AB31" s="121">
        <v>42.835999999999999</v>
      </c>
      <c r="AC31" s="121">
        <v>44.283000000000001</v>
      </c>
      <c r="AD31" s="121">
        <v>47.347000000000001</v>
      </c>
      <c r="AE31" s="121">
        <v>48.802999999999997</v>
      </c>
      <c r="AF31" s="121">
        <v>50.3</v>
      </c>
      <c r="AG31" s="121">
        <v>51.802</v>
      </c>
      <c r="AH31" s="166">
        <f>53771/1000</f>
        <v>53.771000000000001</v>
      </c>
      <c r="AI31" s="274">
        <f t="shared" si="2"/>
        <v>3.8010115439558234</v>
      </c>
      <c r="AJ31" s="274" t="s">
        <v>44</v>
      </c>
    </row>
    <row r="32" spans="1:36" ht="12.75" customHeight="1">
      <c r="A32" s="8"/>
      <c r="B32" s="154" t="s">
        <v>46</v>
      </c>
      <c r="C32" s="531">
        <v>1.6639999999999999</v>
      </c>
      <c r="D32" s="531">
        <v>2.5049999999999999</v>
      </c>
      <c r="E32" s="163">
        <v>3.077</v>
      </c>
      <c r="F32" s="163">
        <v>2.855</v>
      </c>
      <c r="G32" s="163">
        <v>2.67</v>
      </c>
      <c r="H32" s="163">
        <v>2.597</v>
      </c>
      <c r="I32" s="163">
        <v>2.512</v>
      </c>
      <c r="J32" s="163">
        <v>2.4729999999999999</v>
      </c>
      <c r="K32" s="163">
        <v>2.407</v>
      </c>
      <c r="L32" s="163">
        <v>2.3690000000000002</v>
      </c>
      <c r="M32" s="163">
        <v>2.3250000000000002</v>
      </c>
      <c r="N32" s="163">
        <v>2.3149999999999999</v>
      </c>
      <c r="O32" s="163">
        <v>2.2549999999999999</v>
      </c>
      <c r="P32" s="163">
        <v>2.2130000000000001</v>
      </c>
      <c r="Q32" s="163">
        <v>2.1960000000000002</v>
      </c>
      <c r="R32" s="163">
        <v>2.19</v>
      </c>
      <c r="S32" s="163">
        <v>2.2690000000000001</v>
      </c>
      <c r="T32" s="163">
        <v>2.2549999999999999</v>
      </c>
      <c r="U32" s="163">
        <v>2.2770000000000001</v>
      </c>
      <c r="V32" s="163">
        <v>2.33</v>
      </c>
      <c r="W32" s="163">
        <v>2.3780000000000001</v>
      </c>
      <c r="X32" s="163">
        <v>2.3940000000000001</v>
      </c>
      <c r="Y32" s="163">
        <f>2.4</f>
        <v>2.4</v>
      </c>
      <c r="Z32" s="163">
        <v>2.4220000000000002</v>
      </c>
      <c r="AA32" s="163">
        <v>2.41</v>
      </c>
      <c r="AB32" s="163">
        <f>2.465</f>
        <v>2.4649999999999999</v>
      </c>
      <c r="AC32" s="163">
        <v>2.5590000000000002</v>
      </c>
      <c r="AD32" s="163">
        <v>2.6309999999999998</v>
      </c>
      <c r="AE32" s="163">
        <v>2.6789999999999998</v>
      </c>
      <c r="AF32" s="163">
        <v>2.782</v>
      </c>
      <c r="AG32" s="163">
        <v>2.8340000000000001</v>
      </c>
      <c r="AH32" s="165">
        <f>2884/1000</f>
        <v>2.8839999999999999</v>
      </c>
      <c r="AI32" s="273">
        <f t="shared" si="2"/>
        <v>1.7642907551164342</v>
      </c>
      <c r="AJ32" s="301" t="s">
        <v>46</v>
      </c>
    </row>
    <row r="33" spans="1:36" ht="12.75" customHeight="1">
      <c r="A33" s="8"/>
      <c r="B33" s="10" t="s">
        <v>45</v>
      </c>
      <c r="C33" s="532"/>
      <c r="D33" s="532">
        <v>10</v>
      </c>
      <c r="E33" s="121">
        <v>14.301</v>
      </c>
      <c r="F33" s="121">
        <v>13.77</v>
      </c>
      <c r="G33" s="121">
        <v>13.337999999999999</v>
      </c>
      <c r="H33" s="121">
        <v>12.654999999999999</v>
      </c>
      <c r="I33" s="121">
        <v>12.066000000000001</v>
      </c>
      <c r="J33" s="121">
        <v>11.811999999999999</v>
      </c>
      <c r="K33" s="121">
        <v>11.321</v>
      </c>
      <c r="L33" s="121">
        <v>11.234999999999999</v>
      </c>
      <c r="M33" s="121">
        <v>11.292999999999999</v>
      </c>
      <c r="N33" s="121">
        <v>11.101000000000001</v>
      </c>
      <c r="O33" s="121">
        <v>10.92</v>
      </c>
      <c r="P33" s="121">
        <v>10.648999999999999</v>
      </c>
      <c r="Q33" s="121">
        <v>10.589</v>
      </c>
      <c r="R33" s="121">
        <v>10.568</v>
      </c>
      <c r="S33" s="121">
        <v>8.9209999999999994</v>
      </c>
      <c r="T33" s="121">
        <v>9.1129999999999995</v>
      </c>
      <c r="U33" s="121">
        <v>8.782</v>
      </c>
      <c r="V33" s="121">
        <v>10.48</v>
      </c>
      <c r="W33" s="121">
        <v>10.537000000000001</v>
      </c>
      <c r="X33" s="300">
        <f>9.4</f>
        <v>9.4</v>
      </c>
      <c r="Y33" s="300">
        <f>9.35</f>
        <v>9.35</v>
      </c>
      <c r="Z33" s="300">
        <v>9.0739999999999998</v>
      </c>
      <c r="AA33" s="300">
        <v>8.9570000000000007</v>
      </c>
      <c r="AB33" s="300">
        <f>8.821</f>
        <v>8.8209999999999997</v>
      </c>
      <c r="AC33" s="300">
        <v>9.1590000000000007</v>
      </c>
      <c r="AD33" s="300">
        <v>9.27</v>
      </c>
      <c r="AE33" s="300">
        <v>9.0909999999999993</v>
      </c>
      <c r="AF33" s="300">
        <v>9.2409999999999997</v>
      </c>
      <c r="AG33" s="300">
        <v>9.0660000000000007</v>
      </c>
      <c r="AH33" s="339">
        <f>8974/1000</f>
        <v>8.9740000000000002</v>
      </c>
      <c r="AI33" s="274">
        <f t="shared" si="2"/>
        <v>-1.0147804985660827</v>
      </c>
      <c r="AJ33" s="274" t="s">
        <v>45</v>
      </c>
    </row>
    <row r="34" spans="1:36" ht="12.75" customHeight="1">
      <c r="A34" s="8"/>
      <c r="B34" s="154" t="s">
        <v>61</v>
      </c>
      <c r="C34" s="531">
        <v>8.1159999999999997</v>
      </c>
      <c r="D34" s="531">
        <v>8.9629999999999992</v>
      </c>
      <c r="E34" s="163">
        <v>9.327</v>
      </c>
      <c r="F34" s="163">
        <v>8.968</v>
      </c>
      <c r="G34" s="163">
        <v>8.6649999999999991</v>
      </c>
      <c r="H34" s="163">
        <v>8.2550000000000008</v>
      </c>
      <c r="I34" s="163">
        <v>8.0540000000000003</v>
      </c>
      <c r="J34" s="163">
        <v>8.0830000000000002</v>
      </c>
      <c r="K34" s="163">
        <v>8.2330000000000005</v>
      </c>
      <c r="L34" s="163">
        <v>8.4499999999999993</v>
      </c>
      <c r="M34" s="163">
        <v>9.0399999999999991</v>
      </c>
      <c r="N34" s="163">
        <v>9.4870000000000001</v>
      </c>
      <c r="O34" s="163">
        <v>9.8520000000000003</v>
      </c>
      <c r="P34" s="163">
        <v>9.7690000000000001</v>
      </c>
      <c r="Q34" s="163">
        <v>10.005000000000001</v>
      </c>
      <c r="R34" s="163">
        <v>10.358000000000001</v>
      </c>
      <c r="S34" s="163">
        <v>10.715999999999999</v>
      </c>
      <c r="T34" s="163">
        <v>10.920999999999999</v>
      </c>
      <c r="U34" s="163">
        <v>11.189</v>
      </c>
      <c r="V34" s="163">
        <v>11.542999999999999</v>
      </c>
      <c r="W34" s="163">
        <v>12.276</v>
      </c>
      <c r="X34" s="163">
        <f>13.017</f>
        <v>13.016999999999999</v>
      </c>
      <c r="Y34" s="163">
        <f>13.65</f>
        <v>13.65</v>
      </c>
      <c r="Z34" s="163">
        <v>14.226000000000001</v>
      </c>
      <c r="AA34" s="163">
        <v>14.93</v>
      </c>
      <c r="AB34" s="163">
        <f>15.536</f>
        <v>15.536</v>
      </c>
      <c r="AC34" s="163">
        <v>16.251000000000001</v>
      </c>
      <c r="AD34" s="163">
        <v>16.856000000000002</v>
      </c>
      <c r="AE34" s="163">
        <v>17.536000000000001</v>
      </c>
      <c r="AF34" s="163">
        <v>18.100000000000001</v>
      </c>
      <c r="AG34" s="163">
        <v>18.518999999999998</v>
      </c>
      <c r="AH34" s="165">
        <v>19.137</v>
      </c>
      <c r="AI34" s="273">
        <f t="shared" si="2"/>
        <v>3.3371132350558952</v>
      </c>
      <c r="AJ34" s="301" t="s">
        <v>61</v>
      </c>
    </row>
    <row r="35" spans="1:36" ht="12.75" customHeight="1">
      <c r="A35" s="8"/>
      <c r="B35" s="10" t="s">
        <v>62</v>
      </c>
      <c r="C35" s="532">
        <v>14.253</v>
      </c>
      <c r="D35" s="532">
        <v>12.795999999999999</v>
      </c>
      <c r="E35" s="121">
        <v>14.595000000000001</v>
      </c>
      <c r="F35" s="121">
        <v>14.555</v>
      </c>
      <c r="G35" s="121">
        <v>14.252000000000001</v>
      </c>
      <c r="H35" s="121">
        <v>14.127000000000001</v>
      </c>
      <c r="I35" s="121">
        <v>14.292999999999999</v>
      </c>
      <c r="J35" s="121">
        <v>14.577</v>
      </c>
      <c r="K35" s="121">
        <v>14.753</v>
      </c>
      <c r="L35" s="121">
        <v>14.837999999999999</v>
      </c>
      <c r="M35" s="121">
        <v>14.923999999999999</v>
      </c>
      <c r="N35" s="121">
        <v>14.869</v>
      </c>
      <c r="O35" s="121">
        <v>14.417</v>
      </c>
      <c r="P35" s="121">
        <v>14.246</v>
      </c>
      <c r="Q35" s="121">
        <v>14.013</v>
      </c>
      <c r="R35" s="121">
        <v>13.742000000000001</v>
      </c>
      <c r="S35" s="121">
        <v>13.363</v>
      </c>
      <c r="T35" s="121">
        <v>13.477</v>
      </c>
      <c r="U35" s="121">
        <v>13.643000000000001</v>
      </c>
      <c r="V35" s="121">
        <v>13.315</v>
      </c>
      <c r="W35" s="121">
        <v>13.474</v>
      </c>
      <c r="X35" s="121">
        <f>13.407</f>
        <v>13.407</v>
      </c>
      <c r="Y35" s="121">
        <v>13.872999999999999</v>
      </c>
      <c r="Z35" s="121">
        <v>13.946999999999999</v>
      </c>
      <c r="AA35" s="121">
        <v>14.202999999999999</v>
      </c>
      <c r="AB35" s="121">
        <v>13.986000000000001</v>
      </c>
      <c r="AC35" s="121">
        <v>13.992000000000001</v>
      </c>
      <c r="AD35" s="121">
        <v>14.114000000000001</v>
      </c>
      <c r="AE35" s="121">
        <v>13.89</v>
      </c>
      <c r="AF35" s="121">
        <v>14.4</v>
      </c>
      <c r="AG35" s="121">
        <v>14.378</v>
      </c>
      <c r="AH35" s="166">
        <f>14913/1000</f>
        <v>14.913</v>
      </c>
      <c r="AI35" s="274">
        <f t="shared" si="2"/>
        <v>3.7209625817220768</v>
      </c>
      <c r="AJ35" s="274" t="s">
        <v>62</v>
      </c>
    </row>
    <row r="36" spans="1:36" ht="12.75" customHeight="1">
      <c r="A36" s="8"/>
      <c r="B36" s="551" t="s">
        <v>51</v>
      </c>
      <c r="C36" s="628">
        <v>84.2</v>
      </c>
      <c r="D36" s="628">
        <v>83.3</v>
      </c>
      <c r="E36" s="726">
        <v>75</v>
      </c>
      <c r="F36" s="726">
        <v>75.5</v>
      </c>
      <c r="G36" s="726">
        <v>76</v>
      </c>
      <c r="H36" s="630">
        <v>76.5</v>
      </c>
      <c r="I36" s="664">
        <f>74.5+2</f>
        <v>76.5</v>
      </c>
      <c r="J36" s="664">
        <f>73.8+2.1</f>
        <v>75.899999999999991</v>
      </c>
      <c r="K36" s="664">
        <f>76.6+2.1</f>
        <v>78.699999999999989</v>
      </c>
      <c r="L36" s="664">
        <f>78.6+2.1</f>
        <v>80.699999999999989</v>
      </c>
      <c r="M36" s="664">
        <f>80.1+2.2</f>
        <v>82.3</v>
      </c>
      <c r="N36" s="664">
        <f>83.6+2.2</f>
        <v>85.8</v>
      </c>
      <c r="O36" s="664">
        <f>86.3+2.3</f>
        <v>88.6</v>
      </c>
      <c r="P36" s="664">
        <f>88.5+2.3</f>
        <v>90.8</v>
      </c>
      <c r="Q36" s="664">
        <f>92.3+2.3</f>
        <v>94.6</v>
      </c>
      <c r="R36" s="664">
        <f>96.1+2.4</f>
        <v>98.5</v>
      </c>
      <c r="S36" s="664">
        <f>99.8+2.4</f>
        <v>102.2</v>
      </c>
      <c r="T36" s="664">
        <f>103+2.6</f>
        <v>105.6</v>
      </c>
      <c r="U36" s="664">
        <f>103.9+2.7</f>
        <v>106.60000000000001</v>
      </c>
      <c r="V36" s="664">
        <f>106.3+2.9</f>
        <v>109.2</v>
      </c>
      <c r="W36" s="664">
        <f>107.9+3</f>
        <v>110.9</v>
      </c>
      <c r="X36" s="664">
        <f>108.5+2.987</f>
        <v>111.48699999999999</v>
      </c>
      <c r="Y36" s="664">
        <f>108.5+3.035</f>
        <v>111.535</v>
      </c>
      <c r="Z36" s="664">
        <v>110.221</v>
      </c>
      <c r="AA36" s="664">
        <f>108+3.094</f>
        <v>111.09399999999999</v>
      </c>
      <c r="AB36" s="664">
        <f>108.3+3.315</f>
        <v>111.61499999999999</v>
      </c>
      <c r="AC36" s="664">
        <v>112.17100000000001</v>
      </c>
      <c r="AD36" s="664">
        <v>113.34</v>
      </c>
      <c r="AE36" s="664">
        <v>113.90900000000001</v>
      </c>
      <c r="AF36" s="664">
        <v>113.2</v>
      </c>
      <c r="AG36" s="664">
        <v>112.1</v>
      </c>
      <c r="AH36" s="632">
        <v>110.9</v>
      </c>
      <c r="AI36" s="744">
        <f t="shared" si="2"/>
        <v>-1.0704727921498574</v>
      </c>
      <c r="AJ36" s="621" t="s">
        <v>51</v>
      </c>
    </row>
    <row r="37" spans="1:36" ht="12.75" customHeight="1">
      <c r="A37" s="8"/>
      <c r="B37" s="10" t="s">
        <v>161</v>
      </c>
      <c r="C37" s="159"/>
      <c r="D37" s="159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>
        <v>1.2170000000000001</v>
      </c>
      <c r="AA37" s="121">
        <v>1.1990000000000001</v>
      </c>
      <c r="AB37" s="121">
        <v>1.246</v>
      </c>
      <c r="AC37" s="121">
        <v>1.2470000000000001</v>
      </c>
      <c r="AD37" s="121">
        <v>1.2609999999999999</v>
      </c>
      <c r="AE37" s="121">
        <v>1.3080000000000001</v>
      </c>
      <c r="AF37" s="121">
        <v>1.37</v>
      </c>
      <c r="AG37" s="121">
        <v>1.4590000000000001</v>
      </c>
      <c r="AH37" s="166">
        <f>1490/1000</f>
        <v>1.49</v>
      </c>
      <c r="AI37" s="667">
        <f t="shared" si="2"/>
        <v>2.1247429746401565</v>
      </c>
      <c r="AJ37" s="274" t="s">
        <v>161</v>
      </c>
    </row>
    <row r="38" spans="1:36" ht="12.75" customHeight="1">
      <c r="A38" s="8"/>
      <c r="B38" s="154" t="s">
        <v>0</v>
      </c>
      <c r="C38" s="160"/>
      <c r="D38" s="160"/>
      <c r="E38" s="163">
        <v>2.3199999999999998</v>
      </c>
      <c r="F38" s="163">
        <v>2.5760000000000001</v>
      </c>
      <c r="G38" s="163">
        <v>2.8279999999999998</v>
      </c>
      <c r="H38" s="163">
        <v>2.9209999999999998</v>
      </c>
      <c r="I38" s="163">
        <v>2.4529999999999998</v>
      </c>
      <c r="J38" s="163">
        <v>2.5409999999999999</v>
      </c>
      <c r="K38" s="163">
        <v>2.4420000000000002</v>
      </c>
      <c r="L38" s="163">
        <v>2.4300000000000002</v>
      </c>
      <c r="M38" s="163">
        <v>2.4780000000000002</v>
      </c>
      <c r="N38" s="163">
        <v>2.4790000000000001</v>
      </c>
      <c r="O38" s="163">
        <v>2.4980000000000002</v>
      </c>
      <c r="P38" s="163">
        <v>2.62</v>
      </c>
      <c r="Q38" s="163">
        <v>2.4969999999999999</v>
      </c>
      <c r="R38" s="163">
        <v>2.4780000000000002</v>
      </c>
      <c r="S38" s="163">
        <v>2.1760000000000002</v>
      </c>
      <c r="T38" s="163">
        <v>2.2690000000000001</v>
      </c>
      <c r="U38" s="163">
        <v>2.2200000000000002</v>
      </c>
      <c r="V38" s="163">
        <f>2.284</f>
        <v>2.2839999999999998</v>
      </c>
      <c r="W38" s="163">
        <f>2.27</f>
        <v>2.27</v>
      </c>
      <c r="X38" s="163">
        <f>2.454</f>
        <v>2.4540000000000002</v>
      </c>
      <c r="Y38" s="163">
        <f>2.695</f>
        <v>2.6949999999999998</v>
      </c>
      <c r="Z38" s="163">
        <v>2.6360000000000001</v>
      </c>
      <c r="AA38" s="163">
        <v>2.7189999999999999</v>
      </c>
      <c r="AB38" s="163">
        <v>3.0219999999999998</v>
      </c>
      <c r="AC38" s="163">
        <v>3.1640000000000001</v>
      </c>
      <c r="AD38" s="163">
        <v>3.2429999999999999</v>
      </c>
      <c r="AE38" s="163">
        <v>3.23</v>
      </c>
      <c r="AF38" s="163">
        <v>3.1880000000000002</v>
      </c>
      <c r="AG38" s="163">
        <v>3.2010000000000001</v>
      </c>
      <c r="AH38" s="165">
        <f>3144/1000</f>
        <v>3.1440000000000001</v>
      </c>
      <c r="AI38" s="273">
        <f t="shared" si="2"/>
        <v>-1.7806935332708491</v>
      </c>
      <c r="AJ38" s="301" t="s">
        <v>0</v>
      </c>
    </row>
    <row r="39" spans="1:36" ht="12.75" customHeight="1">
      <c r="A39" s="8"/>
      <c r="B39" s="10" t="s">
        <v>167</v>
      </c>
      <c r="C39" s="159"/>
      <c r="D39" s="159"/>
      <c r="E39" s="299"/>
      <c r="F39" s="299"/>
      <c r="G39" s="299"/>
      <c r="H39" s="299">
        <v>7.5819999999999999</v>
      </c>
      <c r="I39" s="121">
        <v>8.1489999999999991</v>
      </c>
      <c r="J39" s="121">
        <v>6.6509999999999998</v>
      </c>
      <c r="K39" s="121">
        <v>7.6120000000000001</v>
      </c>
      <c r="L39" s="121">
        <v>8.7469999999999999</v>
      </c>
      <c r="M39" s="121">
        <v>9.2270000000000003</v>
      </c>
      <c r="N39" s="121">
        <v>12.305999999999999</v>
      </c>
      <c r="O39" s="121">
        <v>16.806000000000001</v>
      </c>
      <c r="P39" s="121">
        <v>20.812999999999999</v>
      </c>
      <c r="Q39" s="121">
        <v>21.026</v>
      </c>
      <c r="R39" s="121">
        <v>21.693000000000001</v>
      </c>
      <c r="S39" s="121">
        <v>25.065999999999999</v>
      </c>
      <c r="T39" s="121">
        <v>29.452999999999999</v>
      </c>
      <c r="U39" s="121">
        <v>35.972999999999999</v>
      </c>
      <c r="V39" s="121">
        <v>29.506</v>
      </c>
      <c r="W39" s="541">
        <v>6.6449999999999996</v>
      </c>
      <c r="X39" s="121">
        <v>6.5940000000000003</v>
      </c>
      <c r="Y39" s="121">
        <v>7.032</v>
      </c>
      <c r="Z39" s="121">
        <v>6.6980000000000004</v>
      </c>
      <c r="AA39" s="121">
        <v>5.25</v>
      </c>
      <c r="AB39" s="121">
        <v>5.6760000000000002</v>
      </c>
      <c r="AC39" s="121">
        <v>6.048</v>
      </c>
      <c r="AD39" s="121">
        <v>6.423</v>
      </c>
      <c r="AE39" s="121">
        <v>7.05</v>
      </c>
      <c r="AF39" s="121">
        <v>6.7610000000000001</v>
      </c>
      <c r="AG39" s="121">
        <v>7.1459999999999999</v>
      </c>
      <c r="AH39" s="166">
        <f>7500/1000</f>
        <v>7.5</v>
      </c>
      <c r="AI39" s="274">
        <f t="shared" si="2"/>
        <v>4.9538203190596164</v>
      </c>
      <c r="AJ39" s="274" t="s">
        <v>167</v>
      </c>
    </row>
    <row r="40" spans="1:36" ht="12.75" customHeight="1">
      <c r="A40" s="8"/>
      <c r="B40" s="154" t="s">
        <v>160</v>
      </c>
      <c r="C40" s="160"/>
      <c r="D40" s="160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>
        <v>9.2870000000000008</v>
      </c>
      <c r="Q40" s="163">
        <v>8.9109999999999996</v>
      </c>
      <c r="R40" s="163">
        <v>9.1440000000000001</v>
      </c>
      <c r="S40" s="163">
        <v>9.125</v>
      </c>
      <c r="T40" s="163">
        <v>9.6959999999999997</v>
      </c>
      <c r="U40" s="163">
        <v>9.3119999999999994</v>
      </c>
      <c r="V40" s="163">
        <v>8.8870000000000005</v>
      </c>
      <c r="W40" s="163">
        <v>8.5570000000000004</v>
      </c>
      <c r="X40" s="163">
        <v>8.8529999999999998</v>
      </c>
      <c r="Y40" s="163">
        <v>8.0340000000000007</v>
      </c>
      <c r="Z40" s="163">
        <v>8.8049999999999997</v>
      </c>
      <c r="AA40" s="163">
        <v>8.8339999999999996</v>
      </c>
      <c r="AB40" s="163">
        <v>9.0190000000000001</v>
      </c>
      <c r="AC40" s="163">
        <v>9.0440000000000005</v>
      </c>
      <c r="AD40" s="163">
        <v>9.4819999999999993</v>
      </c>
      <c r="AE40" s="163">
        <v>9.6259999999999994</v>
      </c>
      <c r="AF40" s="163">
        <v>9.9</v>
      </c>
      <c r="AG40" s="163">
        <v>9.8800000000000008</v>
      </c>
      <c r="AH40" s="165">
        <f>10441/1000</f>
        <v>10.441000000000001</v>
      </c>
      <c r="AI40" s="273">
        <f t="shared" si="2"/>
        <v>5.6781376518218565</v>
      </c>
      <c r="AJ40" s="301" t="s">
        <v>160</v>
      </c>
    </row>
    <row r="41" spans="1:36" ht="12.75" customHeight="1">
      <c r="A41" s="8"/>
      <c r="B41" s="11" t="s">
        <v>47</v>
      </c>
      <c r="C41" s="161"/>
      <c r="D41" s="161"/>
      <c r="E41" s="122">
        <v>188.09899999999999</v>
      </c>
      <c r="F41" s="122">
        <v>202.60499999999999</v>
      </c>
      <c r="G41" s="122">
        <v>220.904</v>
      </c>
      <c r="H41" s="122">
        <v>244.154</v>
      </c>
      <c r="I41" s="122">
        <v>253.96899999999999</v>
      </c>
      <c r="J41" s="122">
        <v>263.24799999999999</v>
      </c>
      <c r="K41" s="122">
        <v>277.67200000000003</v>
      </c>
      <c r="L41" s="122">
        <v>298.95299999999997</v>
      </c>
      <c r="M41" s="122">
        <v>319.85599999999999</v>
      </c>
      <c r="N41" s="122">
        <v>333.86900000000003</v>
      </c>
      <c r="O41" s="122">
        <v>354.339</v>
      </c>
      <c r="P41" s="122">
        <v>358.68700000000001</v>
      </c>
      <c r="Q41" s="122">
        <v>361.79700000000003</v>
      </c>
      <c r="R41" s="122">
        <f>245.394+123.5</f>
        <v>368.89400000000001</v>
      </c>
      <c r="S41" s="122">
        <f>318.954+152.712</f>
        <v>471.666</v>
      </c>
      <c r="T41" s="122">
        <f>338.539+163.39</f>
        <v>501.92899999999997</v>
      </c>
      <c r="U41" s="122">
        <f>357.523+175.949</f>
        <v>533.47199999999998</v>
      </c>
      <c r="V41" s="122">
        <f>372.601+189.128</f>
        <v>561.72900000000004</v>
      </c>
      <c r="W41" s="122">
        <f>383.548+199.934</f>
        <v>583.48199999999997</v>
      </c>
      <c r="X41" s="122">
        <f>384.053+201.033</f>
        <v>585.08600000000001</v>
      </c>
      <c r="Y41" s="122">
        <f>386.973+208.51</f>
        <v>595.48299999999995</v>
      </c>
      <c r="Z41" s="122">
        <v>609.34100000000001</v>
      </c>
      <c r="AA41" s="122">
        <f>396.119+235.949</f>
        <v>632.06799999999998</v>
      </c>
      <c r="AB41" s="122">
        <f>421.848+219.885</f>
        <v>641.73299999999995</v>
      </c>
      <c r="AC41" s="122">
        <v>638.46400000000006</v>
      </c>
      <c r="AD41" s="122">
        <v>666.26900000000001</v>
      </c>
      <c r="AE41" s="122">
        <v>684.29399999999998</v>
      </c>
      <c r="AF41" s="122">
        <v>700.5</v>
      </c>
      <c r="AG41" s="122">
        <v>706.05</v>
      </c>
      <c r="AH41" s="174">
        <f>706731/1000</f>
        <v>706.73099999999999</v>
      </c>
      <c r="AI41" s="274">
        <f t="shared" si="2"/>
        <v>9.645209262801302E-2</v>
      </c>
      <c r="AJ41" s="277" t="s">
        <v>47</v>
      </c>
    </row>
    <row r="42" spans="1:36" ht="12.75" customHeight="1">
      <c r="A42" s="8"/>
      <c r="B42" s="10" t="s">
        <v>33</v>
      </c>
      <c r="C42" s="749"/>
      <c r="D42" s="749"/>
      <c r="E42" s="119">
        <v>1.3280000000000001</v>
      </c>
      <c r="F42" s="119">
        <v>1.389</v>
      </c>
      <c r="G42" s="119">
        <v>1.157</v>
      </c>
      <c r="H42" s="119">
        <v>1.1930000000000001</v>
      </c>
      <c r="I42" s="119">
        <v>1.2490000000000001</v>
      </c>
      <c r="J42" s="119">
        <v>1.2949999999999999</v>
      </c>
      <c r="K42" s="119">
        <v>1.363</v>
      </c>
      <c r="L42" s="119">
        <v>1.4830000000000001</v>
      </c>
      <c r="M42" s="119">
        <v>1.544</v>
      </c>
      <c r="N42" s="119">
        <v>1.621</v>
      </c>
      <c r="O42" s="119">
        <v>1.673</v>
      </c>
      <c r="P42" s="119">
        <v>1.7110000000000001</v>
      </c>
      <c r="Q42" s="119">
        <v>1.6990000000000001</v>
      </c>
      <c r="R42" s="119">
        <v>1.7090000000000001</v>
      </c>
      <c r="S42" s="119">
        <v>1.762</v>
      </c>
      <c r="T42" s="119">
        <v>1.899</v>
      </c>
      <c r="U42" s="119">
        <v>1.929</v>
      </c>
      <c r="V42" s="119">
        <v>1.9430000000000001</v>
      </c>
      <c r="W42" s="119">
        <v>1.9550000000000001</v>
      </c>
      <c r="X42" s="119">
        <v>1.8879999999999999</v>
      </c>
      <c r="Y42" s="119">
        <v>1.9159999999999999</v>
      </c>
      <c r="Z42" s="119">
        <v>1.972</v>
      </c>
      <c r="AA42" s="119">
        <v>2.0840000000000001</v>
      </c>
      <c r="AB42" s="119">
        <v>2.1789999999999998</v>
      </c>
      <c r="AC42" s="119">
        <v>2.2999999999999998</v>
      </c>
      <c r="AD42" s="119">
        <v>2.4630000000000001</v>
      </c>
      <c r="AE42" s="119">
        <v>2.8620000000000001</v>
      </c>
      <c r="AF42" s="119">
        <v>3.13</v>
      </c>
      <c r="AG42" s="121">
        <v>3.198</v>
      </c>
      <c r="AH42" s="166">
        <f>3194/1000</f>
        <v>3.194</v>
      </c>
      <c r="AI42" s="667">
        <f t="shared" si="2"/>
        <v>-0.12507817385866815</v>
      </c>
      <c r="AJ42" s="274" t="s">
        <v>33</v>
      </c>
    </row>
    <row r="43" spans="1:36" ht="12.75" customHeight="1">
      <c r="A43" s="8"/>
      <c r="B43" s="154" t="s">
        <v>72</v>
      </c>
      <c r="C43" s="160"/>
      <c r="D43" s="160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>
        <f>0.225-0.122</f>
        <v>0.10300000000000001</v>
      </c>
      <c r="P43" s="163">
        <f>0.224-0.111</f>
        <v>0.113</v>
      </c>
      <c r="Q43" s="163">
        <f>0.224-0.121</f>
        <v>0.10300000000000001</v>
      </c>
      <c r="R43" s="163">
        <f>0.226-0.127</f>
        <v>9.9000000000000005E-2</v>
      </c>
      <c r="S43" s="163">
        <f>0.237-0.135</f>
        <v>0.10199999999999998</v>
      </c>
      <c r="T43" s="163">
        <f>0.247-0.142</f>
        <v>0.10500000000000001</v>
      </c>
      <c r="U43" s="163">
        <f>0.239-0.133</f>
        <v>0.10599999999999998</v>
      </c>
      <c r="V43" s="163">
        <f>0.246-0.145</f>
        <v>0.10100000000000001</v>
      </c>
      <c r="W43" s="163">
        <f>0.266-0.167</f>
        <v>9.9000000000000005E-2</v>
      </c>
      <c r="X43" s="163">
        <f>0.27-0.142-0.025</f>
        <v>0.10300000000000004</v>
      </c>
      <c r="Y43" s="163">
        <f>0.277-0.147-0.025</f>
        <v>0.10500000000000004</v>
      </c>
      <c r="Z43" s="163">
        <v>0.10499999999999998</v>
      </c>
      <c r="AA43" s="163">
        <f>0.057+0.029+0.019</f>
        <v>0.10500000000000001</v>
      </c>
      <c r="AB43" s="163">
        <f>0.059+0.023+0.019</f>
        <v>0.10099999999999999</v>
      </c>
      <c r="AC43" s="163">
        <v>0.10100000000000001</v>
      </c>
      <c r="AD43" s="163">
        <v>0.10299999999999999</v>
      </c>
      <c r="AE43" s="163">
        <v>9.8000000000000004E-2</v>
      </c>
      <c r="AF43" s="163">
        <v>0.1</v>
      </c>
      <c r="AG43" s="163">
        <v>9.9000000000000005E-2</v>
      </c>
      <c r="AH43" s="165">
        <f>102/1000</f>
        <v>0.10199999999999999</v>
      </c>
      <c r="AI43" s="273">
        <f t="shared" si="2"/>
        <v>3.0303030303030312</v>
      </c>
      <c r="AJ43" s="301" t="s">
        <v>72</v>
      </c>
    </row>
    <row r="44" spans="1:36" ht="12.75" customHeight="1">
      <c r="A44" s="8"/>
      <c r="B44" s="10" t="s">
        <v>63</v>
      </c>
      <c r="C44" s="159"/>
      <c r="D44" s="159"/>
      <c r="E44" s="121">
        <v>21.222000000000001</v>
      </c>
      <c r="F44" s="121">
        <v>23.288</v>
      </c>
      <c r="G44" s="121">
        <v>26.76</v>
      </c>
      <c r="H44" s="121">
        <v>29.134</v>
      </c>
      <c r="I44" s="121">
        <v>30.547000000000001</v>
      </c>
      <c r="J44" s="121">
        <v>32.515000000000001</v>
      </c>
      <c r="K44" s="121">
        <v>33.959000000000003</v>
      </c>
      <c r="L44" s="121">
        <v>35.170999999999999</v>
      </c>
      <c r="M44" s="121">
        <v>36.218000000000004</v>
      </c>
      <c r="N44" s="121">
        <v>37.039000000000001</v>
      </c>
      <c r="O44" s="121">
        <v>36.686</v>
      </c>
      <c r="P44" s="121">
        <v>35.667000000000002</v>
      </c>
      <c r="Q44" s="121">
        <v>34.11</v>
      </c>
      <c r="R44" s="121">
        <v>32.374000000000002</v>
      </c>
      <c r="S44" s="121">
        <v>30.591999999999999</v>
      </c>
      <c r="T44" s="121">
        <v>28.783000000000001</v>
      </c>
      <c r="U44" s="121">
        <v>26.954000000000001</v>
      </c>
      <c r="V44" s="121">
        <v>25.204000000000001</v>
      </c>
      <c r="W44" s="121">
        <v>23.324000000000002</v>
      </c>
      <c r="X44" s="121">
        <v>21.474</v>
      </c>
      <c r="Y44" s="121">
        <v>20.347999999999999</v>
      </c>
      <c r="Z44" s="121">
        <v>19.239999999999998</v>
      </c>
      <c r="AA44" s="121">
        <v>18.22</v>
      </c>
      <c r="AB44" s="121">
        <f>17.584</f>
        <v>17.584</v>
      </c>
      <c r="AC44" s="121">
        <v>17.111000000000001</v>
      </c>
      <c r="AD44" s="121">
        <v>16.667999999999999</v>
      </c>
      <c r="AE44" s="121">
        <v>16.257999999999999</v>
      </c>
      <c r="AF44" s="121">
        <v>16.041</v>
      </c>
      <c r="AG44" s="121">
        <v>15.634</v>
      </c>
      <c r="AH44" s="166">
        <f>15867/1000</f>
        <v>15.867000000000001</v>
      </c>
      <c r="AI44" s="274">
        <f t="shared" si="2"/>
        <v>1.4903415632595625</v>
      </c>
      <c r="AJ44" s="274" t="s">
        <v>63</v>
      </c>
    </row>
    <row r="45" spans="1:36" ht="12.75" customHeight="1">
      <c r="A45" s="8"/>
      <c r="B45" s="154" t="s">
        <v>34</v>
      </c>
      <c r="C45" s="160"/>
      <c r="D45" s="160"/>
      <c r="E45" s="163">
        <v>31.18</v>
      </c>
      <c r="F45" s="163">
        <v>32.968000000000004</v>
      </c>
      <c r="G45" s="163">
        <v>34.136000000000003</v>
      </c>
      <c r="H45" s="163">
        <v>34.851999999999997</v>
      </c>
      <c r="I45" s="163">
        <v>35.676000000000002</v>
      </c>
      <c r="J45" s="163">
        <v>36.517000000000003</v>
      </c>
      <c r="K45" s="163">
        <v>37.661999999999999</v>
      </c>
      <c r="L45" s="163">
        <v>38.508000000000003</v>
      </c>
      <c r="M45" s="163">
        <v>39.012</v>
      </c>
      <c r="N45" s="163">
        <v>39.692</v>
      </c>
      <c r="O45" s="163">
        <v>40.26</v>
      </c>
      <c r="P45" s="163">
        <v>41.341999999999999</v>
      </c>
      <c r="Q45" s="163">
        <v>42.401000000000003</v>
      </c>
      <c r="R45" s="163">
        <v>43.628999999999998</v>
      </c>
      <c r="S45" s="163">
        <v>44.783999999999999</v>
      </c>
      <c r="T45" s="163">
        <v>45.784999999999997</v>
      </c>
      <c r="U45" s="163">
        <v>46.445</v>
      </c>
      <c r="V45" s="163">
        <v>48.026000000000003</v>
      </c>
      <c r="W45" s="163">
        <v>48.536000000000001</v>
      </c>
      <c r="X45" s="163">
        <f>50.675</f>
        <v>50.674999999999997</v>
      </c>
      <c r="Y45" s="163">
        <v>52.750999999999998</v>
      </c>
      <c r="Z45" s="163">
        <v>55.421999999999997</v>
      </c>
      <c r="AA45" s="163">
        <v>58.3</v>
      </c>
      <c r="AB45" s="163">
        <v>60.151000000000003</v>
      </c>
      <c r="AC45" s="163">
        <v>62.436</v>
      </c>
      <c r="AD45" s="163">
        <v>65.72</v>
      </c>
      <c r="AE45" s="163">
        <v>69.676000000000002</v>
      </c>
      <c r="AF45" s="163">
        <v>73.813999999999993</v>
      </c>
      <c r="AG45" s="278">
        <v>77.984999999999999</v>
      </c>
      <c r="AH45" s="165">
        <f>83054/1000</f>
        <v>83.054000000000002</v>
      </c>
      <c r="AI45" s="273">
        <f t="shared" si="2"/>
        <v>6.4999679425530559</v>
      </c>
      <c r="AJ45" s="301" t="s">
        <v>34</v>
      </c>
    </row>
    <row r="46" spans="1:36" ht="12.75" customHeight="1">
      <c r="A46" s="8"/>
      <c r="B46" s="1044" t="s">
        <v>288</v>
      </c>
      <c r="C46" s="1044"/>
      <c r="D46" s="1044"/>
      <c r="E46" s="1044"/>
      <c r="F46" s="1044"/>
      <c r="G46" s="1044"/>
      <c r="H46" s="1044"/>
      <c r="I46" s="1044"/>
      <c r="J46" s="1044"/>
      <c r="K46" s="1044"/>
      <c r="L46" s="1044"/>
      <c r="M46" s="1044"/>
      <c r="N46" s="1044"/>
      <c r="O46" s="1044"/>
      <c r="P46" s="1044"/>
      <c r="Q46" s="1044"/>
      <c r="R46" s="1044"/>
      <c r="S46" s="1044"/>
      <c r="T46" s="1044"/>
      <c r="U46" s="1044"/>
      <c r="V46" s="1044"/>
      <c r="W46" s="1044"/>
      <c r="X46" s="1044"/>
      <c r="Y46" s="1044"/>
      <c r="Z46" s="1044"/>
      <c r="AA46" s="1044"/>
      <c r="AB46" s="1044"/>
      <c r="AC46" s="1044"/>
      <c r="AD46" s="1044"/>
      <c r="AE46" s="1044"/>
      <c r="AF46" s="1044"/>
      <c r="AG46" s="1044"/>
      <c r="AH46" s="1044"/>
      <c r="AI46" s="1044"/>
      <c r="AJ46" s="1044"/>
    </row>
    <row r="47" spans="1:36" ht="12.75" customHeight="1">
      <c r="A47" s="8"/>
      <c r="B47" s="1046" t="s">
        <v>326</v>
      </c>
      <c r="C47" s="1047"/>
      <c r="D47" s="1047"/>
      <c r="E47" s="1047"/>
      <c r="F47" s="1047"/>
      <c r="G47" s="1047"/>
      <c r="H47" s="1047"/>
      <c r="I47" s="1047"/>
      <c r="J47" s="1047"/>
      <c r="K47" s="1047"/>
      <c r="L47" s="1047"/>
      <c r="M47" s="1047"/>
      <c r="N47" s="1047"/>
      <c r="O47" s="1047"/>
      <c r="P47" s="1047"/>
      <c r="Q47" s="1047"/>
      <c r="R47" s="1047"/>
      <c r="S47" s="1047"/>
      <c r="T47" s="1047"/>
      <c r="U47" s="1047"/>
      <c r="V47" s="1047"/>
      <c r="W47" s="1047"/>
      <c r="X47" s="1047"/>
      <c r="Y47" s="1047"/>
      <c r="Z47" s="1047"/>
      <c r="AA47" s="1047"/>
      <c r="AB47" s="1047"/>
      <c r="AC47" s="1047"/>
      <c r="AD47" s="1047"/>
      <c r="AE47" s="1047"/>
      <c r="AF47" s="1047"/>
      <c r="AG47" s="1047"/>
      <c r="AH47" s="1047"/>
      <c r="AI47" s="1047"/>
      <c r="AJ47" s="1047"/>
    </row>
    <row r="48" spans="1:36" ht="15.75" customHeight="1">
      <c r="B48" s="1047" t="s">
        <v>143</v>
      </c>
      <c r="C48" s="1047"/>
      <c r="D48" s="1047"/>
      <c r="E48" s="1047"/>
      <c r="F48" s="1047"/>
      <c r="G48" s="1047"/>
      <c r="H48" s="1047"/>
      <c r="I48" s="1047"/>
      <c r="J48" s="1047"/>
      <c r="K48" s="1047"/>
      <c r="L48" s="1047"/>
      <c r="M48" s="1047"/>
      <c r="N48" s="1047"/>
      <c r="O48" s="1047"/>
      <c r="P48" s="1047"/>
      <c r="Q48" s="1047"/>
      <c r="R48" s="1047"/>
      <c r="S48" s="1047"/>
      <c r="T48" s="1047"/>
      <c r="U48" s="1047"/>
      <c r="V48" s="1047"/>
      <c r="W48" s="1047"/>
      <c r="X48" s="1047"/>
      <c r="Y48" s="1047"/>
      <c r="Z48" s="1047"/>
      <c r="AA48" s="1047"/>
      <c r="AB48" s="1047"/>
      <c r="AC48" s="1047"/>
      <c r="AD48" s="1047"/>
      <c r="AE48" s="1047"/>
      <c r="AF48" s="1047"/>
      <c r="AG48" s="1047"/>
      <c r="AH48" s="1047"/>
      <c r="AI48" s="1047"/>
      <c r="AJ48" s="1047"/>
    </row>
    <row r="49" spans="2:36" ht="12.75" customHeight="1">
      <c r="B49" s="1047" t="s">
        <v>289</v>
      </c>
      <c r="C49" s="1047"/>
      <c r="D49" s="1047"/>
      <c r="E49" s="1047"/>
      <c r="F49" s="1047"/>
      <c r="G49" s="1047"/>
      <c r="H49" s="1047"/>
      <c r="I49" s="1047"/>
      <c r="J49" s="1047"/>
      <c r="K49" s="1047"/>
      <c r="L49" s="1047"/>
      <c r="M49" s="1047"/>
      <c r="N49" s="1047"/>
      <c r="O49" s="1047"/>
      <c r="P49" s="1047"/>
      <c r="Q49" s="1047"/>
      <c r="R49" s="1047"/>
      <c r="S49" s="1047"/>
      <c r="T49" s="1047"/>
      <c r="U49" s="1047"/>
      <c r="V49" s="1047"/>
      <c r="W49" s="1047"/>
      <c r="X49" s="1047"/>
      <c r="Y49" s="1047"/>
      <c r="Z49" s="1047"/>
      <c r="AA49" s="1047"/>
      <c r="AB49" s="1047"/>
      <c r="AC49" s="1047"/>
      <c r="AD49" s="1047"/>
      <c r="AE49" s="1047"/>
      <c r="AF49" s="1047"/>
      <c r="AG49" s="1047"/>
      <c r="AH49" s="1047"/>
      <c r="AI49" s="1047"/>
      <c r="AJ49" s="1047"/>
    </row>
    <row r="50" spans="2:36" ht="12.75" customHeight="1">
      <c r="AC50" s="40"/>
    </row>
    <row r="51" spans="2:36">
      <c r="AD51" s="121"/>
      <c r="AE51" s="121"/>
      <c r="AF51" s="121"/>
      <c r="AG51" s="121"/>
      <c r="AH51" s="121"/>
      <c r="AI51" s="739"/>
      <c r="AJ51" s="20"/>
    </row>
    <row r="53" spans="2:36">
      <c r="AA53" s="2"/>
    </row>
  </sheetData>
  <mergeCells count="7">
    <mergeCell ref="B49:AJ49"/>
    <mergeCell ref="B1:C1"/>
    <mergeCell ref="B2:AJ2"/>
    <mergeCell ref="B3:AJ3"/>
    <mergeCell ref="B46:AJ46"/>
    <mergeCell ref="B47:AJ47"/>
    <mergeCell ref="B48:AJ4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>
    <pageSetUpPr fitToPage="1"/>
  </sheetPr>
  <dimension ref="A1:AM66"/>
  <sheetViews>
    <sheetView topLeftCell="A28" zoomScaleNormal="100" workbookViewId="0">
      <selection activeCell="AG55" sqref="AG55"/>
    </sheetView>
  </sheetViews>
  <sheetFormatPr defaultRowHeight="11.25"/>
  <cols>
    <col min="1" max="1" width="3.7109375" style="3" customWidth="1"/>
    <col min="2" max="2" width="4.85546875" style="3" customWidth="1"/>
    <col min="3" max="3" width="6.7109375" style="2" customWidth="1"/>
    <col min="4" max="5" width="7.5703125" style="2" customWidth="1"/>
    <col min="6" max="9" width="7.5703125" style="3" customWidth="1"/>
    <col min="10" max="10" width="8.7109375" style="3" customWidth="1"/>
    <col min="11" max="18" width="7.5703125" style="3" customWidth="1"/>
    <col min="19" max="19" width="8.7109375" style="3" customWidth="1"/>
    <col min="20" max="20" width="8.5703125" style="3" customWidth="1"/>
    <col min="21" max="21" width="7.7109375" style="3" customWidth="1"/>
    <col min="22" max="22" width="8.5703125" style="3" customWidth="1"/>
    <col min="23" max="23" width="9" style="3" customWidth="1"/>
    <col min="24" max="24" width="7.7109375" style="3" customWidth="1"/>
    <col min="25" max="25" width="8.42578125" style="3" customWidth="1"/>
    <col min="26" max="26" width="7.7109375" style="3" customWidth="1"/>
    <col min="27" max="27" width="8.85546875" style="3" customWidth="1"/>
    <col min="28" max="28" width="8.5703125" style="3" customWidth="1"/>
    <col min="29" max="29" width="8" style="2" customWidth="1"/>
    <col min="30" max="30" width="8" style="3" customWidth="1"/>
    <col min="31" max="32" width="8.28515625" style="3" customWidth="1"/>
    <col min="33" max="33" width="7.7109375" style="3" customWidth="1"/>
    <col min="34" max="34" width="7" style="3" customWidth="1"/>
    <col min="35" max="35" width="6" style="20" bestFit="1" customWidth="1"/>
    <col min="36" max="36" width="7" style="3" customWidth="1"/>
    <col min="37" max="16384" width="9.140625" style="3"/>
  </cols>
  <sheetData>
    <row r="1" spans="1:39" ht="14.25" customHeight="1">
      <c r="B1" s="1054"/>
      <c r="C1" s="1054"/>
      <c r="D1" s="759"/>
      <c r="E1" s="760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2"/>
      <c r="R1" s="762"/>
      <c r="S1" s="762"/>
      <c r="T1" s="762"/>
      <c r="U1" s="762"/>
      <c r="V1" s="762"/>
      <c r="W1" s="762"/>
      <c r="X1" s="762"/>
      <c r="Y1" s="762"/>
      <c r="Z1" s="762"/>
      <c r="AA1" s="762"/>
      <c r="AB1" s="762"/>
      <c r="AC1" s="763"/>
      <c r="AD1" s="762"/>
      <c r="AE1" s="762"/>
      <c r="AF1" s="762"/>
      <c r="AG1" s="763"/>
      <c r="AH1" s="762"/>
      <c r="AI1" s="764"/>
      <c r="AJ1" s="765" t="s">
        <v>120</v>
      </c>
    </row>
    <row r="2" spans="1:39" s="54" customFormat="1" ht="30" customHeight="1">
      <c r="B2" s="1055" t="s">
        <v>298</v>
      </c>
      <c r="C2" s="1055"/>
      <c r="D2" s="1055"/>
      <c r="E2" s="1055"/>
      <c r="F2" s="1055"/>
      <c r="G2" s="1055"/>
      <c r="H2" s="1055"/>
      <c r="I2" s="1055"/>
      <c r="J2" s="1055"/>
      <c r="K2" s="1055"/>
      <c r="L2" s="1055"/>
      <c r="M2" s="1055"/>
      <c r="N2" s="1055"/>
      <c r="O2" s="1055"/>
      <c r="P2" s="1055"/>
      <c r="Q2" s="1055"/>
      <c r="R2" s="1055"/>
      <c r="S2" s="1055"/>
      <c r="T2" s="1055"/>
      <c r="U2" s="1055"/>
      <c r="V2" s="1055"/>
      <c r="W2" s="1055"/>
      <c r="X2" s="1055"/>
      <c r="Y2" s="1055"/>
      <c r="Z2" s="1055"/>
      <c r="AA2" s="1055"/>
      <c r="AB2" s="1055"/>
      <c r="AC2" s="1055"/>
      <c r="AD2" s="1055"/>
      <c r="AE2" s="1055"/>
      <c r="AF2" s="1055"/>
      <c r="AG2" s="1055"/>
      <c r="AH2" s="1055"/>
      <c r="AI2" s="1055"/>
      <c r="AJ2" s="1055"/>
    </row>
    <row r="3" spans="1:39" s="79" customFormat="1" ht="15" customHeight="1">
      <c r="B3" s="1056" t="s">
        <v>100</v>
      </c>
      <c r="C3" s="1056"/>
      <c r="D3" s="1056"/>
      <c r="E3" s="1056"/>
      <c r="F3" s="1056"/>
      <c r="G3" s="1056"/>
      <c r="H3" s="1056"/>
      <c r="I3" s="1056"/>
      <c r="J3" s="1056"/>
      <c r="K3" s="1056"/>
      <c r="L3" s="1056"/>
      <c r="M3" s="1056"/>
      <c r="N3" s="1056"/>
      <c r="O3" s="1056"/>
      <c r="P3" s="1056"/>
      <c r="Q3" s="1056"/>
      <c r="R3" s="1056"/>
      <c r="S3" s="1056"/>
      <c r="T3" s="1056"/>
      <c r="U3" s="1056"/>
      <c r="V3" s="1056"/>
      <c r="W3" s="1056"/>
      <c r="X3" s="1056"/>
      <c r="Y3" s="1056"/>
      <c r="Z3" s="1056"/>
      <c r="AA3" s="1056"/>
      <c r="AB3" s="1056"/>
      <c r="AC3" s="1056"/>
      <c r="AD3" s="1056"/>
      <c r="AE3" s="1056"/>
      <c r="AF3" s="1056"/>
      <c r="AG3" s="1056"/>
      <c r="AH3" s="1056"/>
      <c r="AI3" s="1056"/>
      <c r="AJ3" s="1056"/>
    </row>
    <row r="4" spans="1:39" ht="12.75" customHeight="1">
      <c r="B4" s="766"/>
      <c r="C4" s="766"/>
      <c r="D4" s="763"/>
      <c r="E4" s="767"/>
      <c r="F4" s="767"/>
      <c r="G4" s="767"/>
      <c r="H4" s="767"/>
      <c r="I4" s="767"/>
      <c r="J4" s="768"/>
      <c r="K4" s="768"/>
      <c r="L4" s="768"/>
      <c r="M4" s="768"/>
      <c r="N4" s="768"/>
      <c r="O4" s="768"/>
      <c r="P4" s="762"/>
      <c r="Q4" s="762"/>
      <c r="R4" s="762"/>
      <c r="S4" s="762"/>
      <c r="T4" s="762"/>
      <c r="U4" s="762"/>
      <c r="V4" s="762"/>
      <c r="W4" s="769"/>
      <c r="X4" s="769"/>
      <c r="Y4" s="770"/>
      <c r="Z4" s="770"/>
      <c r="AA4" s="770"/>
      <c r="AB4" s="770"/>
      <c r="AC4" s="770"/>
      <c r="AD4" s="770"/>
      <c r="AE4" s="762"/>
      <c r="AF4" s="762"/>
      <c r="AH4" s="769" t="s">
        <v>2</v>
      </c>
      <c r="AI4" s="764"/>
      <c r="AJ4" s="770"/>
    </row>
    <row r="5" spans="1:39" ht="20.100000000000001" customHeight="1">
      <c r="B5" s="771"/>
      <c r="C5" s="85">
        <v>1970</v>
      </c>
      <c r="D5" s="99">
        <v>1980</v>
      </c>
      <c r="E5" s="86">
        <v>1990</v>
      </c>
      <c r="F5" s="86">
        <v>1991</v>
      </c>
      <c r="G5" s="86">
        <v>1992</v>
      </c>
      <c r="H5" s="86">
        <v>1993</v>
      </c>
      <c r="I5" s="86">
        <v>1994</v>
      </c>
      <c r="J5" s="86">
        <v>1995</v>
      </c>
      <c r="K5" s="86">
        <v>1996</v>
      </c>
      <c r="L5" s="86">
        <v>1997</v>
      </c>
      <c r="M5" s="86">
        <v>1998</v>
      </c>
      <c r="N5" s="86">
        <v>1999</v>
      </c>
      <c r="O5" s="86">
        <v>2000</v>
      </c>
      <c r="P5" s="86">
        <v>2001</v>
      </c>
      <c r="Q5" s="86">
        <v>2002</v>
      </c>
      <c r="R5" s="86">
        <v>2003</v>
      </c>
      <c r="S5" s="86">
        <v>2004</v>
      </c>
      <c r="T5" s="86">
        <v>2005</v>
      </c>
      <c r="U5" s="86">
        <v>2006</v>
      </c>
      <c r="V5" s="86">
        <v>2007</v>
      </c>
      <c r="W5" s="86">
        <v>2008</v>
      </c>
      <c r="X5" s="86">
        <v>2009</v>
      </c>
      <c r="Y5" s="86">
        <v>2010</v>
      </c>
      <c r="Z5" s="86">
        <v>2011</v>
      </c>
      <c r="AA5" s="86">
        <v>2012</v>
      </c>
      <c r="AB5" s="86">
        <v>2013</v>
      </c>
      <c r="AC5" s="86">
        <v>2014</v>
      </c>
      <c r="AD5" s="86">
        <v>2015</v>
      </c>
      <c r="AE5" s="86">
        <v>2016</v>
      </c>
      <c r="AF5" s="86">
        <v>2017</v>
      </c>
      <c r="AG5" s="86">
        <v>2018</v>
      </c>
      <c r="AH5" s="86">
        <v>2019</v>
      </c>
      <c r="AI5" s="772" t="s">
        <v>359</v>
      </c>
      <c r="AJ5" s="6"/>
    </row>
    <row r="6" spans="1:39" ht="9.9499999999999993" customHeight="1">
      <c r="B6" s="773"/>
      <c r="C6" s="123"/>
      <c r="D6" s="100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100" t="s">
        <v>92</v>
      </c>
      <c r="AJ6" s="6"/>
    </row>
    <row r="7" spans="1:39" ht="9.9499999999999993" customHeight="1">
      <c r="B7" s="771"/>
      <c r="C7" s="123"/>
      <c r="D7" s="100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774"/>
      <c r="AJ7" s="6"/>
    </row>
    <row r="8" spans="1:39" ht="12.75" customHeight="1">
      <c r="B8" s="775" t="s">
        <v>266</v>
      </c>
      <c r="C8" s="776"/>
      <c r="D8" s="777"/>
      <c r="E8" s="778"/>
      <c r="F8" s="779"/>
      <c r="G8" s="779"/>
      <c r="H8" s="779"/>
      <c r="I8" s="779"/>
      <c r="J8" s="779">
        <f>SUM(J10:J36)</f>
        <v>20297.210999999988</v>
      </c>
      <c r="K8" s="779">
        <f t="shared" ref="K8:AH8" si="0">SUM(K10:K36)</f>
        <v>20978.626</v>
      </c>
      <c r="L8" s="779">
        <f t="shared" si="0"/>
        <v>21500.090000000007</v>
      </c>
      <c r="M8" s="779">
        <f t="shared" si="0"/>
        <v>21943.969999999998</v>
      </c>
      <c r="N8" s="779">
        <f t="shared" si="0"/>
        <v>22958.600999999999</v>
      </c>
      <c r="O8" s="779">
        <f t="shared" si="0"/>
        <v>23988.388999999996</v>
      </c>
      <c r="P8" s="779">
        <f t="shared" si="0"/>
        <v>24887.401999999998</v>
      </c>
      <c r="Q8" s="779">
        <f t="shared" si="0"/>
        <v>25570.899000000001</v>
      </c>
      <c r="R8" s="779">
        <f t="shared" si="0"/>
        <v>26080.991999999995</v>
      </c>
      <c r="S8" s="779">
        <f t="shared" si="0"/>
        <v>26786.479000000003</v>
      </c>
      <c r="T8" s="779">
        <f t="shared" si="0"/>
        <v>27389.331999999999</v>
      </c>
      <c r="U8" s="779">
        <f t="shared" si="0"/>
        <v>28134.867000000002</v>
      </c>
      <c r="V8" s="779">
        <f t="shared" si="0"/>
        <v>29081.703999999994</v>
      </c>
      <c r="W8" s="779">
        <f t="shared" si="0"/>
        <v>29572.258999999998</v>
      </c>
      <c r="X8" s="779">
        <f t="shared" si="0"/>
        <v>31230.790000000005</v>
      </c>
      <c r="Y8" s="779">
        <f t="shared" si="0"/>
        <v>31401.333000000002</v>
      </c>
      <c r="Z8" s="779">
        <f t="shared" si="0"/>
        <v>31721.649999999998</v>
      </c>
      <c r="AA8" s="779">
        <f t="shared" si="0"/>
        <v>31714.926999999992</v>
      </c>
      <c r="AB8" s="779">
        <f t="shared" si="0"/>
        <v>31809.475000000006</v>
      </c>
      <c r="AC8" s="779">
        <f t="shared" si="0"/>
        <v>32186.006000000008</v>
      </c>
      <c r="AD8" s="779">
        <f t="shared" si="0"/>
        <v>32668.500000000007</v>
      </c>
      <c r="AE8" s="779">
        <f t="shared" si="0"/>
        <v>33202.853000000003</v>
      </c>
      <c r="AF8" s="779">
        <f t="shared" si="0"/>
        <v>34064.115999999995</v>
      </c>
      <c r="AG8" s="779">
        <f t="shared" si="0"/>
        <v>34764.307000000001</v>
      </c>
      <c r="AH8" s="779">
        <f t="shared" si="0"/>
        <v>35611.557000000015</v>
      </c>
      <c r="AI8" s="555">
        <f>AH8/AG8*100-100</f>
        <v>2.4371261017802368</v>
      </c>
      <c r="AJ8" s="775" t="s">
        <v>266</v>
      </c>
    </row>
    <row r="9" spans="1:39" ht="15" customHeight="1">
      <c r="B9" s="775" t="s">
        <v>168</v>
      </c>
      <c r="C9" s="776"/>
      <c r="D9" s="777"/>
      <c r="E9" s="778"/>
      <c r="F9" s="779"/>
      <c r="G9" s="779"/>
      <c r="H9" s="779"/>
      <c r="I9" s="779"/>
      <c r="J9" s="779">
        <f t="shared" ref="J9:AA9" si="1">SUM(J10:J37)</f>
        <v>22862.210999999988</v>
      </c>
      <c r="K9" s="779">
        <f t="shared" si="1"/>
        <v>23596.626</v>
      </c>
      <c r="L9" s="779">
        <f t="shared" si="1"/>
        <v>24179.090000000007</v>
      </c>
      <c r="M9" s="779">
        <f t="shared" si="1"/>
        <v>24732.969999999998</v>
      </c>
      <c r="N9" s="779">
        <f t="shared" si="1"/>
        <v>25831.300999999999</v>
      </c>
      <c r="O9" s="779">
        <f t="shared" si="1"/>
        <v>26916.688999999995</v>
      </c>
      <c r="P9" s="779">
        <f t="shared" si="1"/>
        <v>27907.001999999997</v>
      </c>
      <c r="Q9" s="779">
        <f t="shared" si="1"/>
        <v>28682.799000000003</v>
      </c>
      <c r="R9" s="779">
        <f t="shared" si="1"/>
        <v>29317.591999999993</v>
      </c>
      <c r="S9" s="780">
        <f t="shared" si="1"/>
        <v>30211.679000000004</v>
      </c>
      <c r="T9" s="780">
        <f t="shared" si="1"/>
        <v>30941.732</v>
      </c>
      <c r="U9" s="779">
        <f t="shared" si="1"/>
        <v>31775.967000000001</v>
      </c>
      <c r="V9" s="779">
        <f t="shared" si="1"/>
        <v>32860.403999999995</v>
      </c>
      <c r="W9" s="780">
        <f t="shared" si="1"/>
        <v>33378.059000000001</v>
      </c>
      <c r="X9" s="779">
        <f t="shared" si="1"/>
        <v>35012.860000000008</v>
      </c>
      <c r="Y9" s="779">
        <f t="shared" si="1"/>
        <v>35198.196000000004</v>
      </c>
      <c r="Z9" s="779">
        <f t="shared" si="1"/>
        <v>35554.884999999995</v>
      </c>
      <c r="AA9" s="779">
        <f t="shared" si="1"/>
        <v>35575.597999999991</v>
      </c>
      <c r="AB9" s="779">
        <f t="shared" ref="AB9:AH9" si="2">SUM(AB10:AB37)</f>
        <v>35749.773000000008</v>
      </c>
      <c r="AC9" s="779">
        <f t="shared" si="2"/>
        <v>36252.40600000001</v>
      </c>
      <c r="AD9" s="779">
        <f t="shared" si="2"/>
        <v>36910.74700000001</v>
      </c>
      <c r="AE9" s="779">
        <f t="shared" si="2"/>
        <v>37609.653000000006</v>
      </c>
      <c r="AF9" s="779">
        <f t="shared" si="2"/>
        <v>38598.715999999993</v>
      </c>
      <c r="AG9" s="942">
        <f t="shared" si="2"/>
        <v>39416.506999999998</v>
      </c>
      <c r="AH9" s="943">
        <f t="shared" si="2"/>
        <v>40383.657000000014</v>
      </c>
      <c r="AI9" s="555">
        <f t="shared" ref="AI9:AI46" si="3">AH9/AG9*100-100</f>
        <v>2.4536674444542115</v>
      </c>
      <c r="AJ9" s="775" t="s">
        <v>168</v>
      </c>
      <c r="AM9" s="2"/>
    </row>
    <row r="10" spans="1:39" ht="12.75" customHeight="1">
      <c r="B10" s="781" t="s">
        <v>52</v>
      </c>
      <c r="C10" s="782">
        <v>251.405</v>
      </c>
      <c r="D10" s="783">
        <v>299.084</v>
      </c>
      <c r="E10" s="784">
        <v>380.37899999999996</v>
      </c>
      <c r="F10" s="785">
        <v>401.452</v>
      </c>
      <c r="G10" s="785">
        <v>404.32499999999999</v>
      </c>
      <c r="H10" s="785">
        <v>426.91500000000002</v>
      </c>
      <c r="I10" s="785">
        <v>442.05500000000001</v>
      </c>
      <c r="J10" s="785">
        <v>442.46300000000002</v>
      </c>
      <c r="K10" s="785">
        <v>457.16</v>
      </c>
      <c r="L10" s="785">
        <v>476.58300000000003</v>
      </c>
      <c r="M10" s="785">
        <v>495.464</v>
      </c>
      <c r="N10" s="785">
        <v>524.08799999999997</v>
      </c>
      <c r="O10" s="785">
        <f>548431/1000</f>
        <v>548.43100000000004</v>
      </c>
      <c r="P10" s="785">
        <v>615.03700000000003</v>
      </c>
      <c r="Q10" s="785">
        <v>591.38300000000004</v>
      </c>
      <c r="R10" s="785">
        <v>610.322</v>
      </c>
      <c r="S10" s="785">
        <v>637.25900000000001</v>
      </c>
      <c r="T10" s="785">
        <v>662.346</v>
      </c>
      <c r="U10" s="785">
        <v>678.55100000000004</v>
      </c>
      <c r="V10" s="786">
        <f>537.64+106.108+48.04</f>
        <v>691.78800000000001</v>
      </c>
      <c r="W10" s="785">
        <v>711.88900000000001</v>
      </c>
      <c r="X10" s="785">
        <v>724.06200000000001</v>
      </c>
      <c r="Y10" s="785">
        <v>737.51</v>
      </c>
      <c r="Z10" s="785">
        <v>761.21400000000006</v>
      </c>
      <c r="AA10" s="785">
        <v>773.01099999999997</v>
      </c>
      <c r="AB10" s="785">
        <v>784.40200000000004</v>
      </c>
      <c r="AC10" s="785">
        <v>796.95899999999995</v>
      </c>
      <c r="AD10" s="785">
        <v>815.35900000000004</v>
      </c>
      <c r="AE10" s="785">
        <v>842.67899999999997</v>
      </c>
      <c r="AF10" s="785">
        <v>874.22</v>
      </c>
      <c r="AG10" s="785">
        <v>906.32600000000002</v>
      </c>
      <c r="AH10" s="823">
        <v>938.18100000000004</v>
      </c>
      <c r="AI10" s="274">
        <f t="shared" si="3"/>
        <v>3.5147397294130371</v>
      </c>
      <c r="AJ10" s="781" t="s">
        <v>52</v>
      </c>
    </row>
    <row r="11" spans="1:39" ht="12.75" customHeight="1">
      <c r="B11" s="788" t="s">
        <v>35</v>
      </c>
      <c r="C11" s="789"/>
      <c r="D11" s="790" t="s">
        <v>71</v>
      </c>
      <c r="E11" s="754">
        <v>161.6</v>
      </c>
      <c r="F11" s="754">
        <v>174.2</v>
      </c>
      <c r="G11" s="754">
        <v>187.4</v>
      </c>
      <c r="H11" s="754">
        <v>203.94200000000001</v>
      </c>
      <c r="I11" s="754">
        <v>214.756</v>
      </c>
      <c r="J11" s="754">
        <v>223.17700000000002</v>
      </c>
      <c r="K11" s="754">
        <v>229.84</v>
      </c>
      <c r="L11" s="754">
        <v>232.76600000000002</v>
      </c>
      <c r="M11" s="754">
        <v>242.268</v>
      </c>
      <c r="N11" s="754">
        <v>251.5</v>
      </c>
      <c r="O11" s="754">
        <v>259.39</v>
      </c>
      <c r="P11" s="754">
        <v>269.58600000000001</v>
      </c>
      <c r="Q11" s="754">
        <v>279.858</v>
      </c>
      <c r="R11" s="754">
        <v>293.48700000000002</v>
      </c>
      <c r="S11" s="754">
        <v>317.68099999999998</v>
      </c>
      <c r="T11" s="791">
        <v>333.86599999999999</v>
      </c>
      <c r="U11" s="754">
        <v>226.09199999999998</v>
      </c>
      <c r="V11" s="754">
        <v>261.31600000000003</v>
      </c>
      <c r="W11" s="754">
        <v>299.161</v>
      </c>
      <c r="X11" s="754">
        <v>317.80799999999999</v>
      </c>
      <c r="Y11" s="754">
        <v>333.5</v>
      </c>
      <c r="Z11" s="754">
        <v>347.56099999999998</v>
      </c>
      <c r="AA11" s="754">
        <v>367.029</v>
      </c>
      <c r="AB11" s="754">
        <v>388</v>
      </c>
      <c r="AC11" s="754">
        <v>411.8</v>
      </c>
      <c r="AD11" s="754">
        <v>444.40000000000003</v>
      </c>
      <c r="AE11" s="754">
        <v>456.8</v>
      </c>
      <c r="AF11" s="754">
        <v>423.2</v>
      </c>
      <c r="AG11" s="754">
        <v>438.3</v>
      </c>
      <c r="AH11" s="754">
        <f>452483/1000</f>
        <v>452.483</v>
      </c>
      <c r="AI11" s="273">
        <f t="shared" si="3"/>
        <v>3.2359114761578667</v>
      </c>
      <c r="AJ11" s="788" t="s">
        <v>35</v>
      </c>
    </row>
    <row r="12" spans="1:39" ht="12.75" customHeight="1">
      <c r="A12" s="8"/>
      <c r="B12" s="661" t="s">
        <v>37</v>
      </c>
      <c r="C12" s="792"/>
      <c r="D12" s="793"/>
      <c r="E12" s="794"/>
      <c r="F12" s="755"/>
      <c r="G12" s="755"/>
      <c r="H12" s="755">
        <v>183.964</v>
      </c>
      <c r="I12" s="795">
        <v>199.63499999999999</v>
      </c>
      <c r="J12" s="795">
        <v>219.31100000000001</v>
      </c>
      <c r="K12" s="795">
        <v>242.959</v>
      </c>
      <c r="L12" s="795">
        <v>265.37200000000001</v>
      </c>
      <c r="M12" s="795">
        <v>280.31100000000004</v>
      </c>
      <c r="N12" s="795">
        <v>289.41000000000003</v>
      </c>
      <c r="O12" s="795">
        <v>298.286</v>
      </c>
      <c r="P12" s="795">
        <v>321.23499999999996</v>
      </c>
      <c r="Q12" s="795">
        <v>349.495</v>
      </c>
      <c r="R12" s="795">
        <v>365.74599999999998</v>
      </c>
      <c r="S12" s="795">
        <v>396.20600000000002</v>
      </c>
      <c r="T12" s="795">
        <v>439.161</v>
      </c>
      <c r="U12" s="795">
        <v>490.904</v>
      </c>
      <c r="V12" s="795">
        <v>554.83100000000002</v>
      </c>
      <c r="W12" s="795">
        <v>607.41199999999992</v>
      </c>
      <c r="X12" s="795">
        <v>601.76700000000005</v>
      </c>
      <c r="Y12" s="795">
        <v>597.96600000000001</v>
      </c>
      <c r="Z12" s="795">
        <v>597.23200000000008</v>
      </c>
      <c r="AA12" s="795">
        <v>604.15499999999997</v>
      </c>
      <c r="AB12" s="795">
        <f>593.439+7.626</f>
        <v>601.06499999999994</v>
      </c>
      <c r="AC12" s="795">
        <f>608.711+6.621</f>
        <v>615.33199999999999</v>
      </c>
      <c r="AD12" s="795">
        <f>646.792+5.283</f>
        <v>652.07500000000005</v>
      </c>
      <c r="AE12" s="795">
        <f>667.705+4.488</f>
        <v>672.1930000000001</v>
      </c>
      <c r="AF12" s="795">
        <v>693.5</v>
      </c>
      <c r="AG12" s="795">
        <v>710.62199999999996</v>
      </c>
      <c r="AH12" s="795">
        <f>(719687+3991)/1000</f>
        <v>723.678</v>
      </c>
      <c r="AI12" s="274">
        <f t="shared" si="3"/>
        <v>1.8372636929338029</v>
      </c>
      <c r="AJ12" s="661" t="s">
        <v>37</v>
      </c>
    </row>
    <row r="13" spans="1:39" ht="12.75" customHeight="1">
      <c r="A13" s="8"/>
      <c r="B13" s="788" t="s">
        <v>48</v>
      </c>
      <c r="C13" s="789">
        <v>245</v>
      </c>
      <c r="D13" s="790">
        <v>249</v>
      </c>
      <c r="E13" s="754">
        <v>286.613</v>
      </c>
      <c r="F13" s="754">
        <v>298.31200000000001</v>
      </c>
      <c r="G13" s="754">
        <v>304.20499999999998</v>
      </c>
      <c r="H13" s="754">
        <v>312.274</v>
      </c>
      <c r="I13" s="754">
        <v>322.03199999999998</v>
      </c>
      <c r="J13" s="754">
        <v>333.75799999999998</v>
      </c>
      <c r="K13" s="754">
        <v>339.89699999999999</v>
      </c>
      <c r="L13" s="754">
        <v>345.97199999999998</v>
      </c>
      <c r="M13" s="754">
        <v>357.63299999999998</v>
      </c>
      <c r="N13" s="754">
        <v>373.25799999999998</v>
      </c>
      <c r="O13" s="754">
        <v>384.85</v>
      </c>
      <c r="P13" s="754">
        <v>392.26</v>
      </c>
      <c r="Q13" s="754">
        <v>401.762</v>
      </c>
      <c r="R13" s="754">
        <v>412.81299999999999</v>
      </c>
      <c r="S13" s="754">
        <v>436.14699999999999</v>
      </c>
      <c r="T13" s="754">
        <v>469.52299999999997</v>
      </c>
      <c r="U13" s="754">
        <v>508.774</v>
      </c>
      <c r="V13" s="754">
        <v>536.54999999999995</v>
      </c>
      <c r="W13" s="754">
        <v>531.40300000000002</v>
      </c>
      <c r="X13" s="754">
        <v>507.86099999999999</v>
      </c>
      <c r="Y13" s="754">
        <v>485.10899999999998</v>
      </c>
      <c r="Z13" s="754">
        <v>469.24799999999999</v>
      </c>
      <c r="AA13" s="754">
        <v>459.55700000000002</v>
      </c>
      <c r="AB13" s="754">
        <f>402.352+29.215+12.858</f>
        <v>444.42499999999995</v>
      </c>
      <c r="AC13" s="754">
        <f>398.066+28.628+12.867</f>
        <v>439.56099999999998</v>
      </c>
      <c r="AD13" s="754">
        <f>395.649+28.309+13.127</f>
        <v>437.08500000000004</v>
      </c>
      <c r="AE13" s="754">
        <f>397.001+28.326+13.64</f>
        <v>438.96699999999998</v>
      </c>
      <c r="AF13" s="754">
        <v>437.93900000000002</v>
      </c>
      <c r="AG13" s="754">
        <f>389.461+28.124+14.539</f>
        <v>432.12400000000002</v>
      </c>
      <c r="AH13" s="754">
        <v>422.678</v>
      </c>
      <c r="AI13" s="273">
        <f t="shared" si="3"/>
        <v>-2.185946626431317</v>
      </c>
      <c r="AJ13" s="788" t="s">
        <v>48</v>
      </c>
    </row>
    <row r="14" spans="1:39" ht="12.75" customHeight="1">
      <c r="A14" s="8"/>
      <c r="B14" s="661" t="s">
        <v>53</v>
      </c>
      <c r="C14" s="796">
        <v>1188</v>
      </c>
      <c r="D14" s="797">
        <v>1511</v>
      </c>
      <c r="E14" s="755">
        <v>1653</v>
      </c>
      <c r="F14" s="755">
        <v>1660</v>
      </c>
      <c r="G14" s="798">
        <v>1849</v>
      </c>
      <c r="H14" s="755">
        <v>2188.9830000000002</v>
      </c>
      <c r="I14" s="755">
        <v>2289.4100000000003</v>
      </c>
      <c r="J14" s="755">
        <v>2378.712</v>
      </c>
      <c r="K14" s="798">
        <v>2428.9589999999998</v>
      </c>
      <c r="L14" s="755">
        <v>2181.9970000000003</v>
      </c>
      <c r="M14" s="755">
        <v>2267.0219999999999</v>
      </c>
      <c r="N14" s="755">
        <v>2361.7220000000002</v>
      </c>
      <c r="O14" s="755">
        <v>2419.107</v>
      </c>
      <c r="P14" s="755">
        <v>2427.6860000000001</v>
      </c>
      <c r="Q14" s="755">
        <v>2397.6219999999998</v>
      </c>
      <c r="R14" s="755">
        <v>2385.0750000000003</v>
      </c>
      <c r="S14" s="755">
        <v>2385.2860000000001</v>
      </c>
      <c r="T14" s="798">
        <v>2404.9049999999997</v>
      </c>
      <c r="U14" s="798">
        <v>2471.221</v>
      </c>
      <c r="V14" s="799">
        <v>2502.9989999999998</v>
      </c>
      <c r="W14" s="755">
        <v>2523.5609999999997</v>
      </c>
      <c r="X14" s="755">
        <v>2556.0100000000002</v>
      </c>
      <c r="Y14" s="755">
        <v>2619.4270000000001</v>
      </c>
      <c r="Z14" s="755">
        <v>2712.9769999999999</v>
      </c>
      <c r="AA14" s="755">
        <v>2761.3960000000002</v>
      </c>
      <c r="AB14" s="755">
        <f>2629.209+184.589</f>
        <v>2813.7979999999998</v>
      </c>
      <c r="AC14" s="755">
        <f>2701.343+188.481</f>
        <v>2889.8239999999996</v>
      </c>
      <c r="AD14" s="755">
        <f>2800.78+194.386</f>
        <v>2995.1660000000002</v>
      </c>
      <c r="AE14" s="800">
        <f>2911.907+201.984</f>
        <v>3113.8910000000001</v>
      </c>
      <c r="AF14" s="770">
        <v>3242.08</v>
      </c>
      <c r="AG14" s="770">
        <f>3149.263+218.454</f>
        <v>3367.7170000000001</v>
      </c>
      <c r="AH14" s="770">
        <f>(3276093+219149)/1000</f>
        <v>3495.2420000000002</v>
      </c>
      <c r="AI14" s="274">
        <f t="shared" si="3"/>
        <v>3.7866899148592381</v>
      </c>
      <c r="AJ14" s="661" t="s">
        <v>53</v>
      </c>
    </row>
    <row r="15" spans="1:39" ht="12.75" customHeight="1">
      <c r="A15" s="8"/>
      <c r="B15" s="788" t="s">
        <v>38</v>
      </c>
      <c r="C15" s="789"/>
      <c r="D15" s="790">
        <v>51.1</v>
      </c>
      <c r="E15" s="754">
        <v>67.7</v>
      </c>
      <c r="F15" s="754">
        <v>77.099999999999994</v>
      </c>
      <c r="G15" s="754">
        <v>74.599999999999994</v>
      </c>
      <c r="H15" s="754">
        <v>74.099999999999994</v>
      </c>
      <c r="I15" s="754">
        <v>53.7</v>
      </c>
      <c r="J15" s="754">
        <v>65.597999999999999</v>
      </c>
      <c r="K15" s="754">
        <v>71.304000000000002</v>
      </c>
      <c r="L15" s="754">
        <v>76.605000000000004</v>
      </c>
      <c r="M15" s="754">
        <v>80.617000000000004</v>
      </c>
      <c r="N15" s="754">
        <v>81.03</v>
      </c>
      <c r="O15" s="754">
        <v>82.119</v>
      </c>
      <c r="P15" s="754">
        <v>80.534999999999997</v>
      </c>
      <c r="Q15" s="754">
        <v>80.179000000000002</v>
      </c>
      <c r="R15" s="754">
        <v>83.43</v>
      </c>
      <c r="S15" s="754">
        <v>85.731999999999999</v>
      </c>
      <c r="T15" s="791">
        <v>86.200999999999993</v>
      </c>
      <c r="U15" s="791">
        <v>92.86</v>
      </c>
      <c r="V15" s="754">
        <v>80.28</v>
      </c>
      <c r="W15" s="754">
        <v>83.35</v>
      </c>
      <c r="X15" s="754">
        <v>81.099999999999994</v>
      </c>
      <c r="Y15" s="754">
        <v>81.2</v>
      </c>
      <c r="Z15" s="754">
        <v>84.337000000000003</v>
      </c>
      <c r="AA15" s="754">
        <v>88.045000000000002</v>
      </c>
      <c r="AB15" s="754">
        <v>92.2</v>
      </c>
      <c r="AC15" s="754">
        <v>96.6</v>
      </c>
      <c r="AD15" s="754">
        <v>101.8</v>
      </c>
      <c r="AE15" s="754">
        <f>108.2</f>
        <v>108.2</v>
      </c>
      <c r="AF15" s="754">
        <v>114.8</v>
      </c>
      <c r="AG15" s="754">
        <v>121.6</v>
      </c>
      <c r="AH15" s="754">
        <f>131115/1000</f>
        <v>131.11500000000001</v>
      </c>
      <c r="AI15" s="273">
        <f t="shared" si="3"/>
        <v>7.8248355263158089</v>
      </c>
      <c r="AJ15" s="788" t="s">
        <v>38</v>
      </c>
    </row>
    <row r="16" spans="1:39" ht="12.75" customHeight="1">
      <c r="A16" s="8"/>
      <c r="B16" s="661" t="s">
        <v>56</v>
      </c>
      <c r="C16" s="796">
        <v>49</v>
      </c>
      <c r="D16" s="797">
        <v>65</v>
      </c>
      <c r="E16" s="755">
        <v>143.166</v>
      </c>
      <c r="F16" s="755">
        <v>148.33099999999999</v>
      </c>
      <c r="G16" s="755">
        <v>144.798</v>
      </c>
      <c r="H16" s="755">
        <v>135.22499999999999</v>
      </c>
      <c r="I16" s="755">
        <v>135.809</v>
      </c>
      <c r="J16" s="755">
        <v>141.785</v>
      </c>
      <c r="K16" s="755">
        <v>146.601</v>
      </c>
      <c r="L16" s="755">
        <v>158.15799999999999</v>
      </c>
      <c r="M16" s="755">
        <v>170.86600000000001</v>
      </c>
      <c r="N16" s="755">
        <v>188.81399999999999</v>
      </c>
      <c r="O16" s="755">
        <v>205.57499999999999</v>
      </c>
      <c r="P16" s="755">
        <v>219.51</v>
      </c>
      <c r="Q16" s="755">
        <v>233.06899999999999</v>
      </c>
      <c r="R16" s="755">
        <v>251.13</v>
      </c>
      <c r="S16" s="755">
        <v>268.08199999999999</v>
      </c>
      <c r="T16" s="755">
        <v>286.548</v>
      </c>
      <c r="U16" s="755">
        <v>318.60399999999998</v>
      </c>
      <c r="V16" s="755">
        <v>345.87400000000002</v>
      </c>
      <c r="W16" s="755">
        <v>351.30700000000002</v>
      </c>
      <c r="X16" s="755">
        <v>343.94</v>
      </c>
      <c r="Y16" s="755">
        <v>327.096</v>
      </c>
      <c r="Z16" s="755">
        <v>320.99599999999998</v>
      </c>
      <c r="AA16" s="755">
        <v>309.21899999999999</v>
      </c>
      <c r="AB16" s="755">
        <v>317.84899999999999</v>
      </c>
      <c r="AC16" s="755">
        <v>317.37799999999999</v>
      </c>
      <c r="AD16" s="755">
        <v>330.541</v>
      </c>
      <c r="AE16" s="755">
        <v>342.25900000000001</v>
      </c>
      <c r="AF16" s="755">
        <v>349.14299999999997</v>
      </c>
      <c r="AG16" s="755">
        <v>355.27300000000002</v>
      </c>
      <c r="AH16" s="755">
        <f>366760/1000</f>
        <v>366.76</v>
      </c>
      <c r="AI16" s="274">
        <f t="shared" si="3"/>
        <v>3.2332882037193826</v>
      </c>
      <c r="AJ16" s="661" t="s">
        <v>56</v>
      </c>
    </row>
    <row r="17" spans="1:36" ht="12.75" customHeight="1">
      <c r="A17" s="8"/>
      <c r="B17" s="788" t="s">
        <v>49</v>
      </c>
      <c r="C17" s="789">
        <v>105</v>
      </c>
      <c r="D17" s="790">
        <v>401</v>
      </c>
      <c r="E17" s="754">
        <v>766.42899999999997</v>
      </c>
      <c r="F17" s="754">
        <v>792.77</v>
      </c>
      <c r="G17" s="754">
        <v>797.78800000000001</v>
      </c>
      <c r="H17" s="754">
        <v>825.697</v>
      </c>
      <c r="I17" s="754">
        <v>849.03300000000002</v>
      </c>
      <c r="J17" s="754">
        <v>883.82299999999998</v>
      </c>
      <c r="K17" s="754">
        <v>914.827</v>
      </c>
      <c r="L17" s="754">
        <v>951.78499999999997</v>
      </c>
      <c r="M17" s="754">
        <v>987.35699999999997</v>
      </c>
      <c r="N17" s="754">
        <v>1023.987</v>
      </c>
      <c r="O17" s="754">
        <v>1057.422</v>
      </c>
      <c r="P17" s="754">
        <v>1085.8109999999999</v>
      </c>
      <c r="Q17" s="754">
        <v>1109.1369999999999</v>
      </c>
      <c r="R17" s="754">
        <v>1131.027</v>
      </c>
      <c r="S17" s="754">
        <v>1159.1369999999999</v>
      </c>
      <c r="T17" s="754">
        <v>1186.4829999999999</v>
      </c>
      <c r="U17" s="754">
        <v>1219.8889999999999</v>
      </c>
      <c r="V17" s="754">
        <v>1255.9449999999999</v>
      </c>
      <c r="W17" s="754">
        <v>1289.5250000000001</v>
      </c>
      <c r="X17" s="754">
        <v>1302.43</v>
      </c>
      <c r="Y17" s="754">
        <v>1318.768</v>
      </c>
      <c r="Z17" s="754">
        <v>1321.296</v>
      </c>
      <c r="AA17" s="754">
        <v>1318.9179999999999</v>
      </c>
      <c r="AB17" s="754">
        <v>1315.836</v>
      </c>
      <c r="AC17" s="754">
        <v>1322.604</v>
      </c>
      <c r="AD17" s="754">
        <v>1332.8230000000001</v>
      </c>
      <c r="AE17" s="754">
        <v>1343.83</v>
      </c>
      <c r="AF17" s="754">
        <v>1344.0619999999999</v>
      </c>
      <c r="AG17" s="754">
        <v>1359.3409999999999</v>
      </c>
      <c r="AH17" s="754">
        <v>1373.7270000000001</v>
      </c>
      <c r="AI17" s="273">
        <f t="shared" si="3"/>
        <v>1.0583069296078236</v>
      </c>
      <c r="AJ17" s="788" t="s">
        <v>49</v>
      </c>
    </row>
    <row r="18" spans="1:36" ht="12.75" customHeight="1">
      <c r="A18" s="8"/>
      <c r="B18" s="661" t="s">
        <v>54</v>
      </c>
      <c r="C18" s="796">
        <v>710</v>
      </c>
      <c r="D18" s="797">
        <v>1362.424</v>
      </c>
      <c r="E18" s="755">
        <v>2401.085</v>
      </c>
      <c r="F18" s="755">
        <v>2568.4290000000001</v>
      </c>
      <c r="G18" s="755">
        <v>2726.1909999999998</v>
      </c>
      <c r="H18" s="755">
        <v>2812.6099999999997</v>
      </c>
      <c r="I18" s="755">
        <v>2905.75</v>
      </c>
      <c r="J18" s="755">
        <v>3024.2460000000001</v>
      </c>
      <c r="K18" s="755">
        <v>3151.904</v>
      </c>
      <c r="L18" s="755">
        <v>3310.0950000000003</v>
      </c>
      <c r="M18" s="755">
        <v>3509.7509999999997</v>
      </c>
      <c r="N18" s="755">
        <v>3735.1880000000001</v>
      </c>
      <c r="O18" s="755">
        <v>3923.1759999999999</v>
      </c>
      <c r="P18" s="755">
        <v>4104.9580000000005</v>
      </c>
      <c r="Q18" s="798">
        <v>4258.8890000000001</v>
      </c>
      <c r="R18" s="755">
        <v>4363.4169999999995</v>
      </c>
      <c r="S18" s="755">
        <v>4603.4179999999997</v>
      </c>
      <c r="T18" s="755">
        <v>4849.6189999999997</v>
      </c>
      <c r="U18" s="755">
        <v>5087.3109999999997</v>
      </c>
      <c r="V18" s="755">
        <v>5353.2830000000004</v>
      </c>
      <c r="W18" s="755">
        <v>5405.585</v>
      </c>
      <c r="X18" s="755">
        <v>5342.9439999999995</v>
      </c>
      <c r="Y18" s="755">
        <v>5303.4659999999994</v>
      </c>
      <c r="Z18" s="755">
        <v>5256.7510000000002</v>
      </c>
      <c r="AA18" s="755">
        <f>4984.722+186.964</f>
        <v>5171.6859999999997</v>
      </c>
      <c r="AB18" s="755">
        <f>4887.352+182.822</f>
        <v>5070.174</v>
      </c>
      <c r="AC18" s="755">
        <f>4839.484+186.06</f>
        <v>5025.5440000000008</v>
      </c>
      <c r="AD18" s="755">
        <f>4851.518+195.657</f>
        <v>5047.1750000000002</v>
      </c>
      <c r="AE18" s="755">
        <f>4879.48+207.889</f>
        <v>5087.3689999999997</v>
      </c>
      <c r="AF18" s="755">
        <f>4924.476+218.154</f>
        <v>5142.6299999999992</v>
      </c>
      <c r="AG18" s="755">
        <f>4980.911+225.942</f>
        <v>5206.8530000000001</v>
      </c>
      <c r="AH18" s="755">
        <f>(5015973+232680)/1000</f>
        <v>5248.6530000000002</v>
      </c>
      <c r="AI18" s="274">
        <f t="shared" si="3"/>
        <v>0.80278817166529848</v>
      </c>
      <c r="AJ18" s="661" t="s">
        <v>54</v>
      </c>
    </row>
    <row r="19" spans="1:36" ht="12.75" customHeight="1">
      <c r="A19" s="8"/>
      <c r="B19" s="788" t="s">
        <v>55</v>
      </c>
      <c r="C19" s="789">
        <v>1504</v>
      </c>
      <c r="D19" s="790">
        <v>2591</v>
      </c>
      <c r="E19" s="754">
        <v>4840</v>
      </c>
      <c r="F19" s="754">
        <v>4941</v>
      </c>
      <c r="G19" s="754">
        <v>4959</v>
      </c>
      <c r="H19" s="754">
        <v>4989</v>
      </c>
      <c r="I19" s="754">
        <v>5062</v>
      </c>
      <c r="J19" s="754">
        <v>5116</v>
      </c>
      <c r="K19" s="754">
        <v>5173</v>
      </c>
      <c r="L19" s="754">
        <v>5298</v>
      </c>
      <c r="M19" s="801">
        <v>4951.165</v>
      </c>
      <c r="N19" s="754">
        <v>5038.2240000000002</v>
      </c>
      <c r="O19" s="754">
        <v>5151.6859999999997</v>
      </c>
      <c r="P19" s="754">
        <v>5252.29</v>
      </c>
      <c r="Q19" s="754">
        <v>5292.5529999999999</v>
      </c>
      <c r="R19" s="754">
        <v>5298.4470000000001</v>
      </c>
      <c r="S19" s="754">
        <v>5314.8419999999996</v>
      </c>
      <c r="T19" s="754">
        <v>5346.6930000000002</v>
      </c>
      <c r="U19" s="754">
        <v>5344.7920000000004</v>
      </c>
      <c r="V19" s="754">
        <v>5476.0450000000001</v>
      </c>
      <c r="W19" s="754">
        <v>5212.01</v>
      </c>
      <c r="X19" s="801">
        <v>6747.6890000000003</v>
      </c>
      <c r="Y19" s="754">
        <v>6704.5870000000004</v>
      </c>
      <c r="Z19" s="754">
        <v>6689.4350000000004</v>
      </c>
      <c r="AA19" s="754">
        <v>6699.3909999999996</v>
      </c>
      <c r="AB19" s="754">
        <v>6785.348</v>
      </c>
      <c r="AC19" s="754">
        <v>6813.3379999999997</v>
      </c>
      <c r="AD19" s="754">
        <v>6836.51</v>
      </c>
      <c r="AE19" s="754">
        <v>6739.5789999999997</v>
      </c>
      <c r="AF19" s="120">
        <v>6960.7550000000001</v>
      </c>
      <c r="AG19" s="163">
        <v>6947.5410000000002</v>
      </c>
      <c r="AH19" s="120">
        <f>7013460/1000</f>
        <v>7013.46</v>
      </c>
      <c r="AI19" s="273">
        <f t="shared" si="3"/>
        <v>0.94881052159317392</v>
      </c>
      <c r="AJ19" s="788" t="s">
        <v>55</v>
      </c>
    </row>
    <row r="20" spans="1:36" ht="12.75" customHeight="1">
      <c r="A20" s="8"/>
      <c r="B20" s="661" t="s">
        <v>66</v>
      </c>
      <c r="C20" s="796"/>
      <c r="D20" s="797"/>
      <c r="E20" s="755"/>
      <c r="F20" s="755"/>
      <c r="G20" s="755"/>
      <c r="H20" s="755">
        <v>51.117000000000004</v>
      </c>
      <c r="I20" s="755">
        <v>64.438000000000002</v>
      </c>
      <c r="J20" s="755">
        <v>73.497</v>
      </c>
      <c r="K20" s="755">
        <v>94.921000000000006</v>
      </c>
      <c r="L20" s="755">
        <v>109.73400000000001</v>
      </c>
      <c r="M20" s="755">
        <v>115.768</v>
      </c>
      <c r="N20" s="755">
        <v>118.70400000000001</v>
      </c>
      <c r="O20" s="755">
        <v>122.51600000000001</v>
      </c>
      <c r="P20" s="755">
        <v>129.49700000000001</v>
      </c>
      <c r="Q20" s="755">
        <v>138.74300000000002</v>
      </c>
      <c r="R20" s="755">
        <v>148.27499999999998</v>
      </c>
      <c r="S20" s="755">
        <v>154.79</v>
      </c>
      <c r="T20" s="755">
        <v>162.87700000000001</v>
      </c>
      <c r="U20" s="755">
        <v>169.69799999999998</v>
      </c>
      <c r="V20" s="755">
        <v>176.703</v>
      </c>
      <c r="W20" s="755">
        <v>180.30100000000002</v>
      </c>
      <c r="X20" s="755">
        <v>164.761</v>
      </c>
      <c r="Y20" s="755">
        <v>157.73099999999999</v>
      </c>
      <c r="Z20" s="755">
        <v>154.88399999999999</v>
      </c>
      <c r="AA20" s="755">
        <v>141.56700000000001</v>
      </c>
      <c r="AB20" s="755">
        <v>141.49100000000001</v>
      </c>
      <c r="AC20" s="755">
        <v>143.66</v>
      </c>
      <c r="AD20" s="755">
        <v>149.006</v>
      </c>
      <c r="AE20" s="755">
        <f>146.23+10.443</f>
        <v>156.673</v>
      </c>
      <c r="AF20" s="121">
        <f>156.724+11.334</f>
        <v>168.05799999999999</v>
      </c>
      <c r="AG20" s="121">
        <f>169.175+12.229</f>
        <v>181.404</v>
      </c>
      <c r="AH20" s="121">
        <f>(180674+12976)/1000</f>
        <v>193.65</v>
      </c>
      <c r="AI20" s="274">
        <f t="shared" si="3"/>
        <v>6.7506780445855838</v>
      </c>
      <c r="AJ20" s="661" t="s">
        <v>66</v>
      </c>
    </row>
    <row r="21" spans="1:36" ht="12.75" customHeight="1">
      <c r="A21" s="8"/>
      <c r="B21" s="802" t="s">
        <v>57</v>
      </c>
      <c r="C21" s="803"/>
      <c r="D21" s="804">
        <v>1290.6869999999999</v>
      </c>
      <c r="E21" s="754">
        <v>2207.9029999999998</v>
      </c>
      <c r="F21" s="754">
        <v>2292.9279999999999</v>
      </c>
      <c r="G21" s="754">
        <v>2359.8470000000002</v>
      </c>
      <c r="H21" s="754">
        <v>2389.17</v>
      </c>
      <c r="I21" s="754">
        <v>2446.3229999999999</v>
      </c>
      <c r="J21" s="754">
        <v>2509.893</v>
      </c>
      <c r="K21" s="754">
        <v>2640.1019999999999</v>
      </c>
      <c r="L21" s="754">
        <v>2719.8040000000001</v>
      </c>
      <c r="M21" s="754">
        <v>2828.0030000000002</v>
      </c>
      <c r="N21" s="754">
        <v>2946.806</v>
      </c>
      <c r="O21" s="754">
        <v>3087.0079999999998</v>
      </c>
      <c r="P21" s="754">
        <v>3234.4659999999999</v>
      </c>
      <c r="Q21" s="754">
        <v>3429.8820000000001</v>
      </c>
      <c r="R21" s="754">
        <v>3590.3049999999998</v>
      </c>
      <c r="S21" s="754">
        <v>3645.0459999999998</v>
      </c>
      <c r="T21" s="754">
        <v>3785.913</v>
      </c>
      <c r="U21" s="754">
        <v>3914.797</v>
      </c>
      <c r="V21" s="754">
        <v>3996.9070000000002</v>
      </c>
      <c r="W21" s="754">
        <v>4072.0050000000001</v>
      </c>
      <c r="X21" s="754">
        <v>4102.5889999999999</v>
      </c>
      <c r="Y21" s="754">
        <v>4141.7910000000002</v>
      </c>
      <c r="Z21" s="754">
        <v>4181.8950000000004</v>
      </c>
      <c r="AA21" s="754">
        <v>4143.7659999999996</v>
      </c>
      <c r="AB21" s="754">
        <f>3938.026+149.563</f>
        <v>4087.5889999999999</v>
      </c>
      <c r="AC21" s="754">
        <f>3930.858+150.086</f>
        <v>4080.9440000000004</v>
      </c>
      <c r="AD21" s="754">
        <f>3943.964+153.858</f>
        <v>4097.8220000000001</v>
      </c>
      <c r="AE21" s="754">
        <f>4018.708+162.092</f>
        <v>4180.8</v>
      </c>
      <c r="AF21" s="163">
        <f>4083.348+173.057</f>
        <v>4256.4049999999997</v>
      </c>
      <c r="AG21" s="163">
        <f>4130.291+183.732</f>
        <v>4314.0230000000001</v>
      </c>
      <c r="AH21" s="163">
        <f>(4178066+190303)/1000</f>
        <v>4368.3689999999997</v>
      </c>
      <c r="AI21" s="273">
        <f t="shared" si="3"/>
        <v>1.2597522080897363</v>
      </c>
      <c r="AJ21" s="802" t="s">
        <v>57</v>
      </c>
    </row>
    <row r="22" spans="1:36" ht="12.75" customHeight="1">
      <c r="A22" s="8"/>
      <c r="B22" s="661" t="s">
        <v>36</v>
      </c>
      <c r="C22" s="796"/>
      <c r="D22" s="797">
        <v>23.6</v>
      </c>
      <c r="E22" s="755">
        <v>74.325000000000003</v>
      </c>
      <c r="F22" s="755"/>
      <c r="G22" s="755"/>
      <c r="H22" s="755"/>
      <c r="I22" s="755"/>
      <c r="J22" s="755">
        <v>101.184</v>
      </c>
      <c r="K22" s="755">
        <v>104.04</v>
      </c>
      <c r="L22" s="755">
        <v>105.657</v>
      </c>
      <c r="M22" s="755">
        <v>109.294</v>
      </c>
      <c r="N22" s="755">
        <v>111.13500000000001</v>
      </c>
      <c r="O22" s="755">
        <v>114.666</v>
      </c>
      <c r="P22" s="755">
        <v>117.947</v>
      </c>
      <c r="Q22" s="755">
        <v>117.792</v>
      </c>
      <c r="R22" s="755">
        <v>119.646</v>
      </c>
      <c r="S22" s="755">
        <v>117.825</v>
      </c>
      <c r="T22" s="755">
        <v>118.355</v>
      </c>
      <c r="U22" s="755">
        <v>115.723</v>
      </c>
      <c r="V22" s="755">
        <v>117.498</v>
      </c>
      <c r="W22" s="755">
        <v>121.779</v>
      </c>
      <c r="X22" s="755">
        <v>124.09699999999999</v>
      </c>
      <c r="Y22" s="755">
        <v>120.69</v>
      </c>
      <c r="Z22" s="755">
        <v>118.003</v>
      </c>
      <c r="AA22" s="755">
        <v>113.74299999999999</v>
      </c>
      <c r="AB22" s="755">
        <v>109.069</v>
      </c>
      <c r="AC22" s="755">
        <v>104.446</v>
      </c>
      <c r="AD22" s="755">
        <v>103.836</v>
      </c>
      <c r="AE22" s="755">
        <v>106.304</v>
      </c>
      <c r="AF22" s="121">
        <v>107.745</v>
      </c>
      <c r="AG22" s="121">
        <v>111.042</v>
      </c>
      <c r="AH22" s="121">
        <f>114544/1000</f>
        <v>114.544</v>
      </c>
      <c r="AI22" s="274">
        <f t="shared" si="3"/>
        <v>3.153761639739912</v>
      </c>
      <c r="AJ22" s="661" t="s">
        <v>36</v>
      </c>
    </row>
    <row r="23" spans="1:36" ht="12.75" customHeight="1">
      <c r="A23" s="8"/>
      <c r="B23" s="802" t="s">
        <v>40</v>
      </c>
      <c r="C23" s="803"/>
      <c r="D23" s="804"/>
      <c r="E23" s="754"/>
      <c r="F23" s="754"/>
      <c r="G23" s="754"/>
      <c r="H23" s="754"/>
      <c r="I23" s="754">
        <v>66.436000000000007</v>
      </c>
      <c r="J23" s="754">
        <v>68.668000000000006</v>
      </c>
      <c r="K23" s="754">
        <v>72.909000000000006</v>
      </c>
      <c r="L23" s="754">
        <v>76.771000000000001</v>
      </c>
      <c r="M23" s="754">
        <v>84.941999999999993</v>
      </c>
      <c r="N23" s="754">
        <v>90.22</v>
      </c>
      <c r="O23" s="754">
        <v>97.081000000000003</v>
      </c>
      <c r="P23" s="754">
        <v>99.707999999999998</v>
      </c>
      <c r="Q23" s="754">
        <v>102.73399999999999</v>
      </c>
      <c r="R23" s="754">
        <v>104.626</v>
      </c>
      <c r="S23" s="754">
        <v>107.553</v>
      </c>
      <c r="T23" s="754">
        <v>113.113</v>
      </c>
      <c r="U23" s="754">
        <v>121.12</v>
      </c>
      <c r="V23" s="754">
        <v>129.614</v>
      </c>
      <c r="W23" s="754">
        <v>129.80500000000001</v>
      </c>
      <c r="X23" s="754">
        <v>120.571</v>
      </c>
      <c r="Y23" s="805">
        <v>71.575000000000003</v>
      </c>
      <c r="Z23" s="754">
        <v>72.622</v>
      </c>
      <c r="AA23" s="754">
        <v>76.302999999999997</v>
      </c>
      <c r="AB23" s="754">
        <v>79.899000000000001</v>
      </c>
      <c r="AC23" s="754">
        <v>83.204999999999998</v>
      </c>
      <c r="AD23" s="754">
        <v>85.998000000000005</v>
      </c>
      <c r="AE23" s="754">
        <v>84.066999999999993</v>
      </c>
      <c r="AF23" s="163">
        <v>87.1</v>
      </c>
      <c r="AG23" s="163">
        <v>89.210999999999999</v>
      </c>
      <c r="AH23" s="163">
        <f>91311/1000</f>
        <v>91.311000000000007</v>
      </c>
      <c r="AI23" s="273">
        <f t="shared" si="3"/>
        <v>2.353969801930262</v>
      </c>
      <c r="AJ23" s="802" t="s">
        <v>40</v>
      </c>
    </row>
    <row r="24" spans="1:36" ht="12.75" customHeight="1">
      <c r="A24" s="8"/>
      <c r="B24" s="661" t="s">
        <v>41</v>
      </c>
      <c r="C24" s="796"/>
      <c r="D24" s="797">
        <v>65.7</v>
      </c>
      <c r="E24" s="755">
        <v>83</v>
      </c>
      <c r="F24" s="787">
        <f>E24+(H24-E24)*1/3</f>
        <v>88.257000000000005</v>
      </c>
      <c r="G24" s="787">
        <f>E24+(H24-E24)*2/3</f>
        <v>93.513999999999996</v>
      </c>
      <c r="H24" s="755">
        <v>98.771000000000001</v>
      </c>
      <c r="I24" s="755">
        <v>101.06</v>
      </c>
      <c r="J24" s="755">
        <v>108.89099999999999</v>
      </c>
      <c r="K24" s="755">
        <v>89.283000000000001</v>
      </c>
      <c r="L24" s="755">
        <v>93.669999999999987</v>
      </c>
      <c r="M24" s="755">
        <v>99.453999999999994</v>
      </c>
      <c r="N24" s="755">
        <v>96.575999999999993</v>
      </c>
      <c r="O24" s="755">
        <v>98.613</v>
      </c>
      <c r="P24" s="755">
        <v>100.38900000000001</v>
      </c>
      <c r="Q24" s="755">
        <v>105.545</v>
      </c>
      <c r="R24" s="755">
        <v>110.517</v>
      </c>
      <c r="S24" s="755">
        <v>115.67700000000001</v>
      </c>
      <c r="T24" s="755">
        <v>122.486</v>
      </c>
      <c r="U24" s="755">
        <v>135.54599999999999</v>
      </c>
      <c r="V24" s="755">
        <v>147.583</v>
      </c>
      <c r="W24" s="755">
        <v>150.108</v>
      </c>
      <c r="X24" s="755">
        <v>146.32500000000002</v>
      </c>
      <c r="Y24" s="755">
        <v>133.92099999999999</v>
      </c>
      <c r="Z24" s="755">
        <v>136.779</v>
      </c>
      <c r="AA24" s="755">
        <v>138.935</v>
      </c>
      <c r="AB24" s="755">
        <f>115.367+27.671</f>
        <v>143.03800000000001</v>
      </c>
      <c r="AC24" s="799">
        <f>76.169+23.51</f>
        <v>99.679000000000002</v>
      </c>
      <c r="AD24" s="755">
        <f>78.115+24.781</f>
        <v>102.89599999999999</v>
      </c>
      <c r="AE24" s="755">
        <f>81.258+28.138</f>
        <v>109.396</v>
      </c>
      <c r="AF24" s="121">
        <f>84.6+30.9</f>
        <v>115.5</v>
      </c>
      <c r="AG24" s="121">
        <f>35.923+89.754</f>
        <v>125.67700000000001</v>
      </c>
      <c r="AH24" s="121">
        <f>(95464+40404)/1000</f>
        <v>135.86799999999999</v>
      </c>
      <c r="AI24" s="274">
        <f t="shared" si="3"/>
        <v>8.1088822934983966</v>
      </c>
      <c r="AJ24" s="661" t="s">
        <v>41</v>
      </c>
    </row>
    <row r="25" spans="1:36" ht="12.75" customHeight="1">
      <c r="A25" s="8"/>
      <c r="B25" s="802" t="s">
        <v>58</v>
      </c>
      <c r="C25" s="803">
        <v>9</v>
      </c>
      <c r="D25" s="804">
        <v>9</v>
      </c>
      <c r="E25" s="754">
        <v>11.275</v>
      </c>
      <c r="F25" s="754">
        <v>12</v>
      </c>
      <c r="G25" s="754">
        <v>13</v>
      </c>
      <c r="H25" s="754">
        <v>14.641</v>
      </c>
      <c r="I25" s="754">
        <v>15.398</v>
      </c>
      <c r="J25" s="754">
        <v>15.794</v>
      </c>
      <c r="K25" s="754">
        <v>18.380000000000003</v>
      </c>
      <c r="L25" s="754">
        <v>19.378</v>
      </c>
      <c r="M25" s="754">
        <v>20.795999999999999</v>
      </c>
      <c r="N25" s="754">
        <v>22.562999999999999</v>
      </c>
      <c r="O25" s="754">
        <v>24.667000000000002</v>
      </c>
      <c r="P25" s="754">
        <v>26.304000000000002</v>
      </c>
      <c r="Q25" s="754">
        <v>26.952999999999999</v>
      </c>
      <c r="R25" s="754">
        <v>27.928999999999998</v>
      </c>
      <c r="S25" s="754">
        <v>28.425999999999998</v>
      </c>
      <c r="T25" s="754">
        <v>29.588000000000001</v>
      </c>
      <c r="U25" s="754">
        <v>30.735000000000003</v>
      </c>
      <c r="V25" s="754">
        <v>32.519999999999996</v>
      </c>
      <c r="W25" s="754">
        <v>34.408000000000001</v>
      </c>
      <c r="X25" s="754">
        <v>34.735999999999997</v>
      </c>
      <c r="Y25" s="754">
        <v>35.628</v>
      </c>
      <c r="Z25" s="754">
        <v>36.813000000000002</v>
      </c>
      <c r="AA25" s="754">
        <f>27.046+5.339+4.934</f>
        <v>37.318999999999996</v>
      </c>
      <c r="AB25" s="754">
        <f>27.635+5.298+4.726</f>
        <v>37.658999999999999</v>
      </c>
      <c r="AC25" s="754">
        <f>28.521+5.311+4.602</f>
        <v>38.433999999999997</v>
      </c>
      <c r="AD25" s="754">
        <f>29.668+5.404+4.502</f>
        <v>39.574000000000005</v>
      </c>
      <c r="AE25" s="754">
        <f>31.138+5.594+4.516</f>
        <v>41.247999999999998</v>
      </c>
      <c r="AF25" s="163">
        <f>33.015+5.543+4.629</f>
        <v>43.186999999999998</v>
      </c>
      <c r="AG25" s="163">
        <f>34.833+5.348+4.813</f>
        <v>44.994</v>
      </c>
      <c r="AH25" s="163">
        <f>(36257+5760+4936)/1000</f>
        <v>46.953000000000003</v>
      </c>
      <c r="AI25" s="273">
        <f t="shared" si="3"/>
        <v>4.3539138551806928</v>
      </c>
      <c r="AJ25" s="802" t="s">
        <v>58</v>
      </c>
    </row>
    <row r="26" spans="1:36" ht="12.75" customHeight="1">
      <c r="A26" s="8"/>
      <c r="B26" s="661" t="s">
        <v>39</v>
      </c>
      <c r="C26" s="796"/>
      <c r="D26" s="797">
        <v>197</v>
      </c>
      <c r="E26" s="755">
        <v>262</v>
      </c>
      <c r="F26" s="755"/>
      <c r="G26" s="755"/>
      <c r="H26" s="755"/>
      <c r="I26" s="755"/>
      <c r="J26" s="806">
        <v>277.97400000000005</v>
      </c>
      <c r="K26" s="762">
        <v>282.20400000000001</v>
      </c>
      <c r="L26" s="762">
        <v>295.38299999999998</v>
      </c>
      <c r="M26" s="762">
        <v>319.779</v>
      </c>
      <c r="N26" s="762">
        <v>332.50299999999999</v>
      </c>
      <c r="O26" s="762">
        <v>352.62799999999999</v>
      </c>
      <c r="P26" s="762">
        <v>366.21300000000002</v>
      </c>
      <c r="Q26" s="762">
        <v>381.43200000000002</v>
      </c>
      <c r="R26" s="762">
        <v>392.029</v>
      </c>
      <c r="S26" s="762">
        <v>395.96200000000005</v>
      </c>
      <c r="T26" s="762">
        <v>412.92100000000005</v>
      </c>
      <c r="U26" s="762">
        <v>429.45699999999999</v>
      </c>
      <c r="V26" s="762">
        <v>444.495</v>
      </c>
      <c r="W26" s="762">
        <v>455.89100000000002</v>
      </c>
      <c r="X26" s="762">
        <v>452.52300000000002</v>
      </c>
      <c r="Y26" s="762">
        <v>451.32100000000003</v>
      </c>
      <c r="Z26" s="762">
        <f>402.501+50.262</f>
        <v>452.76299999999998</v>
      </c>
      <c r="AA26" s="762">
        <f>401.723+52.596</f>
        <v>454.31900000000002</v>
      </c>
      <c r="AB26" s="762">
        <f>406.56+56.089</f>
        <v>462.649</v>
      </c>
      <c r="AC26" s="763">
        <f>417.536+60.875</f>
        <v>478.411</v>
      </c>
      <c r="AD26" s="762">
        <f>431.795+64.442</f>
        <v>496.23700000000002</v>
      </c>
      <c r="AE26" s="762">
        <f>448.961+68.117</f>
        <v>517.07799999999997</v>
      </c>
      <c r="AF26" s="824">
        <f>469.948+72.579</f>
        <v>542.52699999999993</v>
      </c>
      <c r="AG26" s="824">
        <f>493.605+76.87</f>
        <v>570.47500000000002</v>
      </c>
      <c r="AH26" s="824">
        <f>(519231+79379)/1000</f>
        <v>598.61</v>
      </c>
      <c r="AI26" s="274">
        <f t="shared" si="3"/>
        <v>4.9318550330864639</v>
      </c>
      <c r="AJ26" s="661" t="s">
        <v>39</v>
      </c>
    </row>
    <row r="27" spans="1:36" ht="12.75" customHeight="1">
      <c r="A27" s="8"/>
      <c r="B27" s="802" t="s">
        <v>42</v>
      </c>
      <c r="C27" s="803"/>
      <c r="D27" s="804" t="s">
        <v>71</v>
      </c>
      <c r="E27" s="754" t="s">
        <v>71</v>
      </c>
      <c r="F27" s="754"/>
      <c r="G27" s="754"/>
      <c r="H27" s="754">
        <v>34.024000000000001</v>
      </c>
      <c r="I27" s="754">
        <v>37.600999999999999</v>
      </c>
      <c r="J27" s="754">
        <v>40.835000000000001</v>
      </c>
      <c r="K27" s="754">
        <v>38.430999999999997</v>
      </c>
      <c r="L27" s="754">
        <v>46.311999999999998</v>
      </c>
      <c r="M27" s="754">
        <v>48.402999999999999</v>
      </c>
      <c r="N27" s="754">
        <v>50.046999999999997</v>
      </c>
      <c r="O27" s="754">
        <v>51.463000000000001</v>
      </c>
      <c r="P27" s="754">
        <v>43.662999999999997</v>
      </c>
      <c r="Q27" s="754">
        <v>43.852000000000004</v>
      </c>
      <c r="R27" s="754">
        <v>44.656999999999996</v>
      </c>
      <c r="S27" s="754">
        <v>44.575000000000003</v>
      </c>
      <c r="T27" s="754">
        <v>44.371000000000002</v>
      </c>
      <c r="U27" s="754">
        <v>45.505000000000003</v>
      </c>
      <c r="V27" s="754">
        <v>46.853000000000002</v>
      </c>
      <c r="W27" s="754">
        <v>48.21</v>
      </c>
      <c r="X27" s="754">
        <v>47.212000000000003</v>
      </c>
      <c r="Y27" s="805">
        <f>41.257+1.197</f>
        <v>42.454000000000001</v>
      </c>
      <c r="Z27" s="754">
        <f>41.391+1.148</f>
        <v>42.539000000000001</v>
      </c>
      <c r="AA27" s="754">
        <f>41.155+1.09</f>
        <v>42.245000000000005</v>
      </c>
      <c r="AB27" s="754">
        <f>41.72+1.13</f>
        <v>42.85</v>
      </c>
      <c r="AC27" s="754">
        <f>42.417+1.157</f>
        <v>43.573999999999998</v>
      </c>
      <c r="AD27" s="754">
        <f>43.281+1.125</f>
        <v>44.405999999999999</v>
      </c>
      <c r="AE27" s="754">
        <f>44.194+1.144</f>
        <v>45.338000000000001</v>
      </c>
      <c r="AF27" s="163">
        <f>45.94+1.131</f>
        <v>47.070999999999998</v>
      </c>
      <c r="AG27" s="163">
        <f>47.695+1.147</f>
        <v>48.841999999999999</v>
      </c>
      <c r="AH27" s="163">
        <f>(1151+37953+11538)/1000</f>
        <v>50.642000000000003</v>
      </c>
      <c r="AI27" s="273">
        <f t="shared" si="3"/>
        <v>3.6853527701568396</v>
      </c>
      <c r="AJ27" s="802" t="s">
        <v>42</v>
      </c>
    </row>
    <row r="28" spans="1:36" ht="12.75" customHeight="1">
      <c r="A28" s="8"/>
      <c r="B28" s="661" t="s">
        <v>50</v>
      </c>
      <c r="C28" s="796">
        <v>286</v>
      </c>
      <c r="D28" s="797">
        <v>314</v>
      </c>
      <c r="E28" s="755">
        <v>553</v>
      </c>
      <c r="F28" s="755">
        <v>578</v>
      </c>
      <c r="G28" s="755">
        <v>619</v>
      </c>
      <c r="H28" s="755">
        <v>641</v>
      </c>
      <c r="I28" s="755">
        <v>644</v>
      </c>
      <c r="J28" s="755">
        <v>654</v>
      </c>
      <c r="K28" s="755">
        <v>684</v>
      </c>
      <c r="L28" s="755">
        <v>727</v>
      </c>
      <c r="M28" s="755">
        <v>795</v>
      </c>
      <c r="N28" s="755">
        <v>836.04700000000003</v>
      </c>
      <c r="O28" s="755">
        <v>898.99799999999993</v>
      </c>
      <c r="P28" s="755">
        <v>942.3130000000001</v>
      </c>
      <c r="Q28" s="755">
        <v>980.26700000000005</v>
      </c>
      <c r="R28" s="755">
        <v>1009.6420000000001</v>
      </c>
      <c r="S28" s="755">
        <v>1035.5930000000001</v>
      </c>
      <c r="T28" s="755">
        <v>1004.5060000000001</v>
      </c>
      <c r="U28" s="755">
        <v>995.73299999999995</v>
      </c>
      <c r="V28" s="755">
        <v>1010.402</v>
      </c>
      <c r="W28" s="755">
        <v>1025.9059999999999</v>
      </c>
      <c r="X28" s="755">
        <v>1017.2829999999999</v>
      </c>
      <c r="Y28" s="755">
        <v>1003.9649999999999</v>
      </c>
      <c r="Z28" s="755">
        <v>990.69799999999998</v>
      </c>
      <c r="AA28" s="755">
        <v>969.63900000000001</v>
      </c>
      <c r="AB28" s="755">
        <f>815.169+65.046+71.063</f>
        <v>951.27800000000002</v>
      </c>
      <c r="AC28" s="755">
        <f>814.954+63.356+70.533</f>
        <v>948.84299999999996</v>
      </c>
      <c r="AD28" s="755">
        <f>828.383+62.436+72.245</f>
        <v>963.06400000000008</v>
      </c>
      <c r="AE28" s="755">
        <f>852.632+62.155+74.218</f>
        <v>989.00499999999988</v>
      </c>
      <c r="AF28" s="121">
        <f>883.35+62.581+77.075</f>
        <v>1023.0060000000001</v>
      </c>
      <c r="AG28" s="121">
        <f>914.766+62.963+80.078</f>
        <v>1057.807</v>
      </c>
      <c r="AH28" s="121">
        <f>(81553+939801+63081)/1000</f>
        <v>1084.4349999999999</v>
      </c>
      <c r="AI28" s="274">
        <f t="shared" si="3"/>
        <v>2.5172833985783711</v>
      </c>
      <c r="AJ28" s="661" t="s">
        <v>50</v>
      </c>
    </row>
    <row r="29" spans="1:36" ht="12.75" customHeight="1">
      <c r="A29" s="8"/>
      <c r="B29" s="802" t="s">
        <v>59</v>
      </c>
      <c r="C29" s="803">
        <v>122.29</v>
      </c>
      <c r="D29" s="804">
        <v>189.25</v>
      </c>
      <c r="E29" s="754">
        <v>261.83999999999997</v>
      </c>
      <c r="F29" s="754">
        <v>269.279</v>
      </c>
      <c r="G29" s="754">
        <v>279.94499999999999</v>
      </c>
      <c r="H29" s="754">
        <v>286.67900000000003</v>
      </c>
      <c r="I29" s="754">
        <v>294.92499999999995</v>
      </c>
      <c r="J29" s="754">
        <v>302.90700000000004</v>
      </c>
      <c r="K29" s="754">
        <v>306.91699999999997</v>
      </c>
      <c r="L29" s="754">
        <v>315.05799999999999</v>
      </c>
      <c r="M29" s="754">
        <v>325.33499999999998</v>
      </c>
      <c r="N29" s="754">
        <v>335.77199999999999</v>
      </c>
      <c r="O29" s="754">
        <v>344.46600000000001</v>
      </c>
      <c r="P29" s="807">
        <v>349.67</v>
      </c>
      <c r="Q29" s="754">
        <v>338.79399999999998</v>
      </c>
      <c r="R29" s="754">
        <v>345.62099999999998</v>
      </c>
      <c r="S29" s="754">
        <v>353.05500000000001</v>
      </c>
      <c r="T29" s="754">
        <v>358.04899999999998</v>
      </c>
      <c r="U29" s="754">
        <v>364.32300000000004</v>
      </c>
      <c r="V29" s="754">
        <v>372.64500000000004</v>
      </c>
      <c r="W29" s="754">
        <v>381.33800000000002</v>
      </c>
      <c r="X29" s="754">
        <v>387.97199999999998</v>
      </c>
      <c r="Y29" s="754">
        <v>396.78799999999995</v>
      </c>
      <c r="Z29" s="754">
        <v>407.452</v>
      </c>
      <c r="AA29" s="754">
        <v>416.53500000000003</v>
      </c>
      <c r="AB29" s="754">
        <f>408.56+16.192</f>
        <v>424.75200000000001</v>
      </c>
      <c r="AC29" s="754">
        <f>418.594+16.321</f>
        <v>434.91500000000002</v>
      </c>
      <c r="AD29" s="754">
        <f>427.515+16.508</f>
        <v>444.02299999999997</v>
      </c>
      <c r="AE29" s="754">
        <f>440.368+16.846</f>
        <v>457.214</v>
      </c>
      <c r="AF29" s="163">
        <v>476.3</v>
      </c>
      <c r="AG29" s="163">
        <f>476.327+18.904</f>
        <v>495.23099999999999</v>
      </c>
      <c r="AH29" s="163">
        <f>(494585+19334)/1000</f>
        <v>513.91899999999998</v>
      </c>
      <c r="AI29" s="273">
        <f t="shared" si="3"/>
        <v>3.7735925255082918</v>
      </c>
      <c r="AJ29" s="802" t="s">
        <v>59</v>
      </c>
    </row>
    <row r="30" spans="1:36" ht="12.75" customHeight="1">
      <c r="A30" s="8"/>
      <c r="B30" s="661" t="s">
        <v>43</v>
      </c>
      <c r="C30" s="796"/>
      <c r="D30" s="797" t="s">
        <v>71</v>
      </c>
      <c r="E30" s="755" t="s">
        <v>71</v>
      </c>
      <c r="F30" s="755"/>
      <c r="G30" s="755"/>
      <c r="H30" s="755">
        <v>999.84500000000003</v>
      </c>
      <c r="I30" s="755">
        <v>1053.979</v>
      </c>
      <c r="J30" s="755">
        <v>1354.0989999999999</v>
      </c>
      <c r="K30" s="755">
        <v>1431.357</v>
      </c>
      <c r="L30" s="755">
        <v>1487.4389999999999</v>
      </c>
      <c r="M30" s="755">
        <v>1562.8140000000001</v>
      </c>
      <c r="N30" s="755">
        <v>1682.8869999999999</v>
      </c>
      <c r="O30" s="755">
        <v>1879.068</v>
      </c>
      <c r="P30" s="755">
        <v>1979.2929999999999</v>
      </c>
      <c r="Q30" s="755">
        <v>2162.614</v>
      </c>
      <c r="R30" s="755">
        <v>2313.4190000000003</v>
      </c>
      <c r="S30" s="755">
        <v>2391.605</v>
      </c>
      <c r="T30" s="755">
        <v>2304.5050000000001</v>
      </c>
      <c r="U30" s="755">
        <v>2392.6579999999999</v>
      </c>
      <c r="V30" s="755">
        <v>2520.5480000000002</v>
      </c>
      <c r="W30" s="755">
        <v>2709.6970000000001</v>
      </c>
      <c r="X30" s="755">
        <v>2796.7670000000003</v>
      </c>
      <c r="Y30" s="755">
        <v>2981.616</v>
      </c>
      <c r="Z30" s="755">
        <v>3130.7289999999998</v>
      </c>
      <c r="AA30" s="755">
        <v>3178.0050000000001</v>
      </c>
      <c r="AB30" s="755">
        <f>2962.064+280.42</f>
        <v>3242.4839999999999</v>
      </c>
      <c r="AC30" s="755">
        <f>3037.427+303.189</f>
        <v>3340.616</v>
      </c>
      <c r="AD30" s="755">
        <f>3098.376+329.589</f>
        <v>3427.9650000000001</v>
      </c>
      <c r="AE30" s="755">
        <f>3179.655+362.624</f>
        <v>3542.2790000000005</v>
      </c>
      <c r="AF30" s="121">
        <v>3640</v>
      </c>
      <c r="AG30" s="121">
        <v>3758</v>
      </c>
      <c r="AH30" s="121">
        <f>3883497/1000</f>
        <v>3883.4969999999998</v>
      </c>
      <c r="AI30" s="274">
        <f t="shared" si="3"/>
        <v>3.3394624800425703</v>
      </c>
      <c r="AJ30" s="661" t="s">
        <v>43</v>
      </c>
    </row>
    <row r="31" spans="1:36" ht="12.75" customHeight="1">
      <c r="A31" s="8"/>
      <c r="B31" s="802" t="s">
        <v>60</v>
      </c>
      <c r="C31" s="803">
        <v>157</v>
      </c>
      <c r="D31" s="804">
        <v>350</v>
      </c>
      <c r="E31" s="754">
        <v>781</v>
      </c>
      <c r="F31" s="754">
        <v>847</v>
      </c>
      <c r="G31" s="754">
        <v>928</v>
      </c>
      <c r="H31" s="807">
        <v>1011</v>
      </c>
      <c r="I31" s="754">
        <v>868.24599999999998</v>
      </c>
      <c r="J31" s="754">
        <v>912.29</v>
      </c>
      <c r="K31" s="754">
        <v>969.69899999999996</v>
      </c>
      <c r="L31" s="754">
        <v>1076.556</v>
      </c>
      <c r="M31" s="754">
        <v>1105.287</v>
      </c>
      <c r="N31" s="754">
        <v>1232.3119999999999</v>
      </c>
      <c r="O31" s="754">
        <v>1313.223</v>
      </c>
      <c r="P31" s="754">
        <v>1401.3050000000001</v>
      </c>
      <c r="Q31" s="754">
        <v>1377.335</v>
      </c>
      <c r="R31" s="754">
        <v>1256.8579999999999</v>
      </c>
      <c r="S31" s="808">
        <v>1300</v>
      </c>
      <c r="T31" s="808">
        <v>1308</v>
      </c>
      <c r="U31" s="754">
        <v>1320</v>
      </c>
      <c r="V31" s="754">
        <v>1333</v>
      </c>
      <c r="W31" s="808">
        <v>1335</v>
      </c>
      <c r="X31" s="754">
        <v>1337</v>
      </c>
      <c r="Y31" s="754">
        <v>1337</v>
      </c>
      <c r="Z31" s="754">
        <v>1335.5</v>
      </c>
      <c r="AA31" s="754">
        <f>1170+125</f>
        <v>1295</v>
      </c>
      <c r="AB31" s="805">
        <v>1246.4469999999999</v>
      </c>
      <c r="AC31" s="754">
        <v>1348.5989999999999</v>
      </c>
      <c r="AD31" s="754">
        <v>1313.2190000000001</v>
      </c>
      <c r="AE31" s="754">
        <v>1310.4739999999999</v>
      </c>
      <c r="AF31" s="163">
        <v>1336.8</v>
      </c>
      <c r="AG31" s="163">
        <v>1369.68</v>
      </c>
      <c r="AH31" s="165">
        <f>1513045/1000</f>
        <v>1513.0450000000001</v>
      </c>
      <c r="AI31" s="273">
        <f t="shared" si="3"/>
        <v>10.467043396997838</v>
      </c>
      <c r="AJ31" s="802" t="s">
        <v>60</v>
      </c>
    </row>
    <row r="32" spans="1:36" ht="12.75" customHeight="1">
      <c r="A32" s="8"/>
      <c r="B32" s="661" t="s">
        <v>44</v>
      </c>
      <c r="C32" s="796"/>
      <c r="D32" s="797">
        <v>250</v>
      </c>
      <c r="E32" s="755">
        <v>258.70100000000002</v>
      </c>
      <c r="F32" s="755">
        <v>259.56599999999997</v>
      </c>
      <c r="G32" s="755">
        <v>275.48700000000002</v>
      </c>
      <c r="H32" s="755">
        <v>298.31799999999998</v>
      </c>
      <c r="I32" s="755">
        <v>322.41699999999997</v>
      </c>
      <c r="J32" s="755">
        <v>343.06400000000002</v>
      </c>
      <c r="K32" s="755">
        <v>376.81700000000001</v>
      </c>
      <c r="L32" s="755">
        <v>390.18099999999998</v>
      </c>
      <c r="M32" s="755">
        <v>405.74299999999999</v>
      </c>
      <c r="N32" s="755">
        <v>417.78</v>
      </c>
      <c r="O32" s="755">
        <v>427.15199999999999</v>
      </c>
      <c r="P32" s="755">
        <v>437.96800000000002</v>
      </c>
      <c r="Q32" s="755">
        <v>447.29899999999998</v>
      </c>
      <c r="R32" s="755">
        <v>463.09899999999999</v>
      </c>
      <c r="S32" s="755">
        <v>482.42500000000001</v>
      </c>
      <c r="T32" s="755">
        <v>493.82100000000003</v>
      </c>
      <c r="U32" s="798">
        <v>545.29999999999995</v>
      </c>
      <c r="V32" s="755">
        <v>501.95699999999999</v>
      </c>
      <c r="W32" s="755">
        <v>645.34</v>
      </c>
      <c r="X32" s="755">
        <v>661.9</v>
      </c>
      <c r="Y32" s="755">
        <v>667.21900000000005</v>
      </c>
      <c r="Z32" s="755">
        <v>696.26</v>
      </c>
      <c r="AA32" s="755">
        <f>642.241+77.685</f>
        <v>719.92599999999993</v>
      </c>
      <c r="AB32" s="755">
        <v>761.55399999999997</v>
      </c>
      <c r="AC32" s="755">
        <f>712.317+94.206</f>
        <v>806.52300000000002</v>
      </c>
      <c r="AD32" s="755">
        <f>750.497+105.76</f>
        <v>856.25699999999995</v>
      </c>
      <c r="AE32" s="755">
        <f>794.578+118.212</f>
        <v>912.79</v>
      </c>
      <c r="AF32" s="121">
        <v>975.2</v>
      </c>
      <c r="AG32" s="121">
        <v>1034.3240000000001</v>
      </c>
      <c r="AH32" s="121">
        <f>1090008/1000</f>
        <v>1090.008</v>
      </c>
      <c r="AI32" s="274">
        <f t="shared" si="3"/>
        <v>5.3836128717887277</v>
      </c>
      <c r="AJ32" s="661" t="s">
        <v>44</v>
      </c>
    </row>
    <row r="33" spans="1:36" ht="12.75" customHeight="1">
      <c r="A33" s="8"/>
      <c r="B33" s="802" t="s">
        <v>46</v>
      </c>
      <c r="C33" s="803">
        <v>15.946</v>
      </c>
      <c r="D33" s="804">
        <v>28.454999999999998</v>
      </c>
      <c r="E33" s="754">
        <v>30.766999999999999</v>
      </c>
      <c r="F33" s="807">
        <v>30.771999999999998</v>
      </c>
      <c r="G33" s="754">
        <v>34.535000000000004</v>
      </c>
      <c r="H33" s="754">
        <v>36.976000000000006</v>
      </c>
      <c r="I33" s="754">
        <v>38.852000000000004</v>
      </c>
      <c r="J33" s="754">
        <v>42.866999999999997</v>
      </c>
      <c r="K33" s="754">
        <v>45.588999999999999</v>
      </c>
      <c r="L33" s="754">
        <v>47.88</v>
      </c>
      <c r="M33" s="754">
        <v>49.513000000000005</v>
      </c>
      <c r="N33" s="754">
        <v>51.741</v>
      </c>
      <c r="O33" s="754">
        <v>54.262999999999998</v>
      </c>
      <c r="P33" s="754">
        <v>56.114999999999995</v>
      </c>
      <c r="Q33" s="754">
        <v>57.9</v>
      </c>
      <c r="R33" s="754">
        <v>59.801000000000002</v>
      </c>
      <c r="S33" s="754">
        <v>63.177999999999997</v>
      </c>
      <c r="T33" s="754">
        <v>66.447000000000003</v>
      </c>
      <c r="U33" s="754">
        <v>70.132000000000005</v>
      </c>
      <c r="V33" s="754">
        <v>77.567999999999998</v>
      </c>
      <c r="W33" s="754">
        <v>83.909000000000006</v>
      </c>
      <c r="X33" s="754">
        <v>83.632999999999996</v>
      </c>
      <c r="Y33" s="754">
        <v>84.106999999999999</v>
      </c>
      <c r="Z33" s="754">
        <v>84.644000000000005</v>
      </c>
      <c r="AA33" s="754">
        <v>84.408000000000001</v>
      </c>
      <c r="AB33" s="754">
        <f>68.264+9.638+7.036</f>
        <v>84.938000000000002</v>
      </c>
      <c r="AC33" s="754">
        <f>77.103+10.162</f>
        <v>87.265000000000001</v>
      </c>
      <c r="AD33" s="754">
        <f>79.95+11.326</f>
        <v>91.27600000000001</v>
      </c>
      <c r="AE33" s="754">
        <v>96.891999999999996</v>
      </c>
      <c r="AF33" s="163">
        <v>103.3</v>
      </c>
      <c r="AG33" s="163">
        <f>94.45+15.928</f>
        <v>110.378</v>
      </c>
      <c r="AH33" s="163">
        <f>115982/1000</f>
        <v>115.982</v>
      </c>
      <c r="AI33" s="273">
        <f t="shared" si="3"/>
        <v>5.0770986972041641</v>
      </c>
      <c r="AJ33" s="802" t="s">
        <v>46</v>
      </c>
    </row>
    <row r="34" spans="1:36" ht="12.75" customHeight="1">
      <c r="A34" s="8"/>
      <c r="B34" s="661" t="s">
        <v>45</v>
      </c>
      <c r="C34" s="792"/>
      <c r="D34" s="793"/>
      <c r="E34" s="794">
        <v>91.994</v>
      </c>
      <c r="F34" s="755">
        <v>95.335999999999999</v>
      </c>
      <c r="G34" s="755">
        <v>102.295</v>
      </c>
      <c r="H34" s="755">
        <v>101.55200000000001</v>
      </c>
      <c r="I34" s="755">
        <v>102.47</v>
      </c>
      <c r="J34" s="755">
        <v>102.634</v>
      </c>
      <c r="K34" s="755">
        <v>97.078000000000003</v>
      </c>
      <c r="L34" s="755">
        <v>103.68</v>
      </c>
      <c r="M34" s="755">
        <v>112.80200000000001</v>
      </c>
      <c r="N34" s="755">
        <v>118.28699999999999</v>
      </c>
      <c r="O34" s="755">
        <v>113.995</v>
      </c>
      <c r="P34" s="755">
        <v>125.393</v>
      </c>
      <c r="Q34" s="755">
        <v>137.17099999999999</v>
      </c>
      <c r="R34" s="755">
        <v>150.99099999999999</v>
      </c>
      <c r="S34" s="755">
        <v>151.83000000000001</v>
      </c>
      <c r="T34" s="755">
        <v>174.23</v>
      </c>
      <c r="U34" s="755">
        <v>189.256</v>
      </c>
      <c r="V34" s="755">
        <v>215.697</v>
      </c>
      <c r="W34" s="755">
        <v>248.66199999999998</v>
      </c>
      <c r="X34" s="755">
        <v>269.322</v>
      </c>
      <c r="Y34" s="755">
        <v>276.04900000000004</v>
      </c>
      <c r="Z34" s="755">
        <v>281.81100000000004</v>
      </c>
      <c r="AA34" s="755">
        <v>285.97800000000001</v>
      </c>
      <c r="AB34" s="755">
        <f>261.84+27.561</f>
        <v>289.40099999999995</v>
      </c>
      <c r="AC34" s="755">
        <f>265.424+28.429</f>
        <v>293.85299999999995</v>
      </c>
      <c r="AD34" s="755">
        <f>272.955+29.928</f>
        <v>302.88299999999998</v>
      </c>
      <c r="AE34" s="755">
        <f>278.274+31.016</f>
        <v>309.29000000000002</v>
      </c>
      <c r="AF34" s="121">
        <v>316.7</v>
      </c>
      <c r="AG34" s="121">
        <f>293.907+30.769</f>
        <v>324.67599999999999</v>
      </c>
      <c r="AH34" s="121">
        <f>326368/1000</f>
        <v>326.36799999999999</v>
      </c>
      <c r="AI34" s="274">
        <f t="shared" si="3"/>
        <v>0.52113491603937234</v>
      </c>
      <c r="AJ34" s="661" t="s">
        <v>45</v>
      </c>
    </row>
    <row r="35" spans="1:36" ht="12.75" customHeight="1">
      <c r="A35" s="8"/>
      <c r="B35" s="802" t="s">
        <v>61</v>
      </c>
      <c r="C35" s="803">
        <v>103</v>
      </c>
      <c r="D35" s="804">
        <v>149</v>
      </c>
      <c r="E35" s="754">
        <v>264.15699999999998</v>
      </c>
      <c r="F35" s="754">
        <v>263.8</v>
      </c>
      <c r="G35" s="754">
        <v>263</v>
      </c>
      <c r="H35" s="754">
        <v>253.10900000000001</v>
      </c>
      <c r="I35" s="754">
        <v>246.553</v>
      </c>
      <c r="J35" s="754">
        <v>252.03200000000001</v>
      </c>
      <c r="K35" s="754">
        <v>258.697</v>
      </c>
      <c r="L35" s="754">
        <v>266.94400000000002</v>
      </c>
      <c r="M35" s="754">
        <v>280.61</v>
      </c>
      <c r="N35" s="754">
        <v>293.70699999999999</v>
      </c>
      <c r="O35" s="754">
        <v>304.31799999999998</v>
      </c>
      <c r="P35" s="754">
        <v>312.55700000000002</v>
      </c>
      <c r="Q35" s="754">
        <v>319.69900000000001</v>
      </c>
      <c r="R35" s="754">
        <v>327.12200000000001</v>
      </c>
      <c r="S35" s="754">
        <v>355.16400000000004</v>
      </c>
      <c r="T35" s="754">
        <v>363.64400000000001</v>
      </c>
      <c r="U35" s="754">
        <v>376.09199999999998</v>
      </c>
      <c r="V35" s="754">
        <f>394.718</f>
        <v>394.71800000000002</v>
      </c>
      <c r="W35" s="754">
        <f>424.498</f>
        <v>424.49799999999999</v>
      </c>
      <c r="X35" s="754">
        <f>443.912</f>
        <v>443.91199999999998</v>
      </c>
      <c r="Y35" s="754">
        <f>464.408</f>
        <v>464.40800000000002</v>
      </c>
      <c r="Z35" s="754">
        <f>488.939</f>
        <v>488.93900000000002</v>
      </c>
      <c r="AA35" s="754">
        <f>508.011</f>
        <v>508.01100000000002</v>
      </c>
      <c r="AB35" s="754">
        <f>391.952+134.146</f>
        <v>526.09799999999996</v>
      </c>
      <c r="AC35" s="754">
        <f>404.817+138.077</f>
        <v>542.89400000000001</v>
      </c>
      <c r="AD35" s="754">
        <f>418.87+142.02</f>
        <v>560.89</v>
      </c>
      <c r="AE35" s="754">
        <f>435.436+146.624</f>
        <v>582.05999999999995</v>
      </c>
      <c r="AF35" s="163">
        <v>604.5</v>
      </c>
      <c r="AG35" s="163">
        <f>470.008+156.786</f>
        <v>626.79399999999998</v>
      </c>
      <c r="AH35" s="163">
        <f>(486949+162186)/1000</f>
        <v>649.13499999999999</v>
      </c>
      <c r="AI35" s="273">
        <f t="shared" si="3"/>
        <v>3.5643289501813911</v>
      </c>
      <c r="AJ35" s="802" t="s">
        <v>61</v>
      </c>
    </row>
    <row r="36" spans="1:36" ht="12.75" customHeight="1">
      <c r="A36" s="8"/>
      <c r="B36" s="809" t="s">
        <v>62</v>
      </c>
      <c r="C36" s="810">
        <v>145</v>
      </c>
      <c r="D36" s="811">
        <v>181.57</v>
      </c>
      <c r="E36" s="756">
        <v>309.52</v>
      </c>
      <c r="F36" s="756">
        <v>309.81</v>
      </c>
      <c r="G36" s="756">
        <v>304.99</v>
      </c>
      <c r="H36" s="756">
        <v>305.68600000000004</v>
      </c>
      <c r="I36" s="756">
        <v>307.916</v>
      </c>
      <c r="J36" s="756">
        <v>307.709</v>
      </c>
      <c r="K36" s="756">
        <v>311.75099999999998</v>
      </c>
      <c r="L36" s="756">
        <v>321.31</v>
      </c>
      <c r="M36" s="756">
        <v>337.97300000000001</v>
      </c>
      <c r="N36" s="756">
        <v>354.29300000000001</v>
      </c>
      <c r="O36" s="756">
        <v>374.22199999999998</v>
      </c>
      <c r="P36" s="756">
        <v>395.69299999999998</v>
      </c>
      <c r="Q36" s="756">
        <v>408.94</v>
      </c>
      <c r="R36" s="756">
        <v>421.56099999999998</v>
      </c>
      <c r="S36" s="756">
        <v>439.98500000000001</v>
      </c>
      <c r="T36" s="756">
        <v>461.161</v>
      </c>
      <c r="U36" s="756">
        <v>479.79399999999998</v>
      </c>
      <c r="V36" s="756">
        <v>504.08499999999998</v>
      </c>
      <c r="W36" s="756">
        <v>510.19900000000001</v>
      </c>
      <c r="X36" s="756">
        <v>514.57600000000002</v>
      </c>
      <c r="Y36" s="756">
        <v>526.44100000000003</v>
      </c>
      <c r="Z36" s="756">
        <v>548.27200000000005</v>
      </c>
      <c r="AA36" s="756">
        <v>556.82100000000003</v>
      </c>
      <c r="AB36" s="756">
        <v>565.18200000000002</v>
      </c>
      <c r="AC36" s="756">
        <v>581.20500000000004</v>
      </c>
      <c r="AD36" s="756">
        <v>596.21400000000006</v>
      </c>
      <c r="AE36" s="756">
        <v>616.178</v>
      </c>
      <c r="AF36" s="122">
        <v>638.38800000000003</v>
      </c>
      <c r="AG36" s="122">
        <v>656.05200000000002</v>
      </c>
      <c r="AH36" s="174">
        <f>669244/1000</f>
        <v>669.24400000000003</v>
      </c>
      <c r="AI36" s="277">
        <f t="shared" si="3"/>
        <v>2.0108162157877842</v>
      </c>
      <c r="AJ36" s="809" t="s">
        <v>62</v>
      </c>
    </row>
    <row r="37" spans="1:36" ht="12.75" customHeight="1">
      <c r="A37" s="8"/>
      <c r="B37" s="812" t="s">
        <v>51</v>
      </c>
      <c r="C37" s="813">
        <v>1749</v>
      </c>
      <c r="D37" s="814">
        <v>1828</v>
      </c>
      <c r="E37" s="815">
        <v>2706</v>
      </c>
      <c r="F37" s="815">
        <v>2640</v>
      </c>
      <c r="G37" s="815">
        <v>2639</v>
      </c>
      <c r="H37" s="815">
        <v>2589</v>
      </c>
      <c r="I37" s="815">
        <v>2585</v>
      </c>
      <c r="J37" s="815">
        <v>2565</v>
      </c>
      <c r="K37" s="815">
        <v>2618</v>
      </c>
      <c r="L37" s="816">
        <v>2679</v>
      </c>
      <c r="M37" s="815">
        <v>2789</v>
      </c>
      <c r="N37" s="815">
        <v>2872.7</v>
      </c>
      <c r="O37" s="815">
        <v>2928.3</v>
      </c>
      <c r="P37" s="815">
        <v>3019.6</v>
      </c>
      <c r="Q37" s="815">
        <v>3111.9</v>
      </c>
      <c r="R37" s="815">
        <v>3236.6</v>
      </c>
      <c r="S37" s="815">
        <v>3425.2</v>
      </c>
      <c r="T37" s="815">
        <v>3552.4</v>
      </c>
      <c r="U37" s="815">
        <v>3641.1</v>
      </c>
      <c r="V37" s="815">
        <v>3778.7000000000003</v>
      </c>
      <c r="W37" s="815">
        <v>3805.8</v>
      </c>
      <c r="X37" s="815">
        <v>3782.07</v>
      </c>
      <c r="Y37" s="815">
        <v>3796.8630000000003</v>
      </c>
      <c r="Z37" s="815">
        <v>3833.2350000000001</v>
      </c>
      <c r="AA37" s="815">
        <f>3280.6+460.6+97.087+22.384</f>
        <v>3860.6709999999998</v>
      </c>
      <c r="AB37" s="815">
        <f>3353.9+468.9+117.498</f>
        <v>3940.2980000000002</v>
      </c>
      <c r="AC37" s="815">
        <f>3569.6+496.8</f>
        <v>4066.4</v>
      </c>
      <c r="AD37" s="815">
        <f>3736.036+506.211</f>
        <v>4242.2470000000003</v>
      </c>
      <c r="AE37" s="815">
        <f>3889.7+517.1</f>
        <v>4406.8</v>
      </c>
      <c r="AF37" s="278">
        <f>4011.3+523.3</f>
        <v>4534.6000000000004</v>
      </c>
      <c r="AG37" s="278">
        <f>4127.6+524.6</f>
        <v>4652.2000000000007</v>
      </c>
      <c r="AH37" s="278">
        <f>(42463+5258)/10</f>
        <v>4772.1000000000004</v>
      </c>
      <c r="AI37" s="273">
        <f t="shared" si="3"/>
        <v>2.5772752676153061</v>
      </c>
      <c r="AJ37" s="812" t="s">
        <v>51</v>
      </c>
    </row>
    <row r="38" spans="1:36" ht="12.75" customHeight="1">
      <c r="A38" s="8"/>
      <c r="B38" s="661" t="s">
        <v>161</v>
      </c>
      <c r="C38" s="796"/>
      <c r="D38" s="797"/>
      <c r="E38" s="755"/>
      <c r="F38" s="755"/>
      <c r="G38" s="755"/>
      <c r="H38" s="755"/>
      <c r="I38" s="755"/>
      <c r="J38" s="755"/>
      <c r="K38" s="755"/>
      <c r="L38" s="755"/>
      <c r="M38" s="755"/>
      <c r="N38" s="755"/>
      <c r="O38" s="755"/>
      <c r="P38" s="755"/>
      <c r="Q38" s="755"/>
      <c r="R38" s="755"/>
      <c r="S38" s="755"/>
      <c r="T38" s="755"/>
      <c r="U38" s="755"/>
      <c r="V38" s="755"/>
      <c r="W38" s="755"/>
      <c r="X38" s="755"/>
      <c r="Y38" s="755"/>
      <c r="Z38" s="755">
        <f>12.394+1.095</f>
        <v>13.489000000000001</v>
      </c>
      <c r="AA38" s="755">
        <f>1.03+12.638</f>
        <v>13.667999999999999</v>
      </c>
      <c r="AB38" s="755">
        <f>12.848+0.959</f>
        <v>13.807</v>
      </c>
      <c r="AC38" s="755">
        <f>11.992+0.769+1.069</f>
        <v>13.830000000000002</v>
      </c>
      <c r="AD38" s="755">
        <f>12.517+0.661+1.163</f>
        <v>14.340999999999999</v>
      </c>
      <c r="AE38" s="755">
        <f>13.469+0.622+1.297</f>
        <v>15.388</v>
      </c>
      <c r="AF38" s="121">
        <f>14.579+0.562+1.405</f>
        <v>16.545999999999999</v>
      </c>
      <c r="AG38" s="121">
        <f>16.158+0.513+1.562</f>
        <v>18.233000000000004</v>
      </c>
      <c r="AH38" s="121">
        <f>(468+17494+1681)/1000</f>
        <v>19.643000000000001</v>
      </c>
      <c r="AI38" s="667">
        <f t="shared" si="3"/>
        <v>7.7332309548620515</v>
      </c>
      <c r="AJ38" s="661" t="s">
        <v>161</v>
      </c>
    </row>
    <row r="39" spans="1:36" ht="12.75" customHeight="1">
      <c r="A39" s="8"/>
      <c r="B39" s="802" t="s">
        <v>0</v>
      </c>
      <c r="C39" s="803"/>
      <c r="D39" s="804"/>
      <c r="E39" s="754"/>
      <c r="F39" s="754"/>
      <c r="G39" s="754"/>
      <c r="H39" s="754">
        <v>20.103999999999999</v>
      </c>
      <c r="I39" s="754">
        <v>20.026</v>
      </c>
      <c r="J39" s="754">
        <v>22.558</v>
      </c>
      <c r="K39" s="754">
        <v>21.937000000000001</v>
      </c>
      <c r="L39" s="754">
        <v>23.286000000000001</v>
      </c>
      <c r="M39" s="754">
        <v>23.44</v>
      </c>
      <c r="N39" s="754">
        <v>23.47</v>
      </c>
      <c r="O39" s="754">
        <v>24.628</v>
      </c>
      <c r="P39" s="754">
        <v>25.896000000000001</v>
      </c>
      <c r="Q39" s="754">
        <v>24.318000000000001</v>
      </c>
      <c r="R39" s="754">
        <f>19.042+3.952</f>
        <v>22.994</v>
      </c>
      <c r="S39" s="754">
        <f>15.196+3.194</f>
        <v>18.39</v>
      </c>
      <c r="T39" s="754">
        <f>14.702+3.339</f>
        <v>18.041</v>
      </c>
      <c r="U39" s="754">
        <f>13.545+3.411</f>
        <v>16.956</v>
      </c>
      <c r="V39" s="754">
        <f>12.981+3.575</f>
        <v>16.556000000000001</v>
      </c>
      <c r="W39" s="754">
        <f>13.325+3.94</f>
        <v>17.265000000000001</v>
      </c>
      <c r="X39" s="805">
        <f>27.771+4.263</f>
        <v>32.033999999999999</v>
      </c>
      <c r="Y39" s="754">
        <f>28.795+4.505</f>
        <v>33.300000000000004</v>
      </c>
      <c r="Z39" s="754">
        <f>27.917+4.636</f>
        <v>32.553000000000004</v>
      </c>
      <c r="AA39" s="754">
        <f>26.542+4.219</f>
        <v>30.761000000000003</v>
      </c>
      <c r="AB39" s="754">
        <f>30.167+4.934</f>
        <v>35.100999999999999</v>
      </c>
      <c r="AC39" s="754">
        <f>32.123+5.248</f>
        <v>37.370999999999995</v>
      </c>
      <c r="AD39" s="754">
        <f>33.237+5.451</f>
        <v>38.688000000000002</v>
      </c>
      <c r="AE39" s="754">
        <f>34.669+5.64</f>
        <v>40.308999999999997</v>
      </c>
      <c r="AF39" s="163">
        <v>41.7</v>
      </c>
      <c r="AG39" s="163">
        <v>42.622999999999998</v>
      </c>
      <c r="AH39" s="163">
        <f>43658/1000</f>
        <v>43.658000000000001</v>
      </c>
      <c r="AI39" s="273">
        <f t="shared" si="3"/>
        <v>2.4282664289233509</v>
      </c>
      <c r="AJ39" s="802" t="s">
        <v>0</v>
      </c>
    </row>
    <row r="40" spans="1:36" ht="12.75" customHeight="1">
      <c r="A40" s="8"/>
      <c r="B40" s="661" t="s">
        <v>167</v>
      </c>
      <c r="C40" s="796"/>
      <c r="D40" s="797"/>
      <c r="E40" s="755"/>
      <c r="F40" s="755"/>
      <c r="G40" s="755"/>
      <c r="H40" s="755">
        <v>39.335000000000001</v>
      </c>
      <c r="I40" s="755">
        <v>51.113</v>
      </c>
      <c r="J40" s="755">
        <v>29.123999999999999</v>
      </c>
      <c r="K40" s="755">
        <v>30.612000000000002</v>
      </c>
      <c r="L40" s="755">
        <v>33.256</v>
      </c>
      <c r="M40" s="755">
        <v>37.109000000000002</v>
      </c>
      <c r="N40" s="755">
        <v>37.125999999999998</v>
      </c>
      <c r="O40" s="755">
        <v>45.575000000000003</v>
      </c>
      <c r="P40" s="755">
        <v>52.320999999999998</v>
      </c>
      <c r="Q40" s="755">
        <v>54.63</v>
      </c>
      <c r="R40" s="755">
        <v>56.856999999999999</v>
      </c>
      <c r="S40" s="755">
        <v>48.774999999999999</v>
      </c>
      <c r="T40" s="755">
        <v>47.332999999999998</v>
      </c>
      <c r="U40" s="755">
        <v>41.318000000000005</v>
      </c>
      <c r="V40" s="755">
        <v>61.621000000000002</v>
      </c>
      <c r="W40" s="755">
        <v>79.054000000000002</v>
      </c>
      <c r="X40" s="755">
        <v>79.307000000000002</v>
      </c>
      <c r="Y40" s="755">
        <v>83.718999999999994</v>
      </c>
      <c r="Z40" s="755">
        <v>71.209000000000003</v>
      </c>
      <c r="AA40" s="755">
        <v>60</v>
      </c>
      <c r="AB40" s="755">
        <v>65.260000000000005</v>
      </c>
      <c r="AC40" s="755">
        <v>68.676000000000002</v>
      </c>
      <c r="AD40" s="755">
        <v>71.010999999999996</v>
      </c>
      <c r="AE40" s="755">
        <v>74.972999999999999</v>
      </c>
      <c r="AF40" s="121">
        <v>66.599999999999994</v>
      </c>
      <c r="AG40" s="299">
        <f>AVERAGE(AD40:AF40)</f>
        <v>70.86133333333332</v>
      </c>
      <c r="AH40" s="662">
        <f>AVERAGE(AE40:AG40)</f>
        <v>70.811444444444433</v>
      </c>
      <c r="AI40" s="274">
        <f t="shared" si="3"/>
        <v>-7.0403542442832645E-2</v>
      </c>
      <c r="AJ40" s="661" t="s">
        <v>167</v>
      </c>
    </row>
    <row r="41" spans="1:36" ht="12.75" customHeight="1">
      <c r="A41" s="8"/>
      <c r="B41" s="802" t="s">
        <v>160</v>
      </c>
      <c r="C41" s="803"/>
      <c r="D41" s="804"/>
      <c r="E41" s="754"/>
      <c r="F41" s="754"/>
      <c r="G41" s="754"/>
      <c r="H41" s="754"/>
      <c r="I41" s="754"/>
      <c r="J41" s="754"/>
      <c r="K41" s="754"/>
      <c r="L41" s="754"/>
      <c r="M41" s="754"/>
      <c r="N41" s="754"/>
      <c r="O41" s="754"/>
      <c r="P41" s="754">
        <v>100.724</v>
      </c>
      <c r="Q41" s="754">
        <v>98.242000000000004</v>
      </c>
      <c r="R41" s="754">
        <v>102.916</v>
      </c>
      <c r="S41" s="754">
        <v>110.91200000000001</v>
      </c>
      <c r="T41" s="754">
        <v>118.259</v>
      </c>
      <c r="U41" s="754">
        <v>127.90900000000001</v>
      </c>
      <c r="V41" s="754">
        <v>131.459</v>
      </c>
      <c r="W41" s="754">
        <v>140.92099999999999</v>
      </c>
      <c r="X41" s="754">
        <v>149.68899999999999</v>
      </c>
      <c r="Y41" s="805">
        <v>151.68700000000001</v>
      </c>
      <c r="Z41" s="754">
        <v>159.45500000000001</v>
      </c>
      <c r="AA41" s="754">
        <v>144.07499999999999</v>
      </c>
      <c r="AB41" s="754">
        <v>140.85400000000001</v>
      </c>
      <c r="AC41" s="754">
        <v>139.22</v>
      </c>
      <c r="AD41" s="754">
        <v>139.886</v>
      </c>
      <c r="AE41" s="754">
        <v>140.11000000000001</v>
      </c>
      <c r="AF41" s="163">
        <v>223.6</v>
      </c>
      <c r="AG41" s="163">
        <v>228.9</v>
      </c>
      <c r="AH41" s="163">
        <f>241241/1000</f>
        <v>241.24100000000001</v>
      </c>
      <c r="AI41" s="273">
        <f t="shared" si="3"/>
        <v>5.3914373088685039</v>
      </c>
      <c r="AJ41" s="802" t="s">
        <v>160</v>
      </c>
    </row>
    <row r="42" spans="1:36" ht="12.75" customHeight="1">
      <c r="A42" s="8"/>
      <c r="B42" s="809" t="s">
        <v>47</v>
      </c>
      <c r="C42" s="810"/>
      <c r="D42" s="811" t="s">
        <v>71</v>
      </c>
      <c r="E42" s="756" t="s">
        <v>71</v>
      </c>
      <c r="F42" s="756"/>
      <c r="G42" s="756">
        <f>308.18+379.41</f>
        <v>687.59</v>
      </c>
      <c r="H42" s="756">
        <f>354.29+406.398</f>
        <v>760.6880000000001</v>
      </c>
      <c r="I42" s="756">
        <f>374.473+419.374</f>
        <v>793.84699999999998</v>
      </c>
      <c r="J42" s="756">
        <f>397.743+432.216</f>
        <v>829.95900000000006</v>
      </c>
      <c r="K42" s="756">
        <f>442.788+453.796</f>
        <v>896.58400000000006</v>
      </c>
      <c r="L42" s="756">
        <f>529.838+489.071</f>
        <v>1018.909</v>
      </c>
      <c r="M42" s="756">
        <f>626.004+519.749</f>
        <v>1145.7530000000002</v>
      </c>
      <c r="N42" s="756">
        <f>692.935+531.69</f>
        <v>1224.625</v>
      </c>
      <c r="O42" s="756">
        <f>794.459+557.295</f>
        <v>1351.7539999999999</v>
      </c>
      <c r="P42" s="756">
        <f>833.175+562.063</f>
        <v>1395.2379999999998</v>
      </c>
      <c r="Q42" s="756">
        <f>875.381+567.152</f>
        <v>1442.5329999999999</v>
      </c>
      <c r="R42" s="756">
        <f>973.457+579.01</f>
        <v>1552.4670000000001</v>
      </c>
      <c r="S42" s="756">
        <f>1259.867+647.42</f>
        <v>1907.2869999999998</v>
      </c>
      <c r="T42" s="756">
        <f>1475.057+676.929</f>
        <v>2151.9859999999999</v>
      </c>
      <c r="U42" s="756">
        <f>1695.624+709.535</f>
        <v>2405.1590000000001</v>
      </c>
      <c r="V42" s="756">
        <f>1890.459+729.202</f>
        <v>2619.6610000000001</v>
      </c>
      <c r="W42" s="756">
        <f>2066.007+744.217</f>
        <v>2810.2240000000002</v>
      </c>
      <c r="X42" s="756">
        <f>2204.951+727.302</f>
        <v>2932.2530000000002</v>
      </c>
      <c r="Y42" s="756">
        <f>2399.038+726.359</f>
        <v>3125.3969999999999</v>
      </c>
      <c r="Z42" s="756">
        <f>2611.104+728.458</f>
        <v>3339.5619999999999</v>
      </c>
      <c r="AA42" s="756">
        <f>2794.606+751.65</f>
        <v>3546.2560000000003</v>
      </c>
      <c r="AB42" s="756">
        <f>2933.05+755.95</f>
        <v>3689</v>
      </c>
      <c r="AC42" s="756">
        <f>3638.989+197.218</f>
        <v>3836.2069999999999</v>
      </c>
      <c r="AD42" s="756">
        <f>3844.725+214.893</f>
        <v>4059.6179999999999</v>
      </c>
      <c r="AE42" s="756">
        <f>4042.218+225.599</f>
        <v>4267.817</v>
      </c>
      <c r="AF42" s="122">
        <v>4481.3</v>
      </c>
      <c r="AG42" s="122">
        <f>4364.97+236.072</f>
        <v>4601.0420000000004</v>
      </c>
      <c r="AH42" s="174">
        <f>(3796919+605813+238668)/1000</f>
        <v>4641.3999999999996</v>
      </c>
      <c r="AI42" s="277">
        <f t="shared" si="3"/>
        <v>0.87714913273990192</v>
      </c>
      <c r="AJ42" s="809" t="s">
        <v>47</v>
      </c>
    </row>
    <row r="43" spans="1:36" ht="12.75" customHeight="1">
      <c r="A43" s="8"/>
      <c r="B43" s="817" t="s">
        <v>33</v>
      </c>
      <c r="C43" s="818"/>
      <c r="D43" s="819" t="s">
        <v>71</v>
      </c>
      <c r="E43" s="820">
        <f>7.707+5.415</f>
        <v>13.122</v>
      </c>
      <c r="F43" s="820">
        <f>7.615+7.008</f>
        <v>14.623000000000001</v>
      </c>
      <c r="G43" s="820">
        <f>6.777+8.068</f>
        <v>14.844999999999999</v>
      </c>
      <c r="H43" s="820">
        <f>6.506+7.945</f>
        <v>14.451000000000001</v>
      </c>
      <c r="I43" s="820">
        <f>6.392+7.956</f>
        <v>14.348000000000001</v>
      </c>
      <c r="J43" s="820">
        <f>6.445+8.312</f>
        <v>14.757</v>
      </c>
      <c r="K43" s="820">
        <f>6.594+8.666</f>
        <v>15.260000000000002</v>
      </c>
      <c r="L43" s="820">
        <f>6.812+9.216</f>
        <v>16.027999999999999</v>
      </c>
      <c r="M43" s="820">
        <f>6.76+9.79</f>
        <v>16.549999999999997</v>
      </c>
      <c r="N43" s="820">
        <f>7.028+10.779</f>
        <v>17.806999999999999</v>
      </c>
      <c r="O43" s="820">
        <f>7.466+11.966</f>
        <v>19.431999999999999</v>
      </c>
      <c r="P43" s="820">
        <f>7.618+12.372</f>
        <v>19.990000000000002</v>
      </c>
      <c r="Q43" s="820">
        <f>7.664+12.614</f>
        <v>20.277999999999999</v>
      </c>
      <c r="R43" s="820">
        <f>8.04+13.195</f>
        <v>21.234999999999999</v>
      </c>
      <c r="S43" s="820">
        <v>23.035</v>
      </c>
      <c r="T43" s="820">
        <f>9.508+16.036</f>
        <v>25.544</v>
      </c>
      <c r="U43" s="820">
        <v>28.087</v>
      </c>
      <c r="V43" s="820">
        <v>31.094999999999999</v>
      </c>
      <c r="W43" s="820">
        <v>31.818999999999999</v>
      </c>
      <c r="X43" s="820">
        <f>10.458+20.465</f>
        <v>30.923000000000002</v>
      </c>
      <c r="Y43" s="820">
        <v>30.437000000000001</v>
      </c>
      <c r="Z43" s="820">
        <v>30.209</v>
      </c>
      <c r="AA43" s="820">
        <v>30.338000000000001</v>
      </c>
      <c r="AB43" s="820">
        <v>30.657</v>
      </c>
      <c r="AC43" s="820">
        <v>31.364000000000001</v>
      </c>
      <c r="AD43" s="820">
        <v>33.023000000000003</v>
      </c>
      <c r="AE43" s="821">
        <v>35.572000000000003</v>
      </c>
      <c r="AF43" s="527">
        <v>38.393999999999998</v>
      </c>
      <c r="AG43" s="163">
        <v>40.542000000000002</v>
      </c>
      <c r="AH43" s="163">
        <f>41787/1000</f>
        <v>41.786999999999999</v>
      </c>
      <c r="AI43" s="273">
        <f t="shared" si="3"/>
        <v>3.0708894479798658</v>
      </c>
      <c r="AJ43" s="817" t="s">
        <v>33</v>
      </c>
    </row>
    <row r="44" spans="1:36" ht="12.75" customHeight="1">
      <c r="A44" s="8"/>
      <c r="B44" s="661" t="s">
        <v>72</v>
      </c>
      <c r="C44" s="796"/>
      <c r="D44" s="797"/>
      <c r="E44" s="755"/>
      <c r="F44" s="755"/>
      <c r="G44" s="755"/>
      <c r="H44" s="755"/>
      <c r="I44" s="755"/>
      <c r="J44" s="755"/>
      <c r="K44" s="755"/>
      <c r="L44" s="755"/>
      <c r="M44" s="755"/>
      <c r="N44" s="755">
        <v>2.8839999999999999</v>
      </c>
      <c r="O44" s="755">
        <v>2.46</v>
      </c>
      <c r="P44" s="755">
        <v>2.6</v>
      </c>
      <c r="Q44" s="755">
        <v>2.665</v>
      </c>
      <c r="R44" s="755">
        <v>2.56</v>
      </c>
      <c r="S44" s="755">
        <v>2.5910000000000002</v>
      </c>
      <c r="T44" s="755">
        <v>2.5790000000000002</v>
      </c>
      <c r="U44" s="755">
        <v>2.5249999999999999</v>
      </c>
      <c r="V44" s="755">
        <v>2.5659999999999998</v>
      </c>
      <c r="W44" s="755">
        <v>2.6960000000000002</v>
      </c>
      <c r="X44" s="755">
        <f>2.712</f>
        <v>2.7120000000000002</v>
      </c>
      <c r="Y44" s="755">
        <v>2.7909999999999999</v>
      </c>
      <c r="Z44" s="755">
        <v>2.89</v>
      </c>
      <c r="AA44" s="755">
        <v>3.0219999999999998</v>
      </c>
      <c r="AB44" s="755">
        <v>3.0859999999999999</v>
      </c>
      <c r="AC44" s="755">
        <f>2.846+0.263</f>
        <v>3.109</v>
      </c>
      <c r="AD44" s="755">
        <v>3.1829999999999998</v>
      </c>
      <c r="AE44" s="755">
        <v>3.286</v>
      </c>
      <c r="AF44" s="121">
        <v>3.3420000000000001</v>
      </c>
      <c r="AG44" s="121">
        <v>3.4340000000000002</v>
      </c>
      <c r="AH44" s="121">
        <f>3525/1000</f>
        <v>3.5249999999999999</v>
      </c>
      <c r="AI44" s="274">
        <f t="shared" si="3"/>
        <v>2.6499708794408718</v>
      </c>
      <c r="AJ44" s="661" t="s">
        <v>72</v>
      </c>
    </row>
    <row r="45" spans="1:36" ht="12.75" customHeight="1">
      <c r="A45" s="8"/>
      <c r="B45" s="802" t="s">
        <v>63</v>
      </c>
      <c r="C45" s="803"/>
      <c r="D45" s="804" t="s">
        <v>71</v>
      </c>
      <c r="E45" s="754">
        <v>308.29899999999998</v>
      </c>
      <c r="F45" s="754">
        <v>311.06299999999999</v>
      </c>
      <c r="G45" s="754">
        <v>314.88200000000001</v>
      </c>
      <c r="H45" s="754">
        <v>323.387</v>
      </c>
      <c r="I45" s="754">
        <v>335.779</v>
      </c>
      <c r="J45" s="754">
        <v>349.50400000000002</v>
      </c>
      <c r="K45" s="754">
        <v>358.12799999999999</v>
      </c>
      <c r="L45" s="754">
        <v>377.01200000000006</v>
      </c>
      <c r="M45" s="754">
        <v>390.82900000000001</v>
      </c>
      <c r="N45" s="754">
        <v>403.03899999999999</v>
      </c>
      <c r="O45" s="754">
        <v>414.34</v>
      </c>
      <c r="P45" s="754">
        <v>426.97699999999998</v>
      </c>
      <c r="Q45" s="754">
        <v>431.02800000000002</v>
      </c>
      <c r="R45" s="754">
        <v>438.28200000000004</v>
      </c>
      <c r="S45" s="754">
        <v>449.80099999999999</v>
      </c>
      <c r="T45" s="754">
        <f>302.956+82.778+79.705</f>
        <v>465.43900000000002</v>
      </c>
      <c r="U45" s="754">
        <f>331.052+73.904+83.609</f>
        <v>488.565</v>
      </c>
      <c r="V45" s="754">
        <f>361.911+84.742+67.02</f>
        <v>513.673</v>
      </c>
      <c r="W45" s="754">
        <f>379.343+84.35+59.657</f>
        <v>523.35</v>
      </c>
      <c r="X45" s="754">
        <f>387.546+53.911+82.694</f>
        <v>524.15099999999995</v>
      </c>
      <c r="Y45" s="754">
        <f>397.279+48.432+81.33</f>
        <v>527.04100000000005</v>
      </c>
      <c r="Z45" s="754">
        <f>410.73+43.371+80.16</f>
        <v>534.26099999999997</v>
      </c>
      <c r="AA45" s="754">
        <v>542.52800000000002</v>
      </c>
      <c r="AB45" s="754">
        <f>434.636+79.437+34.232</f>
        <v>548.30499999999995</v>
      </c>
      <c r="AC45" s="754">
        <f>441.967+78.668+30.247</f>
        <v>550.88199999999995</v>
      </c>
      <c r="AD45" s="754">
        <f>450.385+77.12+26.605</f>
        <v>554.11</v>
      </c>
      <c r="AE45" s="754">
        <v>556.36</v>
      </c>
      <c r="AF45" s="163">
        <v>564.28700000000003</v>
      </c>
      <c r="AG45" s="163">
        <f>476.873+72.405+16.916</f>
        <v>566.19400000000007</v>
      </c>
      <c r="AH45" s="163">
        <f>(489417+72078+14830)/1000</f>
        <v>576.32500000000005</v>
      </c>
      <c r="AI45" s="273">
        <f t="shared" si="3"/>
        <v>1.7893160294881341</v>
      </c>
      <c r="AJ45" s="802" t="s">
        <v>63</v>
      </c>
    </row>
    <row r="46" spans="1:36" ht="12.75" customHeight="1">
      <c r="A46" s="8"/>
      <c r="B46" s="661" t="s">
        <v>34</v>
      </c>
      <c r="C46" s="796">
        <v>106.997</v>
      </c>
      <c r="D46" s="797">
        <v>169.40199999999999</v>
      </c>
      <c r="E46" s="755">
        <v>252.136</v>
      </c>
      <c r="F46" s="755">
        <v>257.64600000000002</v>
      </c>
      <c r="G46" s="755">
        <v>256.61099999999999</v>
      </c>
      <c r="H46" s="755">
        <v>253.46100000000001</v>
      </c>
      <c r="I46" s="755">
        <v>256.28500000000003</v>
      </c>
      <c r="J46" s="755">
        <v>262.35199999999998</v>
      </c>
      <c r="K46" s="755">
        <v>263.02</v>
      </c>
      <c r="L46" s="755">
        <v>264.2</v>
      </c>
      <c r="M46" s="755">
        <v>267.38</v>
      </c>
      <c r="N46" s="755">
        <v>273.95400000000001</v>
      </c>
      <c r="O46" s="755">
        <v>278.51799999999997</v>
      </c>
      <c r="P46" s="755">
        <v>285.24599999999998</v>
      </c>
      <c r="Q46" s="755">
        <v>290.142</v>
      </c>
      <c r="R46" s="755">
        <v>292.32900000000001</v>
      </c>
      <c r="S46" s="755">
        <v>298.19299999999998</v>
      </c>
      <c r="T46" s="755">
        <v>307.161</v>
      </c>
      <c r="U46" s="755">
        <v>314.04000000000002</v>
      </c>
      <c r="V46" s="755">
        <v>324.15300000000002</v>
      </c>
      <c r="W46" s="755">
        <v>326.23200000000003</v>
      </c>
      <c r="X46" s="755">
        <f>327.808</f>
        <v>327.80799999999999</v>
      </c>
      <c r="Y46" s="755">
        <v>335.2</v>
      </c>
      <c r="Z46" s="755">
        <v>348.553</v>
      </c>
      <c r="AA46" s="755">
        <v>361.92599999999999</v>
      </c>
      <c r="AB46" s="755">
        <v>371.36099999999999</v>
      </c>
      <c r="AC46" s="755">
        <v>382.28100000000001</v>
      </c>
      <c r="AD46" s="755">
        <v>393.59800000000001</v>
      </c>
      <c r="AE46" s="755">
        <v>405.56599999999997</v>
      </c>
      <c r="AF46" s="121">
        <v>416.50099999999998</v>
      </c>
      <c r="AG46" s="122">
        <v>428.80799999999999</v>
      </c>
      <c r="AH46" s="121">
        <f>452101/1000</f>
        <v>452.101</v>
      </c>
      <c r="AI46" s="274">
        <f t="shared" si="3"/>
        <v>5.4320348500960876</v>
      </c>
      <c r="AJ46" s="661" t="s">
        <v>34</v>
      </c>
    </row>
    <row r="47" spans="1:36" ht="12.75" customHeight="1">
      <c r="A47" s="8"/>
      <c r="B47" s="1057" t="s">
        <v>285</v>
      </c>
      <c r="C47" s="1057"/>
      <c r="D47" s="1057"/>
      <c r="E47" s="1057"/>
      <c r="F47" s="1057"/>
      <c r="G47" s="1057"/>
      <c r="H47" s="1057"/>
      <c r="I47" s="1057"/>
      <c r="J47" s="1057"/>
      <c r="K47" s="1057"/>
      <c r="L47" s="1057"/>
      <c r="M47" s="1057"/>
      <c r="N47" s="1057"/>
      <c r="O47" s="1057"/>
      <c r="P47" s="1057"/>
      <c r="Q47" s="1057"/>
      <c r="R47" s="1057"/>
      <c r="S47" s="1057"/>
      <c r="T47" s="1057"/>
      <c r="U47" s="1058"/>
      <c r="V47" s="1058"/>
      <c r="W47" s="1058"/>
      <c r="X47" s="1058"/>
      <c r="Y47" s="1058"/>
      <c r="Z47" s="1058"/>
      <c r="AA47" s="1058"/>
      <c r="AB47" s="1058"/>
      <c r="AC47" s="1058"/>
      <c r="AD47" s="1058"/>
      <c r="AE47" s="1058"/>
      <c r="AF47" s="1058"/>
      <c r="AG47" s="1058"/>
      <c r="AH47" s="1058"/>
      <c r="AI47" s="1058"/>
      <c r="AJ47" s="1058"/>
    </row>
    <row r="48" spans="1:36" ht="15.75" customHeight="1">
      <c r="A48" s="8"/>
      <c r="B48" s="1050" t="s">
        <v>328</v>
      </c>
      <c r="C48" s="1051"/>
      <c r="D48" s="1051"/>
      <c r="E48" s="1051"/>
      <c r="F48" s="1051"/>
      <c r="G48" s="1051"/>
      <c r="H48" s="1051"/>
      <c r="I48" s="1051"/>
      <c r="J48" s="1051"/>
      <c r="K48" s="1051"/>
      <c r="L48" s="1051"/>
      <c r="M48" s="1051"/>
      <c r="N48" s="1051"/>
      <c r="O48" s="1051"/>
      <c r="P48" s="1051"/>
      <c r="Q48" s="1051"/>
      <c r="R48" s="1051"/>
      <c r="S48" s="1051"/>
      <c r="T48" s="1051"/>
      <c r="U48" s="1051"/>
      <c r="V48" s="1051"/>
      <c r="W48" s="1051"/>
      <c r="X48" s="1051"/>
      <c r="Y48" s="1051"/>
      <c r="Z48" s="1051"/>
      <c r="AA48" s="1051"/>
      <c r="AB48" s="1051"/>
      <c r="AC48" s="1051"/>
      <c r="AD48" s="1051"/>
      <c r="AE48" s="1051"/>
      <c r="AF48" s="1051"/>
      <c r="AG48" s="1051"/>
      <c r="AH48" s="1051"/>
      <c r="AI48" s="1051"/>
      <c r="AJ48" s="1051"/>
    </row>
    <row r="49" spans="2:39" ht="17.25" customHeight="1">
      <c r="B49" s="1052" t="s">
        <v>164</v>
      </c>
      <c r="C49" s="1052"/>
      <c r="D49" s="1052"/>
      <c r="E49" s="1052"/>
      <c r="F49" s="1052"/>
      <c r="G49" s="1052"/>
      <c r="H49" s="1052"/>
      <c r="I49" s="1052"/>
      <c r="J49" s="1052"/>
      <c r="K49" s="1052"/>
      <c r="L49" s="1052"/>
      <c r="M49" s="1052"/>
      <c r="N49" s="1052"/>
      <c r="O49" s="1052"/>
      <c r="P49" s="1052"/>
      <c r="Q49" s="1052"/>
      <c r="R49" s="1052"/>
      <c r="S49" s="1052"/>
      <c r="T49" s="1052"/>
      <c r="U49" s="1052"/>
      <c r="V49" s="1052"/>
      <c r="W49" s="1052"/>
      <c r="X49" s="1052"/>
      <c r="Y49" s="1052"/>
      <c r="Z49" s="1052"/>
      <c r="AA49" s="1052"/>
      <c r="AB49" s="1052"/>
      <c r="AC49" s="1052"/>
      <c r="AD49" s="1052"/>
      <c r="AE49" s="1052"/>
      <c r="AF49" s="1052"/>
      <c r="AG49" s="1052"/>
      <c r="AH49" s="1052"/>
      <c r="AI49" s="1052"/>
      <c r="AJ49" s="1052"/>
    </row>
    <row r="50" spans="2:39" ht="12.75" customHeight="1">
      <c r="B50" s="1053" t="s">
        <v>144</v>
      </c>
      <c r="C50" s="1053"/>
      <c r="D50" s="1053"/>
      <c r="E50" s="1053"/>
      <c r="F50" s="1053"/>
      <c r="G50" s="1053"/>
      <c r="H50" s="1053"/>
      <c r="I50" s="1053"/>
      <c r="J50" s="1053"/>
      <c r="K50" s="1053"/>
      <c r="L50" s="1053"/>
      <c r="M50" s="1053"/>
      <c r="N50" s="1053"/>
      <c r="O50" s="1053"/>
      <c r="P50" s="1053"/>
      <c r="Q50" s="1053"/>
      <c r="R50" s="1053"/>
      <c r="S50" s="1053"/>
      <c r="T50" s="1053"/>
      <c r="U50" s="1053"/>
      <c r="V50" s="1053"/>
      <c r="W50" s="1053"/>
      <c r="X50" s="1053"/>
      <c r="Y50" s="1053"/>
      <c r="Z50" s="1053"/>
      <c r="AA50" s="1053"/>
      <c r="AB50" s="1053"/>
      <c r="AC50" s="1053"/>
      <c r="AD50" s="1053"/>
      <c r="AE50" s="1053"/>
      <c r="AF50" s="1053"/>
      <c r="AG50" s="1053"/>
      <c r="AH50" s="1053"/>
      <c r="AI50" s="1053"/>
      <c r="AJ50" s="1053"/>
    </row>
    <row r="51" spans="2:39" ht="11.25" customHeight="1">
      <c r="B51" s="762" t="s">
        <v>163</v>
      </c>
      <c r="C51" s="763"/>
      <c r="D51" s="763"/>
      <c r="E51" s="763"/>
      <c r="F51" s="762"/>
      <c r="G51" s="762"/>
      <c r="H51" s="762"/>
      <c r="I51" s="762"/>
      <c r="J51" s="762"/>
      <c r="K51" s="762"/>
      <c r="L51" s="762"/>
      <c r="M51" s="762"/>
      <c r="N51" s="762"/>
      <c r="O51" s="762"/>
      <c r="P51" s="762"/>
      <c r="Q51" s="762"/>
      <c r="R51" s="762"/>
      <c r="S51" s="762"/>
      <c r="T51" s="762"/>
      <c r="U51" s="762"/>
      <c r="V51" s="762"/>
      <c r="W51" s="762"/>
      <c r="X51" s="762"/>
      <c r="Y51" s="762"/>
      <c r="Z51" s="762"/>
      <c r="AA51" s="762"/>
      <c r="AB51" s="762"/>
      <c r="AC51" s="822"/>
      <c r="AD51" s="762"/>
      <c r="AE51" s="762"/>
      <c r="AF51" s="762"/>
      <c r="AG51" s="762"/>
      <c r="AH51" s="762"/>
      <c r="AI51" s="764"/>
      <c r="AJ51" s="762"/>
    </row>
    <row r="52" spans="2:39" ht="12" customHeight="1">
      <c r="B52" s="762" t="s">
        <v>181</v>
      </c>
      <c r="C52" s="763"/>
      <c r="D52" s="763"/>
      <c r="E52" s="763"/>
      <c r="F52" s="762"/>
      <c r="G52" s="762"/>
      <c r="H52" s="762"/>
      <c r="I52" s="762"/>
      <c r="J52" s="762"/>
      <c r="K52" s="762"/>
      <c r="L52" s="762"/>
      <c r="M52" s="762"/>
      <c r="N52" s="762"/>
      <c r="O52" s="762"/>
      <c r="P52" s="762"/>
      <c r="Q52" s="762"/>
      <c r="R52" s="762"/>
      <c r="S52" s="762"/>
      <c r="T52" s="762"/>
      <c r="U52" s="762"/>
      <c r="V52" s="762"/>
      <c r="W52" s="762"/>
      <c r="X52" s="762"/>
      <c r="Y52" s="762"/>
      <c r="Z52" s="762"/>
      <c r="AA52" s="762"/>
      <c r="AB52" s="762"/>
      <c r="AC52" s="822"/>
      <c r="AD52" s="762"/>
      <c r="AE52" s="762"/>
      <c r="AF52" s="762"/>
      <c r="AG52" s="762"/>
      <c r="AH52" s="762"/>
      <c r="AI52" s="764"/>
      <c r="AJ52" s="762"/>
    </row>
    <row r="53" spans="2:39">
      <c r="E53" s="303"/>
      <c r="X53" s="292"/>
      <c r="AC53" s="544"/>
    </row>
    <row r="54" spans="2:39" ht="14.25">
      <c r="B54" s="540"/>
      <c r="E54" s="3"/>
      <c r="K54" s="294"/>
      <c r="L54" s="293"/>
      <c r="M54" s="293"/>
      <c r="N54" s="293"/>
      <c r="O54" s="293"/>
      <c r="P54" s="293"/>
      <c r="Q54" s="293"/>
      <c r="AC54" s="544"/>
      <c r="AH54" s="762"/>
    </row>
    <row r="55" spans="2:39">
      <c r="V55" s="2"/>
      <c r="AH55" s="762"/>
      <c r="AJ55" s="762"/>
      <c r="AK55" s="762"/>
      <c r="AL55" s="762"/>
      <c r="AM55" s="762"/>
    </row>
    <row r="56" spans="2:39">
      <c r="AH56" s="762"/>
    </row>
    <row r="57" spans="2:39">
      <c r="N57" s="2"/>
      <c r="AH57" s="762"/>
    </row>
    <row r="58" spans="2:39">
      <c r="AH58" s="762"/>
    </row>
    <row r="59" spans="2:39">
      <c r="AH59" s="762"/>
    </row>
    <row r="60" spans="2:39">
      <c r="AH60" s="762"/>
    </row>
    <row r="61" spans="2:39">
      <c r="AH61" s="762"/>
    </row>
    <row r="62" spans="2:39">
      <c r="AH62" s="762"/>
    </row>
    <row r="63" spans="2:39">
      <c r="AH63" s="762"/>
    </row>
    <row r="64" spans="2:39">
      <c r="AH64" s="762"/>
    </row>
    <row r="65" spans="34:34">
      <c r="AH65" s="762"/>
    </row>
    <row r="66" spans="34:34">
      <c r="AH66" s="762"/>
    </row>
  </sheetData>
  <mergeCells count="7">
    <mergeCell ref="B48:AJ48"/>
    <mergeCell ref="B49:AJ49"/>
    <mergeCell ref="B50:AJ50"/>
    <mergeCell ref="B1:C1"/>
    <mergeCell ref="B2:AJ2"/>
    <mergeCell ref="B3:AJ3"/>
    <mergeCell ref="B47:AJ47"/>
  </mergeCells>
  <phoneticPr fontId="4" type="noConversion"/>
  <printOptions horizontalCentered="1"/>
  <pageMargins left="0.6692913385826772" right="0.6692913385826772" top="0.51181102362204722" bottom="0.27559055118110237" header="0" footer="0"/>
  <pageSetup paperSize="9" scale="7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11">
    <pageSetUpPr fitToPage="1"/>
  </sheetPr>
  <dimension ref="A1:AC67"/>
  <sheetViews>
    <sheetView topLeftCell="A22" zoomScaleNormal="100" workbookViewId="0">
      <selection activeCell="AB4" sqref="AB4"/>
    </sheetView>
  </sheetViews>
  <sheetFormatPr defaultRowHeight="12.75"/>
  <cols>
    <col min="1" max="1" width="3.7109375" customWidth="1"/>
    <col min="2" max="2" width="4" customWidth="1"/>
    <col min="3" max="7" width="7.28515625" style="1" customWidth="1"/>
    <col min="8" max="13" width="7.28515625" customWidth="1"/>
    <col min="14" max="21" width="7.7109375" customWidth="1"/>
    <col min="22" max="22" width="7.7109375" style="1" customWidth="1"/>
    <col min="23" max="27" width="7.7109375" customWidth="1"/>
    <col min="28" max="28" width="7.140625" style="13" customWidth="1"/>
    <col min="29" max="29" width="5.140625" customWidth="1"/>
  </cols>
  <sheetData>
    <row r="1" spans="1:29" ht="14.25" customHeight="1">
      <c r="B1" s="29"/>
      <c r="C1" s="78"/>
      <c r="D1" s="78"/>
      <c r="E1" s="78"/>
      <c r="F1" s="78"/>
      <c r="G1" s="78"/>
      <c r="H1" s="24"/>
      <c r="I1" s="24"/>
      <c r="AC1" s="17" t="s">
        <v>121</v>
      </c>
    </row>
    <row r="2" spans="1:29" s="41" customFormat="1" ht="30" customHeight="1">
      <c r="B2" s="1060" t="s">
        <v>299</v>
      </c>
      <c r="C2" s="1060"/>
      <c r="D2" s="1060"/>
      <c r="E2" s="1060"/>
      <c r="F2" s="1060"/>
      <c r="G2" s="1060"/>
      <c r="H2" s="1060"/>
      <c r="I2" s="1060"/>
      <c r="J2" s="1060"/>
      <c r="K2" s="1060"/>
      <c r="L2" s="1060"/>
      <c r="M2" s="1060"/>
      <c r="N2" s="1060"/>
      <c r="O2" s="1060"/>
      <c r="P2" s="1060"/>
      <c r="Q2" s="1060"/>
      <c r="R2" s="1060"/>
      <c r="S2" s="1060"/>
      <c r="T2" s="1060"/>
      <c r="U2" s="1060"/>
      <c r="V2" s="1060"/>
      <c r="W2" s="1060"/>
      <c r="X2" s="1060"/>
      <c r="Y2" s="1060"/>
      <c r="Z2" s="1060"/>
      <c r="AA2" s="1060"/>
      <c r="AB2" s="1060"/>
      <c r="AC2" s="1060"/>
    </row>
    <row r="3" spans="1:29" ht="15" customHeight="1">
      <c r="B3" s="1061" t="s">
        <v>100</v>
      </c>
      <c r="C3" s="1061"/>
      <c r="D3" s="1061"/>
      <c r="E3" s="1061"/>
      <c r="F3" s="1061"/>
      <c r="G3" s="1061"/>
      <c r="H3" s="1061"/>
      <c r="I3" s="1061"/>
      <c r="J3" s="1061"/>
      <c r="K3" s="1061"/>
      <c r="L3" s="1061"/>
      <c r="M3" s="1061"/>
      <c r="N3" s="1061"/>
      <c r="O3" s="1061"/>
      <c r="P3" s="1061"/>
      <c r="Q3" s="1061"/>
      <c r="R3" s="1061"/>
      <c r="S3" s="1061"/>
      <c r="T3" s="1061"/>
      <c r="U3" s="1061"/>
      <c r="V3" s="1061"/>
      <c r="W3" s="1061"/>
      <c r="X3" s="1061"/>
      <c r="Y3" s="1061"/>
      <c r="Z3" s="1061"/>
      <c r="AA3" s="1061"/>
      <c r="AB3" s="1061"/>
      <c r="AC3" s="1061"/>
    </row>
    <row r="4" spans="1:29" ht="12.75" customHeight="1">
      <c r="B4" s="4"/>
      <c r="C4" s="4"/>
      <c r="D4" s="4"/>
      <c r="E4" s="4"/>
      <c r="F4" s="4"/>
      <c r="G4" s="4"/>
      <c r="H4" s="22"/>
      <c r="P4" s="34"/>
      <c r="R4" s="55"/>
      <c r="S4" s="55"/>
      <c r="T4" s="55"/>
      <c r="U4" s="55"/>
      <c r="V4" s="55"/>
      <c r="W4" s="901"/>
      <c r="X4" s="901"/>
      <c r="Y4" s="901"/>
      <c r="Z4" s="901"/>
      <c r="AA4" s="901" t="s">
        <v>2</v>
      </c>
      <c r="AB4" s="901"/>
      <c r="AC4" s="55"/>
    </row>
    <row r="5" spans="1:29" ht="21.75" customHeight="1">
      <c r="B5" s="4"/>
      <c r="C5" s="85">
        <v>1995</v>
      </c>
      <c r="D5" s="86">
        <v>1996</v>
      </c>
      <c r="E5" s="86">
        <v>1997</v>
      </c>
      <c r="F5" s="86">
        <v>1998</v>
      </c>
      <c r="G5" s="86">
        <v>1999</v>
      </c>
      <c r="H5" s="86">
        <v>2000</v>
      </c>
      <c r="I5" s="86">
        <v>2001</v>
      </c>
      <c r="J5" s="86">
        <v>2002</v>
      </c>
      <c r="K5" s="86">
        <v>2003</v>
      </c>
      <c r="L5" s="86">
        <v>2004</v>
      </c>
      <c r="M5" s="86">
        <v>2005</v>
      </c>
      <c r="N5" s="86">
        <v>2006</v>
      </c>
      <c r="O5" s="86">
        <v>2007</v>
      </c>
      <c r="P5" s="86">
        <v>2008</v>
      </c>
      <c r="Q5" s="86">
        <v>2009</v>
      </c>
      <c r="R5" s="86">
        <v>2010</v>
      </c>
      <c r="S5" s="86">
        <v>2011</v>
      </c>
      <c r="T5" s="86">
        <v>2012</v>
      </c>
      <c r="U5" s="86">
        <v>2013</v>
      </c>
      <c r="V5" s="86">
        <v>2014</v>
      </c>
      <c r="W5" s="86">
        <v>2015</v>
      </c>
      <c r="X5" s="86">
        <v>2016</v>
      </c>
      <c r="Y5" s="86">
        <v>2017</v>
      </c>
      <c r="Z5" s="86">
        <v>2018</v>
      </c>
      <c r="AA5" s="86">
        <v>2019</v>
      </c>
      <c r="AB5" s="677" t="s">
        <v>359</v>
      </c>
      <c r="AC5" s="6"/>
    </row>
    <row r="6" spans="1:29" ht="9.9499999999999993" customHeight="1">
      <c r="B6" s="4"/>
      <c r="C6" s="42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162" t="s">
        <v>92</v>
      </c>
      <c r="AC6" s="6"/>
    </row>
    <row r="7" spans="1:29" ht="11.25" customHeight="1">
      <c r="B7" s="153" t="s">
        <v>266</v>
      </c>
      <c r="C7" s="385"/>
      <c r="D7" s="386"/>
      <c r="E7" s="386"/>
      <c r="F7" s="386"/>
      <c r="G7" s="386"/>
      <c r="H7" s="360">
        <f>SUM(H9:H35)</f>
        <v>22418.220999999994</v>
      </c>
      <c r="I7" s="360">
        <f t="shared" ref="I7:AA7" si="0">SUM(I9:I35)</f>
        <v>25101.616000000005</v>
      </c>
      <c r="J7" s="360">
        <f t="shared" si="0"/>
        <v>26057.539000000012</v>
      </c>
      <c r="K7" s="360">
        <f t="shared" si="0"/>
        <v>26882.076999999994</v>
      </c>
      <c r="L7" s="360">
        <f t="shared" si="0"/>
        <v>27345.183000000005</v>
      </c>
      <c r="M7" s="360">
        <f t="shared" si="0"/>
        <v>28596.85</v>
      </c>
      <c r="N7" s="360">
        <f t="shared" si="0"/>
        <v>29622.070999999993</v>
      </c>
      <c r="O7" s="360">
        <f t="shared" si="0"/>
        <v>31674.561000000002</v>
      </c>
      <c r="P7" s="360">
        <f t="shared" si="0"/>
        <v>30672.388999999999</v>
      </c>
      <c r="Q7" s="360">
        <f t="shared" si="0"/>
        <v>30843.010000000002</v>
      </c>
      <c r="R7" s="360">
        <f t="shared" si="0"/>
        <v>31120.667100000002</v>
      </c>
      <c r="S7" s="360">
        <f t="shared" si="0"/>
        <v>31590.514999999992</v>
      </c>
      <c r="T7" s="360">
        <f t="shared" si="0"/>
        <v>31201.971999999998</v>
      </c>
      <c r="U7" s="360">
        <f t="shared" si="0"/>
        <v>31463.286</v>
      </c>
      <c r="V7" s="360">
        <f t="shared" si="0"/>
        <v>31982.207000000002</v>
      </c>
      <c r="W7" s="360">
        <f t="shared" si="0"/>
        <v>32294.118000000002</v>
      </c>
      <c r="X7" s="360">
        <f t="shared" si="0"/>
        <v>32745.402999999998</v>
      </c>
      <c r="Y7" s="360">
        <f t="shared" si="0"/>
        <v>33916.733000000007</v>
      </c>
      <c r="Z7" s="361">
        <f t="shared" si="0"/>
        <v>34538.235000000001</v>
      </c>
      <c r="AA7" s="740">
        <f t="shared" si="0"/>
        <v>35235.606</v>
      </c>
      <c r="AB7" s="386">
        <f>AA7/Z7*100-100</f>
        <v>2.0191274973952744</v>
      </c>
      <c r="AC7" s="153" t="s">
        <v>266</v>
      </c>
    </row>
    <row r="8" spans="1:29" ht="12.75" customHeight="1">
      <c r="B8" s="50" t="s">
        <v>168</v>
      </c>
      <c r="C8" s="385"/>
      <c r="D8" s="386"/>
      <c r="E8" s="386"/>
      <c r="F8" s="386"/>
      <c r="G8" s="386"/>
      <c r="H8" s="360">
        <f t="shared" ref="H8:M8" si="1">SUM(H9:H36)</f>
        <v>23389.220999999994</v>
      </c>
      <c r="I8" s="360">
        <f t="shared" si="1"/>
        <v>26129.616000000005</v>
      </c>
      <c r="J8" s="360">
        <f t="shared" si="1"/>
        <v>27147.539000000012</v>
      </c>
      <c r="K8" s="360">
        <f t="shared" si="1"/>
        <v>28044.076999999994</v>
      </c>
      <c r="L8" s="360">
        <f t="shared" si="1"/>
        <v>28563.183000000005</v>
      </c>
      <c r="M8" s="360">
        <f t="shared" si="1"/>
        <v>29831.85</v>
      </c>
      <c r="N8" s="360">
        <f>SUM(N9:N36)</f>
        <v>30861.670999999991</v>
      </c>
      <c r="O8" s="360">
        <f>SUM(O9:O36)</f>
        <v>32954.861000000004</v>
      </c>
      <c r="P8" s="559">
        <f>SUM(P9:P36)</f>
        <v>31977.988999999998</v>
      </c>
      <c r="Q8" s="360">
        <f>SUM(Q9:Q36)</f>
        <v>32149.766000000003</v>
      </c>
      <c r="R8" s="360">
        <f>SUM(R9:R36)</f>
        <v>32385.068100000004</v>
      </c>
      <c r="S8" s="360">
        <f t="shared" ref="S8:X8" si="2">SUM(S9:S36)</f>
        <v>32857.350999999995</v>
      </c>
      <c r="T8" s="360">
        <f t="shared" si="2"/>
        <v>32453.769999999997</v>
      </c>
      <c r="U8" s="360">
        <f t="shared" si="2"/>
        <v>32707.030999999999</v>
      </c>
      <c r="V8" s="360">
        <f t="shared" si="2"/>
        <v>33222.406999999999</v>
      </c>
      <c r="W8" s="360">
        <f t="shared" si="2"/>
        <v>33547.218000000001</v>
      </c>
      <c r="X8" s="360">
        <f t="shared" si="2"/>
        <v>34015.602999999996</v>
      </c>
      <c r="Y8" s="360">
        <f>SUM(Y9:Y36)</f>
        <v>35172.593000000008</v>
      </c>
      <c r="Z8" s="648">
        <f>SUM(Z9:Z36)</f>
        <v>35803.334999999999</v>
      </c>
      <c r="AA8" s="649">
        <f>SUM(AA9:AA36)</f>
        <v>36509.006000000001</v>
      </c>
      <c r="AB8" s="900">
        <f t="shared" ref="AB8:AB45" si="3">AA8/Z8*100-100</f>
        <v>1.9709644366928387</v>
      </c>
      <c r="AC8" s="50" t="s">
        <v>168</v>
      </c>
    </row>
    <row r="9" spans="1:29" ht="12" customHeight="1">
      <c r="A9" s="3"/>
      <c r="B9" s="9" t="s">
        <v>52</v>
      </c>
      <c r="C9" s="381"/>
      <c r="D9" s="362">
        <v>212.43199999999999</v>
      </c>
      <c r="E9" s="362">
        <v>225.31700000000001</v>
      </c>
      <c r="F9" s="362">
        <v>241.11</v>
      </c>
      <c r="G9" s="362">
        <v>260.56700000000001</v>
      </c>
      <c r="H9" s="362">
        <v>277.83800000000002</v>
      </c>
      <c r="I9" s="362">
        <v>293.63</v>
      </c>
      <c r="J9" s="362">
        <v>305.51</v>
      </c>
      <c r="K9" s="362">
        <v>319.48</v>
      </c>
      <c r="L9" s="362">
        <v>322.762</v>
      </c>
      <c r="M9" s="362">
        <v>346.29300000000001</v>
      </c>
      <c r="N9" s="363">
        <v>353.71600000000001</v>
      </c>
      <c r="O9" s="362">
        <v>369.38200000000001</v>
      </c>
      <c r="P9" s="362">
        <v>382.26499999999999</v>
      </c>
      <c r="Q9" s="362">
        <v>398.56099999999998</v>
      </c>
      <c r="R9" s="362">
        <v>412.947</v>
      </c>
      <c r="S9" s="362">
        <v>424.113</v>
      </c>
      <c r="T9" s="362">
        <v>438.58800000000002</v>
      </c>
      <c r="U9" s="362">
        <v>444.74200000000002</v>
      </c>
      <c r="V9" s="362">
        <v>453.01100000000002</v>
      </c>
      <c r="W9" s="362">
        <v>461.82299999999998</v>
      </c>
      <c r="X9" s="597">
        <v>471.76600000000002</v>
      </c>
      <c r="Y9" s="363">
        <f>478.711+151.942</f>
        <v>630.65300000000002</v>
      </c>
      <c r="Z9" s="367">
        <f>488.669+160.548</f>
        <v>649.21699999999998</v>
      </c>
      <c r="AA9" s="371">
        <f>(496683+147564)/1000</f>
        <v>644.24699999999996</v>
      </c>
      <c r="AB9" s="877">
        <f t="shared" si="3"/>
        <v>-0.7655375629412049</v>
      </c>
      <c r="AC9" s="63" t="s">
        <v>52</v>
      </c>
    </row>
    <row r="10" spans="1:29" ht="12.75" customHeight="1">
      <c r="A10" s="3"/>
      <c r="B10" s="49" t="s">
        <v>35</v>
      </c>
      <c r="C10" s="364">
        <v>519.29999999999995</v>
      </c>
      <c r="D10" s="365">
        <v>521.70000000000005</v>
      </c>
      <c r="E10" s="365">
        <v>525</v>
      </c>
      <c r="F10" s="365">
        <v>515.70000000000005</v>
      </c>
      <c r="G10" s="365">
        <v>519.20000000000005</v>
      </c>
      <c r="H10" s="365">
        <v>520.5</v>
      </c>
      <c r="I10" s="365">
        <v>524.1</v>
      </c>
      <c r="J10" s="365">
        <v>528.29999999999995</v>
      </c>
      <c r="K10" s="366">
        <v>533.70000000000005</v>
      </c>
      <c r="L10" s="365">
        <v>137.69999999999999</v>
      </c>
      <c r="M10" s="366">
        <v>146.5</v>
      </c>
      <c r="N10" s="365">
        <v>76.254000000000005</v>
      </c>
      <c r="O10" s="365">
        <v>90.317999999999998</v>
      </c>
      <c r="P10" s="365">
        <v>106.911</v>
      </c>
      <c r="Q10" s="365">
        <f>117.595</f>
        <v>117.595</v>
      </c>
      <c r="R10" s="365">
        <v>125.4</v>
      </c>
      <c r="S10" s="365">
        <v>131.80000000000001</v>
      </c>
      <c r="T10" s="365">
        <v>139.80000000000001</v>
      </c>
      <c r="U10" s="365">
        <v>147.9</v>
      </c>
      <c r="V10" s="365">
        <v>154.80000000000001</v>
      </c>
      <c r="W10" s="365">
        <v>163.30000000000001</v>
      </c>
      <c r="X10" s="365">
        <v>171.7</v>
      </c>
      <c r="Y10" s="365">
        <v>180.9</v>
      </c>
      <c r="Z10" s="365">
        <v>190</v>
      </c>
      <c r="AA10" s="388">
        <f>199.1</f>
        <v>199.1</v>
      </c>
      <c r="AB10" s="878">
        <f t="shared" si="3"/>
        <v>4.7894736842105203</v>
      </c>
      <c r="AC10" s="62" t="s">
        <v>35</v>
      </c>
    </row>
    <row r="11" spans="1:29" ht="14.25" customHeight="1">
      <c r="A11" s="8"/>
      <c r="B11" s="10" t="s">
        <v>37</v>
      </c>
      <c r="C11" s="368">
        <v>915.22900000000004</v>
      </c>
      <c r="D11" s="367">
        <v>918.15899999999999</v>
      </c>
      <c r="E11" s="367">
        <v>929.62699999999995</v>
      </c>
      <c r="F11" s="369">
        <v>927.08</v>
      </c>
      <c r="G11" s="367">
        <v>799.64700000000005</v>
      </c>
      <c r="H11" s="367">
        <v>748.14</v>
      </c>
      <c r="I11" s="367">
        <v>755.48199999999997</v>
      </c>
      <c r="J11" s="367">
        <v>760.21900000000005</v>
      </c>
      <c r="K11" s="367">
        <v>751.63400000000001</v>
      </c>
      <c r="L11" s="367">
        <v>756.55899999999997</v>
      </c>
      <c r="M11" s="367">
        <v>794</v>
      </c>
      <c r="N11" s="367">
        <v>822.70299999999997</v>
      </c>
      <c r="O11" s="367">
        <v>860.13099999999997</v>
      </c>
      <c r="P11" s="367">
        <v>892.79600000000005</v>
      </c>
      <c r="Q11" s="367">
        <v>903.346</v>
      </c>
      <c r="R11" s="367">
        <v>924.29100000000005</v>
      </c>
      <c r="S11" s="367">
        <v>944.17100000000005</v>
      </c>
      <c r="T11" s="367">
        <v>976.91099999999994</v>
      </c>
      <c r="U11" s="367">
        <v>977.197</v>
      </c>
      <c r="V11" s="367">
        <v>998.81600000000003</v>
      </c>
      <c r="W11" s="367">
        <v>1046.4670000000001</v>
      </c>
      <c r="X11" s="367">
        <v>1074.8800000000001</v>
      </c>
      <c r="Y11" s="367">
        <v>1102.4000000000001</v>
      </c>
      <c r="Z11" s="367">
        <v>1132.08</v>
      </c>
      <c r="AA11" s="371">
        <f>1163140/1000</f>
        <v>1163.1400000000001</v>
      </c>
      <c r="AB11" s="877">
        <f t="shared" si="3"/>
        <v>2.7436223588439077</v>
      </c>
      <c r="AC11" s="64" t="s">
        <v>37</v>
      </c>
    </row>
    <row r="12" spans="1:29" ht="12.75" customHeight="1">
      <c r="A12" s="8"/>
      <c r="B12" s="49" t="s">
        <v>48</v>
      </c>
      <c r="C12" s="364">
        <v>58.014000000000003</v>
      </c>
      <c r="D12" s="365">
        <v>73.849999999999994</v>
      </c>
      <c r="E12" s="365">
        <v>93.875</v>
      </c>
      <c r="F12" s="365">
        <v>112.12</v>
      </c>
      <c r="G12" s="365">
        <v>126.938</v>
      </c>
      <c r="H12" s="365">
        <v>138.31</v>
      </c>
      <c r="I12" s="365">
        <v>146.36500000000001</v>
      </c>
      <c r="J12" s="365">
        <v>151.322</v>
      </c>
      <c r="K12" s="365">
        <v>155.74</v>
      </c>
      <c r="L12" s="365">
        <v>162.12799999999999</v>
      </c>
      <c r="M12" s="366">
        <f>105.264+66.653</f>
        <v>171.917</v>
      </c>
      <c r="N12" s="365">
        <f>118.752+65.284</f>
        <v>184.036</v>
      </c>
      <c r="O12" s="365">
        <f>133.914+63.263</f>
        <v>197.17699999999999</v>
      </c>
      <c r="P12" s="365">
        <v>204.76999999999998</v>
      </c>
      <c r="Q12" s="365">
        <f>147.373+57.866</f>
        <v>205.23899999999998</v>
      </c>
      <c r="R12" s="365">
        <f>148.766+54.842</f>
        <v>203.608</v>
      </c>
      <c r="S12" s="365">
        <v>200.59700000000001</v>
      </c>
      <c r="T12" s="365">
        <v>199.24299999999999</v>
      </c>
      <c r="U12" s="365">
        <v>198.07599999999999</v>
      </c>
      <c r="V12" s="365">
        <f>151.542+45.97</f>
        <v>197.512</v>
      </c>
      <c r="W12" s="365">
        <f>153.411+44.624</f>
        <v>198.035</v>
      </c>
      <c r="X12" s="365">
        <v>197.5</v>
      </c>
      <c r="Y12" s="365">
        <v>198</v>
      </c>
      <c r="Z12" s="365">
        <f>160.823+38.404</f>
        <v>199.227</v>
      </c>
      <c r="AA12" s="388">
        <v>194.25399999999999</v>
      </c>
      <c r="AB12" s="878">
        <f t="shared" si="3"/>
        <v>-2.4961476105146403</v>
      </c>
      <c r="AC12" s="62" t="s">
        <v>48</v>
      </c>
    </row>
    <row r="13" spans="1:29" ht="12.75" customHeight="1">
      <c r="A13" s="8"/>
      <c r="B13" s="10" t="s">
        <v>53</v>
      </c>
      <c r="C13" s="368">
        <f>1728.057+2267.428</f>
        <v>3995.4849999999997</v>
      </c>
      <c r="D13" s="369">
        <f>1666.995+2470.451</f>
        <v>4137.4459999999999</v>
      </c>
      <c r="E13" s="367">
        <f>1634.083+2096.673</f>
        <v>3730.7559999999999</v>
      </c>
      <c r="F13" s="367">
        <f>1747.139+2427.207</f>
        <v>4174.3459999999995</v>
      </c>
      <c r="G13" s="367">
        <f>1742.704+2646.497</f>
        <v>4389.201</v>
      </c>
      <c r="H13" s="367">
        <f>1594.749+2843.333</f>
        <v>4438.0820000000003</v>
      </c>
      <c r="I13" s="367">
        <f>1682.523+2984.626</f>
        <v>4667.1490000000003</v>
      </c>
      <c r="J13" s="367">
        <f>1583.917+3093.968</f>
        <v>4677.8850000000002</v>
      </c>
      <c r="K13" s="367">
        <f>1662.765+3201.042</f>
        <v>4863.8069999999998</v>
      </c>
      <c r="L13" s="367">
        <f>1785.62+3292.362</f>
        <v>5077.982</v>
      </c>
      <c r="M13" s="367">
        <f>1818.629+3384.272</f>
        <v>5202.9009999999998</v>
      </c>
      <c r="N13" s="367">
        <f>1930.185+3475.715</f>
        <v>5405.9</v>
      </c>
      <c r="O13" s="367">
        <f>1983.845+3566.122</f>
        <v>5549.9669999999996</v>
      </c>
      <c r="P13" s="370">
        <f>3658.59</f>
        <v>3658.59</v>
      </c>
      <c r="Q13" s="367">
        <f>3762.561</f>
        <v>3762.5610000000001</v>
      </c>
      <c r="R13" s="367">
        <f>3827.894</f>
        <v>3827.8939999999998</v>
      </c>
      <c r="S13" s="367">
        <f>3908.072</f>
        <v>3908.0720000000001</v>
      </c>
      <c r="T13" s="367">
        <f>3982.978</f>
        <v>3982.9780000000001</v>
      </c>
      <c r="U13" s="367">
        <f>4054.946</f>
        <v>4054.9459999999999</v>
      </c>
      <c r="V13" s="367">
        <f>4145.392</f>
        <v>4145.3919999999998</v>
      </c>
      <c r="W13" s="367">
        <f>4228.238</f>
        <v>4228.2380000000003</v>
      </c>
      <c r="X13" s="367">
        <f>4314.493</f>
        <v>4314.4930000000004</v>
      </c>
      <c r="Y13" s="367">
        <v>4372.9780000000001</v>
      </c>
      <c r="Z13" s="367">
        <v>4438.6000000000004</v>
      </c>
      <c r="AA13" s="371">
        <f>4506410/1000</f>
        <v>4506.41</v>
      </c>
      <c r="AB13" s="877">
        <f t="shared" si="3"/>
        <v>1.5277339701707575</v>
      </c>
      <c r="AC13" s="64" t="s">
        <v>53</v>
      </c>
    </row>
    <row r="14" spans="1:29" ht="12.75" customHeight="1">
      <c r="A14" s="8"/>
      <c r="B14" s="49" t="s">
        <v>38</v>
      </c>
      <c r="C14" s="364">
        <v>3.3</v>
      </c>
      <c r="D14" s="365">
        <v>4.7</v>
      </c>
      <c r="E14" s="365">
        <v>5.3</v>
      </c>
      <c r="F14" s="365">
        <v>6.1</v>
      </c>
      <c r="G14" s="365">
        <v>6.7</v>
      </c>
      <c r="H14" s="365">
        <v>6.7</v>
      </c>
      <c r="I14" s="365">
        <v>6.8</v>
      </c>
      <c r="J14" s="365">
        <v>7.3</v>
      </c>
      <c r="K14" s="365">
        <v>8.1</v>
      </c>
      <c r="L14" s="365">
        <v>9.1</v>
      </c>
      <c r="M14" s="365">
        <v>10.234</v>
      </c>
      <c r="N14" s="365">
        <v>12.593999999999999</v>
      </c>
      <c r="O14" s="365">
        <v>14.78</v>
      </c>
      <c r="P14" s="365">
        <v>17.622</v>
      </c>
      <c r="Q14" s="365">
        <f>18.6</f>
        <v>18.600000000000001</v>
      </c>
      <c r="R14" s="365">
        <v>19.7</v>
      </c>
      <c r="S14" s="372">
        <v>23.216999999999999</v>
      </c>
      <c r="T14" s="365">
        <v>35.273000000000003</v>
      </c>
      <c r="U14" s="365">
        <f>24.8+13.9</f>
        <v>38.700000000000003</v>
      </c>
      <c r="V14" s="365">
        <f>27+15.3</f>
        <v>42.3</v>
      </c>
      <c r="W14" s="365">
        <f>16.5+29</f>
        <v>45.5</v>
      </c>
      <c r="X14" s="365">
        <f>31.2+17.6</f>
        <v>48.8</v>
      </c>
      <c r="Y14" s="365">
        <v>51.7</v>
      </c>
      <c r="Z14" s="365">
        <f>34.6+19.9</f>
        <v>54.5</v>
      </c>
      <c r="AA14" s="388">
        <f>(36782+21085)/1000</f>
        <v>57.866999999999997</v>
      </c>
      <c r="AB14" s="878">
        <f t="shared" si="3"/>
        <v>6.1779816513761574</v>
      </c>
      <c r="AC14" s="62" t="s">
        <v>38</v>
      </c>
    </row>
    <row r="15" spans="1:29" ht="12.75" customHeight="1">
      <c r="A15" s="8"/>
      <c r="B15" s="10" t="s">
        <v>56</v>
      </c>
      <c r="C15" s="368">
        <v>23.452000000000002</v>
      </c>
      <c r="D15" s="367">
        <v>23.847000000000001</v>
      </c>
      <c r="E15" s="367">
        <v>24.423999999999999</v>
      </c>
      <c r="F15" s="367">
        <v>24.398</v>
      </c>
      <c r="G15" s="367">
        <v>26.677</v>
      </c>
      <c r="H15" s="367">
        <v>30.638000000000002</v>
      </c>
      <c r="I15" s="367">
        <v>32.912999999999997</v>
      </c>
      <c r="J15" s="367">
        <v>33.146999999999998</v>
      </c>
      <c r="K15" s="367">
        <v>35.094000000000001</v>
      </c>
      <c r="L15" s="367">
        <v>34.853999999999999</v>
      </c>
      <c r="M15" s="367">
        <v>34.299999999999997</v>
      </c>
      <c r="N15" s="367">
        <v>34.927</v>
      </c>
      <c r="O15" s="367">
        <v>37.177999999999997</v>
      </c>
      <c r="P15" s="367">
        <v>39.408999999999999</v>
      </c>
      <c r="Q15" s="367">
        <v>39.552</v>
      </c>
      <c r="R15" s="367">
        <f>38.145</f>
        <v>38.145000000000003</v>
      </c>
      <c r="S15" s="367">
        <v>36.582000000000001</v>
      </c>
      <c r="T15" s="367">
        <v>35.106000000000002</v>
      </c>
      <c r="U15" s="367">
        <v>36.622999999999998</v>
      </c>
      <c r="V15" s="367">
        <v>36.573</v>
      </c>
      <c r="W15" s="367">
        <v>36.973999999999997</v>
      </c>
      <c r="X15" s="367">
        <v>38.023000000000003</v>
      </c>
      <c r="Y15" s="367">
        <v>39.872999999999998</v>
      </c>
      <c r="Z15" s="367">
        <v>40.198</v>
      </c>
      <c r="AA15" s="371">
        <f>42.492</f>
        <v>42.491999999999997</v>
      </c>
      <c r="AB15" s="877">
        <f t="shared" si="3"/>
        <v>5.7067515796805708</v>
      </c>
      <c r="AC15" s="64" t="s">
        <v>56</v>
      </c>
    </row>
    <row r="16" spans="1:29" ht="12.75" customHeight="1">
      <c r="A16" s="8"/>
      <c r="B16" s="49" t="s">
        <v>49</v>
      </c>
      <c r="C16" s="364"/>
      <c r="D16" s="365"/>
      <c r="E16" s="365"/>
      <c r="F16" s="365"/>
      <c r="G16" s="365"/>
      <c r="H16" s="365">
        <v>781.36099999999999</v>
      </c>
      <c r="I16" s="365">
        <v>853.36599999999999</v>
      </c>
      <c r="J16" s="365">
        <v>910.55499999999995</v>
      </c>
      <c r="K16" s="365">
        <v>969.89499999999998</v>
      </c>
      <c r="L16" s="365">
        <v>1042.605</v>
      </c>
      <c r="M16" s="365">
        <v>1124.172</v>
      </c>
      <c r="N16" s="365">
        <v>1205.816</v>
      </c>
      <c r="O16" s="365">
        <v>1298.6880000000001</v>
      </c>
      <c r="P16" s="365">
        <v>1388.607</v>
      </c>
      <c r="Q16" s="365">
        <v>1448.8510000000001</v>
      </c>
      <c r="R16" s="365">
        <v>1499.133</v>
      </c>
      <c r="S16" s="365">
        <v>1534.902</v>
      </c>
      <c r="T16" s="365">
        <v>1556.4349999999999</v>
      </c>
      <c r="U16" s="365">
        <f>1568.596</f>
        <v>1568.596</v>
      </c>
      <c r="V16" s="365">
        <v>1619.6210000000001</v>
      </c>
      <c r="W16" s="365">
        <v>1653.528</v>
      </c>
      <c r="X16" s="365">
        <v>1656.6569999999999</v>
      </c>
      <c r="Y16" s="365">
        <v>1583.491</v>
      </c>
      <c r="Z16" s="365">
        <v>1609.923</v>
      </c>
      <c r="AA16" s="388">
        <v>1637.6079999999999</v>
      </c>
      <c r="AB16" s="878">
        <f t="shared" si="3"/>
        <v>1.7196474614003137</v>
      </c>
      <c r="AC16" s="62" t="s">
        <v>49</v>
      </c>
    </row>
    <row r="17" spans="1:29" ht="12.75" customHeight="1">
      <c r="A17" s="8"/>
      <c r="B17" s="10" t="s">
        <v>54</v>
      </c>
      <c r="C17" s="368">
        <v>1301.18</v>
      </c>
      <c r="D17" s="367">
        <v>1308.2080000000001</v>
      </c>
      <c r="E17" s="367">
        <v>1326.3330000000001</v>
      </c>
      <c r="F17" s="367">
        <v>1361.155</v>
      </c>
      <c r="G17" s="367">
        <v>1403.771</v>
      </c>
      <c r="H17" s="369">
        <v>1445.644</v>
      </c>
      <c r="I17" s="367">
        <f>1483.442+1806.758</f>
        <v>3290.2</v>
      </c>
      <c r="J17" s="367">
        <f>1517.208+2044.242</f>
        <v>3561.45</v>
      </c>
      <c r="K17" s="367">
        <f>1513.526+2143.593</f>
        <v>3657.1189999999997</v>
      </c>
      <c r="L17" s="367">
        <f>1612.082+2242.046</f>
        <v>3854.1279999999997</v>
      </c>
      <c r="M17" s="367">
        <f>1805.827+2311.773</f>
        <v>4117.6000000000004</v>
      </c>
      <c r="N17" s="367">
        <f>2058.022+2343.124</f>
        <v>4401.1459999999997</v>
      </c>
      <c r="O17" s="367">
        <f>2311.346+2430.414</f>
        <v>4741.76</v>
      </c>
      <c r="P17" s="367">
        <f>2500.819+2410.685</f>
        <v>4911.5039999999999</v>
      </c>
      <c r="Q17" s="367">
        <f>2352.205+2606.674</f>
        <v>4958.8789999999999</v>
      </c>
      <c r="R17" s="367">
        <f>2290.207+2707.482</f>
        <v>4997.6890000000003</v>
      </c>
      <c r="S17" s="367">
        <f>2229.418+2798.043</f>
        <v>5027.4610000000002</v>
      </c>
      <c r="T17" s="367">
        <f>2852.297+2169.668</f>
        <v>5021.9650000000001</v>
      </c>
      <c r="U17" s="367">
        <f>2107.116+2891.204</f>
        <v>4998.32</v>
      </c>
      <c r="V17" s="367">
        <f>2061.044+2972.165</f>
        <v>5033.2089999999998</v>
      </c>
      <c r="W17" s="367">
        <f>3079.463+2023.211</f>
        <v>5102.674</v>
      </c>
      <c r="X17" s="367">
        <f>3211.47+1987.542</f>
        <v>5199.0119999999997</v>
      </c>
      <c r="Y17" s="367">
        <f>3327.048+1957.756</f>
        <v>5284.8040000000001</v>
      </c>
      <c r="Z17" s="367">
        <f>3459.722+ 1933.479</f>
        <v>5393.201</v>
      </c>
      <c r="AA17" s="367">
        <f>(3607226+1908492)/1000</f>
        <v>5515.7179999999998</v>
      </c>
      <c r="AB17" s="877">
        <f t="shared" si="3"/>
        <v>2.2716935638037654</v>
      </c>
      <c r="AC17" s="64" t="s">
        <v>54</v>
      </c>
    </row>
    <row r="18" spans="1:29" ht="12.75" customHeight="1">
      <c r="A18" s="8"/>
      <c r="B18" s="49" t="s">
        <v>55</v>
      </c>
      <c r="C18" s="364">
        <f>1562+727</f>
        <v>2289</v>
      </c>
      <c r="D18" s="365">
        <f>1540+738</f>
        <v>2278</v>
      </c>
      <c r="E18" s="365">
        <f>1518+780</f>
        <v>2298</v>
      </c>
      <c r="F18" s="365">
        <f>1482+839</f>
        <v>2321</v>
      </c>
      <c r="G18" s="365">
        <f>1461+912</f>
        <v>2373</v>
      </c>
      <c r="H18" s="365">
        <f>1442+968</f>
        <v>2410</v>
      </c>
      <c r="I18" s="365">
        <f>1421+1019</f>
        <v>2440</v>
      </c>
      <c r="J18" s="365">
        <f>1387+1054</f>
        <v>2441</v>
      </c>
      <c r="K18" s="365">
        <f>1357+1091</f>
        <v>2448</v>
      </c>
      <c r="L18" s="365">
        <f>1331+1131</f>
        <v>2462</v>
      </c>
      <c r="M18" s="365">
        <f>1297.698+1177.608</f>
        <v>2475.306</v>
      </c>
      <c r="N18" s="365">
        <f>1295.316+1248.245</f>
        <v>2543.5609999999997</v>
      </c>
      <c r="O18" s="372">
        <f>1939+1801</f>
        <v>3740</v>
      </c>
      <c r="P18" s="365">
        <v>3857</v>
      </c>
      <c r="Q18" s="365">
        <f>1748+1784</f>
        <v>3532</v>
      </c>
      <c r="R18" s="365">
        <f>1713+1847.951</f>
        <v>3560.951</v>
      </c>
      <c r="S18" s="365">
        <f>1591.636+1847.781</f>
        <v>3439.4169999999999</v>
      </c>
      <c r="T18" s="365">
        <v>3089.125</v>
      </c>
      <c r="U18" s="365">
        <f>1343.411+1592.882</f>
        <v>2936.2930000000001</v>
      </c>
      <c r="V18" s="365">
        <f>1272.214+1542.88</f>
        <v>2815.0940000000001</v>
      </c>
      <c r="W18" s="365">
        <f>1197.031+1497.135</f>
        <v>2694.1660000000002</v>
      </c>
      <c r="X18" s="365">
        <v>2553</v>
      </c>
      <c r="Y18" s="365">
        <v>3034</v>
      </c>
      <c r="Z18" s="378">
        <v>3034</v>
      </c>
      <c r="AA18" s="600">
        <f>Z18</f>
        <v>3034</v>
      </c>
      <c r="AB18" s="878">
        <f t="shared" si="3"/>
        <v>0</v>
      </c>
      <c r="AC18" s="62" t="s">
        <v>55</v>
      </c>
    </row>
    <row r="19" spans="1:29" ht="12.75" customHeight="1">
      <c r="A19" s="8"/>
      <c r="B19" s="10" t="s">
        <v>66</v>
      </c>
      <c r="C19" s="367">
        <v>9.9329999999999998</v>
      </c>
      <c r="D19" s="367">
        <v>14.128</v>
      </c>
      <c r="E19" s="367">
        <v>17.401</v>
      </c>
      <c r="F19" s="367">
        <v>18.957000000000001</v>
      </c>
      <c r="G19" s="367">
        <v>20.498999999999999</v>
      </c>
      <c r="H19" s="367">
        <v>21.867999999999999</v>
      </c>
      <c r="I19" s="369">
        <v>24.305</v>
      </c>
      <c r="J19" s="367">
        <v>85.216999999999999</v>
      </c>
      <c r="K19" s="367">
        <v>99.137</v>
      </c>
      <c r="L19" s="367">
        <v>112.907</v>
      </c>
      <c r="M19" s="367">
        <v>128.38200000000001</v>
      </c>
      <c r="N19" s="367">
        <v>143.48599999999999</v>
      </c>
      <c r="O19" s="367">
        <f>56.401+106.343</f>
        <v>162.744</v>
      </c>
      <c r="P19" s="367">
        <v>183.81399999999999</v>
      </c>
      <c r="Q19" s="367">
        <f>63.691+120.792</f>
        <v>184.483</v>
      </c>
      <c r="R19" s="367">
        <f>62.21+114.563</f>
        <v>176.773</v>
      </c>
      <c r="S19" s="367">
        <f>112.166+62.876</f>
        <v>175.042</v>
      </c>
      <c r="T19" s="367">
        <v>156.98099999999999</v>
      </c>
      <c r="U19" s="367">
        <v>154.78200000000001</v>
      </c>
      <c r="V19" s="367">
        <v>153.053</v>
      </c>
      <c r="W19" s="367">
        <v>151.27699999999999</v>
      </c>
      <c r="X19" s="367">
        <f>65.366+87.507</f>
        <v>152.87299999999999</v>
      </c>
      <c r="Y19" s="367">
        <f>85.121+69.148</f>
        <v>154.26900000000001</v>
      </c>
      <c r="Z19" s="367">
        <f>83.362+73.997</f>
        <v>157.35899999999998</v>
      </c>
      <c r="AA19" s="371">
        <f>(80738+78650)/1000</f>
        <v>159.38800000000001</v>
      </c>
      <c r="AB19" s="877">
        <f t="shared" si="3"/>
        <v>1.2894082956805875</v>
      </c>
      <c r="AC19" s="64" t="s">
        <v>66</v>
      </c>
    </row>
    <row r="20" spans="1:29" ht="12.75" customHeight="1">
      <c r="A20" s="8"/>
      <c r="B20" s="154" t="s">
        <v>57</v>
      </c>
      <c r="C20" s="373">
        <f>2530.75+3697.545</f>
        <v>6228.2950000000001</v>
      </c>
      <c r="D20" s="374">
        <f>2572.926+3818.309</f>
        <v>6391.2350000000006</v>
      </c>
      <c r="E20" s="374">
        <f>2597.857+3831.657</f>
        <v>6429.5140000000001</v>
      </c>
      <c r="F20" s="374">
        <f>2723.002+4100.321</f>
        <v>6823.3230000000003</v>
      </c>
      <c r="G20" s="374">
        <f>2975.651+4431.146</f>
        <v>7406.7969999999996</v>
      </c>
      <c r="H20" s="374">
        <f>3375.782+4451.124</f>
        <v>7826.9059999999999</v>
      </c>
      <c r="I20" s="374">
        <f>3732.306+4495.813</f>
        <v>8228.1190000000006</v>
      </c>
      <c r="J20" s="374">
        <f>4037.48+4540.906</f>
        <v>8578.3860000000004</v>
      </c>
      <c r="K20" s="374">
        <f>4375.947+4586.452</f>
        <v>8962.3990000000013</v>
      </c>
      <c r="L20" s="374">
        <f>4632.399+4574.644</f>
        <v>9207.0430000000015</v>
      </c>
      <c r="M20" s="374">
        <f>4360+4938.359</f>
        <v>9298.3590000000004</v>
      </c>
      <c r="N20" s="374">
        <f>4050+5288.818</f>
        <v>9338.8179999999993</v>
      </c>
      <c r="O20" s="374">
        <f>3690+5590.259</f>
        <v>9280.259</v>
      </c>
      <c r="P20" s="374">
        <v>9180.094000000001</v>
      </c>
      <c r="Q20" s="374">
        <f>6118.098+2900</f>
        <v>9018.098</v>
      </c>
      <c r="R20" s="374">
        <f>6305.032+2550</f>
        <v>8855.0319999999992</v>
      </c>
      <c r="S20" s="374">
        <f>6428.476+2550</f>
        <v>8978.4759999999987</v>
      </c>
      <c r="T20" s="374">
        <f>6428.796+2153.454</f>
        <v>8582.25</v>
      </c>
      <c r="U20" s="374">
        <f>6481.77+2256.078</f>
        <v>8737.848</v>
      </c>
      <c r="V20" s="374">
        <f>6505.62+2516.612</f>
        <v>9022.232</v>
      </c>
      <c r="W20" s="374">
        <f>6543.612+2421.947</f>
        <v>8965.5590000000011</v>
      </c>
      <c r="X20" s="374">
        <f>6606.844+2476.819</f>
        <v>9083.6630000000005</v>
      </c>
      <c r="Y20" s="374">
        <f>6689.911+2528.419</f>
        <v>9218.33</v>
      </c>
      <c r="Z20" s="374">
        <f>6780.733+2574.005</f>
        <v>9354.7380000000012</v>
      </c>
      <c r="AA20" s="392">
        <f>(6896048+2625485)/1000</f>
        <v>9521.5329999999994</v>
      </c>
      <c r="AB20" s="878">
        <f t="shared" si="3"/>
        <v>1.7830002294024609</v>
      </c>
      <c r="AC20" s="304" t="s">
        <v>57</v>
      </c>
    </row>
    <row r="21" spans="1:29" ht="12.75" customHeight="1">
      <c r="A21" s="8"/>
      <c r="B21" s="10" t="s">
        <v>36</v>
      </c>
      <c r="C21" s="368">
        <v>50.393000000000001</v>
      </c>
      <c r="D21" s="367"/>
      <c r="E21" s="367"/>
      <c r="F21" s="367">
        <v>44.337000000000003</v>
      </c>
      <c r="G21" s="367">
        <v>44.756</v>
      </c>
      <c r="H21" s="367">
        <v>43.314999999999998</v>
      </c>
      <c r="I21" s="367">
        <v>41.984999999999999</v>
      </c>
      <c r="J21" s="367">
        <v>40.276000000000003</v>
      </c>
      <c r="K21" s="367">
        <v>41.515999999999998</v>
      </c>
      <c r="L21" s="367">
        <v>41.396000000000001</v>
      </c>
      <c r="M21" s="367">
        <v>40.381</v>
      </c>
      <c r="N21" s="367">
        <v>40.359000000000002</v>
      </c>
      <c r="O21" s="367">
        <v>41.210999999999999</v>
      </c>
      <c r="P21" s="367">
        <v>43.219000000000001</v>
      </c>
      <c r="Q21" s="367">
        <f>23.473+19.217</f>
        <v>42.69</v>
      </c>
      <c r="R21" s="367">
        <f>23.677+17.05</f>
        <v>40.727000000000004</v>
      </c>
      <c r="S21" s="367">
        <f>23.864+15.939</f>
        <v>39.802999999999997</v>
      </c>
      <c r="T21" s="367">
        <f>25.293+15.812</f>
        <v>41.104999999999997</v>
      </c>
      <c r="U21" s="528">
        <f>14.745+25.224</f>
        <v>39.969000000000001</v>
      </c>
      <c r="V21" s="367">
        <f>14.392+26.578</f>
        <v>40.97</v>
      </c>
      <c r="W21" s="367">
        <f>13.48+25.802</f>
        <v>39.281999999999996</v>
      </c>
      <c r="X21" s="367">
        <f>12.828+26.414</f>
        <v>39.242000000000004</v>
      </c>
      <c r="Y21" s="367">
        <v>39.4</v>
      </c>
      <c r="Z21" s="367">
        <v>39.764000000000003</v>
      </c>
      <c r="AA21" s="371">
        <f>39703/1000</f>
        <v>39.703000000000003</v>
      </c>
      <c r="AB21" s="877">
        <f t="shared" si="3"/>
        <v>-0.15340509003118541</v>
      </c>
      <c r="AC21" s="64" t="s">
        <v>36</v>
      </c>
    </row>
    <row r="22" spans="1:29" ht="12.75" customHeight="1">
      <c r="A22" s="8"/>
      <c r="B22" s="154" t="s">
        <v>40</v>
      </c>
      <c r="C22" s="373">
        <v>15.792</v>
      </c>
      <c r="D22" s="374">
        <v>18.443999999999999</v>
      </c>
      <c r="E22" s="374">
        <v>19.266999999999999</v>
      </c>
      <c r="F22" s="374">
        <v>19.408999999999999</v>
      </c>
      <c r="G22" s="374">
        <v>20.056999999999999</v>
      </c>
      <c r="H22" s="377">
        <v>20.731999999999999</v>
      </c>
      <c r="I22" s="374">
        <v>21.37</v>
      </c>
      <c r="J22" s="374">
        <v>22.16</v>
      </c>
      <c r="K22" s="377">
        <v>22.88</v>
      </c>
      <c r="L22" s="374">
        <f>23.982+5.943</f>
        <v>29.924999999999997</v>
      </c>
      <c r="M22" s="374">
        <f>25.193+7.284</f>
        <v>32.477000000000004</v>
      </c>
      <c r="N22" s="374">
        <f>27.21+9.664</f>
        <v>36.874000000000002</v>
      </c>
      <c r="O22" s="374">
        <f>30.87+13.542</f>
        <v>44.411999999999999</v>
      </c>
      <c r="P22" s="374">
        <v>51.284000000000006</v>
      </c>
      <c r="Q22" s="374">
        <f>18.373+33.59</f>
        <v>51.963000000000008</v>
      </c>
      <c r="R22" s="375">
        <v>36.673999999999999</v>
      </c>
      <c r="S22" s="374">
        <v>38.622999999999998</v>
      </c>
      <c r="T22" s="374">
        <v>41.088000000000001</v>
      </c>
      <c r="U22" s="374">
        <v>43.588000000000001</v>
      </c>
      <c r="V22" s="374">
        <v>46.421999999999997</v>
      </c>
      <c r="W22" s="374">
        <v>49.287999999999997</v>
      </c>
      <c r="X22" s="374">
        <v>49.581000000000003</v>
      </c>
      <c r="Y22" s="374">
        <v>52.8</v>
      </c>
      <c r="Z22" s="374">
        <v>55.898000000000003</v>
      </c>
      <c r="AA22" s="392">
        <f>(26785+33631)/1000</f>
        <v>60.415999999999997</v>
      </c>
      <c r="AB22" s="878">
        <f t="shared" si="3"/>
        <v>8.0825789831478545</v>
      </c>
      <c r="AC22" s="304" t="s">
        <v>40</v>
      </c>
    </row>
    <row r="23" spans="1:29" ht="12.75" customHeight="1">
      <c r="A23" s="8"/>
      <c r="B23" s="10" t="s">
        <v>41</v>
      </c>
      <c r="C23" s="368">
        <v>20.033000000000001</v>
      </c>
      <c r="D23" s="367">
        <v>19.402000000000001</v>
      </c>
      <c r="E23" s="367">
        <v>19.128</v>
      </c>
      <c r="F23" s="367">
        <v>19.265999999999998</v>
      </c>
      <c r="G23" s="367">
        <v>19.515000000000001</v>
      </c>
      <c r="H23" s="367">
        <v>19.841999999999999</v>
      </c>
      <c r="I23" s="367">
        <v>20.244</v>
      </c>
      <c r="J23" s="367">
        <v>21.016999999999999</v>
      </c>
      <c r="K23" s="367">
        <v>21.873000000000001</v>
      </c>
      <c r="L23" s="367">
        <v>22.861000000000001</v>
      </c>
      <c r="M23" s="367">
        <v>24.027000000000001</v>
      </c>
      <c r="N23" s="369">
        <v>25.478000000000002</v>
      </c>
      <c r="O23" s="370">
        <f>28.826+6.444</f>
        <v>35.270000000000003</v>
      </c>
      <c r="P23" s="367">
        <v>45.617000000000004</v>
      </c>
      <c r="Q23" s="367">
        <f>14.81+36.562</f>
        <v>51.372</v>
      </c>
      <c r="R23" s="367">
        <f>38.995+17.276</f>
        <v>56.271000000000001</v>
      </c>
      <c r="S23" s="367">
        <f>41.349+18.775</f>
        <v>60.123999999999995</v>
      </c>
      <c r="T23" s="367">
        <v>64.248999999999995</v>
      </c>
      <c r="U23" s="367">
        <f>22.169+45.983</f>
        <v>68.152000000000001</v>
      </c>
      <c r="V23" s="370">
        <f>23.374+9.789</f>
        <v>33.162999999999997</v>
      </c>
      <c r="W23" s="367">
        <f>26.651+11.102</f>
        <v>37.753</v>
      </c>
      <c r="X23" s="367">
        <f>10.929+28.784</f>
        <v>39.713000000000001</v>
      </c>
      <c r="Y23" s="367">
        <f>11+31.1</f>
        <v>42.1</v>
      </c>
      <c r="Z23" s="367">
        <f>33.666+11.601</f>
        <v>45.266999999999996</v>
      </c>
      <c r="AA23" s="371">
        <f>(39703+13451)/1000</f>
        <v>53.154000000000003</v>
      </c>
      <c r="AB23" s="877">
        <f t="shared" si="3"/>
        <v>17.423288488302745</v>
      </c>
      <c r="AC23" s="64" t="s">
        <v>41</v>
      </c>
    </row>
    <row r="24" spans="1:29" ht="12.75" customHeight="1">
      <c r="A24" s="8"/>
      <c r="B24" s="154" t="s">
        <v>58</v>
      </c>
      <c r="C24" s="389">
        <f>8.405+20</f>
        <v>28.405000000000001</v>
      </c>
      <c r="D24" s="374">
        <f>8.716+20.185</f>
        <v>28.900999999999996</v>
      </c>
      <c r="E24" s="374">
        <f>9.297+20.377</f>
        <v>29.673999999999999</v>
      </c>
      <c r="F24" s="374">
        <f>9.947+20.641</f>
        <v>30.587999999999997</v>
      </c>
      <c r="G24" s="374">
        <f>10.819+20.943</f>
        <v>31.762</v>
      </c>
      <c r="H24" s="374">
        <f>11.488+21.286</f>
        <v>32.774000000000001</v>
      </c>
      <c r="I24" s="374">
        <f>11.961+21.615</f>
        <v>33.576000000000001</v>
      </c>
      <c r="J24" s="374">
        <f>12.671+22.03</f>
        <v>34.701000000000001</v>
      </c>
      <c r="K24" s="374">
        <f>13.38+22.579</f>
        <v>35.959000000000003</v>
      </c>
      <c r="L24" s="374">
        <f>13.901+23.008</f>
        <v>36.908999999999999</v>
      </c>
      <c r="M24" s="374">
        <f>23.471+14.268</f>
        <v>37.739000000000004</v>
      </c>
      <c r="N24" s="374">
        <f>24.029+14.609</f>
        <v>38.637999999999998</v>
      </c>
      <c r="O24" s="374">
        <f>24.532+14.947</f>
        <v>39.478999999999999</v>
      </c>
      <c r="P24" s="374">
        <v>40.284999999999997</v>
      </c>
      <c r="Q24" s="374">
        <f>25.7+15.551</f>
        <v>41.250999999999998</v>
      </c>
      <c r="R24" s="374">
        <f>26.34+15.753</f>
        <v>42.093000000000004</v>
      </c>
      <c r="S24" s="374">
        <f>27.11+16.225</f>
        <v>43.335000000000001</v>
      </c>
      <c r="T24" s="374">
        <v>44.526000000000003</v>
      </c>
      <c r="U24" s="375">
        <f>8.527+17.226</f>
        <v>25.753</v>
      </c>
      <c r="V24" s="374">
        <f>9.385+17.89</f>
        <v>27.274999999999999</v>
      </c>
      <c r="W24" s="374">
        <f>18.569+9.69</f>
        <v>28.259</v>
      </c>
      <c r="X24" s="374">
        <f>19.485+9.768</f>
        <v>29.253</v>
      </c>
      <c r="Y24" s="374">
        <v>30.3</v>
      </c>
      <c r="Z24" s="374">
        <f>8.964+21.672</f>
        <v>30.636000000000003</v>
      </c>
      <c r="AA24" s="392">
        <f>(8100+22705)/1000</f>
        <v>30.805</v>
      </c>
      <c r="AB24" s="878">
        <f t="shared" si="3"/>
        <v>0.55163859511684166</v>
      </c>
      <c r="AC24" s="304" t="s">
        <v>58</v>
      </c>
    </row>
    <row r="25" spans="1:29" ht="12.75" customHeight="1">
      <c r="A25" s="8"/>
      <c r="B25" s="10" t="s">
        <v>39</v>
      </c>
      <c r="C25" s="368"/>
      <c r="D25" s="367"/>
      <c r="E25" s="367"/>
      <c r="F25" s="367"/>
      <c r="G25" s="367">
        <v>87.572999999999993</v>
      </c>
      <c r="H25" s="367">
        <v>91.192999999999998</v>
      </c>
      <c r="I25" s="367">
        <v>93.087999999999994</v>
      </c>
      <c r="J25" s="367">
        <v>97.593000000000004</v>
      </c>
      <c r="K25" s="367">
        <v>103.49299999999999</v>
      </c>
      <c r="L25" s="367">
        <v>114.038</v>
      </c>
      <c r="M25" s="367">
        <v>122.705</v>
      </c>
      <c r="N25" s="367">
        <v>130.18799999999999</v>
      </c>
      <c r="O25" s="367">
        <v>135.86500000000001</v>
      </c>
      <c r="P25" s="367">
        <v>141.54</v>
      </c>
      <c r="Q25" s="367">
        <f>141.956</f>
        <v>141.95599999999999</v>
      </c>
      <c r="R25" s="367">
        <v>142.251</v>
      </c>
      <c r="S25" s="367">
        <f>147.382</f>
        <v>147.38200000000001</v>
      </c>
      <c r="T25" s="367">
        <f>151.405</f>
        <v>151.405</v>
      </c>
      <c r="U25" s="367">
        <f>157.178</f>
        <v>157.178</v>
      </c>
      <c r="V25" s="367">
        <v>161.54</v>
      </c>
      <c r="W25" s="367">
        <v>162.828</v>
      </c>
      <c r="X25" s="367">
        <v>162.148</v>
      </c>
      <c r="Y25" s="367">
        <v>167.4</v>
      </c>
      <c r="Z25" s="367">
        <v>176.07</v>
      </c>
      <c r="AA25" s="371">
        <f>185943/1000</f>
        <v>185.94300000000001</v>
      </c>
      <c r="AB25" s="877">
        <f t="shared" si="3"/>
        <v>5.6074288635201981</v>
      </c>
      <c r="AC25" s="64" t="s">
        <v>39</v>
      </c>
    </row>
    <row r="26" spans="1:29" ht="12.75" customHeight="1">
      <c r="A26" s="8"/>
      <c r="B26" s="154" t="s">
        <v>42</v>
      </c>
      <c r="C26" s="373">
        <v>17.411000000000001</v>
      </c>
      <c r="D26" s="374">
        <v>11.663</v>
      </c>
      <c r="E26" s="374">
        <v>13.881</v>
      </c>
      <c r="F26" s="374">
        <v>14.847</v>
      </c>
      <c r="G26" s="374">
        <v>11.87</v>
      </c>
      <c r="H26" s="374">
        <v>12.401999999999999</v>
      </c>
      <c r="I26" s="374">
        <v>12.83</v>
      </c>
      <c r="J26" s="374">
        <v>13.324</v>
      </c>
      <c r="K26" s="374">
        <v>13.667</v>
      </c>
      <c r="L26" s="374">
        <f>12.639+0.143</f>
        <v>12.782</v>
      </c>
      <c r="M26" s="374">
        <f>11.905+0.088</f>
        <v>11.992999999999999</v>
      </c>
      <c r="N26" s="374">
        <f>12.192+0.094</f>
        <v>12.286</v>
      </c>
      <c r="O26" s="374">
        <v>12.791</v>
      </c>
      <c r="P26" s="374">
        <v>14.413000000000002</v>
      </c>
      <c r="Q26" s="374">
        <f>14.301+0.005+0.074</f>
        <v>14.38</v>
      </c>
      <c r="R26" s="375">
        <f>14.635+0.067+0.0141</f>
        <v>14.716099999999999</v>
      </c>
      <c r="S26" s="374">
        <f>15.314+0.068+0.181</f>
        <v>15.562999999999999</v>
      </c>
      <c r="T26" s="374">
        <f>15.568+0.062+0.185</f>
        <v>15.815</v>
      </c>
      <c r="U26" s="374">
        <f>16.62+0.231+0.05</f>
        <v>16.901000000000003</v>
      </c>
      <c r="V26" s="374">
        <f>0.032+0.236+17.287</f>
        <v>17.555</v>
      </c>
      <c r="W26" s="374">
        <f>18.898+0.289+0.019</f>
        <v>19.206</v>
      </c>
      <c r="X26" s="374">
        <f>21.874+0.398+0.014</f>
        <v>22.285999999999998</v>
      </c>
      <c r="Y26" s="374">
        <f>0.011+0.464+24.131</f>
        <v>24.606000000000002</v>
      </c>
      <c r="Z26" s="374">
        <f>0.01+0.637+26.682</f>
        <v>27.328999999999997</v>
      </c>
      <c r="AA26" s="392">
        <f>(1018+29252)/1000</f>
        <v>30.27</v>
      </c>
      <c r="AB26" s="878">
        <f t="shared" si="3"/>
        <v>10.761462183029025</v>
      </c>
      <c r="AC26" s="304" t="s">
        <v>42</v>
      </c>
    </row>
    <row r="27" spans="1:29" ht="8.25" customHeight="1">
      <c r="A27" s="8"/>
      <c r="B27" s="10" t="s">
        <v>50</v>
      </c>
      <c r="C27" s="368">
        <f>307.993+547</f>
        <v>854.99299999999994</v>
      </c>
      <c r="D27" s="367">
        <f>335+553</f>
        <v>888</v>
      </c>
      <c r="E27" s="367">
        <f>373+543</f>
        <v>916</v>
      </c>
      <c r="F27" s="367">
        <f>451.425+546</f>
        <v>997.42499999999995</v>
      </c>
      <c r="G27" s="367">
        <f>413.989+520</f>
        <v>933.98900000000003</v>
      </c>
      <c r="H27" s="367">
        <f>437.798+533</f>
        <v>970.798</v>
      </c>
      <c r="I27" s="367">
        <f>460.822+504</f>
        <v>964.822</v>
      </c>
      <c r="J27" s="367">
        <f>494.45+508</f>
        <v>1002.45</v>
      </c>
      <c r="K27" s="367">
        <f>516.567+499</f>
        <v>1015.567</v>
      </c>
      <c r="L27" s="367">
        <f>536.934+502</f>
        <v>1038.934</v>
      </c>
      <c r="M27" s="367">
        <f>552.949+560</f>
        <v>1112.9490000000001</v>
      </c>
      <c r="N27" s="367">
        <f>567.911+711.792</f>
        <v>1279.703</v>
      </c>
      <c r="O27" s="367">
        <f>585.204+786.408</f>
        <v>1371.6120000000001</v>
      </c>
      <c r="P27" s="367">
        <v>1479.4760000000001</v>
      </c>
      <c r="Q27" s="367">
        <f>623.442+955.701</f>
        <v>1579.143</v>
      </c>
      <c r="R27" s="367">
        <f>636.199+1028.096</f>
        <v>1664.2950000000001</v>
      </c>
      <c r="S27" s="367">
        <f>1061.676+646.995</f>
        <v>1708.6709999999998</v>
      </c>
      <c r="T27" s="367">
        <f>1085.243+653.245</f>
        <v>1738.4879999999998</v>
      </c>
      <c r="U27" s="367">
        <f>653.991+1101.978</f>
        <v>1755.9690000000001</v>
      </c>
      <c r="V27" s="367">
        <f>652.336+1124.795</f>
        <v>1777.1310000000001</v>
      </c>
      <c r="W27" s="367">
        <f>652.544+1150.833</f>
        <v>1803.377</v>
      </c>
      <c r="X27" s="367">
        <f>655.991+1178.3</f>
        <v>1834.2909999999999</v>
      </c>
      <c r="Y27" s="367">
        <f>661.639+1211.522</f>
        <v>1873.1610000000001</v>
      </c>
      <c r="Z27" s="367">
        <f>1230.038+665.88</f>
        <v>1895.9180000000001</v>
      </c>
      <c r="AA27" s="371">
        <f>(1249420+679848)/1000</f>
        <v>1929.268</v>
      </c>
      <c r="AB27" s="877">
        <f t="shared" si="3"/>
        <v>1.7590423214506075</v>
      </c>
      <c r="AC27" s="64" t="s">
        <v>50</v>
      </c>
    </row>
    <row r="28" spans="1:29" ht="12.75" customHeight="1">
      <c r="A28" s="8"/>
      <c r="B28" s="154" t="s">
        <v>59</v>
      </c>
      <c r="C28" s="373">
        <f>371.505+174.907</f>
        <v>546.41200000000003</v>
      </c>
      <c r="D28" s="374">
        <f>366.506+193.685</f>
        <v>560.19100000000003</v>
      </c>
      <c r="E28" s="374">
        <f>362.953+212.767</f>
        <v>575.72</v>
      </c>
      <c r="F28" s="374">
        <f>362.964+237.767</f>
        <v>600.73099999999999</v>
      </c>
      <c r="G28" s="374">
        <f>359.63+263.297</f>
        <v>622.92700000000002</v>
      </c>
      <c r="H28" s="374">
        <f>352.984+279.728</f>
        <v>632.71199999999999</v>
      </c>
      <c r="I28" s="377">
        <f>346.591+294.843</f>
        <v>641.43399999999997</v>
      </c>
      <c r="J28" s="374">
        <f>304.255+292.569</f>
        <v>596.82400000000007</v>
      </c>
      <c r="K28" s="374">
        <f>301.387+305.481</f>
        <v>606.86799999999994</v>
      </c>
      <c r="L28" s="374">
        <f>296.522+315.638</f>
        <v>612.16</v>
      </c>
      <c r="M28" s="374">
        <f>301.425+326.286</f>
        <v>627.71100000000001</v>
      </c>
      <c r="N28" s="374">
        <f>306.592+338.721</f>
        <v>645.31299999999999</v>
      </c>
      <c r="O28" s="374">
        <f>312.658+354.919</f>
        <v>667.577</v>
      </c>
      <c r="P28" s="374">
        <v>691.24299999999994</v>
      </c>
      <c r="Q28" s="374">
        <f>218.135+158.745+305.042+1.234+12.694+16.242</f>
        <v>712.09199999999998</v>
      </c>
      <c r="R28" s="374">
        <f>224.717+168.089+303.908+1.247+14.016+15.875</f>
        <v>727.85199999999998</v>
      </c>
      <c r="S28" s="374">
        <f>301.65+1.31+179.279+230.396+14.106+1.298+0.578+14.812</f>
        <v>743.42899999999997</v>
      </c>
      <c r="T28" s="374">
        <f>299.586+1.458+192.577+236.807+15.522+1.441+0.623+14.378</f>
        <v>762.39200000000017</v>
      </c>
      <c r="U28" s="374">
        <f>743.648+16.572+1.582+0.674+13.861</f>
        <v>776.33699999999999</v>
      </c>
      <c r="V28" s="374">
        <f>754.739+17.566+1.809+0.708+13.362</f>
        <v>788.18399999999997</v>
      </c>
      <c r="W28" s="374">
        <f>765.576+18.67+1.985+0.744+12.931</f>
        <v>799.90600000000006</v>
      </c>
      <c r="X28" s="374">
        <f>781.379+2.185+0.808+19.629+12.476</f>
        <v>816.47699999999998</v>
      </c>
      <c r="Y28" s="374">
        <v>832.2</v>
      </c>
      <c r="Z28" s="374">
        <f>534.643+274.394+20.592+2.321+2.541+0.978+11.886</f>
        <v>847.35500000000002</v>
      </c>
      <c r="AA28" s="392">
        <f>(549769+272483+20656+2481+2816+1029+11524)/1000</f>
        <v>860.75800000000004</v>
      </c>
      <c r="AB28" s="878">
        <f t="shared" si="3"/>
        <v>1.5817455493860422</v>
      </c>
      <c r="AC28" s="304" t="s">
        <v>59</v>
      </c>
    </row>
    <row r="29" spans="1:29" ht="12.75" customHeight="1">
      <c r="A29" s="8"/>
      <c r="B29" s="10" t="s">
        <v>43</v>
      </c>
      <c r="C29" s="368">
        <v>929</v>
      </c>
      <c r="D29" s="367"/>
      <c r="E29" s="367"/>
      <c r="F29" s="367">
        <v>820</v>
      </c>
      <c r="G29" s="367">
        <v>804</v>
      </c>
      <c r="H29" s="369">
        <v>803</v>
      </c>
      <c r="I29" s="367">
        <v>803</v>
      </c>
      <c r="J29" s="367">
        <v>869</v>
      </c>
      <c r="K29" s="367">
        <v>845.45600000000002</v>
      </c>
      <c r="L29" s="369">
        <v>835.79</v>
      </c>
      <c r="M29" s="367">
        <f>753.648+337.511</f>
        <v>1091.1590000000001</v>
      </c>
      <c r="N29" s="367">
        <f>784.176+405.917</f>
        <v>1190.0930000000001</v>
      </c>
      <c r="O29" s="367">
        <f>825.305+525.484</f>
        <v>1350.789</v>
      </c>
      <c r="P29" s="367">
        <v>1607.316</v>
      </c>
      <c r="Q29" s="367">
        <f>974.906+833.817</f>
        <v>1808.723</v>
      </c>
      <c r="R29" s="367">
        <f>1013.014+922.126</f>
        <v>1935.1399999999999</v>
      </c>
      <c r="S29" s="367">
        <f>1069.195+1032.98</f>
        <v>2102.1750000000002</v>
      </c>
      <c r="T29" s="367">
        <v>2207.556</v>
      </c>
      <c r="U29" s="367">
        <f>1153.169+1163.441</f>
        <v>2316.61</v>
      </c>
      <c r="V29" s="367">
        <f>1189.527+1216.578</f>
        <v>2406.105</v>
      </c>
      <c r="W29" s="367">
        <f>1272.333+1259.187</f>
        <v>2531.52</v>
      </c>
      <c r="X29" s="367">
        <f>1355.625+1292.2</f>
        <v>2647.8249999999998</v>
      </c>
      <c r="Y29" s="367">
        <v>2755</v>
      </c>
      <c r="Z29" s="367">
        <f>1502.888+1349.912</f>
        <v>2852.8</v>
      </c>
      <c r="AA29" s="371">
        <f>(1375004+1587031)/1000</f>
        <v>2962.0349999999999</v>
      </c>
      <c r="AB29" s="877">
        <f t="shared" si="3"/>
        <v>3.8290451486258945</v>
      </c>
      <c r="AC29" s="64" t="s">
        <v>43</v>
      </c>
    </row>
    <row r="30" spans="1:29" ht="12.75" customHeight="1">
      <c r="A30" s="8"/>
      <c r="B30" s="154" t="s">
        <v>60</v>
      </c>
      <c r="C30" s="373">
        <v>216.29599999999999</v>
      </c>
      <c r="D30" s="374">
        <v>240.946</v>
      </c>
      <c r="E30" s="374">
        <v>271.70800000000003</v>
      </c>
      <c r="F30" s="374">
        <v>301.04500000000002</v>
      </c>
      <c r="G30" s="374">
        <v>323.85399999999998</v>
      </c>
      <c r="H30" s="374">
        <v>345.90300000000002</v>
      </c>
      <c r="I30" s="374">
        <v>368.06299999999999</v>
      </c>
      <c r="J30" s="374">
        <v>386.96899999999999</v>
      </c>
      <c r="K30" s="374">
        <v>402.75900000000001</v>
      </c>
      <c r="L30" s="377">
        <v>418.70400000000001</v>
      </c>
      <c r="M30" s="374">
        <v>588.41999999999996</v>
      </c>
      <c r="N30" s="374">
        <f>401+157.72</f>
        <v>558.72</v>
      </c>
      <c r="O30" s="374">
        <f>377+159.645</f>
        <v>536.64499999999998</v>
      </c>
      <c r="P30" s="374">
        <v>535</v>
      </c>
      <c r="Q30" s="374">
        <f>199.27+334</f>
        <v>533.27</v>
      </c>
      <c r="R30" s="374">
        <f>292+206</f>
        <v>498</v>
      </c>
      <c r="S30" s="374">
        <f>287+210</f>
        <v>497</v>
      </c>
      <c r="T30" s="375">
        <v>500.815</v>
      </c>
      <c r="U30" s="374">
        <v>508.45600000000002</v>
      </c>
      <c r="V30" s="374">
        <v>509.67099999999999</v>
      </c>
      <c r="W30" s="374">
        <v>527.58299999999997</v>
      </c>
      <c r="X30" s="374">
        <v>552.09699999999998</v>
      </c>
      <c r="Y30" s="374">
        <v>592.51700000000005</v>
      </c>
      <c r="Z30" s="374">
        <v>616.07500000000005</v>
      </c>
      <c r="AA30" s="392">
        <f>660939/1000</f>
        <v>660.93899999999996</v>
      </c>
      <c r="AB30" s="878">
        <f t="shared" si="3"/>
        <v>7.2822302479405749</v>
      </c>
      <c r="AC30" s="304" t="s">
        <v>60</v>
      </c>
    </row>
    <row r="31" spans="1:29" ht="12.75" customHeight="1">
      <c r="A31" s="8"/>
      <c r="B31" s="10" t="s">
        <v>44</v>
      </c>
      <c r="C31" s="368">
        <f>205.032+122.692</f>
        <v>327.72399999999999</v>
      </c>
      <c r="D31" s="367">
        <f>160.073+94.923</f>
        <v>254.99600000000001</v>
      </c>
      <c r="E31" s="367">
        <f>153.768+96.742</f>
        <v>250.51</v>
      </c>
      <c r="F31" s="367">
        <f>146.725+98.994</f>
        <v>245.71899999999999</v>
      </c>
      <c r="G31" s="367">
        <f>141.49+101.093</f>
        <v>242.58300000000003</v>
      </c>
      <c r="H31" s="367">
        <f>137.103+102.105</f>
        <v>239.20800000000003</v>
      </c>
      <c r="I31" s="367">
        <f>134.152+103.749</f>
        <v>237.90099999999998</v>
      </c>
      <c r="J31" s="367">
        <f>132.955+105.525</f>
        <v>238.48000000000002</v>
      </c>
      <c r="K31" s="367">
        <f>132.88+102.97</f>
        <v>235.85</v>
      </c>
      <c r="L31" s="367">
        <f>130.193+104.509</f>
        <v>234.702</v>
      </c>
      <c r="M31" s="367">
        <f>103.556+93.845</f>
        <v>197.40100000000001</v>
      </c>
      <c r="N31" s="369">
        <f>101.474+92.507</f>
        <v>193.98099999999999</v>
      </c>
      <c r="O31" s="370">
        <f>29.403+27.076</f>
        <v>56.478999999999999</v>
      </c>
      <c r="P31" s="367">
        <v>71.826999999999998</v>
      </c>
      <c r="Q31" s="367">
        <f>79.99</f>
        <v>79.989999999999995</v>
      </c>
      <c r="R31" s="367">
        <f>85.171</f>
        <v>85.171000000000006</v>
      </c>
      <c r="S31" s="367">
        <v>90.081999999999994</v>
      </c>
      <c r="T31" s="367">
        <v>95.45</v>
      </c>
      <c r="U31" s="367">
        <v>101.622</v>
      </c>
      <c r="V31" s="367">
        <v>107.33799999999999</v>
      </c>
      <c r="W31" s="367">
        <v>112.866</v>
      </c>
      <c r="X31" s="367">
        <v>119.53400000000001</v>
      </c>
      <c r="Y31" s="367">
        <v>127.3</v>
      </c>
      <c r="Z31" s="367">
        <v>136.44</v>
      </c>
      <c r="AA31" s="371">
        <f>148387/1000</f>
        <v>148.387</v>
      </c>
      <c r="AB31" s="877">
        <f t="shared" si="3"/>
        <v>8.7562298446203499</v>
      </c>
      <c r="AC31" s="64" t="s">
        <v>44</v>
      </c>
    </row>
    <row r="32" spans="1:29" ht="12.75" customHeight="1">
      <c r="A32" s="8"/>
      <c r="B32" s="154" t="s">
        <v>46</v>
      </c>
      <c r="C32" s="373">
        <v>8.5459999999999994</v>
      </c>
      <c r="D32" s="374">
        <v>8.173</v>
      </c>
      <c r="E32" s="374">
        <v>8.2829999999999995</v>
      </c>
      <c r="F32" s="374">
        <v>9.14</v>
      </c>
      <c r="G32" s="374">
        <v>9.9060000000000006</v>
      </c>
      <c r="H32" s="377">
        <v>11.217000000000001</v>
      </c>
      <c r="I32" s="377">
        <v>11.622</v>
      </c>
      <c r="J32" s="374">
        <f>11.93+38.678</f>
        <v>50.607999999999997</v>
      </c>
      <c r="K32" s="374">
        <f>12.048+30.344</f>
        <v>42.392000000000003</v>
      </c>
      <c r="L32" s="374">
        <f>11.574+28.626</f>
        <v>40.200000000000003</v>
      </c>
      <c r="M32" s="374">
        <f>14.473+34.198</f>
        <v>48.670999999999999</v>
      </c>
      <c r="N32" s="374">
        <f>18.801+34.392</f>
        <v>53.192999999999998</v>
      </c>
      <c r="O32" s="374">
        <f>34.162+37.331</f>
        <v>71.492999999999995</v>
      </c>
      <c r="P32" s="374">
        <v>81.996000000000009</v>
      </c>
      <c r="Q32" s="374">
        <f>46.185+42.243</f>
        <v>88.427999999999997</v>
      </c>
      <c r="R32" s="374">
        <f>48.686+42.322</f>
        <v>91.00800000000001</v>
      </c>
      <c r="S32" s="374">
        <f>49.887+42.296</f>
        <v>92.182999999999993</v>
      </c>
      <c r="T32" s="374">
        <v>93.1</v>
      </c>
      <c r="U32" s="374">
        <f>41.05+51.936</f>
        <v>92.98599999999999</v>
      </c>
      <c r="V32" s="374">
        <f>41.165+54.631</f>
        <v>95.795999999999992</v>
      </c>
      <c r="W32" s="374">
        <v>100.32</v>
      </c>
      <c r="X32" s="374">
        <v>103.684</v>
      </c>
      <c r="Y32" s="374">
        <v>125.127</v>
      </c>
      <c r="Z32" s="374">
        <v>130.935</v>
      </c>
      <c r="AA32" s="392">
        <f>135780/1000</f>
        <v>135.78</v>
      </c>
      <c r="AB32" s="878">
        <f t="shared" si="3"/>
        <v>3.700309313781645</v>
      </c>
      <c r="AC32" s="304" t="s">
        <v>46</v>
      </c>
    </row>
    <row r="33" spans="1:29" ht="12.75" customHeight="1">
      <c r="A33" s="8"/>
      <c r="B33" s="10" t="s">
        <v>45</v>
      </c>
      <c r="C33" s="368">
        <v>81.846999999999994</v>
      </c>
      <c r="D33" s="367">
        <v>79.478999999999999</v>
      </c>
      <c r="E33" s="367">
        <v>81.061999999999998</v>
      </c>
      <c r="F33" s="369">
        <v>100.89100000000001</v>
      </c>
      <c r="G33" s="367">
        <v>44.215000000000003</v>
      </c>
      <c r="H33" s="367">
        <v>45.646999999999998</v>
      </c>
      <c r="I33" s="367">
        <v>46.676000000000002</v>
      </c>
      <c r="J33" s="367">
        <v>47.9</v>
      </c>
      <c r="K33" s="367">
        <v>48.709000000000003</v>
      </c>
      <c r="L33" s="367">
        <v>51.976999999999997</v>
      </c>
      <c r="M33" s="367">
        <v>56.366</v>
      </c>
      <c r="N33" s="367">
        <v>58.100999999999999</v>
      </c>
      <c r="O33" s="367">
        <v>63.896999999999998</v>
      </c>
      <c r="P33" s="369">
        <v>70.317999999999998</v>
      </c>
      <c r="Q33" s="367">
        <v>81.900000000000006</v>
      </c>
      <c r="R33" s="367">
        <v>87.9</v>
      </c>
      <c r="S33" s="367">
        <v>93.8</v>
      </c>
      <c r="T33" s="367">
        <v>99.5</v>
      </c>
      <c r="U33" s="367">
        <v>105.9</v>
      </c>
      <c r="V33" s="367">
        <v>112.7</v>
      </c>
      <c r="W33" s="367">
        <v>120.624</v>
      </c>
      <c r="X33" s="367">
        <v>126.128</v>
      </c>
      <c r="Y33" s="367">
        <v>133.309</v>
      </c>
      <c r="Z33" s="367">
        <v>140.44999999999999</v>
      </c>
      <c r="AA33" s="371">
        <f>147498/1000</f>
        <v>147.49799999999999</v>
      </c>
      <c r="AB33" s="877">
        <f t="shared" si="3"/>
        <v>5.0181559273762844</v>
      </c>
      <c r="AC33" s="64" t="s">
        <v>45</v>
      </c>
    </row>
    <row r="34" spans="1:29" ht="12.75" customHeight="1">
      <c r="A34" s="8"/>
      <c r="B34" s="154" t="s">
        <v>61</v>
      </c>
      <c r="C34" s="373">
        <f>65.095+94.43</f>
        <v>159.52500000000001</v>
      </c>
      <c r="D34" s="374">
        <f>66.468+96.32</f>
        <v>162.78800000000001</v>
      </c>
      <c r="E34" s="374">
        <f>68.552+98.062</f>
        <v>166.614</v>
      </c>
      <c r="F34" s="374">
        <f>72.704+100.621</f>
        <v>173.32499999999999</v>
      </c>
      <c r="G34" s="374">
        <f>80.178+103.01</f>
        <v>183.18799999999999</v>
      </c>
      <c r="H34" s="374">
        <f>90.877+102.545</f>
        <v>193.422</v>
      </c>
      <c r="I34" s="374">
        <f>102.811+103.424</f>
        <v>206.23500000000001</v>
      </c>
      <c r="J34" s="374">
        <f>116.021+107.556</f>
        <v>223.577</v>
      </c>
      <c r="K34" s="374">
        <f>129.67+115.712</f>
        <v>245.38200000000001</v>
      </c>
      <c r="L34" s="374">
        <f>142.703+129.017</f>
        <v>271.72000000000003</v>
      </c>
      <c r="M34" s="374">
        <f>156.487+145.318</f>
        <v>301.80500000000001</v>
      </c>
      <c r="N34" s="374">
        <f>172.283+166.16</f>
        <v>338.44299999999998</v>
      </c>
      <c r="O34" s="374">
        <f>188.144+188.388</f>
        <v>376.53200000000004</v>
      </c>
      <c r="P34" s="374">
        <v>421.54399999999998</v>
      </c>
      <c r="Q34" s="374">
        <f>216.443+239.754</f>
        <v>456.197</v>
      </c>
      <c r="R34" s="374">
        <f>226.877+259.889</f>
        <v>486.76600000000002</v>
      </c>
      <c r="S34" s="374">
        <f>279+237</f>
        <v>516</v>
      </c>
      <c r="T34" s="374">
        <f>244.968+293.051</f>
        <v>538.01900000000001</v>
      </c>
      <c r="U34" s="374">
        <f>302.727+251.525</f>
        <v>554.25199999999995</v>
      </c>
      <c r="V34" s="374">
        <f>257.094+311.097</f>
        <v>568.19100000000003</v>
      </c>
      <c r="W34" s="374">
        <f>261.826+319.321</f>
        <v>581.14700000000005</v>
      </c>
      <c r="X34" s="374">
        <f>325.835+265.96</f>
        <v>591.79499999999996</v>
      </c>
      <c r="Y34" s="374">
        <v>603.79999999999995</v>
      </c>
      <c r="Z34" s="374">
        <f>274.049+339.692</f>
        <v>613.74099999999999</v>
      </c>
      <c r="AA34" s="392">
        <f>(278534+345463)/1000</f>
        <v>623.99699999999996</v>
      </c>
      <c r="AB34" s="878">
        <f t="shared" si="3"/>
        <v>1.6710632009267812</v>
      </c>
      <c r="AC34" s="304" t="s">
        <v>61</v>
      </c>
    </row>
    <row r="35" spans="1:29" ht="12.75" customHeight="1">
      <c r="A35" s="8"/>
      <c r="B35" s="11" t="s">
        <v>62</v>
      </c>
      <c r="C35" s="382">
        <f>117.387+146.793</f>
        <v>264.18</v>
      </c>
      <c r="D35" s="383">
        <f>121.95+150.765</f>
        <v>272.71499999999997</v>
      </c>
      <c r="E35" s="383">
        <f>130.041+149.38</f>
        <v>279.42099999999999</v>
      </c>
      <c r="F35" s="383">
        <f>137.466+148.454</f>
        <v>285.92</v>
      </c>
      <c r="G35" s="383">
        <f>149.97+150.49</f>
        <v>300.46000000000004</v>
      </c>
      <c r="H35" s="383">
        <f>167.346+142.723</f>
        <v>310.06900000000002</v>
      </c>
      <c r="I35" s="383">
        <f>190.607+145.734</f>
        <v>336.34100000000001</v>
      </c>
      <c r="J35" s="383">
        <f>220.75+151.619</f>
        <v>372.36900000000003</v>
      </c>
      <c r="K35" s="383">
        <f>247.129+148.472</f>
        <v>395.601</v>
      </c>
      <c r="L35" s="383">
        <f>205.567+155.754+41.996</f>
        <v>403.31700000000001</v>
      </c>
      <c r="M35" s="383">
        <f>225.038+169.574+58.47</f>
        <v>453.08199999999999</v>
      </c>
      <c r="N35" s="383">
        <f>245.039+177.306+75.399</f>
        <v>497.74400000000003</v>
      </c>
      <c r="O35" s="383">
        <f>259.017+184.231+84.877</f>
        <v>528.125</v>
      </c>
      <c r="P35" s="383">
        <v>553.92899999999997</v>
      </c>
      <c r="Q35" s="383">
        <f>277.626+91.677+202.587</f>
        <v>571.89</v>
      </c>
      <c r="R35" s="383">
        <f>277.745+78.348+214.147</f>
        <v>570.24</v>
      </c>
      <c r="S35" s="383">
        <f>280.562+222.764+75.169</f>
        <v>578.495</v>
      </c>
      <c r="T35" s="383">
        <f>236.704+73.163+283.942</f>
        <v>593.80899999999997</v>
      </c>
      <c r="U35" s="383">
        <f>284.969+73.176+247.445</f>
        <v>605.58999999999992</v>
      </c>
      <c r="V35" s="383">
        <f>288.629+75.211+254.713</f>
        <v>618.553</v>
      </c>
      <c r="W35" s="383">
        <f>292.368+75.678+264.572</f>
        <v>632.61799999999994</v>
      </c>
      <c r="X35" s="383">
        <f>298.484+76.704+273.794</f>
        <v>648.98199999999997</v>
      </c>
      <c r="Y35" s="383">
        <f>299.505+83.079+283.731</f>
        <v>666.31500000000005</v>
      </c>
      <c r="Z35" s="383">
        <f>300.356+85878/1000+290.28</f>
        <v>676.5139999999999</v>
      </c>
      <c r="AA35" s="395">
        <f>(302183+91837+296876)/1000</f>
        <v>690.89599999999996</v>
      </c>
      <c r="AB35" s="877">
        <f t="shared" si="3"/>
        <v>2.1258983553924935</v>
      </c>
      <c r="AC35" s="65" t="s">
        <v>62</v>
      </c>
    </row>
    <row r="36" spans="1:29" ht="12.75" customHeight="1">
      <c r="A36" s="8"/>
      <c r="B36" s="155" t="s">
        <v>51</v>
      </c>
      <c r="C36" s="379">
        <v>714</v>
      </c>
      <c r="D36" s="380">
        <v>752</v>
      </c>
      <c r="E36" s="380">
        <v>766</v>
      </c>
      <c r="F36" s="380">
        <v>828</v>
      </c>
      <c r="G36" s="380">
        <v>905</v>
      </c>
      <c r="H36" s="380">
        <v>971</v>
      </c>
      <c r="I36" s="380">
        <v>1028</v>
      </c>
      <c r="J36" s="380">
        <v>1090</v>
      </c>
      <c r="K36" s="380">
        <v>1162</v>
      </c>
      <c r="L36" s="380">
        <v>1218</v>
      </c>
      <c r="M36" s="380">
        <v>1235</v>
      </c>
      <c r="N36" s="380">
        <f>1209.6+30</f>
        <v>1239.5999999999999</v>
      </c>
      <c r="O36" s="380">
        <f>1248.3+32</f>
        <v>1280.3</v>
      </c>
      <c r="P36" s="380">
        <v>1305.5999999999999</v>
      </c>
      <c r="Q36" s="380">
        <f>1275.6+31.156</f>
        <v>1306.7559999999999</v>
      </c>
      <c r="R36" s="380">
        <f>30.001+1234.4</f>
        <v>1264.4010000000001</v>
      </c>
      <c r="S36" s="380">
        <f>1238.3+28.536</f>
        <v>1266.836</v>
      </c>
      <c r="T36" s="380">
        <f>1224.8+26.998</f>
        <v>1251.798</v>
      </c>
      <c r="U36" s="380">
        <f>1219.4+24.345</f>
        <v>1243.7450000000001</v>
      </c>
      <c r="V36" s="380">
        <v>1240.2</v>
      </c>
      <c r="W36" s="380">
        <v>1253.0999999999999</v>
      </c>
      <c r="X36" s="380">
        <v>1270.2</v>
      </c>
      <c r="Y36" s="380">
        <v>1255.8599999999999</v>
      </c>
      <c r="Z36" s="380">
        <v>1265.0999999999999</v>
      </c>
      <c r="AA36" s="393">
        <v>1273.4000000000001</v>
      </c>
      <c r="AB36" s="744">
        <f t="shared" si="3"/>
        <v>0.65607461860723504</v>
      </c>
      <c r="AC36" s="305" t="s">
        <v>51</v>
      </c>
    </row>
    <row r="37" spans="1:29" ht="12.75" customHeight="1">
      <c r="A37" s="8"/>
      <c r="B37" s="10" t="s">
        <v>161</v>
      </c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367"/>
      <c r="P37" s="367"/>
      <c r="Q37" s="367"/>
      <c r="R37" s="367"/>
      <c r="S37" s="367">
        <v>4.6609999999999996</v>
      </c>
      <c r="T37" s="367">
        <v>4.5759999999999996</v>
      </c>
      <c r="U37" s="367">
        <v>5.0460000000000003</v>
      </c>
      <c r="V37" s="367">
        <v>3.7029999999999998</v>
      </c>
      <c r="W37" s="367">
        <v>4.2009999999999996</v>
      </c>
      <c r="X37" s="367">
        <v>4.3630000000000004</v>
      </c>
      <c r="Y37" s="367">
        <v>4.7439999999999998</v>
      </c>
      <c r="Z37" s="367">
        <v>5.7</v>
      </c>
      <c r="AA37" s="371">
        <f>6300/1000</f>
        <v>6.3</v>
      </c>
      <c r="AB37" s="667">
        <f t="shared" si="3"/>
        <v>10.526315789473671</v>
      </c>
      <c r="AC37" s="64" t="s">
        <v>161</v>
      </c>
    </row>
    <row r="38" spans="1:29" ht="12.75" customHeight="1">
      <c r="A38" s="8"/>
      <c r="B38" s="154" t="s">
        <v>0</v>
      </c>
      <c r="C38" s="374"/>
      <c r="D38" s="374"/>
      <c r="E38" s="374"/>
      <c r="F38" s="374"/>
      <c r="G38" s="374"/>
      <c r="H38" s="374"/>
      <c r="I38" s="374"/>
      <c r="J38" s="374"/>
      <c r="K38" s="374">
        <v>2.1419999999999999</v>
      </c>
      <c r="L38" s="374">
        <v>1.3819999999999999</v>
      </c>
      <c r="M38" s="374">
        <v>1.724</v>
      </c>
      <c r="N38" s="374">
        <v>3.4420000000000002</v>
      </c>
      <c r="O38" s="374">
        <v>4.4370000000000003</v>
      </c>
      <c r="P38" s="374">
        <v>8.6259999999999994</v>
      </c>
      <c r="Q38" s="374">
        <f>9.097</f>
        <v>9.0969999999999995</v>
      </c>
      <c r="R38" s="374">
        <f>7.761</f>
        <v>7.7610000000000001</v>
      </c>
      <c r="S38" s="374">
        <f>8.373</f>
        <v>8.3729999999999993</v>
      </c>
      <c r="T38" s="374">
        <v>8.4730000000000008</v>
      </c>
      <c r="U38" s="374">
        <v>8.093</v>
      </c>
      <c r="V38" s="374">
        <v>8.6340000000000003</v>
      </c>
      <c r="W38" s="374">
        <v>10.050000000000001</v>
      </c>
      <c r="X38" s="374">
        <v>11.696999999999999</v>
      </c>
      <c r="Y38" s="374">
        <v>14.13</v>
      </c>
      <c r="Z38" s="374">
        <v>13.34</v>
      </c>
      <c r="AA38" s="392">
        <f>11987/1000</f>
        <v>11.987</v>
      </c>
      <c r="AB38" s="878">
        <f t="shared" si="3"/>
        <v>-10.142428785607194</v>
      </c>
      <c r="AC38" s="304" t="s">
        <v>0</v>
      </c>
    </row>
    <row r="39" spans="1:29" ht="12.75" customHeight="1">
      <c r="A39" s="8"/>
      <c r="B39" s="10" t="s">
        <v>167</v>
      </c>
      <c r="C39" s="367">
        <v>6.9459999999999997</v>
      </c>
      <c r="D39" s="367">
        <v>5.5410000000000004</v>
      </c>
      <c r="E39" s="367">
        <v>3.645</v>
      </c>
      <c r="F39" s="367">
        <v>4.109</v>
      </c>
      <c r="G39" s="367">
        <v>3.214</v>
      </c>
      <c r="H39" s="367">
        <v>3.8079999999999998</v>
      </c>
      <c r="I39" s="367">
        <v>3.4470000000000001</v>
      </c>
      <c r="J39" s="367">
        <v>3.4</v>
      </c>
      <c r="K39" s="367">
        <v>3.8959999999999999</v>
      </c>
      <c r="L39" s="367">
        <v>4.8769999999999998</v>
      </c>
      <c r="M39" s="367">
        <v>7.17</v>
      </c>
      <c r="N39" s="367">
        <v>11.638999999999999</v>
      </c>
      <c r="O39" s="367">
        <v>13.859</v>
      </c>
      <c r="P39" s="367">
        <v>18.329000000000001</v>
      </c>
      <c r="Q39" s="367">
        <v>20.873999999999999</v>
      </c>
      <c r="R39" s="367">
        <v>24.021999999999998</v>
      </c>
      <c r="S39" s="367">
        <v>24.009</v>
      </c>
      <c r="T39" s="367">
        <v>25.492000000000001</v>
      </c>
      <c r="U39" s="367">
        <v>26.664000000000001</v>
      </c>
      <c r="V39" s="367">
        <v>30.975000000000001</v>
      </c>
      <c r="W39" s="367">
        <v>33.07</v>
      </c>
      <c r="X39" s="367">
        <v>36.095999999999997</v>
      </c>
      <c r="Y39" s="367">
        <v>31.399000000000001</v>
      </c>
      <c r="Z39" s="367">
        <v>33.662999999999997</v>
      </c>
      <c r="AA39" s="371">
        <v>37.090000000000003</v>
      </c>
      <c r="AB39" s="877">
        <f t="shared" si="3"/>
        <v>10.180316668152003</v>
      </c>
      <c r="AC39" s="64" t="s">
        <v>167</v>
      </c>
    </row>
    <row r="40" spans="1:29" ht="12.75" customHeight="1">
      <c r="A40" s="8"/>
      <c r="B40" s="154" t="s">
        <v>160</v>
      </c>
      <c r="C40" s="374"/>
      <c r="D40" s="374"/>
      <c r="E40" s="374"/>
      <c r="F40" s="374"/>
      <c r="G40" s="374"/>
      <c r="H40" s="374"/>
      <c r="I40" s="374">
        <v>13.097</v>
      </c>
      <c r="J40" s="374">
        <v>12.339</v>
      </c>
      <c r="K40" s="374">
        <v>13.287000000000001</v>
      </c>
      <c r="L40" s="374">
        <v>14.771000000000001</v>
      </c>
      <c r="M40" s="374">
        <v>16.042000000000002</v>
      </c>
      <c r="N40" s="374">
        <v>20.38</v>
      </c>
      <c r="O40" s="374">
        <v>24.896999999999998</v>
      </c>
      <c r="P40" s="374">
        <v>31.803000000000001</v>
      </c>
      <c r="Q40" s="374">
        <v>34.5</v>
      </c>
      <c r="R40" s="375">
        <v>37.945999999999998</v>
      </c>
      <c r="S40" s="374">
        <v>39.134999999999998</v>
      </c>
      <c r="T40" s="374">
        <v>47.237000000000002</v>
      </c>
      <c r="U40" s="374">
        <f>22.294+36.403</f>
        <v>58.697000000000003</v>
      </c>
      <c r="V40" s="374">
        <f>25.065+38.102</f>
        <v>63.167000000000002</v>
      </c>
      <c r="W40" s="374">
        <f>24.845+39.396</f>
        <v>64.241</v>
      </c>
      <c r="X40" s="374">
        <f>24.384+40.007</f>
        <v>64.390999999999991</v>
      </c>
      <c r="Y40" s="374">
        <f>(24837+41596)/1000</f>
        <v>66.433000000000007</v>
      </c>
      <c r="Z40" s="374">
        <f>24.075+38.315</f>
        <v>62.39</v>
      </c>
      <c r="AA40" s="392">
        <f>(32504+39515)/1000</f>
        <v>72.019000000000005</v>
      </c>
      <c r="AB40" s="878">
        <f t="shared" si="3"/>
        <v>15.433563071004983</v>
      </c>
      <c r="AC40" s="304" t="s">
        <v>160</v>
      </c>
    </row>
    <row r="41" spans="1:29" ht="12.75" customHeight="1">
      <c r="A41" s="8"/>
      <c r="B41" s="11" t="s">
        <v>47</v>
      </c>
      <c r="C41" s="367">
        <v>819.92200000000003</v>
      </c>
      <c r="D41" s="367">
        <v>854.15</v>
      </c>
      <c r="E41" s="367">
        <v>905.12099999999998</v>
      </c>
      <c r="F41" s="367">
        <v>940.93499999999995</v>
      </c>
      <c r="G41" s="367">
        <v>975.74599999999998</v>
      </c>
      <c r="H41" s="367">
        <v>1011.284</v>
      </c>
      <c r="I41" s="367">
        <v>1031.221</v>
      </c>
      <c r="J41" s="367">
        <v>1046.9069999999999</v>
      </c>
      <c r="K41" s="367">
        <v>1073.415</v>
      </c>
      <c r="L41" s="367">
        <v>1218.6769999999999</v>
      </c>
      <c r="M41" s="367">
        <v>1441.066</v>
      </c>
      <c r="N41" s="367">
        <v>1822.8309999999999</v>
      </c>
      <c r="O41" s="367">
        <v>2003.492</v>
      </c>
      <c r="P41" s="367">
        <v>2181.3829999999998</v>
      </c>
      <c r="Q41" s="367">
        <v>2303.261</v>
      </c>
      <c r="R41" s="367">
        <f>2389.488</f>
        <v>2389.4879999999998</v>
      </c>
      <c r="S41" s="367">
        <f>2527.19</f>
        <v>2527.19</v>
      </c>
      <c r="T41" s="367">
        <v>2657.7220000000002</v>
      </c>
      <c r="U41" s="367">
        <f>2722.826</f>
        <v>2722.826</v>
      </c>
      <c r="V41" s="367">
        <v>2828.4659999999999</v>
      </c>
      <c r="W41" s="367">
        <v>2938.364</v>
      </c>
      <c r="X41" s="367">
        <v>3003.7330000000002</v>
      </c>
      <c r="Y41" s="367">
        <v>3103</v>
      </c>
      <c r="Z41" s="383">
        <v>3211.328</v>
      </c>
      <c r="AA41" s="395">
        <f>3331326/1000</f>
        <v>3331.326</v>
      </c>
      <c r="AB41" s="277">
        <f t="shared" si="3"/>
        <v>3.7367095481993857</v>
      </c>
      <c r="AC41" s="65" t="s">
        <v>47</v>
      </c>
    </row>
    <row r="42" spans="1:29" ht="12.75" customHeight="1">
      <c r="A42" s="8"/>
      <c r="B42" s="153" t="s">
        <v>33</v>
      </c>
      <c r="C42" s="384">
        <v>1.881</v>
      </c>
      <c r="D42" s="384">
        <v>1.95</v>
      </c>
      <c r="E42" s="384">
        <v>2.0470000000000002</v>
      </c>
      <c r="F42" s="384">
        <v>1.9059999999999999</v>
      </c>
      <c r="G42" s="384">
        <v>2.0840000000000001</v>
      </c>
      <c r="H42" s="384">
        <v>2.278</v>
      </c>
      <c r="I42" s="384">
        <v>2.444</v>
      </c>
      <c r="J42" s="384">
        <v>2.5569999999999999</v>
      </c>
      <c r="K42" s="384">
        <v>2.7469999999999999</v>
      </c>
      <c r="L42" s="384">
        <v>3.105</v>
      </c>
      <c r="M42" s="384">
        <v>4.1829999999999998</v>
      </c>
      <c r="N42" s="384">
        <v>5.6989999999999998</v>
      </c>
      <c r="O42" s="384">
        <v>8.0739999999999998</v>
      </c>
      <c r="P42" s="384">
        <v>9.0090000000000003</v>
      </c>
      <c r="Q42" s="384">
        <v>9.42</v>
      </c>
      <c r="R42" s="384">
        <v>9.6509999999999998</v>
      </c>
      <c r="S42" s="384">
        <f>9.922</f>
        <v>9.9220000000000006</v>
      </c>
      <c r="T42" s="384">
        <v>10.135</v>
      </c>
      <c r="U42" s="384">
        <v>10.212999999999999</v>
      </c>
      <c r="V42" s="384">
        <v>10.305999999999999</v>
      </c>
      <c r="W42" s="384">
        <v>10.398999999999999</v>
      </c>
      <c r="X42" s="558">
        <v>10.573</v>
      </c>
      <c r="Y42" s="558">
        <v>12.981</v>
      </c>
      <c r="Z42" s="374">
        <v>13.378</v>
      </c>
      <c r="AA42" s="392">
        <f>13695/1000</f>
        <v>13.695</v>
      </c>
      <c r="AB42" s="878">
        <f t="shared" si="3"/>
        <v>2.369561967409183</v>
      </c>
      <c r="AC42" s="304" t="s">
        <v>33</v>
      </c>
    </row>
    <row r="43" spans="1:29" ht="12.75" customHeight="1">
      <c r="A43" s="8"/>
      <c r="B43" s="598" t="s">
        <v>72</v>
      </c>
      <c r="C43" s="728"/>
      <c r="D43" s="728"/>
      <c r="E43" s="728"/>
      <c r="F43" s="728"/>
      <c r="G43" s="728">
        <v>2.4430000000000001</v>
      </c>
      <c r="H43" s="728">
        <v>2.5939999999999999</v>
      </c>
      <c r="I43" s="728">
        <v>2.754</v>
      </c>
      <c r="J43" s="728">
        <v>2.8780000000000001</v>
      </c>
      <c r="K43" s="728">
        <v>2.98</v>
      </c>
      <c r="L43" s="728">
        <v>3.0030000000000001</v>
      </c>
      <c r="M43" s="728">
        <v>3.11</v>
      </c>
      <c r="N43" s="728">
        <v>3.17</v>
      </c>
      <c r="O43" s="728">
        <v>3.2559999999999998</v>
      </c>
      <c r="P43" s="728">
        <v>3.4380000000000002</v>
      </c>
      <c r="Q43" s="728">
        <v>3.577</v>
      </c>
      <c r="R43" s="728">
        <v>3.734</v>
      </c>
      <c r="S43" s="728">
        <v>3.7530000000000001</v>
      </c>
      <c r="T43" s="728">
        <v>3.931</v>
      </c>
      <c r="U43" s="728">
        <v>3.9990000000000001</v>
      </c>
      <c r="V43" s="728">
        <v>4.1539999999999999</v>
      </c>
      <c r="W43" s="728">
        <v>4.2619999999999996</v>
      </c>
      <c r="X43" s="728">
        <v>4.4409999999999998</v>
      </c>
      <c r="Y43" s="728">
        <v>4.5609999999999999</v>
      </c>
      <c r="Z43" s="728">
        <v>4.6529999999999996</v>
      </c>
      <c r="AA43" s="729">
        <f>4659/1000</f>
        <v>4.6589999999999998</v>
      </c>
      <c r="AB43" s="877">
        <f t="shared" si="3"/>
        <v>0.12894906511928639</v>
      </c>
      <c r="AC43" s="730" t="s">
        <v>72</v>
      </c>
    </row>
    <row r="44" spans="1:29" ht="12.75" customHeight="1">
      <c r="A44" s="8"/>
      <c r="B44" s="154" t="s">
        <v>63</v>
      </c>
      <c r="C44" s="374">
        <v>158.624</v>
      </c>
      <c r="D44" s="374">
        <v>164.77500000000001</v>
      </c>
      <c r="E44" s="374">
        <v>174.60300000000001</v>
      </c>
      <c r="F44" s="374">
        <v>184.34699999999998</v>
      </c>
      <c r="G44" s="374">
        <v>193.00099999999998</v>
      </c>
      <c r="H44" s="374">
        <v>201.56399999999999</v>
      </c>
      <c r="I44" s="374">
        <v>211.42700000000002</v>
      </c>
      <c r="J44" s="374">
        <v>225.173</v>
      </c>
      <c r="K44" s="374">
        <v>239.596</v>
      </c>
      <c r="L44" s="374">
        <v>248.57099999999997</v>
      </c>
      <c r="M44" s="374">
        <f>148.161+13.63+95.708</f>
        <v>257.49900000000002</v>
      </c>
      <c r="N44" s="374">
        <f>116.875+151.67</f>
        <v>268.54499999999996</v>
      </c>
      <c r="O44" s="374">
        <f>156.287+16.589+109.618</f>
        <v>282.49400000000003</v>
      </c>
      <c r="P44" s="374">
        <f>161.662+17.677+117.044</f>
        <v>296.38299999999998</v>
      </c>
      <c r="Q44" s="374">
        <f>141.235+165.557</f>
        <v>306.79200000000003</v>
      </c>
      <c r="R44" s="374">
        <f>146.592+168.904</f>
        <v>315.49599999999998</v>
      </c>
      <c r="S44" s="374">
        <f>151.65+171.846</f>
        <v>323.49599999999998</v>
      </c>
      <c r="T44" s="374">
        <v>331.69900000000001</v>
      </c>
      <c r="U44" s="374">
        <f>176.087+21.349+140.474</f>
        <v>337.90999999999997</v>
      </c>
      <c r="V44" s="374">
        <f>177.502+22.115+145.534</f>
        <v>345.15100000000001</v>
      </c>
      <c r="W44" s="529">
        <f>178.235+23.509+152.531</f>
        <v>354.27500000000003</v>
      </c>
      <c r="X44" s="374">
        <f>178.382+24.792+159.218</f>
        <v>362.392</v>
      </c>
      <c r="Y44" s="374">
        <v>362.05700000000002</v>
      </c>
      <c r="Z44" s="374">
        <f>163.436+26.754+165.782</f>
        <v>355.97199999999998</v>
      </c>
      <c r="AA44" s="392">
        <f>357745/1000</f>
        <v>357.745</v>
      </c>
      <c r="AB44" s="878">
        <f t="shared" si="3"/>
        <v>0.49807288213681034</v>
      </c>
      <c r="AC44" s="304" t="s">
        <v>63</v>
      </c>
    </row>
    <row r="45" spans="1:29" ht="12.75" customHeight="1">
      <c r="A45" s="8"/>
      <c r="B45" s="10" t="s">
        <v>34</v>
      </c>
      <c r="C45" s="367">
        <v>688.48334493180107</v>
      </c>
      <c r="D45" s="367">
        <v>682.99495168409749</v>
      </c>
      <c r="E45" s="367">
        <v>691.21699999999998</v>
      </c>
      <c r="F45" s="367">
        <v>700.46400000000006</v>
      </c>
      <c r="G45" s="367">
        <v>710.375</v>
      </c>
      <c r="H45" s="367">
        <v>712.71299999999997</v>
      </c>
      <c r="I45" s="367">
        <v>720.423</v>
      </c>
      <c r="J45" s="367">
        <v>731.94299999999998</v>
      </c>
      <c r="K45" s="367">
        <v>740.84400000000005</v>
      </c>
      <c r="L45" s="367">
        <v>748.01</v>
      </c>
      <c r="M45" s="367">
        <v>747.96</v>
      </c>
      <c r="N45" s="367">
        <v>759.22299999999996</v>
      </c>
      <c r="O45" s="367">
        <v>763.87</v>
      </c>
      <c r="P45" s="367">
        <v>778.08900000000006</v>
      </c>
      <c r="Q45" s="367">
        <v>781.99699999999996</v>
      </c>
      <c r="R45" s="367">
        <v>790.75</v>
      </c>
      <c r="S45" s="367">
        <v>808.70399999999995</v>
      </c>
      <c r="T45" s="367">
        <v>825.80600000000004</v>
      </c>
      <c r="U45" s="367">
        <v>835.23699999999997</v>
      </c>
      <c r="V45" s="367">
        <v>852.18100000000004</v>
      </c>
      <c r="W45" s="367">
        <f>871.314</f>
        <v>871.31399999999996</v>
      </c>
      <c r="X45" s="367">
        <f>720.381+176.03</f>
        <v>896.41099999999994</v>
      </c>
      <c r="Y45" s="367">
        <v>917.01900000000001</v>
      </c>
      <c r="Z45" s="383">
        <f>739.344+201.267</f>
        <v>940.6110000000001</v>
      </c>
      <c r="AA45" s="371">
        <f>(744542+211283)/1000</f>
        <v>955.82500000000005</v>
      </c>
      <c r="AB45" s="877">
        <f t="shared" si="3"/>
        <v>1.617459289759509</v>
      </c>
      <c r="AC45" s="64" t="s">
        <v>34</v>
      </c>
    </row>
    <row r="46" spans="1:29" ht="12.75" customHeight="1">
      <c r="A46" s="8"/>
      <c r="B46" s="1062" t="s">
        <v>354</v>
      </c>
      <c r="C46" s="1063"/>
      <c r="D46" s="1063"/>
      <c r="E46" s="1063"/>
      <c r="F46" s="1063"/>
      <c r="G46" s="1063"/>
      <c r="H46" s="1063"/>
      <c r="I46" s="1063"/>
      <c r="J46" s="1063"/>
      <c r="K46" s="1063"/>
      <c r="L46" s="1063"/>
      <c r="M46" s="1063"/>
      <c r="N46" s="1063"/>
      <c r="O46" s="1063"/>
      <c r="P46" s="1063"/>
      <c r="Q46" s="1063"/>
      <c r="R46" s="1063"/>
      <c r="S46" s="1063"/>
      <c r="T46" s="1063"/>
      <c r="U46" s="1063"/>
      <c r="V46" s="1063"/>
      <c r="W46" s="1063"/>
      <c r="X46" s="1063"/>
      <c r="Y46" s="1063"/>
      <c r="Z46" s="1063"/>
      <c r="AA46" s="1063"/>
      <c r="AB46" s="1063"/>
      <c r="AC46" s="1063"/>
    </row>
    <row r="47" spans="1:29" ht="12.75" customHeight="1">
      <c r="A47" s="8"/>
      <c r="B47" s="1064" t="s">
        <v>326</v>
      </c>
      <c r="C47" s="1041"/>
      <c r="D47" s="1041"/>
      <c r="E47" s="1041"/>
      <c r="F47" s="1041"/>
      <c r="G47" s="1041"/>
      <c r="H47" s="1041"/>
      <c r="I47" s="1041"/>
      <c r="J47" s="1041"/>
      <c r="K47" s="1041"/>
      <c r="L47" s="1041"/>
      <c r="M47" s="1041"/>
      <c r="N47" s="1041"/>
      <c r="O47" s="1041"/>
      <c r="P47" s="1041"/>
      <c r="Q47" s="1041"/>
      <c r="R47" s="1041"/>
      <c r="S47" s="1041"/>
      <c r="T47" s="1041"/>
      <c r="U47" s="1041"/>
      <c r="V47" s="1041"/>
      <c r="W47" s="1041"/>
      <c r="X47" s="1041"/>
      <c r="Y47" s="1041"/>
      <c r="Z47" s="1041"/>
      <c r="AA47" s="1041"/>
      <c r="AB47" s="1041"/>
      <c r="AC47" s="1041"/>
    </row>
    <row r="48" spans="1:29" ht="12.75" customHeight="1">
      <c r="A48" s="8"/>
      <c r="B48" s="1059" t="s">
        <v>143</v>
      </c>
      <c r="C48" s="1059"/>
      <c r="D48" s="1059"/>
      <c r="E48" s="1059"/>
      <c r="F48" s="1059"/>
      <c r="G48" s="1059"/>
      <c r="H48" s="1059"/>
      <c r="I48" s="1059"/>
      <c r="J48" s="1059"/>
      <c r="K48" s="1059"/>
      <c r="L48" s="1059"/>
      <c r="M48" s="1059"/>
      <c r="N48" s="1059"/>
      <c r="O48" s="1059"/>
      <c r="P48" s="1059"/>
      <c r="Q48" s="1059"/>
      <c r="R48" s="1059"/>
      <c r="S48" s="1059"/>
      <c r="T48" s="1059"/>
      <c r="U48" s="1059"/>
      <c r="V48" s="1059"/>
      <c r="W48" s="1059"/>
      <c r="X48" s="1059"/>
      <c r="Y48" s="1059"/>
      <c r="Z48" s="1059"/>
      <c r="AA48" s="1059"/>
      <c r="AB48" s="1059"/>
      <c r="AC48" s="1059"/>
    </row>
    <row r="49" spans="2:29" ht="11.25" customHeight="1">
      <c r="B49" s="1059" t="s">
        <v>145</v>
      </c>
      <c r="C49" s="1059"/>
      <c r="D49" s="1059"/>
      <c r="E49" s="1059"/>
      <c r="F49" s="1059"/>
      <c r="G49" s="1059"/>
      <c r="H49" s="1059"/>
      <c r="I49" s="1059"/>
      <c r="J49" s="1059"/>
      <c r="K49" s="1059"/>
      <c r="L49" s="1059"/>
      <c r="M49" s="1059"/>
      <c r="N49" s="1059"/>
      <c r="O49" s="1059"/>
      <c r="P49" s="1059"/>
      <c r="Q49" s="1059"/>
      <c r="R49" s="1059"/>
      <c r="S49" s="1059"/>
      <c r="T49" s="1059"/>
      <c r="U49" s="1059"/>
      <c r="V49" s="1059"/>
      <c r="W49" s="1059"/>
      <c r="X49" s="1059"/>
      <c r="Y49" s="1059"/>
      <c r="Z49" s="1059"/>
      <c r="AA49" s="1059"/>
      <c r="AB49" s="1059"/>
      <c r="AC49" s="1059"/>
    </row>
    <row r="50" spans="2:29" ht="12.75" customHeight="1">
      <c r="B50" s="1059" t="s">
        <v>146</v>
      </c>
      <c r="C50" s="1059"/>
      <c r="D50" s="1059"/>
      <c r="E50" s="1059"/>
      <c r="F50" s="1059"/>
      <c r="G50" s="1059"/>
      <c r="H50" s="1059"/>
      <c r="I50" s="1059"/>
      <c r="J50" s="1059"/>
      <c r="K50" s="1059"/>
      <c r="L50" s="1059"/>
      <c r="M50" s="1059"/>
      <c r="N50" s="1059"/>
      <c r="O50" s="1059"/>
      <c r="P50" s="1059"/>
      <c r="Q50" s="1059"/>
      <c r="R50" s="1059"/>
      <c r="S50" s="1059"/>
      <c r="T50" s="1059"/>
      <c r="U50" s="1059"/>
      <c r="V50" s="1059"/>
      <c r="W50" s="1059"/>
      <c r="X50" s="1059"/>
      <c r="Y50" s="1059"/>
      <c r="Z50" s="1059"/>
      <c r="AA50" s="1059"/>
      <c r="AB50" s="1059"/>
      <c r="AC50" s="1059"/>
    </row>
    <row r="51" spans="2:29" ht="12.75" customHeight="1">
      <c r="B51" s="1059" t="s">
        <v>291</v>
      </c>
      <c r="C51" s="1059"/>
      <c r="D51" s="1059"/>
      <c r="E51" s="1059"/>
      <c r="F51" s="1059"/>
      <c r="G51" s="1059"/>
      <c r="H51" s="1059"/>
      <c r="I51" s="1059"/>
      <c r="J51" s="1059"/>
      <c r="K51" s="1059"/>
      <c r="L51" s="1059"/>
      <c r="M51" s="1059"/>
      <c r="N51" s="1059"/>
      <c r="O51" s="1059"/>
      <c r="P51" s="1059"/>
      <c r="Q51" s="1059"/>
      <c r="R51" s="1059"/>
      <c r="S51" s="1059"/>
      <c r="T51" s="1059"/>
      <c r="U51" s="1059"/>
      <c r="V51" s="1059"/>
      <c r="W51" s="1059"/>
      <c r="X51" s="1059"/>
      <c r="Y51" s="1059"/>
      <c r="Z51" s="1059"/>
      <c r="AA51" s="1059"/>
      <c r="AB51" s="1059"/>
      <c r="AC51" s="1059"/>
    </row>
    <row r="52" spans="2:29" ht="12.75" customHeight="1">
      <c r="B52" s="1059"/>
      <c r="C52" s="1059"/>
      <c r="D52" s="1059"/>
      <c r="E52" s="1059"/>
      <c r="F52" s="1059"/>
      <c r="G52" s="1059"/>
      <c r="H52" s="1059"/>
      <c r="I52" s="1059"/>
      <c r="J52" s="1059"/>
      <c r="K52" s="1059"/>
      <c r="L52" s="1059"/>
      <c r="M52" s="1059"/>
      <c r="N52" s="1059"/>
      <c r="O52" s="1059"/>
      <c r="P52" s="1059"/>
      <c r="Q52" s="1059"/>
      <c r="R52" s="1059"/>
      <c r="S52" s="1059"/>
      <c r="T52" s="1059"/>
      <c r="U52" s="1059"/>
      <c r="V52" s="1059"/>
      <c r="W52" s="1059"/>
      <c r="X52" s="1059"/>
      <c r="Y52" s="1059"/>
      <c r="Z52" s="1059"/>
      <c r="AA52" s="1059"/>
      <c r="AB52" s="1059"/>
      <c r="AC52" s="1059"/>
    </row>
    <row r="53" spans="2:29" ht="12.75" customHeight="1">
      <c r="B53" s="1059"/>
      <c r="C53" s="1059"/>
      <c r="D53" s="1059"/>
      <c r="E53" s="1059"/>
      <c r="F53" s="1059"/>
      <c r="G53" s="1059"/>
      <c r="H53" s="1059"/>
      <c r="I53" s="1059"/>
      <c r="J53" s="1059"/>
      <c r="K53" s="1059"/>
      <c r="L53" s="1059"/>
      <c r="M53" s="1059"/>
      <c r="N53" s="1059"/>
      <c r="O53" s="1059"/>
      <c r="P53" s="1059"/>
      <c r="Q53" s="1059"/>
      <c r="R53" s="1059"/>
      <c r="S53" s="1059"/>
      <c r="T53" s="1059"/>
      <c r="U53" s="1059"/>
      <c r="V53" s="1059"/>
      <c r="W53" s="1059"/>
      <c r="X53" s="1059"/>
      <c r="Y53" s="1059"/>
      <c r="Z53" s="1059"/>
      <c r="AA53" s="1059"/>
      <c r="AB53" s="1059"/>
      <c r="AC53" s="1059"/>
    </row>
    <row r="54" spans="2:29" ht="14.25">
      <c r="J54" s="294"/>
      <c r="K54" s="295"/>
      <c r="L54" s="293"/>
      <c r="M54" s="293"/>
      <c r="N54" s="293"/>
      <c r="Q54" s="294"/>
      <c r="S54" s="294"/>
      <c r="T54" s="294"/>
      <c r="U54" s="294"/>
      <c r="V54" s="294"/>
      <c r="W54" s="294"/>
      <c r="X54" s="294"/>
      <c r="Y54" s="294"/>
      <c r="Z54" s="294"/>
      <c r="AA54" s="294"/>
      <c r="AB54" s="678"/>
      <c r="AC54" s="293"/>
    </row>
    <row r="55" spans="2:29" ht="14.25">
      <c r="J55" s="294"/>
      <c r="K55" s="295"/>
      <c r="L55" s="293"/>
      <c r="M55" s="293"/>
      <c r="N55" s="293"/>
      <c r="Q55" s="294"/>
      <c r="S55" s="294"/>
      <c r="T55" s="294"/>
      <c r="U55" s="294"/>
      <c r="V55" s="294"/>
      <c r="W55" s="294"/>
      <c r="X55" s="294"/>
      <c r="Y55" s="294"/>
      <c r="Z55" s="294"/>
      <c r="AA55" s="294"/>
      <c r="AB55" s="678"/>
      <c r="AC55" s="293"/>
    </row>
    <row r="56" spans="2:29" ht="14.25">
      <c r="J56" s="294"/>
      <c r="K56" s="295"/>
      <c r="L56" s="293"/>
      <c r="M56" s="293"/>
      <c r="N56" s="293"/>
      <c r="Q56" s="294"/>
      <c r="S56" s="294"/>
      <c r="T56" s="294"/>
      <c r="U56" s="294"/>
      <c r="V56" s="294"/>
      <c r="W56" s="294"/>
      <c r="X56" s="294"/>
      <c r="Y56" s="294"/>
      <c r="Z56" s="294"/>
      <c r="AA56" s="294"/>
      <c r="AB56" s="678"/>
      <c r="AC56" s="293"/>
    </row>
    <row r="57" spans="2:29" ht="14.25">
      <c r="J57" s="294"/>
      <c r="K57" s="295"/>
      <c r="L57" s="293"/>
      <c r="M57" s="727"/>
      <c r="N57" s="293"/>
      <c r="Q57" s="294"/>
      <c r="S57" s="294"/>
      <c r="T57" s="294"/>
      <c r="U57" s="294"/>
      <c r="V57" s="294"/>
      <c r="W57" s="294"/>
      <c r="X57" s="294"/>
      <c r="Y57" s="294"/>
      <c r="Z57" s="294"/>
      <c r="AA57" s="294"/>
      <c r="AB57" s="678"/>
      <c r="AC57" s="293"/>
    </row>
    <row r="58" spans="2:29" ht="14.25">
      <c r="J58" s="294"/>
      <c r="K58" s="295"/>
      <c r="L58" s="293"/>
      <c r="M58" s="293"/>
      <c r="N58" s="293"/>
      <c r="Q58" s="294"/>
      <c r="S58" s="294"/>
      <c r="T58" s="294"/>
      <c r="U58" s="294"/>
      <c r="V58" s="294"/>
      <c r="W58" s="294"/>
      <c r="X58" s="294"/>
      <c r="Y58" s="294"/>
      <c r="Z58" s="294"/>
      <c r="AA58" s="294"/>
      <c r="AB58" s="678"/>
      <c r="AC58" s="293"/>
    </row>
    <row r="59" spans="2:29" ht="14.25">
      <c r="J59" s="294"/>
      <c r="K59" s="295"/>
      <c r="L59" s="293"/>
      <c r="M59" s="293"/>
      <c r="N59" s="293"/>
      <c r="Q59" s="294"/>
      <c r="S59" s="294"/>
      <c r="X59" s="294"/>
      <c r="Y59" s="294"/>
      <c r="Z59" s="294"/>
      <c r="AA59" s="294"/>
      <c r="AB59" s="678"/>
      <c r="AC59" s="293"/>
    </row>
    <row r="60" spans="2:29" ht="14.25">
      <c r="J60" s="294"/>
      <c r="K60" s="295"/>
      <c r="L60" s="293"/>
      <c r="M60" s="293"/>
      <c r="N60" s="293"/>
      <c r="Q60" s="294"/>
      <c r="S60" s="294"/>
      <c r="X60" s="294"/>
      <c r="Y60" s="294"/>
      <c r="Z60" s="294"/>
      <c r="AA60" s="294"/>
      <c r="AB60" s="678"/>
      <c r="AC60" s="293"/>
    </row>
    <row r="61" spans="2:29" ht="14.25">
      <c r="J61" s="294"/>
      <c r="K61" s="295"/>
      <c r="L61" s="293"/>
      <c r="M61" s="293"/>
      <c r="N61" s="293"/>
      <c r="Q61" s="294"/>
      <c r="S61" s="294"/>
      <c r="X61" s="294"/>
      <c r="Y61" s="294"/>
      <c r="Z61" s="294"/>
      <c r="AA61" s="294"/>
      <c r="AB61" s="678"/>
      <c r="AC61" s="293"/>
    </row>
    <row r="62" spans="2:29" ht="14.25">
      <c r="J62" s="294"/>
      <c r="K62" s="295"/>
      <c r="L62" s="293"/>
      <c r="M62" s="293"/>
      <c r="N62" s="293"/>
      <c r="Q62" s="294"/>
      <c r="S62" s="294"/>
      <c r="X62" s="294"/>
      <c r="Y62" s="294"/>
      <c r="Z62" s="294"/>
      <c r="AA62" s="294"/>
      <c r="AB62" s="678"/>
      <c r="AC62" s="293"/>
    </row>
    <row r="63" spans="2:29" ht="14.25">
      <c r="J63" s="294"/>
      <c r="K63" s="295"/>
      <c r="L63" s="293"/>
      <c r="M63" s="293"/>
      <c r="N63" s="293"/>
      <c r="Q63" s="294"/>
      <c r="S63" s="294"/>
      <c r="X63" s="294"/>
      <c r="Y63" s="294"/>
      <c r="Z63" s="294"/>
      <c r="AA63" s="294"/>
      <c r="AB63" s="678"/>
      <c r="AC63" s="293"/>
    </row>
    <row r="64" spans="2:29" ht="14.25">
      <c r="J64" s="294"/>
      <c r="K64" s="295"/>
      <c r="L64" s="293"/>
      <c r="M64" s="293"/>
      <c r="N64" s="293"/>
      <c r="Q64" s="294"/>
      <c r="X64" s="294"/>
      <c r="Y64" s="294"/>
      <c r="Z64" s="294"/>
      <c r="AA64" s="294"/>
      <c r="AB64" s="678"/>
      <c r="AC64" s="293"/>
    </row>
    <row r="65" spans="10:29" ht="14.25">
      <c r="J65" s="294"/>
      <c r="K65" s="295"/>
      <c r="L65" s="293"/>
      <c r="M65" s="293"/>
      <c r="N65" s="293"/>
      <c r="Q65" s="294"/>
      <c r="X65" s="294"/>
      <c r="Y65" s="294"/>
      <c r="Z65" s="294"/>
      <c r="AA65" s="294"/>
      <c r="AB65" s="678"/>
      <c r="AC65" s="293"/>
    </row>
    <row r="66" spans="10:29" ht="14.25">
      <c r="J66" s="294"/>
      <c r="K66" s="294"/>
      <c r="L66" s="293"/>
      <c r="M66" s="293"/>
      <c r="N66" s="293"/>
    </row>
    <row r="67" spans="10:29" ht="14.25">
      <c r="J67" s="294"/>
      <c r="K67" s="294"/>
      <c r="L67" s="293"/>
      <c r="M67" s="293"/>
      <c r="N67" s="293"/>
    </row>
  </sheetData>
  <mergeCells count="10">
    <mergeCell ref="B53:AC53"/>
    <mergeCell ref="B52:AC52"/>
    <mergeCell ref="B50:AC50"/>
    <mergeCell ref="B51:AC51"/>
    <mergeCell ref="B2:AC2"/>
    <mergeCell ref="B3:AC3"/>
    <mergeCell ref="B46:AC46"/>
    <mergeCell ref="B47:AC47"/>
    <mergeCell ref="B48:AC48"/>
    <mergeCell ref="B49:AC49"/>
  </mergeCells>
  <phoneticPr fontId="4" type="noConversion"/>
  <printOptions horizontalCentered="1"/>
  <pageMargins left="0.6692913385826772" right="0.6692913385826772" top="0.51181102362204722" bottom="0.27559055118110237" header="0" footer="0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>
    <pageSetUpPr fitToPage="1"/>
  </sheetPr>
  <dimension ref="A1:AR51"/>
  <sheetViews>
    <sheetView topLeftCell="A16" workbookViewId="0">
      <selection activeCell="AR26" sqref="AR26"/>
    </sheetView>
  </sheetViews>
  <sheetFormatPr defaultRowHeight="12.75"/>
  <cols>
    <col min="1" max="2" width="4" customWidth="1"/>
    <col min="3" max="4" width="8.7109375" style="129" customWidth="1"/>
    <col min="5" max="5" width="9.7109375" style="129" customWidth="1"/>
    <col min="6" max="9" width="8.7109375" style="129" customWidth="1"/>
    <col min="10" max="17" width="9.7109375" style="129" customWidth="1"/>
    <col min="18" max="22" width="8.140625" customWidth="1"/>
    <col min="23" max="23" width="7.140625" customWidth="1"/>
    <col min="24" max="25" width="6.85546875" customWidth="1"/>
    <col min="26" max="26" width="6.85546875" hidden="1" customWidth="1"/>
    <col min="27" max="31" width="7.140625" hidden="1" customWidth="1"/>
    <col min="32" max="35" width="7.140625" customWidth="1"/>
    <col min="36" max="36" width="7.42578125" customWidth="1"/>
    <col min="37" max="37" width="5.7109375" customWidth="1"/>
    <col min="38" max="38" width="5.85546875" customWidth="1"/>
    <col min="39" max="39" width="2.7109375" customWidth="1"/>
    <col min="40" max="40" width="10.28515625" style="827" customWidth="1"/>
  </cols>
  <sheetData>
    <row r="1" spans="1:40" ht="14.25" customHeight="1">
      <c r="B1" s="1017"/>
      <c r="C1" s="128"/>
      <c r="D1" s="128"/>
      <c r="E1" s="128"/>
      <c r="F1" s="128"/>
      <c r="G1" s="128"/>
      <c r="J1" s="130"/>
      <c r="S1" s="1024"/>
      <c r="T1" s="1024"/>
      <c r="U1" s="1024"/>
      <c r="V1" s="1024"/>
      <c r="W1" s="1024" t="s">
        <v>122</v>
      </c>
      <c r="X1" s="1024"/>
      <c r="Y1" s="1024"/>
      <c r="Z1" s="1024"/>
      <c r="AA1" s="1024"/>
      <c r="AB1" s="1024"/>
      <c r="AC1" s="1024"/>
      <c r="AD1" s="1024"/>
      <c r="AE1" s="1024"/>
      <c r="AF1" s="1024"/>
      <c r="AG1" s="1024"/>
      <c r="AH1" s="1024"/>
      <c r="AI1" s="1024"/>
      <c r="AJ1" s="1024"/>
      <c r="AK1" s="1024"/>
      <c r="AL1" s="1024"/>
    </row>
    <row r="2" spans="1:40" s="1025" customFormat="1" ht="30" customHeight="1">
      <c r="B2" s="1070" t="s">
        <v>297</v>
      </c>
      <c r="C2" s="1070"/>
      <c r="D2" s="1070"/>
      <c r="E2" s="1070"/>
      <c r="F2" s="1070"/>
      <c r="G2" s="1070"/>
      <c r="H2" s="1070"/>
      <c r="I2" s="1070"/>
      <c r="J2" s="1070"/>
      <c r="K2" s="1070"/>
      <c r="L2" s="1070"/>
      <c r="M2" s="1070"/>
      <c r="N2" s="1070"/>
      <c r="O2" s="1070"/>
      <c r="P2" s="1070"/>
      <c r="Q2" s="1070"/>
      <c r="R2" s="1070"/>
      <c r="S2" s="1070"/>
      <c r="T2" s="1070"/>
      <c r="U2" s="1070"/>
      <c r="V2" s="1070"/>
      <c r="W2" s="711"/>
      <c r="X2" s="711"/>
      <c r="Y2" s="711"/>
      <c r="Z2" s="711"/>
      <c r="AA2" s="711"/>
      <c r="AB2" s="711"/>
      <c r="AC2" s="711"/>
      <c r="AD2" s="711"/>
      <c r="AE2" s="711"/>
      <c r="AF2" s="711"/>
      <c r="AG2" s="711"/>
      <c r="AH2" s="711"/>
      <c r="AI2" s="711"/>
    </row>
    <row r="3" spans="1:40" ht="15" customHeight="1">
      <c r="B3" s="1069" t="s">
        <v>80</v>
      </c>
      <c r="C3" s="1069"/>
      <c r="D3" s="1069"/>
      <c r="E3" s="1069"/>
      <c r="F3" s="1069"/>
      <c r="G3" s="1069"/>
      <c r="H3" s="1069"/>
      <c r="I3" s="1069"/>
      <c r="J3" s="1069"/>
      <c r="K3" s="1069"/>
      <c r="L3" s="1069"/>
      <c r="M3" s="1069"/>
      <c r="N3" s="1069"/>
      <c r="O3" s="1069"/>
      <c r="P3" s="1069"/>
      <c r="Q3" s="1069"/>
      <c r="R3" s="1069"/>
      <c r="S3" s="1069"/>
      <c r="T3" s="1069"/>
      <c r="U3" s="1069"/>
      <c r="V3" s="1069"/>
      <c r="W3" s="1021"/>
      <c r="X3" s="1021"/>
      <c r="Y3" s="1021"/>
      <c r="Z3" s="1021"/>
      <c r="AA3" s="1021"/>
      <c r="AB3" s="1021"/>
      <c r="AC3" s="1021"/>
      <c r="AD3" s="1021"/>
      <c r="AE3" s="1021"/>
      <c r="AF3" s="1021"/>
      <c r="AG3" s="1021"/>
      <c r="AH3" s="1021"/>
      <c r="AI3" s="1021"/>
      <c r="AJ3" s="1021"/>
      <c r="AK3" s="1021"/>
      <c r="AL3" s="1021"/>
    </row>
    <row r="4" spans="1:40">
      <c r="B4" s="4"/>
      <c r="C4" s="131"/>
      <c r="D4" s="131"/>
      <c r="E4" s="131"/>
      <c r="J4" s="132"/>
      <c r="L4" s="132"/>
      <c r="N4" s="132"/>
      <c r="P4" s="132"/>
      <c r="Q4" s="132"/>
      <c r="R4" s="7"/>
      <c r="S4" s="7"/>
      <c r="T4" s="7"/>
      <c r="U4" s="7"/>
      <c r="V4" s="132"/>
      <c r="W4" s="1022"/>
      <c r="X4" s="1071" t="s">
        <v>2</v>
      </c>
      <c r="Y4" s="1071"/>
      <c r="Z4" s="1019"/>
      <c r="AA4" s="1071" t="s">
        <v>342</v>
      </c>
      <c r="AB4" s="1071"/>
      <c r="AC4" s="1071"/>
      <c r="AD4" s="1071"/>
      <c r="AE4" s="1071"/>
      <c r="AF4" s="1019"/>
      <c r="AG4" s="1071" t="s">
        <v>337</v>
      </c>
      <c r="AH4" s="1071"/>
      <c r="AI4" s="1071"/>
      <c r="AJ4" s="1071"/>
      <c r="AK4" s="1071"/>
      <c r="AL4" s="7"/>
    </row>
    <row r="5" spans="1:40" ht="31.5" customHeight="1">
      <c r="B5" s="4"/>
      <c r="C5" s="51">
        <v>1998</v>
      </c>
      <c r="D5" s="52">
        <v>1999</v>
      </c>
      <c r="E5" s="52">
        <v>2000</v>
      </c>
      <c r="F5" s="52">
        <v>2001</v>
      </c>
      <c r="G5" s="52">
        <v>2002</v>
      </c>
      <c r="H5" s="52">
        <v>2003</v>
      </c>
      <c r="I5" s="52">
        <v>2004</v>
      </c>
      <c r="J5" s="52">
        <v>2005</v>
      </c>
      <c r="K5" s="52">
        <v>2006</v>
      </c>
      <c r="L5" s="52">
        <v>2007</v>
      </c>
      <c r="M5" s="52">
        <v>2008</v>
      </c>
      <c r="N5" s="52">
        <v>2009</v>
      </c>
      <c r="O5" s="52">
        <v>2010</v>
      </c>
      <c r="P5" s="52">
        <v>2011</v>
      </c>
      <c r="Q5" s="52">
        <v>2012</v>
      </c>
      <c r="R5" s="52">
        <v>2013</v>
      </c>
      <c r="S5" s="52">
        <v>2014</v>
      </c>
      <c r="T5" s="52">
        <v>2015</v>
      </c>
      <c r="U5" s="52">
        <v>2016</v>
      </c>
      <c r="V5" s="280">
        <v>2017</v>
      </c>
      <c r="W5" s="52">
        <v>2018</v>
      </c>
      <c r="X5" s="84">
        <v>2019</v>
      </c>
      <c r="Y5" s="1026">
        <v>2020</v>
      </c>
      <c r="Z5" s="84">
        <v>2015</v>
      </c>
      <c r="AA5" s="84">
        <v>2016</v>
      </c>
      <c r="AB5" s="280">
        <v>2017</v>
      </c>
      <c r="AC5" s="52">
        <v>2018</v>
      </c>
      <c r="AD5" s="84">
        <v>2019</v>
      </c>
      <c r="AE5" s="1026">
        <v>2020</v>
      </c>
      <c r="AF5" s="84">
        <v>2015</v>
      </c>
      <c r="AG5" s="84">
        <v>2016</v>
      </c>
      <c r="AH5" s="280">
        <v>2017</v>
      </c>
      <c r="AI5" s="52">
        <v>2018</v>
      </c>
      <c r="AJ5" s="84">
        <v>2019</v>
      </c>
      <c r="AK5" s="84">
        <v>2020</v>
      </c>
      <c r="AL5" s="781"/>
      <c r="AN5" s="533" t="s">
        <v>364</v>
      </c>
    </row>
    <row r="6" spans="1:40" ht="12.75" customHeight="1">
      <c r="A6" s="650"/>
      <c r="B6" s="50" t="s">
        <v>266</v>
      </c>
      <c r="C6" s="168"/>
      <c r="D6" s="708"/>
      <c r="E6" s="360"/>
      <c r="F6" s="360"/>
      <c r="G6" s="360"/>
      <c r="H6" s="360">
        <f>SUM(H8:H34)</f>
        <v>12378.786</v>
      </c>
      <c r="I6" s="360">
        <f t="shared" ref="I6:AE6" si="0">SUM(I8:I34)</f>
        <v>12681.287000000004</v>
      </c>
      <c r="J6" s="360">
        <f t="shared" si="0"/>
        <v>12754.580000000002</v>
      </c>
      <c r="K6" s="360">
        <f t="shared" si="0"/>
        <v>13219.980999999998</v>
      </c>
      <c r="L6" s="360">
        <f t="shared" si="0"/>
        <v>13307.153000000002</v>
      </c>
      <c r="M6" s="360">
        <f t="shared" si="0"/>
        <v>12325.330000000005</v>
      </c>
      <c r="N6" s="360">
        <f t="shared" si="0"/>
        <v>12237.844000000001</v>
      </c>
      <c r="O6" s="360">
        <f t="shared" si="0"/>
        <v>11407.397999999999</v>
      </c>
      <c r="P6" s="360">
        <f t="shared" si="0"/>
        <v>11274.723000000004</v>
      </c>
      <c r="Q6" s="360">
        <f t="shared" si="0"/>
        <v>10059.255999999998</v>
      </c>
      <c r="R6" s="360">
        <f t="shared" si="0"/>
        <v>9621.3609999999971</v>
      </c>
      <c r="S6" s="360">
        <f t="shared" si="0"/>
        <v>10080.790000000001</v>
      </c>
      <c r="T6" s="360">
        <f t="shared" si="0"/>
        <v>11079.914000000002</v>
      </c>
      <c r="U6" s="360">
        <f t="shared" si="0"/>
        <v>11956.683999999999</v>
      </c>
      <c r="V6" s="360">
        <f t="shared" si="0"/>
        <v>12598.546000000002</v>
      </c>
      <c r="W6" s="360">
        <f t="shared" si="0"/>
        <v>12796.505999999996</v>
      </c>
      <c r="X6" s="360">
        <f t="shared" si="0"/>
        <v>13026.630000000005</v>
      </c>
      <c r="Y6" s="880">
        <f t="shared" si="0"/>
        <v>9936.2889999999989</v>
      </c>
      <c r="Z6" s="360">
        <f t="shared" si="0"/>
        <v>48.560999999999986</v>
      </c>
      <c r="AA6" s="360">
        <f t="shared" si="0"/>
        <v>53.263999999999996</v>
      </c>
      <c r="AB6" s="360">
        <f t="shared" si="0"/>
        <v>82.82</v>
      </c>
      <c r="AC6" s="360">
        <f t="shared" si="0"/>
        <v>132.131</v>
      </c>
      <c r="AD6" s="360">
        <f t="shared" si="0"/>
        <v>248.268</v>
      </c>
      <c r="AE6" s="880">
        <f t="shared" si="0"/>
        <v>536.62</v>
      </c>
      <c r="AF6" s="360">
        <f t="shared" ref="AF6:AK21" si="1">Z6/T6*100</f>
        <v>0.4382795750941747</v>
      </c>
      <c r="AG6" s="360">
        <f t="shared" si="1"/>
        <v>0.4454746817763186</v>
      </c>
      <c r="AH6" s="360">
        <f t="shared" si="1"/>
        <v>0.65737744657200903</v>
      </c>
      <c r="AI6" s="360">
        <f t="shared" si="1"/>
        <v>1.0325552928275894</v>
      </c>
      <c r="AJ6" s="360">
        <f t="shared" si="1"/>
        <v>1.9058497861687937</v>
      </c>
      <c r="AK6" s="360">
        <f t="shared" si="1"/>
        <v>5.4006078124337975</v>
      </c>
      <c r="AL6" s="153" t="s">
        <v>266</v>
      </c>
      <c r="AM6" s="650"/>
      <c r="AN6" s="605">
        <f>Y6/X6*100-100</f>
        <v>-23.723257665259595</v>
      </c>
    </row>
    <row r="7" spans="1:40" ht="12.75" customHeight="1">
      <c r="B7" s="153" t="s">
        <v>168</v>
      </c>
      <c r="C7" s="168"/>
      <c r="D7" s="709"/>
      <c r="E7" s="707"/>
      <c r="F7" s="360"/>
      <c r="G7" s="360"/>
      <c r="H7" s="360">
        <f>SUM(H8:H35)</f>
        <v>14957.835999999999</v>
      </c>
      <c r="I7" s="360">
        <f t="shared" ref="I7:AE7" si="2">SUM(I8:I35)</f>
        <v>15248.556000000004</v>
      </c>
      <c r="J7" s="360">
        <f t="shared" si="2"/>
        <v>15194.297000000002</v>
      </c>
      <c r="K7" s="360">
        <f t="shared" si="2"/>
        <v>15564.844999999998</v>
      </c>
      <c r="L7" s="360">
        <f t="shared" si="2"/>
        <v>15711.160000000002</v>
      </c>
      <c r="M7" s="360">
        <f t="shared" si="2"/>
        <v>14457.125000000005</v>
      </c>
      <c r="N7" s="360">
        <f t="shared" si="2"/>
        <v>14232.843000000001</v>
      </c>
      <c r="O7" s="360">
        <f t="shared" si="2"/>
        <v>13438.243999999999</v>
      </c>
      <c r="P7" s="360">
        <f t="shared" si="2"/>
        <v>13215.976000000004</v>
      </c>
      <c r="Q7" s="360">
        <f t="shared" si="2"/>
        <v>12103.864999999998</v>
      </c>
      <c r="R7" s="360">
        <f t="shared" si="2"/>
        <v>11886.097999999998</v>
      </c>
      <c r="S7" s="360">
        <f t="shared" si="2"/>
        <v>12557.225</v>
      </c>
      <c r="T7" s="360">
        <f t="shared" si="2"/>
        <v>13713.417000000003</v>
      </c>
      <c r="U7" s="360">
        <f t="shared" si="2"/>
        <v>14649.47</v>
      </c>
      <c r="V7" s="360">
        <f t="shared" si="2"/>
        <v>15139.163000000002</v>
      </c>
      <c r="W7" s="707">
        <f t="shared" si="2"/>
        <v>15163.652999999995</v>
      </c>
      <c r="X7" s="707">
        <f t="shared" si="2"/>
        <v>15337.770000000004</v>
      </c>
      <c r="Y7" s="904">
        <f t="shared" si="2"/>
        <v>11567.352999999999</v>
      </c>
      <c r="Z7" s="707">
        <f t="shared" si="2"/>
        <v>58.507999999999981</v>
      </c>
      <c r="AA7" s="707">
        <f t="shared" si="2"/>
        <v>63.519999999999996</v>
      </c>
      <c r="AB7" s="707">
        <f t="shared" si="2"/>
        <v>96.532999999999987</v>
      </c>
      <c r="AC7" s="707">
        <f t="shared" si="2"/>
        <v>149.68</v>
      </c>
      <c r="AD7" s="707">
        <f t="shared" si="2"/>
        <v>286.48099999999999</v>
      </c>
      <c r="AE7" s="904">
        <f t="shared" si="2"/>
        <v>644.23800000000006</v>
      </c>
      <c r="AF7" s="707">
        <f t="shared" si="1"/>
        <v>0.42664785880863954</v>
      </c>
      <c r="AG7" s="707">
        <f t="shared" si="1"/>
        <v>0.43359930427517168</v>
      </c>
      <c r="AH7" s="707">
        <f t="shared" si="1"/>
        <v>0.63763762897592147</v>
      </c>
      <c r="AI7" s="707">
        <f t="shared" si="1"/>
        <v>0.98709723837653129</v>
      </c>
      <c r="AJ7" s="707">
        <f t="shared" si="1"/>
        <v>1.8678138999346054</v>
      </c>
      <c r="AK7" s="904">
        <f t="shared" si="1"/>
        <v>5.569450504363445</v>
      </c>
      <c r="AL7" s="153" t="s">
        <v>168</v>
      </c>
      <c r="AM7" s="650"/>
      <c r="AN7" s="605">
        <f t="shared" ref="AN7:AN43" si="3">Y7/X7*100-100</f>
        <v>-24.582563175741996</v>
      </c>
    </row>
    <row r="8" spans="1:40" ht="12.75" customHeight="1">
      <c r="B8" s="9" t="s">
        <v>52</v>
      </c>
      <c r="C8" s="124">
        <v>452.12900000000002</v>
      </c>
      <c r="D8" s="119">
        <v>489.62099999999998</v>
      </c>
      <c r="E8" s="362">
        <v>515.20399999999995</v>
      </c>
      <c r="F8" s="362">
        <v>488.68299999999999</v>
      </c>
      <c r="G8" s="362">
        <v>467.56900000000002</v>
      </c>
      <c r="H8" s="362">
        <v>458.79599999999999</v>
      </c>
      <c r="I8" s="362">
        <v>484.75700000000001</v>
      </c>
      <c r="J8" s="362">
        <v>480.08800000000002</v>
      </c>
      <c r="K8" s="362">
        <v>526.14099999999996</v>
      </c>
      <c r="L8" s="362">
        <v>524.79499999999996</v>
      </c>
      <c r="M8" s="362">
        <v>535.947</v>
      </c>
      <c r="N8" s="362">
        <v>476.19400000000002</v>
      </c>
      <c r="O8" s="362">
        <v>547.34</v>
      </c>
      <c r="P8" s="362">
        <v>572.21100000000001</v>
      </c>
      <c r="Q8" s="362">
        <v>487.37700000000001</v>
      </c>
      <c r="R8" s="362">
        <v>486.065</v>
      </c>
      <c r="S8" s="362">
        <v>482.93900000000002</v>
      </c>
      <c r="T8" s="362">
        <v>501.06599999999997</v>
      </c>
      <c r="U8" s="119">
        <v>539.28099999999995</v>
      </c>
      <c r="V8" s="119">
        <v>546.55799999999999</v>
      </c>
      <c r="W8" s="121">
        <v>549.63199999999995</v>
      </c>
      <c r="X8" s="121">
        <v>550.00300000000004</v>
      </c>
      <c r="Y8" s="166">
        <v>431.49099999999999</v>
      </c>
      <c r="Z8" s="121">
        <f>1.363</f>
        <v>1.363</v>
      </c>
      <c r="AA8" s="121">
        <v>2.0659999999999998</v>
      </c>
      <c r="AB8" s="121">
        <v>2.72</v>
      </c>
      <c r="AC8" s="121">
        <v>3.7440000000000002</v>
      </c>
      <c r="AD8" s="121">
        <v>8.8979999999999997</v>
      </c>
      <c r="AE8" s="166">
        <v>15.019</v>
      </c>
      <c r="AF8" s="121">
        <f t="shared" si="1"/>
        <v>0.27202005324647854</v>
      </c>
      <c r="AG8" s="121">
        <f t="shared" si="1"/>
        <v>0.38310268672547337</v>
      </c>
      <c r="AH8" s="121">
        <f t="shared" si="1"/>
        <v>0.49765990068757576</v>
      </c>
      <c r="AI8" s="121">
        <f t="shared" si="1"/>
        <v>0.68118304611085245</v>
      </c>
      <c r="AJ8" s="121">
        <f t="shared" si="1"/>
        <v>1.6178093574035051</v>
      </c>
      <c r="AK8" s="121">
        <f t="shared" si="1"/>
        <v>3.4807214982467771</v>
      </c>
      <c r="AL8" s="9" t="s">
        <v>52</v>
      </c>
      <c r="AM8" s="650"/>
      <c r="AN8" s="667">
        <f t="shared" si="3"/>
        <v>-21.547518831715479</v>
      </c>
    </row>
    <row r="9" spans="1:40" ht="12.75" customHeight="1">
      <c r="B9" s="49" t="s">
        <v>35</v>
      </c>
      <c r="C9" s="125"/>
      <c r="D9" s="120"/>
      <c r="E9" s="365"/>
      <c r="F9" s="365"/>
      <c r="G9" s="365">
        <v>13.82</v>
      </c>
      <c r="H9" s="365">
        <v>16.64</v>
      </c>
      <c r="I9" s="365">
        <v>24.91</v>
      </c>
      <c r="J9" s="365">
        <v>32.700000000000003</v>
      </c>
      <c r="K9" s="365">
        <v>32.481000000000002</v>
      </c>
      <c r="L9" s="365">
        <v>41.042000000000002</v>
      </c>
      <c r="M9" s="365">
        <v>43.758000000000003</v>
      </c>
      <c r="N9" s="365">
        <v>24.972000000000001</v>
      </c>
      <c r="O9" s="365">
        <v>15.646000000000001</v>
      </c>
      <c r="P9" s="374">
        <v>18.631</v>
      </c>
      <c r="Q9" s="374">
        <v>19.751999999999999</v>
      </c>
      <c r="R9" s="374">
        <v>20.718</v>
      </c>
      <c r="S9" s="374">
        <v>21.186</v>
      </c>
      <c r="T9" s="374">
        <v>24.256</v>
      </c>
      <c r="U9" s="163">
        <v>28.216000000000001</v>
      </c>
      <c r="V9" s="163">
        <v>33.265000000000001</v>
      </c>
      <c r="W9" s="163">
        <v>37.506</v>
      </c>
      <c r="X9" s="163">
        <v>39.418999999999997</v>
      </c>
      <c r="Y9" s="165">
        <v>27.213999999999999</v>
      </c>
      <c r="Z9" s="163">
        <f>10/1000</f>
        <v>0.01</v>
      </c>
      <c r="AA9" s="163">
        <v>1.0999999999999999E-2</v>
      </c>
      <c r="AB9" s="163">
        <v>6.6000000000000003E-2</v>
      </c>
      <c r="AC9" s="163">
        <v>0.125</v>
      </c>
      <c r="AD9" s="163">
        <v>0.19</v>
      </c>
      <c r="AE9" s="165">
        <v>0.27600000000000002</v>
      </c>
      <c r="AF9" s="163">
        <f t="shared" si="1"/>
        <v>4.1226912928759893E-2</v>
      </c>
      <c r="AG9" s="163">
        <f t="shared" si="1"/>
        <v>3.8984973064927694E-2</v>
      </c>
      <c r="AH9" s="163">
        <f t="shared" si="1"/>
        <v>0.1984067338042988</v>
      </c>
      <c r="AI9" s="163">
        <f t="shared" si="1"/>
        <v>0.33328000853196821</v>
      </c>
      <c r="AJ9" s="163">
        <f t="shared" si="1"/>
        <v>0.48200106547603949</v>
      </c>
      <c r="AK9" s="163">
        <f t="shared" si="1"/>
        <v>1.0141838759462043</v>
      </c>
      <c r="AL9" s="49" t="s">
        <v>35</v>
      </c>
      <c r="AM9" s="650"/>
      <c r="AN9" s="301">
        <f t="shared" si="3"/>
        <v>-30.962226337552963</v>
      </c>
    </row>
    <row r="10" spans="1:40" ht="12.75" customHeight="1">
      <c r="A10" s="8"/>
      <c r="B10" s="10" t="s">
        <v>37</v>
      </c>
      <c r="C10" s="126"/>
      <c r="D10" s="121"/>
      <c r="E10" s="367"/>
      <c r="F10" s="367"/>
      <c r="G10" s="367"/>
      <c r="H10" s="367">
        <v>152.98099999999999</v>
      </c>
      <c r="I10" s="367">
        <v>143.62200000000001</v>
      </c>
      <c r="J10" s="367">
        <v>151.69900000000001</v>
      </c>
      <c r="K10" s="367">
        <v>156.68600000000001</v>
      </c>
      <c r="L10" s="367">
        <v>174.45599999999999</v>
      </c>
      <c r="M10" s="367">
        <v>182.554</v>
      </c>
      <c r="N10" s="367">
        <v>167.708</v>
      </c>
      <c r="O10" s="367">
        <v>169.58</v>
      </c>
      <c r="P10" s="367">
        <v>173.595</v>
      </c>
      <c r="Q10" s="367">
        <v>173.99700000000001</v>
      </c>
      <c r="R10" s="367">
        <v>164.74600000000001</v>
      </c>
      <c r="S10" s="367">
        <v>192.31399999999999</v>
      </c>
      <c r="T10" s="367">
        <v>230.857</v>
      </c>
      <c r="U10" s="121">
        <v>259.69299999999998</v>
      </c>
      <c r="V10" s="121">
        <v>271.59500000000003</v>
      </c>
      <c r="W10" s="121">
        <v>261.43700000000001</v>
      </c>
      <c r="X10" s="121">
        <v>249.91499999999999</v>
      </c>
      <c r="Y10" s="166">
        <v>202.971</v>
      </c>
      <c r="Z10" s="121">
        <f>331/1000</f>
        <v>0.33100000000000002</v>
      </c>
      <c r="AA10" s="121">
        <v>0.23300000000000001</v>
      </c>
      <c r="AB10" s="121">
        <v>0.38900000000000001</v>
      </c>
      <c r="AC10" s="121">
        <v>0.69899999999999995</v>
      </c>
      <c r="AD10" s="121">
        <v>0.79100000000000004</v>
      </c>
      <c r="AE10" s="166">
        <v>3.266</v>
      </c>
      <c r="AF10" s="121">
        <f t="shared" si="1"/>
        <v>0.14337880159579308</v>
      </c>
      <c r="AG10" s="121">
        <f t="shared" si="1"/>
        <v>8.9721324795046478E-2</v>
      </c>
      <c r="AH10" s="121">
        <f t="shared" si="1"/>
        <v>0.14322796811428781</v>
      </c>
      <c r="AI10" s="121">
        <f t="shared" si="1"/>
        <v>0.26736842910529113</v>
      </c>
      <c r="AJ10" s="121">
        <f t="shared" si="1"/>
        <v>0.31650761258828003</v>
      </c>
      <c r="AK10" s="121">
        <f t="shared" si="1"/>
        <v>1.6090968660547564</v>
      </c>
      <c r="AL10" s="10" t="s">
        <v>37</v>
      </c>
      <c r="AM10" s="650"/>
      <c r="AN10" s="274">
        <f t="shared" si="3"/>
        <v>-18.783986555428839</v>
      </c>
    </row>
    <row r="11" spans="1:40" ht="12.75" customHeight="1">
      <c r="A11" s="8"/>
      <c r="B11" s="49" t="s">
        <v>48</v>
      </c>
      <c r="C11" s="125">
        <v>162.50800000000001</v>
      </c>
      <c r="D11" s="120">
        <v>143.727</v>
      </c>
      <c r="E11" s="365">
        <v>112.69</v>
      </c>
      <c r="F11" s="365">
        <v>96.173000000000002</v>
      </c>
      <c r="G11" s="365">
        <v>111.58499999999999</v>
      </c>
      <c r="H11" s="365">
        <v>96.078000000000003</v>
      </c>
      <c r="I11" s="365">
        <v>121.49</v>
      </c>
      <c r="J11" s="365">
        <v>146.88499999999999</v>
      </c>
      <c r="K11" s="365">
        <v>154.38499999999999</v>
      </c>
      <c r="L11" s="365">
        <v>159.34700000000001</v>
      </c>
      <c r="M11" s="365">
        <v>150.14500000000001</v>
      </c>
      <c r="N11" s="365">
        <v>112.20099999999999</v>
      </c>
      <c r="O11" s="365">
        <v>153.58699999999999</v>
      </c>
      <c r="P11" s="374">
        <v>169.97399999999999</v>
      </c>
      <c r="Q11" s="374">
        <v>170.53100000000001</v>
      </c>
      <c r="R11" s="374">
        <v>181.89599999999999</v>
      </c>
      <c r="S11" s="374">
        <v>188.61199999999999</v>
      </c>
      <c r="T11" s="374">
        <v>206.999</v>
      </c>
      <c r="U11" s="163">
        <v>222.89500000000001</v>
      </c>
      <c r="V11" s="163">
        <v>221.59200000000001</v>
      </c>
      <c r="W11" s="163">
        <v>218.358</v>
      </c>
      <c r="X11" s="163">
        <v>225.41</v>
      </c>
      <c r="Y11" s="165">
        <v>198.16200000000001</v>
      </c>
      <c r="Z11" s="163">
        <f>4554/1000</f>
        <v>4.5540000000000003</v>
      </c>
      <c r="AA11" s="163">
        <v>1.24</v>
      </c>
      <c r="AB11" s="163">
        <v>0.72099999999999997</v>
      </c>
      <c r="AC11" s="163">
        <v>1.4750000000000001</v>
      </c>
      <c r="AD11" s="163">
        <v>5.556</v>
      </c>
      <c r="AE11" s="165">
        <v>14.23</v>
      </c>
      <c r="AF11" s="163">
        <f t="shared" si="1"/>
        <v>2.2000106280706673</v>
      </c>
      <c r="AG11" s="163">
        <f t="shared" si="1"/>
        <v>0.55631575405459965</v>
      </c>
      <c r="AH11" s="163">
        <f t="shared" si="1"/>
        <v>0.32537275713924685</v>
      </c>
      <c r="AI11" s="163">
        <f t="shared" si="1"/>
        <v>0.67549620348235462</v>
      </c>
      <c r="AJ11" s="163">
        <f t="shared" si="1"/>
        <v>2.4648418437513864</v>
      </c>
      <c r="AK11" s="163">
        <f t="shared" si="1"/>
        <v>7.1809933286906675</v>
      </c>
      <c r="AL11" s="49" t="s">
        <v>48</v>
      </c>
      <c r="AM11" s="650"/>
      <c r="AN11" s="301">
        <f t="shared" si="3"/>
        <v>-12.0881948449492</v>
      </c>
    </row>
    <row r="12" spans="1:40" ht="12.75" customHeight="1">
      <c r="A12" s="8"/>
      <c r="B12" s="10" t="s">
        <v>53</v>
      </c>
      <c r="C12" s="126">
        <v>3735.9870000000001</v>
      </c>
      <c r="D12" s="121">
        <v>3802.1759999999999</v>
      </c>
      <c r="E12" s="367">
        <v>3378.3429999999998</v>
      </c>
      <c r="F12" s="367">
        <v>3341.7179999999998</v>
      </c>
      <c r="G12" s="367">
        <v>3252.8980000000001</v>
      </c>
      <c r="H12" s="367">
        <v>3236.9380000000001</v>
      </c>
      <c r="I12" s="367">
        <v>3266.8249999999998</v>
      </c>
      <c r="J12" s="367">
        <v>3319.259</v>
      </c>
      <c r="K12" s="367">
        <v>3467.9609999999998</v>
      </c>
      <c r="L12" s="367">
        <v>3148.163</v>
      </c>
      <c r="M12" s="367">
        <v>3090.04</v>
      </c>
      <c r="N12" s="367">
        <v>3807.1750000000002</v>
      </c>
      <c r="O12" s="367">
        <v>2916.259</v>
      </c>
      <c r="P12" s="367">
        <v>3173.634</v>
      </c>
      <c r="Q12" s="367">
        <v>3082.58</v>
      </c>
      <c r="R12" s="367">
        <v>2952.431</v>
      </c>
      <c r="S12" s="367">
        <v>3036.7730000000001</v>
      </c>
      <c r="T12" s="367">
        <v>3206.0419999999999</v>
      </c>
      <c r="U12" s="121">
        <v>3351.607</v>
      </c>
      <c r="V12" s="121">
        <v>3441.261</v>
      </c>
      <c r="W12" s="121">
        <v>3435.7779999999998</v>
      </c>
      <c r="X12" s="121">
        <v>3607.2579999999998</v>
      </c>
      <c r="Y12" s="166">
        <v>2917.6779999999999</v>
      </c>
      <c r="Z12" s="121">
        <f>12183/1000</f>
        <v>12.183</v>
      </c>
      <c r="AA12" s="121">
        <v>11.292</v>
      </c>
      <c r="AB12" s="121">
        <v>24.52</v>
      </c>
      <c r="AC12" s="121">
        <v>35.348999999999997</v>
      </c>
      <c r="AD12" s="121">
        <v>61.756</v>
      </c>
      <c r="AE12" s="166">
        <v>191.643</v>
      </c>
      <c r="AF12" s="121">
        <f t="shared" si="1"/>
        <v>0.38000126012073454</v>
      </c>
      <c r="AG12" s="121">
        <f t="shared" si="1"/>
        <v>0.33691300919230688</v>
      </c>
      <c r="AH12" s="121">
        <f t="shared" si="1"/>
        <v>0.71252950589914565</v>
      </c>
      <c r="AI12" s="121">
        <f t="shared" si="1"/>
        <v>1.0288499431569793</v>
      </c>
      <c r="AJ12" s="121">
        <f t="shared" si="1"/>
        <v>1.7119928765838208</v>
      </c>
      <c r="AK12" s="121">
        <f t="shared" si="1"/>
        <v>6.5683396180113096</v>
      </c>
      <c r="AL12" s="10" t="s">
        <v>53</v>
      </c>
      <c r="AM12" s="650"/>
      <c r="AN12" s="274">
        <f t="shared" si="3"/>
        <v>-19.116459094414651</v>
      </c>
    </row>
    <row r="13" spans="1:40" ht="12.75" customHeight="1">
      <c r="A13" s="8"/>
      <c r="B13" s="49" t="s">
        <v>38</v>
      </c>
      <c r="C13" s="125"/>
      <c r="D13" s="120"/>
      <c r="E13" s="365"/>
      <c r="F13" s="365"/>
      <c r="G13" s="365"/>
      <c r="H13" s="365">
        <v>15.602</v>
      </c>
      <c r="I13" s="365">
        <v>16.436</v>
      </c>
      <c r="J13" s="365">
        <v>19.64</v>
      </c>
      <c r="K13" s="365">
        <v>25.363</v>
      </c>
      <c r="L13" s="365">
        <v>30.911999999999999</v>
      </c>
      <c r="M13" s="365">
        <v>24.579000000000001</v>
      </c>
      <c r="N13" s="365">
        <v>9.9459999999999997</v>
      </c>
      <c r="O13" s="365">
        <v>10.295</v>
      </c>
      <c r="P13" s="374">
        <v>17.07</v>
      </c>
      <c r="Q13" s="374">
        <v>19.423999999999999</v>
      </c>
      <c r="R13" s="374">
        <v>19.693999999999999</v>
      </c>
      <c r="S13" s="374">
        <v>21.135000000000002</v>
      </c>
      <c r="T13" s="374">
        <v>21.033000000000001</v>
      </c>
      <c r="U13" s="163">
        <v>22.997</v>
      </c>
      <c r="V13" s="163">
        <v>25.617999999999999</v>
      </c>
      <c r="W13" s="163">
        <v>26.297000000000001</v>
      </c>
      <c r="X13" s="163">
        <v>27.585000000000001</v>
      </c>
      <c r="Y13" s="165">
        <v>19.277999999999999</v>
      </c>
      <c r="Z13" s="163">
        <f>39/1000</f>
        <v>3.9E-2</v>
      </c>
      <c r="AA13" s="163">
        <v>4.9000000000000002E-2</v>
      </c>
      <c r="AB13" s="163">
        <v>2.5999999999999999E-2</v>
      </c>
      <c r="AC13" s="163">
        <v>0.10299999999999999</v>
      </c>
      <c r="AD13" s="163">
        <v>0.08</v>
      </c>
      <c r="AE13" s="165">
        <v>0.36399999999999999</v>
      </c>
      <c r="AF13" s="163">
        <f t="shared" si="1"/>
        <v>0.18542290686064755</v>
      </c>
      <c r="AG13" s="163">
        <f t="shared" si="1"/>
        <v>0.21307127016567379</v>
      </c>
      <c r="AH13" s="163">
        <f t="shared" si="1"/>
        <v>0.10149113904286049</v>
      </c>
      <c r="AI13" s="163">
        <f t="shared" si="1"/>
        <v>0.39167965927672355</v>
      </c>
      <c r="AJ13" s="163">
        <f t="shared" si="1"/>
        <v>0.29001268805510244</v>
      </c>
      <c r="AK13" s="163">
        <f t="shared" si="1"/>
        <v>1.888162672476398</v>
      </c>
      <c r="AL13" s="49" t="s">
        <v>38</v>
      </c>
      <c r="AM13" s="650"/>
      <c r="AN13" s="301">
        <f t="shared" si="3"/>
        <v>-30.114192495921699</v>
      </c>
    </row>
    <row r="14" spans="1:40" ht="12.75" customHeight="1">
      <c r="A14" s="8"/>
      <c r="B14" s="10" t="s">
        <v>56</v>
      </c>
      <c r="C14" s="126">
        <v>145.702</v>
      </c>
      <c r="D14" s="121">
        <v>174.24199999999999</v>
      </c>
      <c r="E14" s="367">
        <v>230.79499999999999</v>
      </c>
      <c r="F14" s="367">
        <v>164.73</v>
      </c>
      <c r="G14" s="367">
        <v>156.125</v>
      </c>
      <c r="H14" s="367">
        <v>145.22300000000001</v>
      </c>
      <c r="I14" s="367">
        <v>154.136</v>
      </c>
      <c r="J14" s="367">
        <v>171.74199999999999</v>
      </c>
      <c r="K14" s="367">
        <v>178.48400000000001</v>
      </c>
      <c r="L14" s="367">
        <v>186.32499999999999</v>
      </c>
      <c r="M14" s="367">
        <v>151.607</v>
      </c>
      <c r="N14" s="367">
        <v>57.453000000000003</v>
      </c>
      <c r="O14" s="367">
        <v>88.445999999999998</v>
      </c>
      <c r="P14" s="367">
        <v>89.903999999999996</v>
      </c>
      <c r="Q14" s="367">
        <v>79.498000000000005</v>
      </c>
      <c r="R14" s="367">
        <v>74.367000000000004</v>
      </c>
      <c r="S14" s="367">
        <v>96.284000000000006</v>
      </c>
      <c r="T14" s="367">
        <v>124.804</v>
      </c>
      <c r="U14" s="121">
        <v>146.649</v>
      </c>
      <c r="V14" s="121">
        <v>131.33199999999999</v>
      </c>
      <c r="W14" s="121">
        <v>125.67100000000001</v>
      </c>
      <c r="X14" s="121">
        <v>117.10899999999999</v>
      </c>
      <c r="Y14" s="166">
        <v>88.323999999999998</v>
      </c>
      <c r="Z14" s="121">
        <f>460/1000</f>
        <v>0.46</v>
      </c>
      <c r="AA14" s="121">
        <v>0.39300000000000002</v>
      </c>
      <c r="AB14" s="121">
        <v>0.622</v>
      </c>
      <c r="AC14" s="121">
        <v>1.2370000000000001</v>
      </c>
      <c r="AD14" s="121">
        <v>3.65</v>
      </c>
      <c r="AE14" s="166">
        <v>4.0110000000000001</v>
      </c>
      <c r="AF14" s="121">
        <f t="shared" si="1"/>
        <v>0.36857793019454504</v>
      </c>
      <c r="AG14" s="121">
        <f t="shared" si="1"/>
        <v>0.26798682568582122</v>
      </c>
      <c r="AH14" s="121">
        <f t="shared" si="1"/>
        <v>0.47360886912557493</v>
      </c>
      <c r="AI14" s="121">
        <f t="shared" si="1"/>
        <v>0.98431619068838472</v>
      </c>
      <c r="AJ14" s="121">
        <f t="shared" si="1"/>
        <v>3.1167544765987243</v>
      </c>
      <c r="AK14" s="121">
        <f t="shared" si="1"/>
        <v>4.5412345455368879</v>
      </c>
      <c r="AL14" s="10" t="s">
        <v>56</v>
      </c>
      <c r="AM14" s="650"/>
      <c r="AN14" s="274">
        <f t="shared" si="3"/>
        <v>-24.579665098327197</v>
      </c>
    </row>
    <row r="15" spans="1:40" ht="12.75" customHeight="1">
      <c r="A15" s="8"/>
      <c r="B15" s="49" t="s">
        <v>49</v>
      </c>
      <c r="C15" s="125">
        <v>180.14500000000001</v>
      </c>
      <c r="D15" s="120">
        <v>261.71100000000001</v>
      </c>
      <c r="E15" s="365">
        <v>290.22199999999998</v>
      </c>
      <c r="F15" s="365">
        <v>280.214</v>
      </c>
      <c r="G15" s="365">
        <v>268.48899999999998</v>
      </c>
      <c r="H15" s="365">
        <v>257.29300000000001</v>
      </c>
      <c r="I15" s="365">
        <v>289.69099999999997</v>
      </c>
      <c r="J15" s="365">
        <v>269.72800000000001</v>
      </c>
      <c r="K15" s="365">
        <v>267.66899999999998</v>
      </c>
      <c r="L15" s="365">
        <v>279.745</v>
      </c>
      <c r="M15" s="365">
        <v>267.29500000000002</v>
      </c>
      <c r="N15" s="365">
        <v>219.73</v>
      </c>
      <c r="O15" s="365">
        <v>141.501</v>
      </c>
      <c r="P15" s="374">
        <v>97.68</v>
      </c>
      <c r="Q15" s="374">
        <v>58.478999999999999</v>
      </c>
      <c r="R15" s="374">
        <v>58.695999999999998</v>
      </c>
      <c r="S15" s="374">
        <v>71.221999999999994</v>
      </c>
      <c r="T15" s="374">
        <v>75.804000000000002</v>
      </c>
      <c r="U15" s="163">
        <v>78.873000000000005</v>
      </c>
      <c r="V15" s="163">
        <v>88.082999999999998</v>
      </c>
      <c r="W15" s="163">
        <v>103.431</v>
      </c>
      <c r="X15" s="163">
        <v>114.226</v>
      </c>
      <c r="Y15" s="165">
        <v>80.977000000000004</v>
      </c>
      <c r="Z15" s="163">
        <f>39/1000</f>
        <v>3.9E-2</v>
      </c>
      <c r="AA15" s="163">
        <v>3.3000000000000002E-2</v>
      </c>
      <c r="AB15" s="163">
        <v>3.4000000000000002E-2</v>
      </c>
      <c r="AC15" s="163">
        <v>6.4000000000000001E-2</v>
      </c>
      <c r="AD15" s="163">
        <v>0.19</v>
      </c>
      <c r="AE15" s="165">
        <v>0.67800000000000005</v>
      </c>
      <c r="AF15" s="163">
        <f t="shared" si="1"/>
        <v>5.1448472376127902E-2</v>
      </c>
      <c r="AG15" s="163">
        <f t="shared" si="1"/>
        <v>4.1839412726788636E-2</v>
      </c>
      <c r="AH15" s="163">
        <f t="shared" si="1"/>
        <v>3.8599956858871749E-2</v>
      </c>
      <c r="AI15" s="163">
        <f t="shared" si="1"/>
        <v>6.1877000125687656E-2</v>
      </c>
      <c r="AJ15" s="163">
        <f t="shared" si="1"/>
        <v>0.16633691103601631</v>
      </c>
      <c r="AK15" s="163">
        <f t="shared" si="1"/>
        <v>0.83727478172814507</v>
      </c>
      <c r="AL15" s="49" t="s">
        <v>49</v>
      </c>
      <c r="AM15" s="650"/>
      <c r="AN15" s="301">
        <f t="shared" si="3"/>
        <v>-29.108083973876347</v>
      </c>
    </row>
    <row r="16" spans="1:40" ht="12.75" customHeight="1">
      <c r="A16" s="8"/>
      <c r="B16" s="10" t="s">
        <v>54</v>
      </c>
      <c r="C16" s="126">
        <v>1192.53</v>
      </c>
      <c r="D16" s="121">
        <v>1406.2460000000001</v>
      </c>
      <c r="E16" s="367">
        <v>1381.2560000000001</v>
      </c>
      <c r="F16" s="367">
        <v>1425.5730000000001</v>
      </c>
      <c r="G16" s="367">
        <v>1331.877</v>
      </c>
      <c r="H16" s="367">
        <v>1382.1089999999999</v>
      </c>
      <c r="I16" s="367">
        <v>1517.2860000000001</v>
      </c>
      <c r="J16" s="367">
        <v>1528.877</v>
      </c>
      <c r="K16" s="367">
        <v>1634.6079999999999</v>
      </c>
      <c r="L16" s="367">
        <v>1614.835</v>
      </c>
      <c r="M16" s="367">
        <v>1161.1759999999999</v>
      </c>
      <c r="N16" s="367">
        <v>952.77200000000005</v>
      </c>
      <c r="O16" s="367">
        <v>982.01499999999999</v>
      </c>
      <c r="P16" s="367">
        <v>808.05100000000004</v>
      </c>
      <c r="Q16" s="367">
        <v>699.58900000000006</v>
      </c>
      <c r="R16" s="367">
        <v>722.68899999999996</v>
      </c>
      <c r="S16" s="367">
        <v>855.30799999999999</v>
      </c>
      <c r="T16" s="367">
        <v>1034.232</v>
      </c>
      <c r="U16" s="121">
        <v>1147.009</v>
      </c>
      <c r="V16" s="121">
        <v>1234.932</v>
      </c>
      <c r="W16" s="121">
        <v>1321.4369999999999</v>
      </c>
      <c r="X16" s="121">
        <v>1258.251</v>
      </c>
      <c r="Y16" s="166">
        <v>851.21</v>
      </c>
      <c r="Z16" s="121">
        <f>1422/1000</f>
        <v>1.4219999999999999</v>
      </c>
      <c r="AA16" s="121">
        <v>2.0209999999999999</v>
      </c>
      <c r="AB16" s="121">
        <v>3.92</v>
      </c>
      <c r="AC16" s="121">
        <v>6.0039999999999996</v>
      </c>
      <c r="AD16" s="121">
        <v>10.428000000000001</v>
      </c>
      <c r="AE16" s="166">
        <v>18.265000000000001</v>
      </c>
      <c r="AF16" s="121">
        <f t="shared" si="1"/>
        <v>0.13749332838279998</v>
      </c>
      <c r="AG16" s="121">
        <f t="shared" si="1"/>
        <v>0.17619739688180303</v>
      </c>
      <c r="AH16" s="121">
        <f t="shared" si="1"/>
        <v>0.31742638461065059</v>
      </c>
      <c r="AI16" s="121">
        <f t="shared" si="1"/>
        <v>0.4543538587159282</v>
      </c>
      <c r="AJ16" s="121">
        <f t="shared" si="1"/>
        <v>0.82876945855795081</v>
      </c>
      <c r="AK16" s="121">
        <f t="shared" si="1"/>
        <v>2.1457689641804016</v>
      </c>
      <c r="AL16" s="10" t="s">
        <v>54</v>
      </c>
      <c r="AM16" s="650"/>
      <c r="AN16" s="274">
        <f t="shared" si="3"/>
        <v>-32.349745797936976</v>
      </c>
    </row>
    <row r="17" spans="1:44" ht="12.75" customHeight="1">
      <c r="A17" s="8"/>
      <c r="B17" s="49" t="s">
        <v>55</v>
      </c>
      <c r="C17" s="125">
        <v>1943.5530000000001</v>
      </c>
      <c r="D17" s="120">
        <v>2148.4229999999998</v>
      </c>
      <c r="E17" s="365">
        <v>2133.884</v>
      </c>
      <c r="F17" s="365">
        <v>2254.732</v>
      </c>
      <c r="G17" s="365">
        <v>2145.0709999999999</v>
      </c>
      <c r="H17" s="365">
        <v>2009.2460000000001</v>
      </c>
      <c r="I17" s="365">
        <v>2013.7090000000001</v>
      </c>
      <c r="J17" s="365">
        <v>2067.7890000000002</v>
      </c>
      <c r="K17" s="365">
        <v>2000.549</v>
      </c>
      <c r="L17" s="365">
        <v>2064.5430000000001</v>
      </c>
      <c r="M17" s="365">
        <v>2050.2820000000002</v>
      </c>
      <c r="N17" s="365">
        <v>2302.3980000000001</v>
      </c>
      <c r="O17" s="365">
        <v>2251.6689999999999</v>
      </c>
      <c r="P17" s="374">
        <v>2204.2289999999998</v>
      </c>
      <c r="Q17" s="374">
        <v>1898.76</v>
      </c>
      <c r="R17" s="374">
        <v>1790.4559999999999</v>
      </c>
      <c r="S17" s="374">
        <v>1795.885</v>
      </c>
      <c r="T17" s="374">
        <v>1917.2260000000001</v>
      </c>
      <c r="U17" s="163">
        <v>2015.1769999999999</v>
      </c>
      <c r="V17" s="163">
        <v>2110.748</v>
      </c>
      <c r="W17" s="163">
        <v>2173.4810000000002</v>
      </c>
      <c r="X17" s="163">
        <v>2214.279</v>
      </c>
      <c r="Y17" s="165">
        <v>1650.1179999999999</v>
      </c>
      <c r="Z17" s="163">
        <f>17278/1000</f>
        <v>17.277999999999999</v>
      </c>
      <c r="AA17" s="163">
        <v>21.785</v>
      </c>
      <c r="AB17" s="163">
        <v>25.3</v>
      </c>
      <c r="AC17" s="163">
        <v>31.024000000000001</v>
      </c>
      <c r="AD17" s="163">
        <v>42.988</v>
      </c>
      <c r="AE17" s="165">
        <v>111.12</v>
      </c>
      <c r="AF17" s="163">
        <f t="shared" si="1"/>
        <v>0.90119787651534033</v>
      </c>
      <c r="AG17" s="163">
        <f t="shared" si="1"/>
        <v>1.0810464787956591</v>
      </c>
      <c r="AH17" s="163">
        <f t="shared" si="1"/>
        <v>1.1986272165128191</v>
      </c>
      <c r="AI17" s="163">
        <f t="shared" si="1"/>
        <v>1.4273876790273299</v>
      </c>
      <c r="AJ17" s="163">
        <f t="shared" si="1"/>
        <v>1.9413994352111905</v>
      </c>
      <c r="AK17" s="163">
        <f t="shared" si="1"/>
        <v>6.7340638669476984</v>
      </c>
      <c r="AL17" s="49" t="s">
        <v>55</v>
      </c>
      <c r="AM17" s="650"/>
      <c r="AN17" s="301">
        <f t="shared" si="3"/>
        <v>-25.478315966506486</v>
      </c>
    </row>
    <row r="18" spans="1:44" ht="12.75" customHeight="1">
      <c r="A18" s="8"/>
      <c r="B18" s="10" t="s">
        <v>66</v>
      </c>
      <c r="C18" s="126"/>
      <c r="D18" s="121"/>
      <c r="E18" s="367">
        <v>92.36</v>
      </c>
      <c r="F18" s="367">
        <v>108.633</v>
      </c>
      <c r="G18" s="367">
        <v>95.21</v>
      </c>
      <c r="H18" s="367">
        <v>104.52</v>
      </c>
      <c r="I18" s="367">
        <v>99.84</v>
      </c>
      <c r="J18" s="367">
        <v>102.123</v>
      </c>
      <c r="K18" s="367">
        <v>114.447</v>
      </c>
      <c r="L18" s="367">
        <v>106.202</v>
      </c>
      <c r="M18" s="367">
        <v>95.697000000000003</v>
      </c>
      <c r="N18" s="367">
        <v>53.252000000000002</v>
      </c>
      <c r="O18" s="367">
        <v>46.209000000000003</v>
      </c>
      <c r="P18" s="367">
        <v>48.883000000000003</v>
      </c>
      <c r="Q18" s="367">
        <v>40.825000000000003</v>
      </c>
      <c r="R18" s="370">
        <v>27.802</v>
      </c>
      <c r="S18" s="367">
        <v>33.962000000000003</v>
      </c>
      <c r="T18" s="367">
        <v>35.715000000000003</v>
      </c>
      <c r="U18" s="121">
        <v>44.106000000000002</v>
      </c>
      <c r="V18" s="121">
        <v>50.768999999999998</v>
      </c>
      <c r="W18" s="121">
        <v>60.040999999999997</v>
      </c>
      <c r="X18" s="121">
        <v>62.938000000000002</v>
      </c>
      <c r="Y18" s="166">
        <v>36.084000000000003</v>
      </c>
      <c r="Z18" s="121">
        <f>41/1000</f>
        <v>4.1000000000000002E-2</v>
      </c>
      <c r="AA18" s="121">
        <v>2.7E-2</v>
      </c>
      <c r="AB18" s="121">
        <v>6.0000000000000001E-3</v>
      </c>
      <c r="AC18" s="121">
        <v>0.128</v>
      </c>
      <c r="AD18" s="121">
        <v>0.24</v>
      </c>
      <c r="AE18" s="166">
        <v>0.50600000000000001</v>
      </c>
      <c r="AF18" s="121">
        <f t="shared" si="1"/>
        <v>0.11479770404591907</v>
      </c>
      <c r="AG18" s="121">
        <f t="shared" si="1"/>
        <v>6.1216161066521564E-2</v>
      </c>
      <c r="AH18" s="121">
        <f t="shared" si="1"/>
        <v>1.1818235537434262E-2</v>
      </c>
      <c r="AI18" s="121">
        <f t="shared" si="1"/>
        <v>0.21318765510234672</v>
      </c>
      <c r="AJ18" s="121">
        <f t="shared" si="1"/>
        <v>0.38132765578823602</v>
      </c>
      <c r="AK18" s="121">
        <f t="shared" si="1"/>
        <v>1.4022835605808668</v>
      </c>
      <c r="AL18" s="10" t="s">
        <v>66</v>
      </c>
      <c r="AM18" s="650"/>
      <c r="AN18" s="274">
        <f t="shared" si="3"/>
        <v>-42.667386952238708</v>
      </c>
    </row>
    <row r="19" spans="1:44" ht="12.75" customHeight="1">
      <c r="A19" s="8"/>
      <c r="B19" s="154" t="s">
        <v>57</v>
      </c>
      <c r="C19" s="307">
        <v>2378.5160000000001</v>
      </c>
      <c r="D19" s="163">
        <v>2338.4639999999999</v>
      </c>
      <c r="E19" s="374">
        <v>2423.0839999999998</v>
      </c>
      <c r="F19" s="374">
        <v>2413.4549999999999</v>
      </c>
      <c r="G19" s="374">
        <v>2279.6120000000001</v>
      </c>
      <c r="H19" s="374">
        <v>2247.0189999999998</v>
      </c>
      <c r="I19" s="374">
        <v>2264.6880000000001</v>
      </c>
      <c r="J19" s="374">
        <v>2237.444</v>
      </c>
      <c r="K19" s="374">
        <v>2326.049</v>
      </c>
      <c r="L19" s="374">
        <v>2493.1060000000002</v>
      </c>
      <c r="M19" s="374">
        <v>2161.6819999999998</v>
      </c>
      <c r="N19" s="374">
        <v>2159.4630000000002</v>
      </c>
      <c r="O19" s="374">
        <v>1961.579</v>
      </c>
      <c r="P19" s="374">
        <v>1749.0740000000001</v>
      </c>
      <c r="Q19" s="374">
        <v>1402.0889999999999</v>
      </c>
      <c r="R19" s="374">
        <v>1304.6479999999999</v>
      </c>
      <c r="S19" s="374">
        <v>1360.578</v>
      </c>
      <c r="T19" s="374">
        <v>1569.085</v>
      </c>
      <c r="U19" s="163">
        <v>1825.8920000000001</v>
      </c>
      <c r="V19" s="163">
        <v>1971.345</v>
      </c>
      <c r="W19" s="163">
        <v>1910.701</v>
      </c>
      <c r="X19" s="163">
        <v>1916.951</v>
      </c>
      <c r="Y19" s="165">
        <v>1381.646</v>
      </c>
      <c r="Z19" s="163">
        <f>1452/1000</f>
        <v>1.452</v>
      </c>
      <c r="AA19" s="163">
        <v>1.3779999999999999</v>
      </c>
      <c r="AB19" s="163">
        <v>1.9570000000000001</v>
      </c>
      <c r="AC19" s="163">
        <v>4.9829999999999997</v>
      </c>
      <c r="AD19" s="163">
        <v>10.737</v>
      </c>
      <c r="AE19" s="165">
        <v>32.485999999999997</v>
      </c>
      <c r="AF19" s="163">
        <f t="shared" si="1"/>
        <v>9.2538007819844045E-2</v>
      </c>
      <c r="AG19" s="163">
        <f t="shared" si="1"/>
        <v>7.5469962078808586E-2</v>
      </c>
      <c r="AH19" s="163">
        <f t="shared" si="1"/>
        <v>9.9272324225338535E-2</v>
      </c>
      <c r="AI19" s="163">
        <f t="shared" si="1"/>
        <v>0.26079433673819191</v>
      </c>
      <c r="AJ19" s="163">
        <f t="shared" si="1"/>
        <v>0.56010821351197815</v>
      </c>
      <c r="AK19" s="163">
        <f t="shared" si="1"/>
        <v>2.3512535048775156</v>
      </c>
      <c r="AL19" s="154" t="s">
        <v>57</v>
      </c>
      <c r="AM19" s="650"/>
      <c r="AN19" s="301">
        <f t="shared" si="3"/>
        <v>-27.924813936297795</v>
      </c>
    </row>
    <row r="20" spans="1:44" ht="12.75" customHeight="1">
      <c r="A20" s="8"/>
      <c r="B20" s="10" t="s">
        <v>36</v>
      </c>
      <c r="C20" s="126"/>
      <c r="D20" s="121"/>
      <c r="E20" s="367">
        <f>7.103+0.051+1.057</f>
        <v>8.2110000000000003</v>
      </c>
      <c r="F20" s="367">
        <f>7.562+0.117+2.323</f>
        <v>10.002000000000001</v>
      </c>
      <c r="G20" s="367">
        <f>7.942+0.065+1.115</f>
        <v>9.1219999999999999</v>
      </c>
      <c r="H20" s="367">
        <f>7.797+0.12+1.228</f>
        <v>9.1449999999999996</v>
      </c>
      <c r="I20" s="367">
        <f>18.22+0.055+1.375</f>
        <v>19.649999999999999</v>
      </c>
      <c r="J20" s="367">
        <f>17.687+0.09+1.433</f>
        <v>19.21</v>
      </c>
      <c r="K20" s="367">
        <f>18.639+0.076+1.629</f>
        <v>20.344000000000001</v>
      </c>
      <c r="L20" s="367">
        <f>22.878+0.087+2.142</f>
        <v>25.106999999999999</v>
      </c>
      <c r="M20" s="367">
        <f>22.241+0.044+1.928</f>
        <v>24.213000000000001</v>
      </c>
      <c r="N20" s="367">
        <v>15.945</v>
      </c>
      <c r="O20" s="367">
        <v>15.061999999999999</v>
      </c>
      <c r="P20" s="367">
        <v>14.664999999999999</v>
      </c>
      <c r="Q20" s="367">
        <v>10.967000000000001</v>
      </c>
      <c r="R20" s="367">
        <v>7.0469999999999997</v>
      </c>
      <c r="S20" s="367">
        <v>8.2710000000000008</v>
      </c>
      <c r="T20" s="367">
        <v>10.077999999999999</v>
      </c>
      <c r="U20" s="121">
        <v>12.468</v>
      </c>
      <c r="V20" s="121">
        <v>13.118</v>
      </c>
      <c r="W20" s="121">
        <f>13216/1000</f>
        <v>13.215999999999999</v>
      </c>
      <c r="X20" s="121">
        <f>12601/1000</f>
        <v>12.601000000000001</v>
      </c>
      <c r="Y20" s="166">
        <f>10237/1000</f>
        <v>10.237</v>
      </c>
      <c r="Z20" s="121">
        <f>4/1000</f>
        <v>4.0000000000000001E-3</v>
      </c>
      <c r="AA20" s="121">
        <v>1.9E-2</v>
      </c>
      <c r="AB20" s="121">
        <v>4.3999999999999997E-2</v>
      </c>
      <c r="AC20" s="121">
        <v>4.4999999999999998E-2</v>
      </c>
      <c r="AD20" s="121">
        <v>6.8000000000000005E-2</v>
      </c>
      <c r="AE20" s="166">
        <v>4.2000000000000003E-2</v>
      </c>
      <c r="AF20" s="121">
        <f t="shared" si="1"/>
        <v>3.9690414764834293E-2</v>
      </c>
      <c r="AG20" s="121">
        <f t="shared" si="1"/>
        <v>0.15239011870388194</v>
      </c>
      <c r="AH20" s="121">
        <f t="shared" si="1"/>
        <v>0.33541698429638661</v>
      </c>
      <c r="AI20" s="121">
        <f t="shared" si="1"/>
        <v>0.34049636803874089</v>
      </c>
      <c r="AJ20" s="121">
        <f t="shared" si="1"/>
        <v>0.53963971113403697</v>
      </c>
      <c r="AK20" s="121">
        <f t="shared" si="1"/>
        <v>0.41027644817817727</v>
      </c>
      <c r="AL20" s="10" t="s">
        <v>36</v>
      </c>
      <c r="AM20" s="650"/>
      <c r="AN20" s="274">
        <f t="shared" si="3"/>
        <v>-18.760415840012698</v>
      </c>
    </row>
    <row r="21" spans="1:44" ht="12.75" customHeight="1">
      <c r="A21" s="8"/>
      <c r="B21" s="154" t="s">
        <v>40</v>
      </c>
      <c r="C21" s="307"/>
      <c r="D21" s="163"/>
      <c r="E21" s="374"/>
      <c r="F21" s="374"/>
      <c r="G21" s="374"/>
      <c r="H21" s="374">
        <v>8.7129999999999992</v>
      </c>
      <c r="I21" s="374">
        <v>11.217000000000001</v>
      </c>
      <c r="J21" s="374">
        <v>16.602</v>
      </c>
      <c r="K21" s="374">
        <v>25.582000000000001</v>
      </c>
      <c r="L21" s="374">
        <v>32.771000000000001</v>
      </c>
      <c r="M21" s="374">
        <v>19.831</v>
      </c>
      <c r="N21" s="374">
        <v>5.367</v>
      </c>
      <c r="O21" s="374">
        <v>6.3650000000000002</v>
      </c>
      <c r="P21" s="374">
        <v>10.98</v>
      </c>
      <c r="Q21" s="374">
        <v>10.664999999999999</v>
      </c>
      <c r="R21" s="374">
        <v>10.635999999999999</v>
      </c>
      <c r="S21" s="374">
        <v>12.452</v>
      </c>
      <c r="T21" s="374">
        <v>13.766</v>
      </c>
      <c r="U21" s="163">
        <v>16.356999999999999</v>
      </c>
      <c r="V21" s="163">
        <v>16.698</v>
      </c>
      <c r="W21" s="163">
        <v>16.878</v>
      </c>
      <c r="X21" s="163">
        <v>18.233000000000001</v>
      </c>
      <c r="Y21" s="165">
        <v>13.516</v>
      </c>
      <c r="Z21" s="163">
        <f>20/1000</f>
        <v>0.02</v>
      </c>
      <c r="AA21" s="163">
        <v>2.8000000000000001E-2</v>
      </c>
      <c r="AB21" s="163">
        <v>7.0999999999999994E-2</v>
      </c>
      <c r="AC21" s="163">
        <v>0.128</v>
      </c>
      <c r="AD21" s="163">
        <v>0.11799999999999999</v>
      </c>
      <c r="AE21" s="165">
        <v>0.28899999999999998</v>
      </c>
      <c r="AF21" s="163">
        <f t="shared" si="1"/>
        <v>0.14528548597995061</v>
      </c>
      <c r="AG21" s="163">
        <f t="shared" si="1"/>
        <v>0.17118053432781075</v>
      </c>
      <c r="AH21" s="163">
        <f t="shared" si="1"/>
        <v>0.42520062282908122</v>
      </c>
      <c r="AI21" s="163">
        <f t="shared" si="1"/>
        <v>0.75838369475056289</v>
      </c>
      <c r="AJ21" s="163">
        <f t="shared" si="1"/>
        <v>0.64717819338561944</v>
      </c>
      <c r="AK21" s="163">
        <f t="shared" si="1"/>
        <v>2.1382065699911212</v>
      </c>
      <c r="AL21" s="154" t="s">
        <v>40</v>
      </c>
      <c r="AM21" s="650"/>
      <c r="AN21" s="301">
        <f t="shared" si="3"/>
        <v>-25.8706740525421</v>
      </c>
    </row>
    <row r="22" spans="1:44" ht="12.75" customHeight="1">
      <c r="A22" s="8"/>
      <c r="B22" s="10" t="s">
        <v>41</v>
      </c>
      <c r="C22" s="126"/>
      <c r="D22" s="121"/>
      <c r="E22" s="367"/>
      <c r="F22" s="367"/>
      <c r="G22" s="367"/>
      <c r="H22" s="367">
        <v>7.5430000000000001</v>
      </c>
      <c r="I22" s="367">
        <v>9.4930000000000003</v>
      </c>
      <c r="J22" s="367">
        <v>10.467000000000001</v>
      </c>
      <c r="K22" s="367">
        <v>14.234</v>
      </c>
      <c r="L22" s="367">
        <v>21.606000000000002</v>
      </c>
      <c r="M22" s="367">
        <v>22.216999999999999</v>
      </c>
      <c r="N22" s="367">
        <v>7.5149999999999997</v>
      </c>
      <c r="O22" s="367">
        <v>7.97</v>
      </c>
      <c r="P22" s="367">
        <v>13.234</v>
      </c>
      <c r="Q22" s="367">
        <v>12.164999999999999</v>
      </c>
      <c r="R22" s="367">
        <v>12.163</v>
      </c>
      <c r="S22" s="367">
        <v>14.461</v>
      </c>
      <c r="T22" s="367">
        <v>17.071000000000002</v>
      </c>
      <c r="U22" s="121">
        <v>20.283999999999999</v>
      </c>
      <c r="V22" s="121">
        <v>25.835999999999999</v>
      </c>
      <c r="W22" s="121">
        <v>32.381999999999998</v>
      </c>
      <c r="X22" s="121">
        <v>46.387999999999998</v>
      </c>
      <c r="Y22" s="166">
        <v>40.338000000000001</v>
      </c>
      <c r="Z22" s="121">
        <f>25/1000</f>
        <v>2.5000000000000001E-2</v>
      </c>
      <c r="AA22" s="121">
        <v>6.5000000000000002E-2</v>
      </c>
      <c r="AB22" s="121">
        <v>4.9000000000000002E-2</v>
      </c>
      <c r="AC22" s="121">
        <v>0.14099999999999999</v>
      </c>
      <c r="AD22" s="121">
        <v>0.17299999999999999</v>
      </c>
      <c r="AE22" s="166">
        <v>0.44600000000000001</v>
      </c>
      <c r="AF22" s="121">
        <f t="shared" ref="AF22:AK43" si="4">Z22/T22*100</f>
        <v>0.14644719114287386</v>
      </c>
      <c r="AG22" s="121">
        <f t="shared" si="4"/>
        <v>0.32044961546046147</v>
      </c>
      <c r="AH22" s="121">
        <f t="shared" si="4"/>
        <v>0.18965784177117204</v>
      </c>
      <c r="AI22" s="121">
        <f t="shared" si="4"/>
        <v>0.43542708912358719</v>
      </c>
      <c r="AJ22" s="121">
        <f t="shared" si="4"/>
        <v>0.37294127791670256</v>
      </c>
      <c r="AK22" s="121">
        <f t="shared" si="4"/>
        <v>1.1056571966879865</v>
      </c>
      <c r="AL22" s="10" t="s">
        <v>41</v>
      </c>
      <c r="AM22" s="650"/>
      <c r="AN22" s="274">
        <f t="shared" si="3"/>
        <v>-13.042166077433819</v>
      </c>
    </row>
    <row r="23" spans="1:44" ht="12.75" customHeight="1">
      <c r="A23" s="8"/>
      <c r="B23" s="154" t="s">
        <v>58</v>
      </c>
      <c r="C23" s="307">
        <v>35.927999999999997</v>
      </c>
      <c r="D23" s="163">
        <v>40.475999999999999</v>
      </c>
      <c r="E23" s="374">
        <v>41.896000000000001</v>
      </c>
      <c r="F23" s="374">
        <v>42.832999999999998</v>
      </c>
      <c r="G23" s="374">
        <v>43.402999999999999</v>
      </c>
      <c r="H23" s="374">
        <v>43.62</v>
      </c>
      <c r="I23" s="374">
        <v>48.234000000000002</v>
      </c>
      <c r="J23" s="374">
        <v>48.517000000000003</v>
      </c>
      <c r="K23" s="374">
        <v>50.837000000000003</v>
      </c>
      <c r="L23" s="374">
        <v>51.332000000000001</v>
      </c>
      <c r="M23" s="374">
        <v>52.359000000000002</v>
      </c>
      <c r="N23" s="374">
        <v>47.265000000000001</v>
      </c>
      <c r="O23" s="374">
        <v>49.725999999999999</v>
      </c>
      <c r="P23" s="374">
        <v>49.881</v>
      </c>
      <c r="Q23" s="374">
        <v>53.008000000000003</v>
      </c>
      <c r="R23" s="374">
        <v>46.624000000000002</v>
      </c>
      <c r="S23" s="374">
        <v>49.792999999999999</v>
      </c>
      <c r="T23" s="374">
        <v>46.472999999999999</v>
      </c>
      <c r="U23" s="163">
        <v>50.561</v>
      </c>
      <c r="V23" s="163">
        <v>52.774999999999999</v>
      </c>
      <c r="W23" s="163">
        <v>52.786000000000001</v>
      </c>
      <c r="X23" s="163">
        <v>54.923000000000002</v>
      </c>
      <c r="Y23" s="165">
        <v>45.103999999999999</v>
      </c>
      <c r="Z23" s="163">
        <f>71/1000</f>
        <v>7.0999999999999994E-2</v>
      </c>
      <c r="AA23" s="163">
        <v>0.13800000000000001</v>
      </c>
      <c r="AB23" s="163">
        <v>0.35399999999999998</v>
      </c>
      <c r="AC23" s="163">
        <v>0.47</v>
      </c>
      <c r="AD23" s="163">
        <v>1.0129999999999999</v>
      </c>
      <c r="AE23" s="165">
        <v>2.5230000000000001</v>
      </c>
      <c r="AF23" s="163">
        <f t="shared" si="4"/>
        <v>0.15277688119983646</v>
      </c>
      <c r="AG23" s="163">
        <f t="shared" si="4"/>
        <v>0.27293763968275947</v>
      </c>
      <c r="AH23" s="163">
        <f t="shared" si="4"/>
        <v>0.67077214590241585</v>
      </c>
      <c r="AI23" s="163">
        <f t="shared" si="4"/>
        <v>0.89038760277346252</v>
      </c>
      <c r="AJ23" s="163">
        <f t="shared" si="4"/>
        <v>1.844400342297398</v>
      </c>
      <c r="AK23" s="163">
        <f t="shared" si="4"/>
        <v>5.5937389145086911</v>
      </c>
      <c r="AL23" s="154" t="s">
        <v>58</v>
      </c>
      <c r="AM23" s="650"/>
      <c r="AN23" s="301">
        <f t="shared" si="3"/>
        <v>-17.877756131311116</v>
      </c>
    </row>
    <row r="24" spans="1:44" ht="12.75" customHeight="1">
      <c r="A24" s="8"/>
      <c r="B24" s="10" t="s">
        <v>39</v>
      </c>
      <c r="C24" s="126"/>
      <c r="D24" s="121"/>
      <c r="E24" s="367"/>
      <c r="F24" s="367"/>
      <c r="G24" s="367"/>
      <c r="H24" s="367">
        <v>208.42599999999999</v>
      </c>
      <c r="I24" s="367">
        <v>207.05500000000001</v>
      </c>
      <c r="J24" s="367">
        <v>198.982</v>
      </c>
      <c r="K24" s="367">
        <v>187.67599999999999</v>
      </c>
      <c r="L24" s="367">
        <v>171.661</v>
      </c>
      <c r="M24" s="367">
        <v>153.27799999999999</v>
      </c>
      <c r="N24" s="367">
        <v>60.189</v>
      </c>
      <c r="O24" s="367">
        <v>43.475999999999999</v>
      </c>
      <c r="P24" s="367">
        <v>45.094000000000001</v>
      </c>
      <c r="Q24" s="367">
        <v>50.398000000000003</v>
      </c>
      <c r="R24" s="367">
        <v>56.139000000000003</v>
      </c>
      <c r="S24" s="367">
        <v>67.475999999999999</v>
      </c>
      <c r="T24" s="367">
        <v>77.171000000000006</v>
      </c>
      <c r="U24" s="121">
        <v>96.555000000000007</v>
      </c>
      <c r="V24" s="121">
        <v>116.265</v>
      </c>
      <c r="W24" s="121">
        <v>136.601</v>
      </c>
      <c r="X24" s="121">
        <v>157.90600000000001</v>
      </c>
      <c r="Y24" s="166">
        <v>128.03100000000001</v>
      </c>
      <c r="Z24" s="121">
        <v>0.16600000000000001</v>
      </c>
      <c r="AA24" s="121">
        <v>0.20100000000000001</v>
      </c>
      <c r="AB24" s="121">
        <v>0.753</v>
      </c>
      <c r="AC24" s="121">
        <v>1.2669999999999999</v>
      </c>
      <c r="AD24" s="121">
        <v>1.833</v>
      </c>
      <c r="AE24" s="166">
        <v>2.9689999999999999</v>
      </c>
      <c r="AF24" s="121">
        <f t="shared" si="4"/>
        <v>0.21510671107022064</v>
      </c>
      <c r="AG24" s="121">
        <f t="shared" si="4"/>
        <v>0.20817150846667701</v>
      </c>
      <c r="AH24" s="121">
        <f t="shared" si="4"/>
        <v>0.6476583666623662</v>
      </c>
      <c r="AI24" s="121">
        <f t="shared" si="4"/>
        <v>0.92751883221938347</v>
      </c>
      <c r="AJ24" s="121">
        <f t="shared" si="4"/>
        <v>1.1608171950400872</v>
      </c>
      <c r="AK24" s="121">
        <f t="shared" si="4"/>
        <v>2.3189696245440556</v>
      </c>
      <c r="AL24" s="10" t="s">
        <v>39</v>
      </c>
      <c r="AM24" s="650"/>
      <c r="AN24" s="274">
        <f t="shared" si="3"/>
        <v>-18.919483743492961</v>
      </c>
    </row>
    <row r="25" spans="1:44" ht="12.75" customHeight="1">
      <c r="A25" s="8"/>
      <c r="B25" s="154" t="s">
        <v>42</v>
      </c>
      <c r="C25" s="307"/>
      <c r="D25" s="163"/>
      <c r="E25" s="374"/>
      <c r="F25" s="374"/>
      <c r="G25" s="374"/>
      <c r="H25" s="374">
        <f>0.069+6.519+0.634+0.008</f>
        <v>7.23</v>
      </c>
      <c r="I25" s="374">
        <f>0.084+5.398+0.721+0.015</f>
        <v>6.2179999999999991</v>
      </c>
      <c r="J25" s="374">
        <f>0.083+5.675+0.778+0.016</f>
        <v>6.5519999999999996</v>
      </c>
      <c r="K25" s="374">
        <f>0.061+5.862+0.803+0.019</f>
        <v>6.7450000000000001</v>
      </c>
      <c r="L25" s="374">
        <f>0.075+5.334+0.808+0.023</f>
        <v>6.2399999999999993</v>
      </c>
      <c r="M25" s="374">
        <v>5.423</v>
      </c>
      <c r="N25" s="374">
        <v>5.8940000000000001</v>
      </c>
      <c r="O25" s="374">
        <f>3.907+0.043+0.094+0.012</f>
        <v>4.056</v>
      </c>
      <c r="P25" s="374">
        <f>5.311+0.065+0.052</f>
        <v>5.4279999999999999</v>
      </c>
      <c r="Q25" s="374">
        <v>5.8840000000000003</v>
      </c>
      <c r="R25" s="374">
        <v>5.7489999999999997</v>
      </c>
      <c r="S25" s="374">
        <v>6.4619999999999997</v>
      </c>
      <c r="T25" s="374">
        <v>7.1180000000000003</v>
      </c>
      <c r="U25" s="163">
        <v>7.306</v>
      </c>
      <c r="V25" s="163">
        <v>7.7759999999999998</v>
      </c>
      <c r="W25" s="163">
        <v>8.1750000000000007</v>
      </c>
      <c r="X25" s="163">
        <v>7.6980000000000004</v>
      </c>
      <c r="Y25" s="165">
        <f>4602/1000</f>
        <v>4.6020000000000003</v>
      </c>
      <c r="Z25" s="163">
        <f>34/1000</f>
        <v>3.4000000000000002E-2</v>
      </c>
      <c r="AA25" s="163">
        <v>1.7000000000000001E-2</v>
      </c>
      <c r="AB25" s="163">
        <v>4.8000000000000001E-2</v>
      </c>
      <c r="AC25" s="163">
        <v>0.18</v>
      </c>
      <c r="AD25" s="163">
        <v>0.28199999999999997</v>
      </c>
      <c r="AE25" s="165">
        <v>0.13700000000000001</v>
      </c>
      <c r="AF25" s="163">
        <f t="shared" si="4"/>
        <v>0.47766226468109019</v>
      </c>
      <c r="AG25" s="163">
        <f t="shared" si="4"/>
        <v>0.23268546400218998</v>
      </c>
      <c r="AH25" s="163">
        <f t="shared" si="4"/>
        <v>0.61728395061728403</v>
      </c>
      <c r="AI25" s="163">
        <f t="shared" si="4"/>
        <v>2.2018348623853208</v>
      </c>
      <c r="AJ25" s="163">
        <f t="shared" si="4"/>
        <v>3.6632891660171465</v>
      </c>
      <c r="AK25" s="163">
        <f t="shared" si="4"/>
        <v>2.97696653628857</v>
      </c>
      <c r="AL25" s="154" t="s">
        <v>42</v>
      </c>
      <c r="AM25" s="650"/>
      <c r="AN25" s="301">
        <f t="shared" si="3"/>
        <v>-40.218238503507408</v>
      </c>
    </row>
    <row r="26" spans="1:44" ht="12.75" customHeight="1">
      <c r="A26" s="8"/>
      <c r="B26" s="10" t="s">
        <v>50</v>
      </c>
      <c r="C26" s="126">
        <v>542.97799999999995</v>
      </c>
      <c r="D26" s="121">
        <v>611.48699999999997</v>
      </c>
      <c r="E26" s="367">
        <v>597.625</v>
      </c>
      <c r="F26" s="367">
        <v>530.23099999999999</v>
      </c>
      <c r="G26" s="367">
        <v>510.702</v>
      </c>
      <c r="H26" s="367">
        <v>488.84100000000001</v>
      </c>
      <c r="I26" s="367">
        <v>483.745</v>
      </c>
      <c r="J26" s="367">
        <v>465.15199999999999</v>
      </c>
      <c r="K26" s="367">
        <v>483.97</v>
      </c>
      <c r="L26" s="367">
        <v>505.53800000000001</v>
      </c>
      <c r="M26" s="367">
        <v>499.91800000000001</v>
      </c>
      <c r="N26" s="367">
        <v>387.15199999999999</v>
      </c>
      <c r="O26" s="367">
        <v>482.56700000000001</v>
      </c>
      <c r="P26" s="367">
        <v>555.798</v>
      </c>
      <c r="Q26" s="367">
        <v>502.67500000000001</v>
      </c>
      <c r="R26" s="367">
        <v>416.67399999999998</v>
      </c>
      <c r="S26" s="367">
        <v>387.572</v>
      </c>
      <c r="T26" s="367">
        <v>448.92500000000001</v>
      </c>
      <c r="U26" s="121">
        <v>382.51400000000001</v>
      </c>
      <c r="V26" s="121">
        <v>414.30599999999998</v>
      </c>
      <c r="W26" s="121">
        <v>443.53</v>
      </c>
      <c r="X26" s="121">
        <v>445.21699999999998</v>
      </c>
      <c r="Y26" s="166">
        <v>355.59500000000003</v>
      </c>
      <c r="Z26" s="121">
        <f>3170/1000</f>
        <v>3.17</v>
      </c>
      <c r="AA26" s="121">
        <v>4.0359999999999996</v>
      </c>
      <c r="AB26" s="121">
        <v>8.0150000000000006</v>
      </c>
      <c r="AC26" s="121">
        <v>23.951000000000001</v>
      </c>
      <c r="AD26" s="121">
        <v>61.823999999999998</v>
      </c>
      <c r="AE26" s="166">
        <v>73.28</v>
      </c>
      <c r="AF26" s="121">
        <f t="shared" si="4"/>
        <v>0.70613131369382409</v>
      </c>
      <c r="AG26" s="121">
        <f t="shared" si="4"/>
        <v>1.0551247797466234</v>
      </c>
      <c r="AH26" s="121">
        <f t="shared" si="4"/>
        <v>1.9345604456609367</v>
      </c>
      <c r="AI26" s="121">
        <f t="shared" si="4"/>
        <v>5.4000856762789446</v>
      </c>
      <c r="AJ26" s="121">
        <f t="shared" si="4"/>
        <v>13.886262204722641</v>
      </c>
      <c r="AK26" s="121">
        <f t="shared" si="4"/>
        <v>20.607713831746789</v>
      </c>
      <c r="AL26" s="10" t="s">
        <v>50</v>
      </c>
      <c r="AM26" s="650"/>
      <c r="AN26" s="274">
        <f t="shared" si="3"/>
        <v>-20.129959098596856</v>
      </c>
    </row>
    <row r="27" spans="1:44" ht="12.75" customHeight="1">
      <c r="A27" s="8"/>
      <c r="B27" s="154" t="s">
        <v>59</v>
      </c>
      <c r="C27" s="307">
        <v>295.86500000000001</v>
      </c>
      <c r="D27" s="163">
        <v>314.18200000000002</v>
      </c>
      <c r="E27" s="374">
        <v>309.42700000000002</v>
      </c>
      <c r="F27" s="374">
        <v>293.52800000000002</v>
      </c>
      <c r="G27" s="374">
        <v>279.49299999999999</v>
      </c>
      <c r="H27" s="374">
        <v>300.12099999999998</v>
      </c>
      <c r="I27" s="374">
        <v>311.29199999999997</v>
      </c>
      <c r="J27" s="374">
        <v>307.91500000000002</v>
      </c>
      <c r="K27" s="374">
        <v>308.59399999999999</v>
      </c>
      <c r="L27" s="374">
        <v>298.18200000000002</v>
      </c>
      <c r="M27" s="374">
        <v>293.697</v>
      </c>
      <c r="N27" s="374">
        <v>319.40300000000002</v>
      </c>
      <c r="O27" s="374">
        <v>328.56299999999999</v>
      </c>
      <c r="P27" s="374">
        <v>356.14499999999998</v>
      </c>
      <c r="Q27" s="374">
        <v>336.01</v>
      </c>
      <c r="R27" s="374">
        <v>319.03500000000003</v>
      </c>
      <c r="S27" s="374">
        <v>303.31799999999998</v>
      </c>
      <c r="T27" s="374">
        <v>308.55500000000001</v>
      </c>
      <c r="U27" s="163">
        <v>329.60399999999998</v>
      </c>
      <c r="V27" s="163">
        <v>353.32</v>
      </c>
      <c r="W27" s="163">
        <v>341.06799999999998</v>
      </c>
      <c r="X27" s="163">
        <v>329.363</v>
      </c>
      <c r="Y27" s="165">
        <v>248.74</v>
      </c>
      <c r="Z27" s="163">
        <f>1681/1000</f>
        <v>1.681</v>
      </c>
      <c r="AA27" s="163">
        <v>3.835</v>
      </c>
      <c r="AB27" s="163">
        <v>5.4349999999999996</v>
      </c>
      <c r="AC27" s="163">
        <v>6.7670000000000003</v>
      </c>
      <c r="AD27" s="163">
        <v>9.2609999999999992</v>
      </c>
      <c r="AE27" s="165">
        <v>15.968</v>
      </c>
      <c r="AF27" s="163">
        <f t="shared" si="4"/>
        <v>0.54479752394224701</v>
      </c>
      <c r="AG27" s="163">
        <f t="shared" si="4"/>
        <v>1.1635174330408611</v>
      </c>
      <c r="AH27" s="163">
        <f t="shared" si="4"/>
        <v>1.5382655949281103</v>
      </c>
      <c r="AI27" s="163">
        <f t="shared" si="4"/>
        <v>1.9840618293126298</v>
      </c>
      <c r="AJ27" s="163">
        <f t="shared" si="4"/>
        <v>2.8117912455254532</v>
      </c>
      <c r="AK27" s="163">
        <f t="shared" si="4"/>
        <v>6.4195545549569824</v>
      </c>
      <c r="AL27" s="154" t="s">
        <v>59</v>
      </c>
      <c r="AM27" s="650"/>
      <c r="AN27" s="301">
        <f t="shared" si="3"/>
        <v>-24.478462972465024</v>
      </c>
    </row>
    <row r="28" spans="1:44" ht="12.75" customHeight="1">
      <c r="A28" s="8"/>
      <c r="B28" s="10" t="s">
        <v>43</v>
      </c>
      <c r="C28" s="126"/>
      <c r="D28" s="121"/>
      <c r="E28" s="1027"/>
      <c r="F28" s="367"/>
      <c r="G28" s="367"/>
      <c r="H28" s="367">
        <v>358.43200000000002</v>
      </c>
      <c r="I28" s="367">
        <v>318.11099999999999</v>
      </c>
      <c r="J28" s="367">
        <v>235.52199999999999</v>
      </c>
      <c r="K28" s="367">
        <v>238.99299999999999</v>
      </c>
      <c r="L28" s="367">
        <v>293.30500000000001</v>
      </c>
      <c r="M28" s="367">
        <v>320.04000000000002</v>
      </c>
      <c r="N28" s="367">
        <v>320.20600000000002</v>
      </c>
      <c r="O28" s="367">
        <v>333.49</v>
      </c>
      <c r="P28" s="367">
        <v>297.93700000000001</v>
      </c>
      <c r="Q28" s="367">
        <v>271.21499999999997</v>
      </c>
      <c r="R28" s="367">
        <v>288.99799999999999</v>
      </c>
      <c r="S28" s="367">
        <v>325.37099999999998</v>
      </c>
      <c r="T28" s="367">
        <v>352.37799999999999</v>
      </c>
      <c r="U28" s="121">
        <v>418.03300000000002</v>
      </c>
      <c r="V28" s="121">
        <v>487.59300000000002</v>
      </c>
      <c r="W28" s="121">
        <v>531.33500000000004</v>
      </c>
      <c r="X28" s="121">
        <v>553.94200000000001</v>
      </c>
      <c r="Y28" s="166">
        <v>428.52699999999999</v>
      </c>
      <c r="Z28" s="121">
        <f>86/1000</f>
        <v>8.5999999999999993E-2</v>
      </c>
      <c r="AA28" s="121">
        <v>0.13800000000000001</v>
      </c>
      <c r="AB28" s="121">
        <v>0.47499999999999998</v>
      </c>
      <c r="AC28" s="121">
        <v>0.63900000000000001</v>
      </c>
      <c r="AD28" s="121">
        <v>1.464</v>
      </c>
      <c r="AE28" s="166">
        <v>3.6880000000000002</v>
      </c>
      <c r="AF28" s="121">
        <f t="shared" si="4"/>
        <v>2.4405609884839575E-2</v>
      </c>
      <c r="AG28" s="121">
        <f t="shared" si="4"/>
        <v>3.301174787636383E-2</v>
      </c>
      <c r="AH28" s="121">
        <f t="shared" si="4"/>
        <v>9.7417313209992751E-2</v>
      </c>
      <c r="AI28" s="121">
        <f t="shared" si="4"/>
        <v>0.12026311084344152</v>
      </c>
      <c r="AJ28" s="121">
        <f t="shared" si="4"/>
        <v>0.264287596896426</v>
      </c>
      <c r="AK28" s="121">
        <f t="shared" si="4"/>
        <v>0.86062255120447495</v>
      </c>
      <c r="AL28" s="10" t="s">
        <v>43</v>
      </c>
      <c r="AM28" s="650"/>
      <c r="AN28" s="274">
        <f t="shared" si="3"/>
        <v>-22.640456943145665</v>
      </c>
    </row>
    <row r="29" spans="1:44" ht="12.75" customHeight="1">
      <c r="A29" s="8"/>
      <c r="B29" s="154" t="s">
        <v>60</v>
      </c>
      <c r="C29" s="307">
        <v>248.398</v>
      </c>
      <c r="D29" s="163">
        <v>272.88299999999998</v>
      </c>
      <c r="E29" s="374">
        <v>257.83600000000001</v>
      </c>
      <c r="F29" s="374">
        <v>255.21</v>
      </c>
      <c r="G29" s="374">
        <v>226.09200000000001</v>
      </c>
      <c r="H29" s="374">
        <v>189.792</v>
      </c>
      <c r="I29" s="374">
        <v>197.64500000000001</v>
      </c>
      <c r="J29" s="374">
        <v>206.488</v>
      </c>
      <c r="K29" s="374">
        <v>194.702</v>
      </c>
      <c r="L29" s="374">
        <v>201.816</v>
      </c>
      <c r="M29" s="374">
        <v>213.38900000000001</v>
      </c>
      <c r="N29" s="374">
        <v>161.01300000000001</v>
      </c>
      <c r="O29" s="374">
        <v>223.464</v>
      </c>
      <c r="P29" s="374">
        <v>153.404</v>
      </c>
      <c r="Q29" s="374">
        <v>95.29</v>
      </c>
      <c r="R29" s="374">
        <v>105.92100000000001</v>
      </c>
      <c r="S29" s="374">
        <v>142.82599999999999</v>
      </c>
      <c r="T29" s="374">
        <v>178.50299999999999</v>
      </c>
      <c r="U29" s="163">
        <v>207.33</v>
      </c>
      <c r="V29" s="163">
        <v>222.12899999999999</v>
      </c>
      <c r="W29" s="163">
        <v>228.327</v>
      </c>
      <c r="X29" s="163">
        <v>223.79900000000001</v>
      </c>
      <c r="Y29" s="165">
        <v>145.136</v>
      </c>
      <c r="Z29" s="163">
        <f>639/1000</f>
        <v>0.63900000000000001</v>
      </c>
      <c r="AA29" s="163">
        <v>0.78400000000000003</v>
      </c>
      <c r="AB29" s="163">
        <v>1.7929999999999999</v>
      </c>
      <c r="AC29" s="163">
        <v>4.4740000000000002</v>
      </c>
      <c r="AD29" s="163">
        <v>6.883</v>
      </c>
      <c r="AE29" s="165">
        <v>7.8490000000000002</v>
      </c>
      <c r="AF29" s="163">
        <f t="shared" si="4"/>
        <v>0.35797717685417052</v>
      </c>
      <c r="AG29" s="163">
        <f t="shared" si="4"/>
        <v>0.37814112767086289</v>
      </c>
      <c r="AH29" s="163">
        <f t="shared" si="4"/>
        <v>0.80718861562425437</v>
      </c>
      <c r="AI29" s="163">
        <f t="shared" si="4"/>
        <v>1.9594704086682697</v>
      </c>
      <c r="AJ29" s="163">
        <f t="shared" si="4"/>
        <v>3.0755275939570774</v>
      </c>
      <c r="AK29" s="163">
        <f t="shared" si="4"/>
        <v>5.4080310880829021</v>
      </c>
      <c r="AL29" s="154" t="s">
        <v>60</v>
      </c>
      <c r="AM29" s="650"/>
      <c r="AN29" s="301">
        <f t="shared" si="3"/>
        <v>-35.148950620869627</v>
      </c>
      <c r="AR29" s="1"/>
    </row>
    <row r="30" spans="1:44" ht="12.75" customHeight="1">
      <c r="A30" s="8"/>
      <c r="B30" s="10" t="s">
        <v>185</v>
      </c>
      <c r="C30" s="126"/>
      <c r="D30" s="121"/>
      <c r="E30" s="367"/>
      <c r="F30" s="367"/>
      <c r="G30" s="367">
        <v>88.8</v>
      </c>
      <c r="H30" s="367">
        <v>106.76</v>
      </c>
      <c r="I30" s="367">
        <v>145.12</v>
      </c>
      <c r="J30" s="367">
        <v>172.5</v>
      </c>
      <c r="K30" s="367">
        <v>256.36399999999998</v>
      </c>
      <c r="L30" s="367">
        <v>315.62099999999998</v>
      </c>
      <c r="M30" s="367">
        <v>270.995</v>
      </c>
      <c r="N30" s="367">
        <v>130.19499999999999</v>
      </c>
      <c r="O30" s="367">
        <v>106.328</v>
      </c>
      <c r="P30" s="367">
        <v>94.619</v>
      </c>
      <c r="Q30" s="367">
        <v>72.147999999999996</v>
      </c>
      <c r="R30" s="367">
        <v>57.71</v>
      </c>
      <c r="S30" s="367">
        <v>70.171999999999997</v>
      </c>
      <c r="T30" s="367">
        <v>81.162000000000006</v>
      </c>
      <c r="U30" s="121">
        <v>94.918999999999997</v>
      </c>
      <c r="V30" s="121">
        <v>105.083</v>
      </c>
      <c r="W30" s="121">
        <v>130.91900000000001</v>
      </c>
      <c r="X30" s="121">
        <v>161.56200000000001</v>
      </c>
      <c r="Y30" s="166">
        <v>126.351</v>
      </c>
      <c r="Z30" s="121">
        <f>28/1000</f>
        <v>2.8000000000000001E-2</v>
      </c>
      <c r="AA30" s="121">
        <v>6.9000000000000006E-2</v>
      </c>
      <c r="AB30" s="121">
        <v>0.23200000000000001</v>
      </c>
      <c r="AC30" s="121">
        <v>0.47199999999999998</v>
      </c>
      <c r="AD30" s="121">
        <v>1.609</v>
      </c>
      <c r="AE30" s="166">
        <v>2.8450000000000002</v>
      </c>
      <c r="AF30" s="121">
        <f t="shared" si="4"/>
        <v>3.4498903427712474E-2</v>
      </c>
      <c r="AG30" s="121">
        <f t="shared" si="4"/>
        <v>7.269355977201615E-2</v>
      </c>
      <c r="AH30" s="121">
        <f t="shared" si="4"/>
        <v>0.22077786130963148</v>
      </c>
      <c r="AI30" s="121">
        <f t="shared" si="4"/>
        <v>0.36052826556878675</v>
      </c>
      <c r="AJ30" s="121">
        <f t="shared" si="4"/>
        <v>0.99590250182592432</v>
      </c>
      <c r="AK30" s="121">
        <f t="shared" si="4"/>
        <v>2.2516640153223957</v>
      </c>
      <c r="AL30" s="10" t="s">
        <v>44</v>
      </c>
      <c r="AM30" s="650"/>
      <c r="AN30" s="274">
        <f t="shared" si="3"/>
        <v>-21.794110001114134</v>
      </c>
    </row>
    <row r="31" spans="1:44" ht="12.75" customHeight="1">
      <c r="A31" s="8"/>
      <c r="B31" s="154" t="s">
        <v>46</v>
      </c>
      <c r="C31" s="307"/>
      <c r="D31" s="163"/>
      <c r="E31" s="374"/>
      <c r="F31" s="374"/>
      <c r="G31" s="374"/>
      <c r="H31" s="374">
        <v>59.548000000000002</v>
      </c>
      <c r="I31" s="374">
        <v>62.002000000000002</v>
      </c>
      <c r="J31" s="374">
        <v>59.323999999999998</v>
      </c>
      <c r="K31" s="374">
        <v>59.578000000000003</v>
      </c>
      <c r="L31" s="374">
        <v>68.718999999999994</v>
      </c>
      <c r="M31" s="374">
        <v>71.575000000000003</v>
      </c>
      <c r="N31" s="374">
        <v>57.966999999999999</v>
      </c>
      <c r="O31" s="374">
        <v>61.142000000000003</v>
      </c>
      <c r="P31" s="374">
        <v>60.192999999999998</v>
      </c>
      <c r="Q31" s="374">
        <v>50.091000000000001</v>
      </c>
      <c r="R31" s="374">
        <v>51.585000000000001</v>
      </c>
      <c r="S31" s="374">
        <v>53.959000000000003</v>
      </c>
      <c r="T31" s="374">
        <v>59.664000000000001</v>
      </c>
      <c r="U31" s="163">
        <v>58.963000000000001</v>
      </c>
      <c r="V31" s="163">
        <v>62.521999999999998</v>
      </c>
      <c r="W31" s="163">
        <v>65.114999999999995</v>
      </c>
      <c r="X31" s="163">
        <v>59.862000000000002</v>
      </c>
      <c r="Y31" s="165">
        <v>40.200000000000003</v>
      </c>
      <c r="Z31" s="163">
        <f>122/1000</f>
        <v>0.122</v>
      </c>
      <c r="AA31" s="163">
        <v>0.17799999999999999</v>
      </c>
      <c r="AB31" s="163">
        <v>0.33600000000000002</v>
      </c>
      <c r="AC31" s="163">
        <v>0.47</v>
      </c>
      <c r="AD31" s="163">
        <v>0.57799999999999996</v>
      </c>
      <c r="AE31" s="165">
        <v>1.667</v>
      </c>
      <c r="AF31" s="163">
        <f t="shared" si="4"/>
        <v>0.20447841244301421</v>
      </c>
      <c r="AG31" s="163">
        <f t="shared" si="4"/>
        <v>0.30188423248477858</v>
      </c>
      <c r="AH31" s="163">
        <f t="shared" si="4"/>
        <v>0.53741083138735168</v>
      </c>
      <c r="AI31" s="163">
        <f t="shared" si="4"/>
        <v>0.72179989249788845</v>
      </c>
      <c r="AJ31" s="163">
        <f t="shared" si="4"/>
        <v>0.96555410778122996</v>
      </c>
      <c r="AK31" s="163">
        <f t="shared" si="4"/>
        <v>4.1467661691542288</v>
      </c>
      <c r="AL31" s="154" t="s">
        <v>46</v>
      </c>
      <c r="AM31" s="650"/>
      <c r="AN31" s="301">
        <f t="shared" si="3"/>
        <v>-32.845544752931744</v>
      </c>
    </row>
    <row r="32" spans="1:44" ht="12.75" customHeight="1">
      <c r="A32" s="8"/>
      <c r="B32" s="10" t="s">
        <v>45</v>
      </c>
      <c r="C32" s="126"/>
      <c r="D32" s="121"/>
      <c r="E32" s="367"/>
      <c r="F32" s="367"/>
      <c r="G32" s="367"/>
      <c r="H32" s="367">
        <v>59.741999999999997</v>
      </c>
      <c r="I32" s="367">
        <v>57.43</v>
      </c>
      <c r="J32" s="367">
        <v>57.125</v>
      </c>
      <c r="K32" s="367">
        <v>59.084000000000003</v>
      </c>
      <c r="L32" s="367">
        <v>59.7</v>
      </c>
      <c r="M32" s="367">
        <v>70.040000000000006</v>
      </c>
      <c r="N32" s="367">
        <v>74.716999999999999</v>
      </c>
      <c r="O32" s="367">
        <v>64.033000000000001</v>
      </c>
      <c r="P32" s="367">
        <v>68.254000000000005</v>
      </c>
      <c r="Q32" s="367">
        <v>69.194999999999993</v>
      </c>
      <c r="R32" s="367">
        <v>66</v>
      </c>
      <c r="S32" s="367">
        <v>72.251999999999995</v>
      </c>
      <c r="T32" s="367">
        <v>77.978999999999999</v>
      </c>
      <c r="U32" s="121">
        <v>88.165000000000006</v>
      </c>
      <c r="V32" s="121">
        <v>96.105000000000004</v>
      </c>
      <c r="W32" s="121">
        <v>98.194999999999993</v>
      </c>
      <c r="X32" s="121">
        <v>101.568</v>
      </c>
      <c r="Y32" s="166">
        <v>76.305000000000007</v>
      </c>
      <c r="Z32" s="121">
        <f>123/1000</f>
        <v>0.123</v>
      </c>
      <c r="AA32" s="121">
        <v>5.5E-2</v>
      </c>
      <c r="AB32" s="121">
        <v>0.20899999999999999</v>
      </c>
      <c r="AC32" s="121">
        <v>0.30199999999999999</v>
      </c>
      <c r="AD32" s="121">
        <v>0.16600000000000001</v>
      </c>
      <c r="AE32" s="166">
        <v>0.90700000000000003</v>
      </c>
      <c r="AF32" s="121">
        <f t="shared" si="4"/>
        <v>0.15773477474704728</v>
      </c>
      <c r="AG32" s="121">
        <f t="shared" si="4"/>
        <v>6.2383031815346227E-2</v>
      </c>
      <c r="AH32" s="121">
        <f t="shared" si="4"/>
        <v>0.21747047500130065</v>
      </c>
      <c r="AI32" s="121">
        <f t="shared" si="4"/>
        <v>0.30755130098273842</v>
      </c>
      <c r="AJ32" s="121">
        <f t="shared" si="4"/>
        <v>0.16343730308758664</v>
      </c>
      <c r="AK32" s="121">
        <f t="shared" si="4"/>
        <v>1.1886508092523425</v>
      </c>
      <c r="AL32" s="10" t="s">
        <v>45</v>
      </c>
      <c r="AM32" s="650"/>
      <c r="AN32" s="274">
        <f t="shared" si="3"/>
        <v>-24.872991493383736</v>
      </c>
    </row>
    <row r="33" spans="1:43" ht="12.75" customHeight="1">
      <c r="A33" s="8"/>
      <c r="B33" s="154" t="s">
        <v>61</v>
      </c>
      <c r="C33" s="307">
        <v>125.751</v>
      </c>
      <c r="D33" s="163">
        <v>136.32400000000001</v>
      </c>
      <c r="E33" s="374">
        <v>134.64599999999999</v>
      </c>
      <c r="F33" s="374">
        <v>109.48699999999999</v>
      </c>
      <c r="G33" s="374">
        <v>116.877</v>
      </c>
      <c r="H33" s="374">
        <v>147.22200000000001</v>
      </c>
      <c r="I33" s="374">
        <v>142.43899999999999</v>
      </c>
      <c r="J33" s="374">
        <v>147.94900000000001</v>
      </c>
      <c r="K33" s="374">
        <v>145.68899999999999</v>
      </c>
      <c r="L33" s="374">
        <v>125.285</v>
      </c>
      <c r="M33" s="374">
        <v>139.61099999999999</v>
      </c>
      <c r="N33" s="374">
        <v>88.343999999999994</v>
      </c>
      <c r="O33" s="374">
        <v>107.346</v>
      </c>
      <c r="P33" s="374">
        <v>121.17100000000001</v>
      </c>
      <c r="Q33" s="374">
        <v>107.166</v>
      </c>
      <c r="R33" s="374">
        <v>103.31399999999999</v>
      </c>
      <c r="S33" s="374">
        <v>106.259</v>
      </c>
      <c r="T33" s="374">
        <v>108.84399999999999</v>
      </c>
      <c r="U33" s="163">
        <v>118.91200000000001</v>
      </c>
      <c r="V33" s="163">
        <v>118.529</v>
      </c>
      <c r="W33" s="163">
        <v>120.48</v>
      </c>
      <c r="X33" s="163">
        <v>114.188</v>
      </c>
      <c r="Y33" s="165">
        <v>96.43</v>
      </c>
      <c r="Z33" s="163">
        <f>242/1000</f>
        <v>0.24199999999999999</v>
      </c>
      <c r="AA33" s="163">
        <v>0.22500000000000001</v>
      </c>
      <c r="AB33" s="163">
        <v>0.502</v>
      </c>
      <c r="AC33" s="163">
        <v>0.77600000000000002</v>
      </c>
      <c r="AD33" s="163">
        <v>1.8959999999999999</v>
      </c>
      <c r="AE33" s="165">
        <v>4.2439999999999998</v>
      </c>
      <c r="AF33" s="163">
        <f t="shared" si="4"/>
        <v>0.22233655506964095</v>
      </c>
      <c r="AG33" s="163">
        <f t="shared" si="4"/>
        <v>0.18921555435952636</v>
      </c>
      <c r="AH33" s="163">
        <f t="shared" si="4"/>
        <v>0.42352504450387674</v>
      </c>
      <c r="AI33" s="163">
        <f t="shared" si="4"/>
        <v>0.6440903054448871</v>
      </c>
      <c r="AJ33" s="163">
        <f t="shared" si="4"/>
        <v>1.6604196588082809</v>
      </c>
      <c r="AK33" s="163">
        <f t="shared" si="4"/>
        <v>4.4011199834076526</v>
      </c>
      <c r="AL33" s="154" t="s">
        <v>61</v>
      </c>
      <c r="AM33" s="650"/>
      <c r="AN33" s="301">
        <f t="shared" si="3"/>
        <v>-15.551546572319324</v>
      </c>
    </row>
    <row r="34" spans="1:43" ht="12.75" customHeight="1">
      <c r="A34" s="8"/>
      <c r="B34" s="11" t="s">
        <v>62</v>
      </c>
      <c r="C34" s="651">
        <v>253.43</v>
      </c>
      <c r="D34" s="122">
        <v>295.24900000000002</v>
      </c>
      <c r="E34" s="383">
        <v>290.529</v>
      </c>
      <c r="F34" s="383">
        <v>246.58099999999999</v>
      </c>
      <c r="G34" s="383">
        <v>254.589</v>
      </c>
      <c r="H34" s="383">
        <v>261.20600000000002</v>
      </c>
      <c r="I34" s="383">
        <v>264.24599999999998</v>
      </c>
      <c r="J34" s="383">
        <v>274.30099999999999</v>
      </c>
      <c r="K34" s="383">
        <v>282.76600000000002</v>
      </c>
      <c r="L34" s="383">
        <v>306.79899999999998</v>
      </c>
      <c r="M34" s="383">
        <v>253.982</v>
      </c>
      <c r="N34" s="383">
        <v>213.40799999999999</v>
      </c>
      <c r="O34" s="383">
        <v>289.68400000000003</v>
      </c>
      <c r="P34" s="383">
        <v>304.98399999999998</v>
      </c>
      <c r="Q34" s="383">
        <v>279.47800000000001</v>
      </c>
      <c r="R34" s="383">
        <v>269.55799999999999</v>
      </c>
      <c r="S34" s="383">
        <v>303.94799999999998</v>
      </c>
      <c r="T34" s="383">
        <v>345.108</v>
      </c>
      <c r="U34" s="122">
        <v>372.31799999999998</v>
      </c>
      <c r="V34" s="122">
        <v>379.39299999999997</v>
      </c>
      <c r="W34" s="122">
        <v>353.72899999999998</v>
      </c>
      <c r="X34" s="122">
        <v>356.036</v>
      </c>
      <c r="Y34" s="174">
        <v>292.024</v>
      </c>
      <c r="Z34" s="651">
        <f>2978/1000</f>
        <v>2.9780000000000002</v>
      </c>
      <c r="AA34" s="122">
        <v>2.948</v>
      </c>
      <c r="AB34" s="122">
        <v>4.2229999999999999</v>
      </c>
      <c r="AC34" s="122">
        <v>7.1139999999999999</v>
      </c>
      <c r="AD34" s="122">
        <v>15.596</v>
      </c>
      <c r="AE34" s="174">
        <v>27.902000000000001</v>
      </c>
      <c r="AF34" s="651">
        <f t="shared" si="4"/>
        <v>0.86291827485888484</v>
      </c>
      <c r="AG34" s="122">
        <f t="shared" si="4"/>
        <v>0.79179626018618487</v>
      </c>
      <c r="AH34" s="122">
        <f t="shared" si="4"/>
        <v>1.1130938103760482</v>
      </c>
      <c r="AI34" s="122">
        <f t="shared" si="4"/>
        <v>2.011144124456858</v>
      </c>
      <c r="AJ34" s="122">
        <f t="shared" si="4"/>
        <v>4.3804559089530271</v>
      </c>
      <c r="AK34" s="174">
        <f t="shared" si="4"/>
        <v>9.5546941347286527</v>
      </c>
      <c r="AL34" s="11" t="s">
        <v>62</v>
      </c>
      <c r="AM34" s="650"/>
      <c r="AN34" s="274">
        <f t="shared" si="3"/>
        <v>-17.979080767113444</v>
      </c>
    </row>
    <row r="35" spans="1:43" ht="12.75" customHeight="1">
      <c r="A35" s="8"/>
      <c r="B35" s="155" t="s">
        <v>51</v>
      </c>
      <c r="C35" s="309">
        <v>2247.4029999999998</v>
      </c>
      <c r="D35" s="278">
        <v>2197.6149999999998</v>
      </c>
      <c r="E35" s="380">
        <v>2221.67</v>
      </c>
      <c r="F35" s="380">
        <v>2458.7689999999998</v>
      </c>
      <c r="G35" s="380">
        <v>2563.6309999999999</v>
      </c>
      <c r="H35" s="380">
        <v>2579.0500000000002</v>
      </c>
      <c r="I35" s="380">
        <v>2567.2689999999998</v>
      </c>
      <c r="J35" s="380">
        <v>2439.7170000000001</v>
      </c>
      <c r="K35" s="380">
        <v>2344.864</v>
      </c>
      <c r="L35" s="380">
        <v>2404.0070000000001</v>
      </c>
      <c r="M35" s="380">
        <v>2131.7950000000001</v>
      </c>
      <c r="N35" s="380">
        <v>1994.999</v>
      </c>
      <c r="O35" s="380">
        <v>2030.846</v>
      </c>
      <c r="P35" s="380">
        <v>1941.2529999999999</v>
      </c>
      <c r="Q35" s="380">
        <v>2044.6089999999999</v>
      </c>
      <c r="R35" s="380">
        <v>2264.7370000000001</v>
      </c>
      <c r="S35" s="380">
        <v>2476.4349999999999</v>
      </c>
      <c r="T35" s="380">
        <v>2633.5030000000002</v>
      </c>
      <c r="U35" s="278">
        <v>2692.7860000000001</v>
      </c>
      <c r="V35" s="278">
        <v>2540.6170000000002</v>
      </c>
      <c r="W35" s="278">
        <v>2367.1469999999999</v>
      </c>
      <c r="X35" s="278">
        <v>2311.14</v>
      </c>
      <c r="Y35" s="825">
        <v>1631.0640000000001</v>
      </c>
      <c r="Z35" s="309">
        <f>9947/1000</f>
        <v>9.9469999999999992</v>
      </c>
      <c r="AA35" s="664">
        <v>10.256</v>
      </c>
      <c r="AB35" s="664">
        <v>13.712999999999999</v>
      </c>
      <c r="AC35" s="664">
        <v>17.548999999999999</v>
      </c>
      <c r="AD35" s="664">
        <v>38.213000000000001</v>
      </c>
      <c r="AE35" s="632">
        <v>107.61799999999999</v>
      </c>
      <c r="AF35" s="881">
        <f t="shared" si="4"/>
        <v>0.37770984122668549</v>
      </c>
      <c r="AG35" s="664">
        <f t="shared" si="4"/>
        <v>0.3808694786737602</v>
      </c>
      <c r="AH35" s="664">
        <f t="shared" si="4"/>
        <v>0.53975077707501762</v>
      </c>
      <c r="AI35" s="664">
        <f t="shared" si="4"/>
        <v>0.74135657819307377</v>
      </c>
      <c r="AJ35" s="664">
        <f t="shared" si="4"/>
        <v>1.653426447554021</v>
      </c>
      <c r="AK35" s="632">
        <f t="shared" si="4"/>
        <v>6.5980243571067714</v>
      </c>
      <c r="AL35" s="155" t="s">
        <v>51</v>
      </c>
      <c r="AM35" s="650"/>
      <c r="AN35" s="903">
        <f t="shared" si="3"/>
        <v>-29.425997559645879</v>
      </c>
    </row>
    <row r="36" spans="1:43" s="751" customFormat="1" ht="12.75" customHeight="1">
      <c r="A36" s="298"/>
      <c r="B36" s="10" t="s">
        <v>161</v>
      </c>
      <c r="C36" s="126">
        <v>85.893000000000001</v>
      </c>
      <c r="D36" s="121">
        <v>89.665000000000006</v>
      </c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>
        <v>8.6080000000000005</v>
      </c>
      <c r="P36" s="367">
        <v>10.26</v>
      </c>
      <c r="Q36" s="367">
        <v>11.173</v>
      </c>
      <c r="R36" s="367">
        <v>12.417</v>
      </c>
      <c r="S36" s="750">
        <f>2.555+3.717+3.369+3.407</f>
        <v>13.048</v>
      </c>
      <c r="T36" s="367">
        <v>13.718</v>
      </c>
      <c r="U36" s="121">
        <f>3.106+4.574+3.991+4.256</f>
        <v>15.927</v>
      </c>
      <c r="V36" s="121">
        <f>3.831+5.348+4.67+4.722</f>
        <v>18.571000000000002</v>
      </c>
      <c r="W36" s="121">
        <v>21.375</v>
      </c>
      <c r="X36" s="119">
        <v>19.832999999999998</v>
      </c>
      <c r="Y36" s="902">
        <f>(4673+3439+4398+3916)/1000</f>
        <v>16.425999999999998</v>
      </c>
      <c r="Z36" s="121"/>
      <c r="AA36" s="121"/>
      <c r="AB36" s="119"/>
      <c r="AC36" s="119"/>
      <c r="AD36" s="119"/>
      <c r="AE36" s="902"/>
      <c r="AF36" s="121"/>
      <c r="AG36" s="121"/>
      <c r="AH36" s="121"/>
      <c r="AI36" s="121"/>
      <c r="AJ36" s="121"/>
      <c r="AK36" s="166"/>
      <c r="AL36" s="64" t="s">
        <v>161</v>
      </c>
      <c r="AM36" s="607"/>
      <c r="AN36" s="667">
        <f t="shared" si="3"/>
        <v>-17.178439973781082</v>
      </c>
    </row>
    <row r="37" spans="1:43" ht="12.75" customHeight="1">
      <c r="A37" s="8"/>
      <c r="B37" s="154" t="s">
        <v>0</v>
      </c>
      <c r="C37" s="307"/>
      <c r="D37" s="163"/>
      <c r="E37" s="374"/>
      <c r="F37" s="374"/>
      <c r="G37" s="374"/>
      <c r="H37" s="374"/>
      <c r="I37" s="374"/>
      <c r="J37" s="374">
        <v>15.894</v>
      </c>
      <c r="K37" s="374">
        <v>12.45</v>
      </c>
      <c r="L37" s="374">
        <v>16.914000000000001</v>
      </c>
      <c r="M37" s="374">
        <v>17.914000000000001</v>
      </c>
      <c r="N37" s="374">
        <v>13.113</v>
      </c>
      <c r="O37" s="374">
        <v>49.290999999999997</v>
      </c>
      <c r="P37" s="374">
        <v>40.090000000000003</v>
      </c>
      <c r="Q37" s="374">
        <v>32.869999999999997</v>
      </c>
      <c r="R37" s="374">
        <v>31.927</v>
      </c>
      <c r="S37" s="374">
        <v>29.765999999999998</v>
      </c>
      <c r="T37" s="374">
        <v>29.308</v>
      </c>
      <c r="U37" s="163">
        <v>30.422999999999998</v>
      </c>
      <c r="V37" s="163">
        <v>26.609000000000002</v>
      </c>
      <c r="W37" s="163">
        <v>33.072000000000003</v>
      </c>
      <c r="X37" s="163">
        <f>39217/1000</f>
        <v>39.216999999999999</v>
      </c>
      <c r="Y37" s="165">
        <f>AVERAGE(V37:X37)</f>
        <v>32.966000000000001</v>
      </c>
      <c r="Z37" s="163"/>
      <c r="AA37" s="163"/>
      <c r="AB37" s="163"/>
      <c r="AC37" s="163"/>
      <c r="AD37" s="163"/>
      <c r="AE37" s="165"/>
      <c r="AF37" s="163"/>
      <c r="AG37" s="163"/>
      <c r="AH37" s="163"/>
      <c r="AI37" s="163"/>
      <c r="AJ37" s="163"/>
      <c r="AK37" s="165"/>
      <c r="AL37" s="882" t="s">
        <v>0</v>
      </c>
      <c r="AM37" s="606"/>
      <c r="AN37" s="301">
        <f t="shared" si="3"/>
        <v>-15.939516026213113</v>
      </c>
    </row>
    <row r="38" spans="1:43" ht="12.75" customHeight="1">
      <c r="A38" s="8"/>
      <c r="B38" s="10" t="s">
        <v>167</v>
      </c>
      <c r="C38" s="126"/>
      <c r="D38" s="121"/>
      <c r="E38" s="367"/>
      <c r="F38" s="367"/>
      <c r="G38" s="367"/>
      <c r="H38" s="367"/>
      <c r="I38" s="367"/>
      <c r="J38" s="367"/>
      <c r="K38" s="367"/>
      <c r="L38" s="367"/>
      <c r="M38" s="367"/>
      <c r="N38" s="367"/>
      <c r="O38" s="367"/>
      <c r="P38" s="367"/>
      <c r="Q38" s="367"/>
      <c r="R38" s="367"/>
      <c r="S38" s="367"/>
      <c r="T38" s="367"/>
      <c r="U38" s="121"/>
      <c r="V38" s="121"/>
      <c r="W38" s="121"/>
      <c r="X38" s="121"/>
      <c r="Y38" s="166"/>
      <c r="Z38" s="126"/>
      <c r="AA38" s="121"/>
      <c r="AB38" s="121"/>
      <c r="AC38" s="121"/>
      <c r="AD38" s="121"/>
      <c r="AE38" s="166"/>
      <c r="AF38" s="121"/>
      <c r="AG38" s="121"/>
      <c r="AH38" s="121"/>
      <c r="AI38" s="121"/>
      <c r="AJ38" s="121"/>
      <c r="AK38" s="166"/>
      <c r="AL38" s="64" t="s">
        <v>167</v>
      </c>
      <c r="AM38" s="606"/>
      <c r="AN38" s="301"/>
    </row>
    <row r="39" spans="1:43" ht="12.75" customHeight="1">
      <c r="A39" s="8"/>
      <c r="B39" s="154" t="s">
        <v>160</v>
      </c>
      <c r="C39" s="307"/>
      <c r="D39" s="163"/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/>
      <c r="Q39" s="374">
        <f>129.168</f>
        <v>129.16800000000001</v>
      </c>
      <c r="R39" s="374">
        <f>30.784+38.47+36.359+33.9</f>
        <v>139.51300000000001</v>
      </c>
      <c r="S39" s="374">
        <f>27.363+26.591+25.995+25.444</f>
        <v>105.393</v>
      </c>
      <c r="T39" s="374">
        <f>30.495+29.433+23.626+29.061</f>
        <v>112.61500000000001</v>
      </c>
      <c r="U39" s="163">
        <v>136.25800000000001</v>
      </c>
      <c r="V39" s="163">
        <v>130.804</v>
      </c>
      <c r="W39" s="163">
        <v>147.465</v>
      </c>
      <c r="X39" s="163">
        <v>167.79</v>
      </c>
      <c r="Y39" s="165">
        <f>(34363+35073+50819+45977)/1000</f>
        <v>166.232</v>
      </c>
      <c r="Z39" s="307"/>
      <c r="AA39" s="163"/>
      <c r="AB39" s="163"/>
      <c r="AC39" s="163"/>
      <c r="AD39" s="163"/>
      <c r="AE39" s="165"/>
      <c r="AF39" s="163"/>
      <c r="AG39" s="163"/>
      <c r="AH39" s="163"/>
      <c r="AI39" s="163"/>
      <c r="AJ39" s="163"/>
      <c r="AK39" s="165"/>
      <c r="AL39" s="304" t="s">
        <v>160</v>
      </c>
      <c r="AM39" s="606"/>
      <c r="AN39" s="301">
        <f t="shared" si="3"/>
        <v>-0.92854162941772245</v>
      </c>
    </row>
    <row r="40" spans="1:43" ht="12.75" customHeight="1">
      <c r="A40" s="8"/>
      <c r="B40" s="11" t="s">
        <v>47</v>
      </c>
      <c r="C40" s="390"/>
      <c r="D40" s="391"/>
      <c r="E40" s="394"/>
      <c r="F40" s="394"/>
      <c r="G40" s="383"/>
      <c r="H40" s="383"/>
      <c r="I40" s="383"/>
      <c r="J40" s="383">
        <v>406.80700000000002</v>
      </c>
      <c r="K40" s="383">
        <v>396.54199999999997</v>
      </c>
      <c r="L40" s="383">
        <v>353.495</v>
      </c>
      <c r="M40" s="383">
        <v>353.16800000000001</v>
      </c>
      <c r="N40" s="383">
        <v>357.98599999999999</v>
      </c>
      <c r="O40" s="383">
        <v>485.61900000000003</v>
      </c>
      <c r="P40" s="383">
        <v>602.24800000000005</v>
      </c>
      <c r="Q40" s="383">
        <v>565.79100000000005</v>
      </c>
      <c r="R40" s="383">
        <v>654.90499999999997</v>
      </c>
      <c r="S40" s="383">
        <v>585.81399999999996</v>
      </c>
      <c r="T40" s="383">
        <v>746.39499999999998</v>
      </c>
      <c r="U40" s="122">
        <v>746.07399999999996</v>
      </c>
      <c r="V40" s="122">
        <v>741.90200000000004</v>
      </c>
      <c r="W40" s="122">
        <v>526.23500000000001</v>
      </c>
      <c r="X40" s="122">
        <v>386.78272500000003</v>
      </c>
      <c r="Y40" s="174">
        <f>601525/1000</f>
        <v>601.52499999999998</v>
      </c>
      <c r="Z40" s="651">
        <v>0.11899999999999999</v>
      </c>
      <c r="AA40" s="122">
        <v>4.3999999999999997E-2</v>
      </c>
      <c r="AB40" s="122">
        <v>7.6999999999999999E-2</v>
      </c>
      <c r="AC40" s="122">
        <v>0.192</v>
      </c>
      <c r="AD40" s="122">
        <v>0.22900000000000001</v>
      </c>
      <c r="AE40" s="174">
        <v>0.89800000000000002</v>
      </c>
      <c r="AF40" s="651">
        <f t="shared" si="4"/>
        <v>1.5943300799174699E-2</v>
      </c>
      <c r="AG40" s="122">
        <f t="shared" si="4"/>
        <v>5.8975383138937954E-3</v>
      </c>
      <c r="AH40" s="122">
        <f t="shared" si="4"/>
        <v>1.0378729266129488E-2</v>
      </c>
      <c r="AI40" s="122">
        <f t="shared" si="4"/>
        <v>3.648560053968284E-2</v>
      </c>
      <c r="AJ40" s="122">
        <f t="shared" si="4"/>
        <v>5.9206367088912776E-2</v>
      </c>
      <c r="AK40" s="174">
        <f t="shared" si="4"/>
        <v>0.14928722829475083</v>
      </c>
      <c r="AL40" s="65" t="s">
        <v>47</v>
      </c>
      <c r="AM40" s="606"/>
      <c r="AN40" s="274">
        <f t="shared" si="3"/>
        <v>55.520130843485816</v>
      </c>
      <c r="AQ40" s="650"/>
    </row>
    <row r="41" spans="1:43" ht="12.75" customHeight="1">
      <c r="A41" s="8"/>
      <c r="B41" s="154" t="s">
        <v>33</v>
      </c>
      <c r="C41" s="307">
        <v>13.569000000000001</v>
      </c>
      <c r="D41" s="163">
        <v>15.377000000000001</v>
      </c>
      <c r="E41" s="374">
        <v>13.569000000000001</v>
      </c>
      <c r="F41" s="374">
        <v>7.2450000000000001</v>
      </c>
      <c r="G41" s="374">
        <v>6.9429999999999996</v>
      </c>
      <c r="H41" s="374">
        <v>9.8849999999999998</v>
      </c>
      <c r="I41" s="374">
        <v>11.968</v>
      </c>
      <c r="J41" s="374">
        <v>18.059999999999999</v>
      </c>
      <c r="K41" s="374">
        <v>17.129000000000001</v>
      </c>
      <c r="L41" s="374">
        <v>15.942</v>
      </c>
      <c r="M41" s="374">
        <v>9.0329999999999995</v>
      </c>
      <c r="N41" s="374">
        <v>2.113</v>
      </c>
      <c r="O41" s="374">
        <v>3.1059999999999999</v>
      </c>
      <c r="P41" s="374">
        <v>5.0380000000000003</v>
      </c>
      <c r="Q41" s="374">
        <v>7.93</v>
      </c>
      <c r="R41" s="374">
        <v>7.274</v>
      </c>
      <c r="S41" s="374">
        <v>9.52</v>
      </c>
      <c r="T41" s="374">
        <v>14.007999999999999</v>
      </c>
      <c r="U41" s="163">
        <v>18.472999999999999</v>
      </c>
      <c r="V41" s="163">
        <v>21.324000000000002</v>
      </c>
      <c r="W41" s="163">
        <v>17.975999999999999</v>
      </c>
      <c r="X41" s="527">
        <v>11.718999999999999</v>
      </c>
      <c r="Y41" s="826">
        <v>9.3689999999999998</v>
      </c>
      <c r="Z41" s="163">
        <f>387/1000</f>
        <v>0.38700000000000001</v>
      </c>
      <c r="AA41" s="163">
        <v>0.376</v>
      </c>
      <c r="AB41" s="163">
        <v>0.85399999999999998</v>
      </c>
      <c r="AC41" s="163">
        <v>0.77500000000000002</v>
      </c>
      <c r="AD41" s="163">
        <v>1.1459999999999999</v>
      </c>
      <c r="AE41" s="165">
        <v>2.5310000000000001</v>
      </c>
      <c r="AF41" s="163">
        <f t="shared" si="4"/>
        <v>2.7627070245573959</v>
      </c>
      <c r="AG41" s="163">
        <f t="shared" si="4"/>
        <v>2.0354030206246954</v>
      </c>
      <c r="AH41" s="163">
        <f t="shared" si="4"/>
        <v>4.004877133746013</v>
      </c>
      <c r="AI41" s="163">
        <f t="shared" si="4"/>
        <v>4.3113039608366721</v>
      </c>
      <c r="AJ41" s="163">
        <f t="shared" si="4"/>
        <v>9.7789913815171943</v>
      </c>
      <c r="AK41" s="165">
        <f t="shared" si="4"/>
        <v>27.014622691856122</v>
      </c>
      <c r="AL41" s="304" t="s">
        <v>33</v>
      </c>
      <c r="AM41" s="607"/>
      <c r="AN41" s="903">
        <f t="shared" si="3"/>
        <v>-20.052905538015182</v>
      </c>
    </row>
    <row r="42" spans="1:43" ht="12.75" customHeight="1">
      <c r="A42" s="8"/>
      <c r="B42" s="10" t="s">
        <v>63</v>
      </c>
      <c r="C42" s="126">
        <v>117.977</v>
      </c>
      <c r="D42" s="121">
        <v>101.27800000000001</v>
      </c>
      <c r="E42" s="367">
        <v>97.376000000000005</v>
      </c>
      <c r="F42" s="367">
        <v>91.915999999999997</v>
      </c>
      <c r="G42" s="367">
        <v>88.721000000000004</v>
      </c>
      <c r="H42" s="367">
        <v>89.921000000000006</v>
      </c>
      <c r="I42" s="367">
        <v>115.645</v>
      </c>
      <c r="J42" s="367">
        <v>109.907</v>
      </c>
      <c r="K42" s="367">
        <v>109.164</v>
      </c>
      <c r="L42" s="367">
        <v>129.19499999999999</v>
      </c>
      <c r="M42" s="367">
        <v>110.617</v>
      </c>
      <c r="N42" s="367">
        <v>98.674999999999997</v>
      </c>
      <c r="O42" s="367">
        <v>127.754</v>
      </c>
      <c r="P42" s="367">
        <v>138.345</v>
      </c>
      <c r="Q42" s="367">
        <v>137.96700000000001</v>
      </c>
      <c r="R42" s="367">
        <v>142.15100000000001</v>
      </c>
      <c r="S42" s="367">
        <v>144.202</v>
      </c>
      <c r="T42" s="367">
        <v>150.68600000000001</v>
      </c>
      <c r="U42" s="121">
        <v>154.60300000000001</v>
      </c>
      <c r="V42" s="121">
        <v>158.65</v>
      </c>
      <c r="W42" s="121">
        <v>147.929</v>
      </c>
      <c r="X42" s="121">
        <v>142.381</v>
      </c>
      <c r="Y42" s="166">
        <v>141.405</v>
      </c>
      <c r="Z42" s="121">
        <f>25809/1000</f>
        <v>25.809000000000001</v>
      </c>
      <c r="AA42" s="121">
        <v>24.245000000000001</v>
      </c>
      <c r="AB42" s="121">
        <v>33.08</v>
      </c>
      <c r="AC42" s="121">
        <v>46.164000000000001</v>
      </c>
      <c r="AD42" s="121">
        <v>60.334000000000003</v>
      </c>
      <c r="AE42" s="166">
        <v>76.759</v>
      </c>
      <c r="AF42" s="121">
        <f t="shared" si="4"/>
        <v>17.127669458343842</v>
      </c>
      <c r="AG42" s="121">
        <f t="shared" si="4"/>
        <v>15.682101899704403</v>
      </c>
      <c r="AH42" s="121">
        <f t="shared" si="4"/>
        <v>20.850929719508351</v>
      </c>
      <c r="AI42" s="121">
        <f t="shared" si="4"/>
        <v>31.206862751725488</v>
      </c>
      <c r="AJ42" s="121">
        <f t="shared" si="4"/>
        <v>42.375035994971242</v>
      </c>
      <c r="AK42" s="166">
        <f t="shared" si="4"/>
        <v>54.283087585304621</v>
      </c>
      <c r="AL42" s="64" t="s">
        <v>63</v>
      </c>
      <c r="AM42" s="607"/>
      <c r="AN42" s="274">
        <f t="shared" si="3"/>
        <v>-0.68548472057366894</v>
      </c>
    </row>
    <row r="43" spans="1:43" ht="12.75" customHeight="1">
      <c r="A43" s="8"/>
      <c r="B43" s="155" t="s">
        <v>34</v>
      </c>
      <c r="C43" s="309">
        <v>296.94499999999999</v>
      </c>
      <c r="D43" s="278">
        <v>316.87599999999998</v>
      </c>
      <c r="E43" s="380">
        <v>316.51900000000001</v>
      </c>
      <c r="F43" s="380">
        <v>316.64100000000002</v>
      </c>
      <c r="G43" s="380">
        <v>295.065</v>
      </c>
      <c r="H43" s="380">
        <v>270.30900000000003</v>
      </c>
      <c r="I43" s="380">
        <v>269.38499999999999</v>
      </c>
      <c r="J43" s="380">
        <v>264.94099999999997</v>
      </c>
      <c r="K43" s="380">
        <v>269.452</v>
      </c>
      <c r="L43" s="380">
        <v>284.68799999999999</v>
      </c>
      <c r="M43" s="380">
        <v>288.55700000000002</v>
      </c>
      <c r="N43" s="380">
        <v>266.04899999999998</v>
      </c>
      <c r="O43" s="380">
        <v>292.45299999999997</v>
      </c>
      <c r="P43" s="380">
        <v>316.846</v>
      </c>
      <c r="Q43" s="380">
        <v>326.08100000000002</v>
      </c>
      <c r="R43" s="380">
        <v>305.928</v>
      </c>
      <c r="S43" s="380">
        <v>300.11</v>
      </c>
      <c r="T43" s="380">
        <v>321.66899999999998</v>
      </c>
      <c r="U43" s="278">
        <v>315.29500000000002</v>
      </c>
      <c r="V43" s="278">
        <v>311.99599999999998</v>
      </c>
      <c r="W43" s="278">
        <v>299.13499999999999</v>
      </c>
      <c r="X43" s="278">
        <v>311.25599999999997</v>
      </c>
      <c r="Y43" s="825">
        <v>236.703</v>
      </c>
      <c r="Z43" s="309">
        <v>3.0750000000000002</v>
      </c>
      <c r="AA43" s="163">
        <v>3.298</v>
      </c>
      <c r="AB43" s="163">
        <v>4.7670000000000003</v>
      </c>
      <c r="AC43" s="163">
        <v>5.1189999999999998</v>
      </c>
      <c r="AD43" s="163">
        <v>13.111000000000001</v>
      </c>
      <c r="AE43" s="825">
        <v>19.353000000000002</v>
      </c>
      <c r="AF43" s="309">
        <f t="shared" si="4"/>
        <v>0.95595161485875246</v>
      </c>
      <c r="AG43" s="278">
        <f t="shared" si="4"/>
        <v>1.0460045354350687</v>
      </c>
      <c r="AH43" s="278">
        <f t="shared" si="4"/>
        <v>1.5279042039000501</v>
      </c>
      <c r="AI43" s="278">
        <f t="shared" si="4"/>
        <v>1.7112674879235128</v>
      </c>
      <c r="AJ43" s="278">
        <f t="shared" si="4"/>
        <v>4.2122882771737737</v>
      </c>
      <c r="AK43" s="825">
        <f t="shared" si="4"/>
        <v>8.1760687443758648</v>
      </c>
      <c r="AL43" s="305" t="s">
        <v>34</v>
      </c>
      <c r="AM43" s="607"/>
      <c r="AN43" s="875">
        <f t="shared" si="3"/>
        <v>-23.952309353072707</v>
      </c>
    </row>
    <row r="44" spans="1:43" ht="14.25" customHeight="1">
      <c r="A44" s="8"/>
      <c r="B44" s="1067" t="s">
        <v>333</v>
      </c>
      <c r="C44" s="1067"/>
      <c r="D44" s="1067"/>
      <c r="E44" s="1067"/>
      <c r="F44" s="1067"/>
      <c r="G44" s="1067"/>
      <c r="H44" s="1067"/>
      <c r="I44" s="1067"/>
      <c r="J44" s="1067"/>
      <c r="K44" s="1067"/>
      <c r="L44" s="1067"/>
      <c r="M44" s="1067"/>
      <c r="N44" s="1067"/>
      <c r="O44" s="1067"/>
      <c r="P44" s="1067"/>
      <c r="Q44" s="1067"/>
      <c r="R44" s="1067"/>
      <c r="S44" s="1020"/>
      <c r="T44" s="1020"/>
      <c r="U44" s="1020"/>
      <c r="V44" s="1020"/>
      <c r="W44" s="1020"/>
      <c r="X44" s="1020"/>
      <c r="Y44" s="1020"/>
      <c r="Z44" s="1020"/>
      <c r="AA44" s="1023"/>
      <c r="AB44" s="1023"/>
      <c r="AC44" s="1023"/>
      <c r="AD44" s="1023"/>
      <c r="AE44" s="1023"/>
      <c r="AF44" s="1020"/>
      <c r="AG44" s="1020"/>
      <c r="AH44" s="1020"/>
      <c r="AI44" s="1020"/>
      <c r="AJ44" s="1020"/>
      <c r="AK44" s="1020"/>
      <c r="AL44" s="1020"/>
    </row>
    <row r="45" spans="1:43" ht="12" customHeight="1">
      <c r="A45" s="8"/>
      <c r="B45" s="1067" t="s">
        <v>334</v>
      </c>
      <c r="C45" s="1067"/>
      <c r="D45" s="1067"/>
      <c r="E45" s="1067"/>
      <c r="F45" s="1067"/>
      <c r="G45" s="1067"/>
      <c r="H45" s="1067"/>
      <c r="I45" s="1067"/>
      <c r="J45" s="1067"/>
      <c r="K45" s="1067"/>
      <c r="L45" s="1067"/>
      <c r="M45" s="1067"/>
      <c r="N45" s="1067"/>
      <c r="O45" s="1067"/>
      <c r="P45" s="1067"/>
      <c r="Q45" s="1067"/>
      <c r="R45" s="1020"/>
      <c r="S45" s="1020"/>
      <c r="T45" s="1020"/>
      <c r="U45" s="1020"/>
      <c r="V45" s="1020"/>
      <c r="W45" s="1020"/>
      <c r="X45" s="1020"/>
      <c r="Y45" s="1020"/>
      <c r="Z45" s="1020"/>
      <c r="AA45" s="1020"/>
      <c r="AB45" s="1020"/>
      <c r="AC45" s="1020"/>
      <c r="AD45" s="1020"/>
      <c r="AE45" s="1020"/>
      <c r="AF45" s="1020"/>
      <c r="AG45" s="1020"/>
      <c r="AH45" s="1020"/>
      <c r="AI45" s="1020"/>
      <c r="AJ45" s="1020"/>
      <c r="AK45" s="1020"/>
      <c r="AL45" s="1020"/>
    </row>
    <row r="46" spans="1:43" ht="12.75" customHeight="1">
      <c r="A46" s="8"/>
      <c r="B46" s="1066" t="s">
        <v>326</v>
      </c>
      <c r="C46" s="1066"/>
      <c r="D46" s="1066"/>
      <c r="E46" s="1066"/>
      <c r="F46" s="1066"/>
      <c r="G46" s="1066"/>
      <c r="H46" s="1066"/>
      <c r="I46" s="1066"/>
      <c r="J46" s="1066"/>
      <c r="K46" s="1066"/>
      <c r="L46" s="1066"/>
      <c r="M46" s="1066"/>
      <c r="N46" s="1066"/>
      <c r="O46" s="1066"/>
      <c r="P46" s="1066"/>
      <c r="Q46" s="1066"/>
      <c r="AA46" s="1"/>
    </row>
    <row r="47" spans="1:43" ht="12.75" customHeight="1">
      <c r="A47" s="8"/>
      <c r="B47" s="1068" t="s">
        <v>357</v>
      </c>
      <c r="C47" s="1066"/>
      <c r="D47" s="1066"/>
      <c r="E47" s="1066"/>
      <c r="F47" s="1066"/>
      <c r="G47" s="1066"/>
      <c r="H47" s="1066"/>
      <c r="I47" s="1066"/>
      <c r="J47" s="1066"/>
      <c r="K47" s="1066"/>
      <c r="L47" s="1066"/>
      <c r="M47" s="1066"/>
      <c r="N47" s="1066"/>
      <c r="O47" s="1066"/>
      <c r="P47" s="1066"/>
      <c r="Q47" s="1066"/>
      <c r="AA47" s="1"/>
    </row>
    <row r="48" spans="1:43" ht="12" customHeight="1">
      <c r="B48" s="1065" t="s">
        <v>356</v>
      </c>
      <c r="C48" s="1065"/>
      <c r="D48" s="1065"/>
      <c r="E48" s="1065"/>
      <c r="F48" s="1065"/>
      <c r="G48" s="1065"/>
      <c r="H48" s="1065"/>
      <c r="I48" s="1065"/>
      <c r="J48" s="1065"/>
      <c r="K48" s="1065"/>
      <c r="L48" s="1065"/>
      <c r="M48" s="1065"/>
      <c r="N48" s="1065"/>
      <c r="O48" s="1065"/>
      <c r="P48" s="1065"/>
      <c r="Q48" s="1065"/>
      <c r="R48" s="1018"/>
    </row>
    <row r="50" ht="12.75" customHeight="1"/>
    <row r="51" ht="12.75" hidden="1" customHeight="1"/>
  </sheetData>
  <mergeCells count="10">
    <mergeCell ref="B3:V3"/>
    <mergeCell ref="B2:V2"/>
    <mergeCell ref="AA4:AE4"/>
    <mergeCell ref="AG4:AK4"/>
    <mergeCell ref="X4:Y4"/>
    <mergeCell ref="B48:Q48"/>
    <mergeCell ref="B46:Q46"/>
    <mergeCell ref="B45:Q45"/>
    <mergeCell ref="B44:R44"/>
    <mergeCell ref="B47:Q47"/>
  </mergeCells>
  <phoneticPr fontId="4" type="noConversion"/>
  <printOptions horizontalCentered="1"/>
  <pageMargins left="0.6692913385826772" right="0.6692913385826772" top="0.51181102362204722" bottom="0.27559055118110237" header="0" footer="0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0"/>
  <dimension ref="A1:BS45"/>
  <sheetViews>
    <sheetView zoomScaleNormal="100" workbookViewId="0">
      <pane xSplit="1" topLeftCell="AW1" activePane="topRight" state="frozen"/>
      <selection activeCell="A4" sqref="A4"/>
      <selection pane="topRight" activeCell="A2" sqref="A2:BN2"/>
    </sheetView>
  </sheetViews>
  <sheetFormatPr defaultRowHeight="12.75"/>
  <cols>
    <col min="1" max="45" width="9.140625" customWidth="1"/>
    <col min="46" max="46" width="7.28515625" customWidth="1"/>
    <col min="47" max="70" width="9.140625" customWidth="1"/>
    <col min="71" max="71" width="7" customWidth="1"/>
  </cols>
  <sheetData>
    <row r="1" spans="1:71" ht="14.25" customHeight="1">
      <c r="A1" s="29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1"/>
      <c r="BN1" s="30" t="s">
        <v>123</v>
      </c>
      <c r="BO1" s="30"/>
      <c r="BP1" s="30"/>
      <c r="BQ1" s="30"/>
    </row>
    <row r="2" spans="1:71" s="41" customFormat="1" ht="30" customHeight="1">
      <c r="A2" s="1039" t="s">
        <v>151</v>
      </c>
      <c r="B2" s="1039"/>
      <c r="C2" s="1039"/>
      <c r="D2" s="1039"/>
      <c r="E2" s="1039"/>
      <c r="F2" s="1039"/>
      <c r="G2" s="1039"/>
      <c r="H2" s="1039"/>
      <c r="I2" s="1039"/>
      <c r="J2" s="1039"/>
      <c r="K2" s="1039"/>
      <c r="L2" s="1039"/>
      <c r="M2" s="1039"/>
      <c r="N2" s="1039"/>
      <c r="O2" s="1039"/>
      <c r="P2" s="1039"/>
      <c r="Q2" s="1039"/>
      <c r="R2" s="1039"/>
      <c r="S2" s="1039"/>
      <c r="T2" s="1039"/>
      <c r="U2" s="1039"/>
      <c r="V2" s="1039"/>
      <c r="W2" s="1039"/>
      <c r="X2" s="1039"/>
      <c r="Y2" s="1039"/>
      <c r="Z2" s="1039"/>
      <c r="AA2" s="1039"/>
      <c r="AB2" s="1039"/>
      <c r="AC2" s="1039"/>
      <c r="AD2" s="1039"/>
      <c r="AE2" s="1039"/>
      <c r="AF2" s="1039"/>
      <c r="AG2" s="1039"/>
      <c r="AH2" s="1039"/>
      <c r="AI2" s="1039"/>
      <c r="AJ2" s="1039"/>
      <c r="AK2" s="1039"/>
      <c r="AL2" s="1039"/>
      <c r="AM2" s="1039"/>
      <c r="AN2" s="1039"/>
      <c r="AO2" s="1039"/>
      <c r="AP2" s="1039"/>
      <c r="AQ2" s="1039"/>
      <c r="AR2" s="1039"/>
      <c r="AS2" s="1039"/>
      <c r="AT2" s="1039"/>
      <c r="AU2" s="1039"/>
      <c r="AV2" s="1039"/>
      <c r="AW2" s="1039"/>
      <c r="AX2" s="1039"/>
      <c r="AY2" s="1039"/>
      <c r="AZ2" s="1039"/>
      <c r="BA2" s="1039"/>
      <c r="BB2" s="1039"/>
      <c r="BC2" s="1039"/>
      <c r="BD2" s="1039"/>
      <c r="BE2" s="1039"/>
      <c r="BF2" s="1039"/>
      <c r="BG2" s="1039"/>
      <c r="BH2" s="1039"/>
      <c r="BI2" s="1039"/>
      <c r="BJ2" s="1039"/>
      <c r="BK2" s="1039"/>
      <c r="BL2" s="1039"/>
      <c r="BM2" s="1039"/>
      <c r="BN2" s="1039"/>
      <c r="BO2" s="594"/>
      <c r="BP2" s="594"/>
      <c r="BQ2" s="594"/>
    </row>
    <row r="3" spans="1:71" ht="18" customHeight="1">
      <c r="A3" s="1075" t="s">
        <v>80</v>
      </c>
      <c r="B3" s="1075"/>
      <c r="C3" s="1075"/>
      <c r="D3" s="1075"/>
      <c r="E3" s="1075"/>
      <c r="F3" s="1075"/>
      <c r="G3" s="1075"/>
      <c r="H3" s="1075"/>
      <c r="I3" s="1075"/>
      <c r="J3" s="1075"/>
      <c r="K3" s="1075"/>
      <c r="L3" s="1075"/>
      <c r="M3" s="1075"/>
      <c r="N3" s="1075"/>
      <c r="O3" s="1075"/>
      <c r="P3" s="1075"/>
      <c r="Q3" s="1075"/>
      <c r="R3" s="1075"/>
      <c r="S3" s="1075"/>
      <c r="T3" s="1075"/>
      <c r="U3" s="1075"/>
      <c r="V3" s="1075"/>
      <c r="W3" s="1075"/>
      <c r="X3" s="1075"/>
      <c r="Y3" s="1075"/>
      <c r="Z3" s="1075"/>
      <c r="AA3" s="1075"/>
      <c r="AB3" s="1075"/>
      <c r="AC3" s="1075"/>
      <c r="AD3" s="1075"/>
      <c r="AE3" s="1075"/>
      <c r="AF3" s="1075"/>
      <c r="AG3" s="1075"/>
      <c r="AH3" s="1075"/>
      <c r="AI3" s="1075"/>
      <c r="AJ3" s="1075"/>
      <c r="AK3" s="1075"/>
      <c r="AL3" s="1075"/>
      <c r="AM3" s="1075"/>
      <c r="AN3" s="1075"/>
      <c r="AO3" s="1075"/>
      <c r="AP3" s="1075"/>
      <c r="AQ3" s="1075"/>
      <c r="AR3" s="1075"/>
      <c r="AS3" s="1075"/>
      <c r="AT3" s="1075"/>
      <c r="AU3" s="1075"/>
      <c r="AV3" s="1075"/>
      <c r="AW3" s="1075"/>
      <c r="AX3" s="1075"/>
      <c r="AY3" s="1075"/>
      <c r="AZ3" s="1075"/>
      <c r="BA3" s="1075"/>
      <c r="BB3" s="1075"/>
      <c r="BC3" s="1075"/>
      <c r="BD3" s="1075"/>
      <c r="BE3" s="1075"/>
      <c r="BF3" s="1075"/>
      <c r="BG3" s="1075"/>
      <c r="BH3" s="1075"/>
      <c r="BI3" s="1075"/>
      <c r="BJ3" s="1075"/>
      <c r="BK3" s="1075"/>
      <c r="BL3" s="1075"/>
      <c r="BM3" s="1075"/>
      <c r="BN3" s="1075"/>
      <c r="BO3" s="595"/>
      <c r="BP3" s="595"/>
      <c r="BQ3" s="595"/>
    </row>
    <row r="4" spans="1:71" ht="23.25" customHeight="1">
      <c r="A4" s="97"/>
      <c r="B4" s="1076" t="s">
        <v>3</v>
      </c>
      <c r="C4" s="1077"/>
      <c r="D4" s="1077"/>
      <c r="E4" s="1077"/>
      <c r="F4" s="1077"/>
      <c r="G4" s="1077"/>
      <c r="H4" s="1077"/>
      <c r="I4" s="1077"/>
      <c r="J4" s="1077"/>
      <c r="K4" s="1077"/>
      <c r="L4" s="1077"/>
      <c r="M4" s="1077"/>
      <c r="N4" s="1077"/>
      <c r="O4" s="1077"/>
      <c r="P4" s="1077"/>
      <c r="Q4" s="609"/>
      <c r="R4" s="609"/>
      <c r="S4" s="1076" t="s">
        <v>4</v>
      </c>
      <c r="T4" s="1077"/>
      <c r="U4" s="1077"/>
      <c r="V4" s="1077"/>
      <c r="W4" s="1077"/>
      <c r="X4" s="1077"/>
      <c r="Y4" s="1077"/>
      <c r="Z4" s="1077"/>
      <c r="AA4" s="1077"/>
      <c r="AB4" s="1077"/>
      <c r="AC4" s="1077"/>
      <c r="AD4" s="1077"/>
      <c r="AE4" s="1077"/>
      <c r="AF4" s="1077"/>
      <c r="AG4" s="1077"/>
      <c r="AH4" s="609"/>
      <c r="AI4" s="596"/>
      <c r="AJ4" s="1076" t="s">
        <v>5</v>
      </c>
      <c r="AK4" s="1077"/>
      <c r="AL4" s="1077"/>
      <c r="AM4" s="1077"/>
      <c r="AN4" s="1077"/>
      <c r="AO4" s="1077"/>
      <c r="AP4" s="1077"/>
      <c r="AQ4" s="1077"/>
      <c r="AR4" s="1077"/>
      <c r="AS4" s="1077"/>
      <c r="AT4" s="1077"/>
      <c r="AU4" s="1077"/>
      <c r="AV4" s="1077"/>
      <c r="AW4" s="1077"/>
      <c r="AX4" s="1077"/>
      <c r="AY4" s="609"/>
      <c r="AZ4" s="609"/>
      <c r="BA4" s="1076" t="s">
        <v>68</v>
      </c>
      <c r="BB4" s="1077"/>
      <c r="BC4" s="1077"/>
      <c r="BD4" s="1077"/>
      <c r="BE4" s="1077"/>
      <c r="BF4" s="1077"/>
      <c r="BG4" s="1077"/>
      <c r="BH4" s="1077"/>
      <c r="BI4" s="1077"/>
      <c r="BJ4" s="1077"/>
      <c r="BK4" s="1077"/>
      <c r="BL4" s="1077"/>
      <c r="BM4" s="1077"/>
      <c r="BN4" s="1077"/>
      <c r="BO4" s="609"/>
      <c r="BP4" s="609"/>
      <c r="BQ4" s="596"/>
      <c r="BR4" s="1072" t="s">
        <v>360</v>
      </c>
      <c r="BS4" s="56"/>
    </row>
    <row r="5" spans="1:71" ht="12" customHeight="1">
      <c r="A5" s="97"/>
      <c r="B5" s="1081" t="s">
        <v>6</v>
      </c>
      <c r="C5" s="1082"/>
      <c r="D5" s="1082"/>
      <c r="E5" s="1082"/>
      <c r="F5" s="1082"/>
      <c r="G5" s="1082"/>
      <c r="H5" s="1082"/>
      <c r="I5" s="1082"/>
      <c r="J5" s="1082"/>
      <c r="K5" s="1082"/>
      <c r="L5" s="1082"/>
      <c r="M5" s="1082"/>
      <c r="N5" s="1082"/>
      <c r="O5" s="1082"/>
      <c r="P5" s="1082"/>
      <c r="Q5" s="623"/>
      <c r="R5" s="623"/>
      <c r="S5" s="1081" t="s">
        <v>7</v>
      </c>
      <c r="T5" s="1082"/>
      <c r="U5" s="1082"/>
      <c r="V5" s="1082"/>
      <c r="W5" s="1082"/>
      <c r="X5" s="1082"/>
      <c r="Y5" s="1082"/>
      <c r="Z5" s="1082"/>
      <c r="AA5" s="1082"/>
      <c r="AB5" s="1082"/>
      <c r="AC5" s="1082"/>
      <c r="AD5" s="1082"/>
      <c r="AE5" s="1082"/>
      <c r="AF5" s="1082"/>
      <c r="AG5" s="1082"/>
      <c r="AH5" s="623"/>
      <c r="AI5" s="908"/>
      <c r="AJ5" s="1081" t="s">
        <v>8</v>
      </c>
      <c r="AK5" s="1082"/>
      <c r="AL5" s="1082"/>
      <c r="AM5" s="1082"/>
      <c r="AN5" s="1082"/>
      <c r="AO5" s="1082"/>
      <c r="AP5" s="1082"/>
      <c r="AQ5" s="1082"/>
      <c r="AR5" s="1082"/>
      <c r="AS5" s="1082"/>
      <c r="AT5" s="1082"/>
      <c r="AU5" s="1082"/>
      <c r="AV5" s="1082"/>
      <c r="AW5" s="1082"/>
      <c r="AX5" s="1082"/>
      <c r="AY5" s="623"/>
      <c r="AZ5" s="623"/>
      <c r="BA5" s="1078"/>
      <c r="BB5" s="1079"/>
      <c r="BC5" s="1079"/>
      <c r="BD5" s="1079"/>
      <c r="BE5" s="1079"/>
      <c r="BF5" s="1079"/>
      <c r="BG5" s="1079"/>
      <c r="BH5" s="1079"/>
      <c r="BI5" s="1079"/>
      <c r="BJ5" s="1079"/>
      <c r="BK5" s="1079"/>
      <c r="BL5" s="1079"/>
      <c r="BM5" s="1079"/>
      <c r="BN5" s="1079"/>
      <c r="BO5" s="181"/>
      <c r="BP5" s="181"/>
      <c r="BQ5" s="182"/>
      <c r="BR5" s="1073"/>
      <c r="BS5" s="56"/>
    </row>
    <row r="6" spans="1:71" ht="21" customHeight="1">
      <c r="A6" s="98"/>
      <c r="B6" s="176">
        <v>2004</v>
      </c>
      <c r="C6" s="177">
        <v>2005</v>
      </c>
      <c r="D6" s="177">
        <v>2006</v>
      </c>
      <c r="E6" s="177">
        <v>2007</v>
      </c>
      <c r="F6" s="177">
        <v>2008</v>
      </c>
      <c r="G6" s="177">
        <v>2009</v>
      </c>
      <c r="H6" s="177">
        <v>2010</v>
      </c>
      <c r="I6" s="177">
        <v>2011</v>
      </c>
      <c r="J6" s="177">
        <v>2012</v>
      </c>
      <c r="K6" s="177">
        <v>2013</v>
      </c>
      <c r="L6" s="177">
        <v>2014</v>
      </c>
      <c r="M6" s="177">
        <v>2015</v>
      </c>
      <c r="N6" s="177">
        <v>2016</v>
      </c>
      <c r="O6" s="177">
        <v>2017</v>
      </c>
      <c r="P6" s="177">
        <v>2018</v>
      </c>
      <c r="Q6" s="177">
        <v>2019</v>
      </c>
      <c r="R6" s="177">
        <v>2020</v>
      </c>
      <c r="S6" s="176">
        <v>2004</v>
      </c>
      <c r="T6" s="177">
        <v>2005</v>
      </c>
      <c r="U6" s="177">
        <v>2006</v>
      </c>
      <c r="V6" s="177">
        <v>2007</v>
      </c>
      <c r="W6" s="177">
        <v>2008</v>
      </c>
      <c r="X6" s="177">
        <v>2009</v>
      </c>
      <c r="Y6" s="177">
        <v>2010</v>
      </c>
      <c r="Z6" s="177">
        <v>2011</v>
      </c>
      <c r="AA6" s="177">
        <v>2012</v>
      </c>
      <c r="AB6" s="177">
        <v>2013</v>
      </c>
      <c r="AC6" s="177">
        <v>2014</v>
      </c>
      <c r="AD6" s="177">
        <v>2015</v>
      </c>
      <c r="AE6" s="177">
        <v>2016</v>
      </c>
      <c r="AF6" s="177">
        <v>2017</v>
      </c>
      <c r="AG6" s="177">
        <v>2018</v>
      </c>
      <c r="AH6" s="177">
        <v>2019</v>
      </c>
      <c r="AI6" s="178">
        <v>2020</v>
      </c>
      <c r="AJ6" s="176">
        <v>2004</v>
      </c>
      <c r="AK6" s="177">
        <v>2005</v>
      </c>
      <c r="AL6" s="177">
        <v>2006</v>
      </c>
      <c r="AM6" s="177">
        <v>2007</v>
      </c>
      <c r="AN6" s="177">
        <v>2008</v>
      </c>
      <c r="AO6" s="177">
        <v>2009</v>
      </c>
      <c r="AP6" s="177">
        <v>2010</v>
      </c>
      <c r="AQ6" s="177">
        <v>2011</v>
      </c>
      <c r="AR6" s="177">
        <v>2012</v>
      </c>
      <c r="AS6" s="177">
        <v>2013</v>
      </c>
      <c r="AT6" s="177">
        <v>2014</v>
      </c>
      <c r="AU6" s="177">
        <v>2015</v>
      </c>
      <c r="AV6" s="177">
        <v>2016</v>
      </c>
      <c r="AW6" s="604">
        <v>2017</v>
      </c>
      <c r="AX6" s="604">
        <v>2018</v>
      </c>
      <c r="AY6" s="604">
        <v>2019</v>
      </c>
      <c r="AZ6" s="907">
        <v>2020</v>
      </c>
      <c r="BA6" s="177">
        <v>2004</v>
      </c>
      <c r="BB6" s="177">
        <v>2005</v>
      </c>
      <c r="BC6" s="177">
        <v>2006</v>
      </c>
      <c r="BD6" s="177">
        <v>2007</v>
      </c>
      <c r="BE6" s="177">
        <v>2008</v>
      </c>
      <c r="BF6" s="177">
        <v>2009</v>
      </c>
      <c r="BG6" s="177">
        <v>2010</v>
      </c>
      <c r="BH6" s="177">
        <v>2011</v>
      </c>
      <c r="BI6" s="177">
        <v>2012</v>
      </c>
      <c r="BJ6" s="177">
        <v>2013</v>
      </c>
      <c r="BK6" s="177">
        <v>2014</v>
      </c>
      <c r="BL6" s="177">
        <v>2015</v>
      </c>
      <c r="BM6" s="177">
        <v>2016</v>
      </c>
      <c r="BN6" s="177">
        <v>2017</v>
      </c>
      <c r="BO6" s="177">
        <v>2018</v>
      </c>
      <c r="BP6" s="177">
        <v>2019</v>
      </c>
      <c r="BQ6" s="178">
        <v>2020</v>
      </c>
      <c r="BR6" s="1074"/>
      <c r="BS6" s="167"/>
    </row>
    <row r="7" spans="1:71" ht="15" customHeight="1">
      <c r="A7" s="551" t="s">
        <v>266</v>
      </c>
      <c r="B7" s="575"/>
      <c r="C7" s="562"/>
      <c r="D7" s="561">
        <f>SUM(D9:D35)</f>
        <v>1716916</v>
      </c>
      <c r="E7" s="561">
        <f t="shared" ref="E7:R7" si="0">SUM(E9:E35)</f>
        <v>1839001</v>
      </c>
      <c r="F7" s="561">
        <f t="shared" si="0"/>
        <v>1665380</v>
      </c>
      <c r="G7" s="561">
        <f t="shared" si="0"/>
        <v>1188194</v>
      </c>
      <c r="H7" s="561">
        <f t="shared" si="0"/>
        <v>1273184</v>
      </c>
      <c r="I7" s="561">
        <f t="shared" si="0"/>
        <v>1348081</v>
      </c>
      <c r="J7" s="561">
        <f t="shared" si="0"/>
        <v>1153792</v>
      </c>
      <c r="K7" s="561">
        <f t="shared" si="0"/>
        <v>1115499</v>
      </c>
      <c r="L7" s="561">
        <f t="shared" si="0"/>
        <v>1223100</v>
      </c>
      <c r="M7" s="561">
        <f t="shared" si="0"/>
        <v>1352401</v>
      </c>
      <c r="N7" s="561">
        <f t="shared" si="0"/>
        <v>1550416</v>
      </c>
      <c r="O7" s="561">
        <f t="shared" si="0"/>
        <v>1635617</v>
      </c>
      <c r="P7" s="561">
        <f t="shared" si="0"/>
        <v>1706219</v>
      </c>
      <c r="Q7" s="561">
        <f t="shared" si="0"/>
        <v>1751311</v>
      </c>
      <c r="R7" s="561">
        <f t="shared" si="0"/>
        <v>1440352</v>
      </c>
      <c r="S7" s="562"/>
      <c r="T7" s="562"/>
      <c r="U7" s="562"/>
      <c r="V7" s="562"/>
      <c r="W7" s="562"/>
      <c r="X7" s="562"/>
      <c r="Y7" s="562"/>
      <c r="Z7" s="562"/>
      <c r="AA7" s="562"/>
      <c r="AB7" s="562"/>
      <c r="AC7" s="562"/>
      <c r="AD7" s="562"/>
      <c r="AE7" s="562"/>
      <c r="AF7" s="562"/>
      <c r="AG7" s="562"/>
      <c r="AH7" s="562"/>
      <c r="AI7" s="564"/>
      <c r="AJ7" s="562"/>
      <c r="AK7" s="562"/>
      <c r="AL7" s="562"/>
      <c r="AM7" s="562"/>
      <c r="AN7" s="562"/>
      <c r="AO7" s="562"/>
      <c r="AP7" s="562"/>
      <c r="AQ7" s="562"/>
      <c r="AR7" s="562"/>
      <c r="AS7" s="562"/>
      <c r="AT7" s="562"/>
      <c r="AU7" s="562"/>
      <c r="AV7" s="562"/>
      <c r="AW7" s="562"/>
      <c r="AX7" s="562"/>
      <c r="AY7" s="562"/>
      <c r="AZ7" s="564"/>
      <c r="BA7" s="562"/>
      <c r="BB7" s="562"/>
      <c r="BC7" s="574">
        <f>SUM(BC9:BC35)</f>
        <v>2065403</v>
      </c>
      <c r="BD7" s="574">
        <f t="shared" ref="BD7:BO7" si="1">SUM(BD9:BD35)</f>
        <v>2219343</v>
      </c>
      <c r="BE7" s="574">
        <f t="shared" si="1"/>
        <v>2028379</v>
      </c>
      <c r="BF7" s="574">
        <f t="shared" si="1"/>
        <v>1388196</v>
      </c>
      <c r="BG7" s="574">
        <f t="shared" si="1"/>
        <v>1490153</v>
      </c>
      <c r="BH7" s="574">
        <f t="shared" si="1"/>
        <v>1621285</v>
      </c>
      <c r="BI7" s="574">
        <f t="shared" si="1"/>
        <v>1398645</v>
      </c>
      <c r="BJ7" s="574">
        <f t="shared" si="1"/>
        <v>1368582</v>
      </c>
      <c r="BK7" s="574">
        <f t="shared" si="1"/>
        <v>1466339</v>
      </c>
      <c r="BL7" s="574">
        <f t="shared" si="1"/>
        <v>1632970</v>
      </c>
      <c r="BM7" s="574">
        <f t="shared" si="1"/>
        <v>1867259</v>
      </c>
      <c r="BN7" s="574">
        <f t="shared" si="1"/>
        <v>1953225</v>
      </c>
      <c r="BO7" s="574">
        <f t="shared" si="1"/>
        <v>2041208</v>
      </c>
      <c r="BP7" s="574">
        <f>SUM(BP9:BP35)</f>
        <v>2084223</v>
      </c>
      <c r="BQ7" s="918">
        <f>SUM(BQ9:BQ35)</f>
        <v>1689483</v>
      </c>
      <c r="BR7" s="917">
        <f>BQ7/BP7*100-100</f>
        <v>-18.939432104913919</v>
      </c>
      <c r="BS7" s="551" t="s">
        <v>266</v>
      </c>
    </row>
    <row r="8" spans="1:71" ht="12.75" customHeight="1">
      <c r="A8" s="551" t="s">
        <v>168</v>
      </c>
      <c r="B8" s="572"/>
      <c r="C8" s="573"/>
      <c r="D8" s="574">
        <f>SUM(D9:D36)</f>
        <v>2039254</v>
      </c>
      <c r="E8" s="574">
        <f t="shared" ref="E8:R8" si="2">SUM(E9:E36)</f>
        <v>2172340</v>
      </c>
      <c r="F8" s="574">
        <f t="shared" si="2"/>
        <v>1952538</v>
      </c>
      <c r="G8" s="574">
        <f t="shared" si="2"/>
        <v>1373511</v>
      </c>
      <c r="H8" s="574">
        <f t="shared" si="2"/>
        <v>1495061</v>
      </c>
      <c r="I8" s="574">
        <f t="shared" si="2"/>
        <v>1607613</v>
      </c>
      <c r="J8" s="574">
        <f t="shared" si="2"/>
        <v>1392574</v>
      </c>
      <c r="K8" s="574">
        <f t="shared" si="2"/>
        <v>1385737</v>
      </c>
      <c r="L8" s="574">
        <f t="shared" si="2"/>
        <v>1544009</v>
      </c>
      <c r="M8" s="574">
        <f t="shared" si="2"/>
        <v>1734567</v>
      </c>
      <c r="N8" s="574">
        <f t="shared" si="2"/>
        <v>1937065</v>
      </c>
      <c r="O8" s="574">
        <f t="shared" si="2"/>
        <v>2007275</v>
      </c>
      <c r="P8" s="574">
        <f t="shared" si="2"/>
        <v>2075555</v>
      </c>
      <c r="Q8" s="574">
        <f t="shared" si="2"/>
        <v>2127168</v>
      </c>
      <c r="R8" s="574">
        <f t="shared" si="2"/>
        <v>1741901</v>
      </c>
      <c r="S8" s="575"/>
      <c r="T8" s="562"/>
      <c r="U8" s="562"/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4"/>
      <c r="AJ8" s="562"/>
      <c r="AK8" s="562"/>
      <c r="AL8" s="562"/>
      <c r="AM8" s="562"/>
      <c r="AN8" s="562"/>
      <c r="AO8" s="562"/>
      <c r="AP8" s="562"/>
      <c r="AQ8" s="562"/>
      <c r="AR8" s="562"/>
      <c r="AS8" s="562"/>
      <c r="AT8" s="562"/>
      <c r="AU8" s="562"/>
      <c r="AV8" s="562"/>
      <c r="AW8" s="562"/>
      <c r="AX8" s="562"/>
      <c r="AY8" s="562"/>
      <c r="AZ8" s="562"/>
      <c r="BA8" s="575"/>
      <c r="BB8" s="562"/>
      <c r="BC8" s="574">
        <f>SUM(BC9:BC36)</f>
        <v>2440602</v>
      </c>
      <c r="BD8" s="574">
        <f t="shared" ref="BD8:BO8" si="3">SUM(BD9:BD36)</f>
        <v>2599529</v>
      </c>
      <c r="BE8" s="574">
        <f t="shared" si="3"/>
        <v>2369246</v>
      </c>
      <c r="BF8" s="574">
        <f t="shared" si="3"/>
        <v>1605332</v>
      </c>
      <c r="BG8" s="574">
        <f t="shared" si="3"/>
        <v>1743434</v>
      </c>
      <c r="BH8" s="574">
        <f t="shared" si="3"/>
        <v>1921942</v>
      </c>
      <c r="BI8" s="574">
        <f t="shared" si="3"/>
        <v>1679789</v>
      </c>
      <c r="BJ8" s="574">
        <f t="shared" si="3"/>
        <v>1692003</v>
      </c>
      <c r="BK8" s="574">
        <f t="shared" si="3"/>
        <v>1825863</v>
      </c>
      <c r="BL8" s="574">
        <f t="shared" si="3"/>
        <v>2065421</v>
      </c>
      <c r="BM8" s="574">
        <f t="shared" si="3"/>
        <v>2306710</v>
      </c>
      <c r="BN8" s="574">
        <f t="shared" si="3"/>
        <v>2376842</v>
      </c>
      <c r="BO8" s="574">
        <f t="shared" si="3"/>
        <v>2460433</v>
      </c>
      <c r="BP8" s="574">
        <f>SUM(BP9:BP36)</f>
        <v>2515513</v>
      </c>
      <c r="BQ8" s="918">
        <f>SUM(BQ9:BQ36)</f>
        <v>2028651</v>
      </c>
      <c r="BR8" s="917">
        <f t="shared" ref="BR8:BR38" si="4">BQ8/BP8*100-100</f>
        <v>-19.354382187649193</v>
      </c>
      <c r="BS8" s="551" t="s">
        <v>168</v>
      </c>
    </row>
    <row r="9" spans="1:71" ht="12.75" customHeight="1">
      <c r="A9" s="171" t="s">
        <v>52</v>
      </c>
      <c r="B9" s="438">
        <v>58539</v>
      </c>
      <c r="C9" s="439">
        <v>62068</v>
      </c>
      <c r="D9" s="440">
        <v>60156</v>
      </c>
      <c r="E9" s="440">
        <v>68007</v>
      </c>
      <c r="F9" s="440">
        <v>67546</v>
      </c>
      <c r="G9" s="440">
        <v>53620</v>
      </c>
      <c r="H9" s="440">
        <v>54856</v>
      </c>
      <c r="I9" s="440">
        <v>64049</v>
      </c>
      <c r="J9" s="440">
        <v>57020</v>
      </c>
      <c r="K9" s="440">
        <v>55793</v>
      </c>
      <c r="L9" s="440">
        <v>55801</v>
      </c>
      <c r="M9" s="440">
        <v>63856</v>
      </c>
      <c r="N9" s="440">
        <v>71011</v>
      </c>
      <c r="O9" s="440">
        <v>79427</v>
      </c>
      <c r="P9" s="608">
        <v>81285</v>
      </c>
      <c r="Q9" s="608">
        <v>85101</v>
      </c>
      <c r="R9" s="608">
        <v>75750</v>
      </c>
      <c r="S9" s="401">
        <v>2584</v>
      </c>
      <c r="T9" s="399">
        <v>3344</v>
      </c>
      <c r="U9" s="399">
        <v>3007</v>
      </c>
      <c r="V9" s="399">
        <v>3206</v>
      </c>
      <c r="W9" s="399">
        <v>2934</v>
      </c>
      <c r="X9" s="399">
        <v>2630</v>
      </c>
      <c r="Y9" s="399">
        <v>2477</v>
      </c>
      <c r="Z9" s="399">
        <v>2438</v>
      </c>
      <c r="AA9" s="399">
        <v>2148</v>
      </c>
      <c r="AB9" s="399">
        <v>1888</v>
      </c>
      <c r="AC9" s="399">
        <v>2046</v>
      </c>
      <c r="AD9" s="399">
        <v>2374</v>
      </c>
      <c r="AE9" s="399">
        <v>2529</v>
      </c>
      <c r="AF9" s="399">
        <v>2673</v>
      </c>
      <c r="AG9" s="399">
        <v>2799</v>
      </c>
      <c r="AH9" s="399">
        <v>2672</v>
      </c>
      <c r="AI9" s="614">
        <v>2323</v>
      </c>
      <c r="AJ9" s="399">
        <v>7794</v>
      </c>
      <c r="AK9" s="399">
        <v>9671</v>
      </c>
      <c r="AL9" s="399">
        <v>7772</v>
      </c>
      <c r="AM9" s="399">
        <v>9356</v>
      </c>
      <c r="AN9" s="399">
        <v>9590</v>
      </c>
      <c r="AO9" s="399">
        <v>6202</v>
      </c>
      <c r="AP9" s="399">
        <v>5577</v>
      </c>
      <c r="AQ9" s="399">
        <v>7795</v>
      </c>
      <c r="AR9" s="399">
        <v>6822</v>
      </c>
      <c r="AS9" s="399">
        <v>6314</v>
      </c>
      <c r="AT9" s="399">
        <v>6517</v>
      </c>
      <c r="AU9" s="399">
        <v>6992</v>
      </c>
      <c r="AV9" s="399">
        <v>8257</v>
      </c>
      <c r="AW9" s="399">
        <v>8631</v>
      </c>
      <c r="AX9" s="399">
        <v>9217</v>
      </c>
      <c r="AY9" s="399">
        <v>9744</v>
      </c>
      <c r="AZ9" s="399">
        <v>6375</v>
      </c>
      <c r="BA9" s="576">
        <f t="shared" ref="BA9:BQ9" si="5">B9+S9+AJ9</f>
        <v>68917</v>
      </c>
      <c r="BB9" s="414">
        <f t="shared" si="5"/>
        <v>75083</v>
      </c>
      <c r="BC9" s="414">
        <f t="shared" si="5"/>
        <v>70935</v>
      </c>
      <c r="BD9" s="414">
        <f t="shared" si="5"/>
        <v>80569</v>
      </c>
      <c r="BE9" s="414">
        <f t="shared" si="5"/>
        <v>80070</v>
      </c>
      <c r="BF9" s="414">
        <f t="shared" si="5"/>
        <v>62452</v>
      </c>
      <c r="BG9" s="414">
        <f t="shared" si="5"/>
        <v>62910</v>
      </c>
      <c r="BH9" s="414">
        <f t="shared" si="5"/>
        <v>74282</v>
      </c>
      <c r="BI9" s="414">
        <f t="shared" si="5"/>
        <v>65990</v>
      </c>
      <c r="BJ9" s="414">
        <f t="shared" si="5"/>
        <v>63995</v>
      </c>
      <c r="BK9" s="414">
        <f t="shared" si="5"/>
        <v>64364</v>
      </c>
      <c r="BL9" s="414">
        <f t="shared" si="5"/>
        <v>73222</v>
      </c>
      <c r="BM9" s="414">
        <f t="shared" si="5"/>
        <v>81797</v>
      </c>
      <c r="BN9" s="414">
        <f t="shared" si="5"/>
        <v>90731</v>
      </c>
      <c r="BO9" s="414">
        <f t="shared" si="5"/>
        <v>93301</v>
      </c>
      <c r="BP9" s="414">
        <f t="shared" si="5"/>
        <v>97517</v>
      </c>
      <c r="BQ9" s="415">
        <f t="shared" si="5"/>
        <v>84448</v>
      </c>
      <c r="BR9" s="877">
        <f t="shared" si="4"/>
        <v>-13.401765845955055</v>
      </c>
      <c r="BS9" s="172" t="s">
        <v>52</v>
      </c>
    </row>
    <row r="10" spans="1:71" ht="12.75" customHeight="1">
      <c r="A10" s="169" t="s">
        <v>35</v>
      </c>
      <c r="B10" s="441"/>
      <c r="C10" s="442">
        <v>7631</v>
      </c>
      <c r="D10" s="443">
        <v>10242</v>
      </c>
      <c r="E10" s="443">
        <v>12225</v>
      </c>
      <c r="F10" s="443">
        <v>13642</v>
      </c>
      <c r="G10" s="443">
        <v>5514</v>
      </c>
      <c r="H10" s="443">
        <v>5835</v>
      </c>
      <c r="I10" s="443">
        <v>8454</v>
      </c>
      <c r="J10" s="443">
        <v>10231</v>
      </c>
      <c r="K10" s="443">
        <v>9446</v>
      </c>
      <c r="L10" s="443">
        <v>10749</v>
      </c>
      <c r="M10" s="443">
        <f>10900+2765</f>
        <v>13665</v>
      </c>
      <c r="N10" s="443">
        <v>12591</v>
      </c>
      <c r="O10" s="443">
        <v>12494</v>
      </c>
      <c r="P10" s="443">
        <v>14516</v>
      </c>
      <c r="Q10" s="443">
        <v>10331</v>
      </c>
      <c r="R10" s="876">
        <v>6501</v>
      </c>
      <c r="S10" s="618" t="s">
        <v>70</v>
      </c>
      <c r="T10" s="619" t="s">
        <v>70</v>
      </c>
      <c r="U10" s="619" t="s">
        <v>70</v>
      </c>
      <c r="V10" s="619" t="s">
        <v>70</v>
      </c>
      <c r="W10" s="619" t="s">
        <v>70</v>
      </c>
      <c r="X10" s="619" t="s">
        <v>70</v>
      </c>
      <c r="Y10" s="619" t="s">
        <v>70</v>
      </c>
      <c r="Z10" s="619" t="s">
        <v>70</v>
      </c>
      <c r="AA10" s="619" t="s">
        <v>70</v>
      </c>
      <c r="AB10" s="619" t="s">
        <v>70</v>
      </c>
      <c r="AC10" s="619" t="s">
        <v>70</v>
      </c>
      <c r="AD10" s="619" t="s">
        <v>70</v>
      </c>
      <c r="AE10" s="619" t="s">
        <v>70</v>
      </c>
      <c r="AF10" s="617" t="s">
        <v>70</v>
      </c>
      <c r="AG10" s="617" t="s">
        <v>70</v>
      </c>
      <c r="AH10" s="617" t="s">
        <v>70</v>
      </c>
      <c r="AI10" s="909" t="s">
        <v>70</v>
      </c>
      <c r="AJ10" s="618" t="s">
        <v>70</v>
      </c>
      <c r="AK10" s="619" t="s">
        <v>70</v>
      </c>
      <c r="AL10" s="619" t="s">
        <v>70</v>
      </c>
      <c r="AM10" s="619" t="s">
        <v>70</v>
      </c>
      <c r="AN10" s="619" t="s">
        <v>70</v>
      </c>
      <c r="AO10" s="619" t="s">
        <v>70</v>
      </c>
      <c r="AP10" s="619" t="s">
        <v>70</v>
      </c>
      <c r="AQ10" s="620" t="s">
        <v>70</v>
      </c>
      <c r="AR10" s="620" t="s">
        <v>70</v>
      </c>
      <c r="AS10" s="620" t="s">
        <v>70</v>
      </c>
      <c r="AT10" s="620" t="s">
        <v>70</v>
      </c>
      <c r="AU10" s="620" t="s">
        <v>70</v>
      </c>
      <c r="AV10" s="620" t="s">
        <v>70</v>
      </c>
      <c r="AW10" s="617" t="s">
        <v>195</v>
      </c>
      <c r="AX10" s="617" t="s">
        <v>70</v>
      </c>
      <c r="AY10" s="617" t="s">
        <v>70</v>
      </c>
      <c r="AZ10" s="617" t="s">
        <v>70</v>
      </c>
      <c r="BA10" s="578"/>
      <c r="BB10" s="579">
        <f t="shared" ref="BB10:BP10" si="6">C10</f>
        <v>7631</v>
      </c>
      <c r="BC10" s="579">
        <f t="shared" si="6"/>
        <v>10242</v>
      </c>
      <c r="BD10" s="579">
        <f t="shared" si="6"/>
        <v>12225</v>
      </c>
      <c r="BE10" s="579">
        <f t="shared" si="6"/>
        <v>13642</v>
      </c>
      <c r="BF10" s="579">
        <f t="shared" si="6"/>
        <v>5514</v>
      </c>
      <c r="BG10" s="579">
        <f t="shared" si="6"/>
        <v>5835</v>
      </c>
      <c r="BH10" s="579">
        <f t="shared" si="6"/>
        <v>8454</v>
      </c>
      <c r="BI10" s="579">
        <f t="shared" si="6"/>
        <v>10231</v>
      </c>
      <c r="BJ10" s="579">
        <f t="shared" si="6"/>
        <v>9446</v>
      </c>
      <c r="BK10" s="579">
        <f t="shared" si="6"/>
        <v>10749</v>
      </c>
      <c r="BL10" s="579">
        <f t="shared" si="6"/>
        <v>13665</v>
      </c>
      <c r="BM10" s="579">
        <f t="shared" si="6"/>
        <v>12591</v>
      </c>
      <c r="BN10" s="579">
        <f t="shared" si="6"/>
        <v>12494</v>
      </c>
      <c r="BO10" s="731">
        <f t="shared" si="6"/>
        <v>14516</v>
      </c>
      <c r="BP10" s="731">
        <f t="shared" si="6"/>
        <v>10331</v>
      </c>
      <c r="BQ10" s="915">
        <f>R10</f>
        <v>6501</v>
      </c>
      <c r="BR10" s="878">
        <f t="shared" si="4"/>
        <v>-37.072887426193013</v>
      </c>
      <c r="BS10" s="170" t="s">
        <v>35</v>
      </c>
    </row>
    <row r="11" spans="1:71" ht="12.75" customHeight="1">
      <c r="A11" s="171" t="s">
        <v>37</v>
      </c>
      <c r="B11" s="438">
        <v>17186</v>
      </c>
      <c r="C11" s="439">
        <v>15965</v>
      </c>
      <c r="D11" s="440">
        <v>16185</v>
      </c>
      <c r="E11" s="440">
        <v>19534</v>
      </c>
      <c r="F11" s="440">
        <v>20269</v>
      </c>
      <c r="G11" s="440">
        <v>13007</v>
      </c>
      <c r="H11" s="440">
        <v>11429</v>
      </c>
      <c r="I11" s="440">
        <v>13377</v>
      </c>
      <c r="J11" s="440">
        <v>11628</v>
      </c>
      <c r="K11" s="440">
        <v>11658</v>
      </c>
      <c r="L11" s="440">
        <v>13215</v>
      </c>
      <c r="M11" s="440">
        <v>17272</v>
      </c>
      <c r="N11" s="440">
        <v>19236</v>
      </c>
      <c r="O11" s="440">
        <v>19396</v>
      </c>
      <c r="P11" s="440">
        <v>20210</v>
      </c>
      <c r="Q11" s="440">
        <v>20440</v>
      </c>
      <c r="R11" s="440">
        <v>17115</v>
      </c>
      <c r="S11" s="401">
        <v>2273</v>
      </c>
      <c r="T11" s="399">
        <v>2713</v>
      </c>
      <c r="U11" s="399">
        <v>3264</v>
      </c>
      <c r="V11" s="399">
        <v>4007</v>
      </c>
      <c r="W11" s="399">
        <v>3895</v>
      </c>
      <c r="X11" s="399">
        <v>2012</v>
      </c>
      <c r="Y11" s="399">
        <v>1288</v>
      </c>
      <c r="Z11" s="399">
        <v>1436</v>
      </c>
      <c r="AA11" s="399">
        <v>1259</v>
      </c>
      <c r="AB11" s="399">
        <v>1532</v>
      </c>
      <c r="AC11" s="399">
        <v>1512</v>
      </c>
      <c r="AD11" s="399">
        <v>1830</v>
      </c>
      <c r="AE11" s="399">
        <v>1635</v>
      </c>
      <c r="AF11" s="399">
        <v>1532</v>
      </c>
      <c r="AG11" s="399">
        <v>1634</v>
      </c>
      <c r="AH11" s="399">
        <v>1502</v>
      </c>
      <c r="AI11" s="406">
        <v>1219</v>
      </c>
      <c r="AJ11" s="401">
        <v>4229</v>
      </c>
      <c r="AK11" s="399">
        <v>5546</v>
      </c>
      <c r="AL11" s="399">
        <v>6530</v>
      </c>
      <c r="AM11" s="399">
        <v>8072</v>
      </c>
      <c r="AN11" s="399">
        <v>7509</v>
      </c>
      <c r="AO11" s="399">
        <v>3117</v>
      </c>
      <c r="AP11" s="399">
        <v>3665</v>
      </c>
      <c r="AQ11" s="399">
        <v>5999</v>
      </c>
      <c r="AR11" s="399">
        <v>5684</v>
      </c>
      <c r="AS11" s="399">
        <v>6556</v>
      </c>
      <c r="AT11" s="399">
        <v>7775</v>
      </c>
      <c r="AU11" s="399">
        <v>9556</v>
      </c>
      <c r="AV11" s="399">
        <v>10227</v>
      </c>
      <c r="AW11" s="399">
        <v>8538</v>
      </c>
      <c r="AX11" s="399">
        <v>8531</v>
      </c>
      <c r="AY11" s="399">
        <v>8393</v>
      </c>
      <c r="AZ11" s="399">
        <v>5998</v>
      </c>
      <c r="BA11" s="576">
        <f t="shared" ref="BA11:BN18" si="7">B11+S11+AJ11</f>
        <v>23688</v>
      </c>
      <c r="BB11" s="414">
        <f t="shared" si="7"/>
        <v>24224</v>
      </c>
      <c r="BC11" s="414">
        <f t="shared" si="7"/>
        <v>25979</v>
      </c>
      <c r="BD11" s="414">
        <f t="shared" si="7"/>
        <v>31613</v>
      </c>
      <c r="BE11" s="414">
        <f t="shared" si="7"/>
        <v>31673</v>
      </c>
      <c r="BF11" s="414">
        <f t="shared" si="7"/>
        <v>18136</v>
      </c>
      <c r="BG11" s="414">
        <f t="shared" si="7"/>
        <v>16382</v>
      </c>
      <c r="BH11" s="414">
        <f t="shared" si="7"/>
        <v>20812</v>
      </c>
      <c r="BI11" s="414">
        <f t="shared" si="7"/>
        <v>18571</v>
      </c>
      <c r="BJ11" s="414">
        <f t="shared" si="7"/>
        <v>19746</v>
      </c>
      <c r="BK11" s="414">
        <f t="shared" si="7"/>
        <v>22502</v>
      </c>
      <c r="BL11" s="414">
        <f t="shared" si="7"/>
        <v>28658</v>
      </c>
      <c r="BM11" s="414">
        <f t="shared" si="7"/>
        <v>31098</v>
      </c>
      <c r="BN11" s="414">
        <f t="shared" si="7"/>
        <v>29466</v>
      </c>
      <c r="BO11" s="414">
        <f t="shared" ref="BO11:BO39" si="8">P11+AG11+AX11</f>
        <v>30375</v>
      </c>
      <c r="BP11" s="414">
        <f t="shared" ref="BP11:BQ39" si="9">Q11+AH11+AY11</f>
        <v>30335</v>
      </c>
      <c r="BQ11" s="415">
        <f t="shared" ref="BQ11:BQ24" si="10">R11+AI11+AZ11</f>
        <v>24332</v>
      </c>
      <c r="BR11" s="877">
        <f t="shared" si="4"/>
        <v>-19.789022581176866</v>
      </c>
      <c r="BS11" s="172" t="s">
        <v>37</v>
      </c>
    </row>
    <row r="12" spans="1:71" ht="12.75" customHeight="1">
      <c r="A12" s="169" t="s">
        <v>48</v>
      </c>
      <c r="B12" s="441">
        <v>44791</v>
      </c>
      <c r="C12" s="442">
        <v>57880</v>
      </c>
      <c r="D12" s="443">
        <v>62792</v>
      </c>
      <c r="E12" s="443">
        <v>56067</v>
      </c>
      <c r="F12" s="443">
        <v>33602</v>
      </c>
      <c r="G12" s="443">
        <v>15207</v>
      </c>
      <c r="H12" s="443">
        <v>16092</v>
      </c>
      <c r="I12" s="443">
        <v>23600</v>
      </c>
      <c r="J12" s="443">
        <v>24053</v>
      </c>
      <c r="K12" s="443">
        <v>24007</v>
      </c>
      <c r="L12" s="443">
        <v>28471</v>
      </c>
      <c r="M12" s="443">
        <v>32456</v>
      </c>
      <c r="N12" s="443">
        <v>36624</v>
      </c>
      <c r="O12" s="443">
        <v>35888</v>
      </c>
      <c r="P12" s="443">
        <v>33757</v>
      </c>
      <c r="Q12" s="443">
        <v>33045</v>
      </c>
      <c r="R12" s="443">
        <v>30493</v>
      </c>
      <c r="S12" s="407">
        <v>661</v>
      </c>
      <c r="T12" s="402">
        <v>982</v>
      </c>
      <c r="U12" s="402">
        <v>785</v>
      </c>
      <c r="V12" s="402">
        <v>855</v>
      </c>
      <c r="W12" s="402">
        <v>1157</v>
      </c>
      <c r="X12" s="402">
        <v>575</v>
      </c>
      <c r="Y12" s="402">
        <v>522</v>
      </c>
      <c r="Z12" s="402">
        <v>384</v>
      </c>
      <c r="AA12" s="402">
        <v>425</v>
      </c>
      <c r="AB12" s="402">
        <v>440</v>
      </c>
      <c r="AC12" s="402">
        <v>363</v>
      </c>
      <c r="AD12" s="402">
        <v>390</v>
      </c>
      <c r="AE12" s="402">
        <v>506</v>
      </c>
      <c r="AF12" s="402">
        <v>478</v>
      </c>
      <c r="AG12" s="402">
        <v>413</v>
      </c>
      <c r="AH12" s="402">
        <v>457</v>
      </c>
      <c r="AI12" s="403">
        <v>563</v>
      </c>
      <c r="AJ12" s="407">
        <v>4000</v>
      </c>
      <c r="AK12" s="402">
        <v>5430</v>
      </c>
      <c r="AL12" s="402">
        <v>5205</v>
      </c>
      <c r="AM12" s="402">
        <v>6036</v>
      </c>
      <c r="AN12" s="402">
        <v>5516</v>
      </c>
      <c r="AO12" s="402">
        <v>2677</v>
      </c>
      <c r="AP12" s="402">
        <v>2318</v>
      </c>
      <c r="AQ12" s="402">
        <v>3164</v>
      </c>
      <c r="AR12" s="402">
        <v>3343</v>
      </c>
      <c r="AS12" s="402">
        <v>3871</v>
      </c>
      <c r="AT12" s="402">
        <v>3329</v>
      </c>
      <c r="AU12" s="402">
        <v>4363</v>
      </c>
      <c r="AV12" s="402">
        <v>4593</v>
      </c>
      <c r="AW12" s="402">
        <v>4549</v>
      </c>
      <c r="AX12" s="402">
        <v>4645</v>
      </c>
      <c r="AY12" s="402">
        <v>4583</v>
      </c>
      <c r="AZ12" s="402">
        <v>4546</v>
      </c>
      <c r="BA12" s="578">
        <f t="shared" si="7"/>
        <v>49452</v>
      </c>
      <c r="BB12" s="579">
        <f t="shared" si="7"/>
        <v>64292</v>
      </c>
      <c r="BC12" s="579">
        <f t="shared" si="7"/>
        <v>68782</v>
      </c>
      <c r="BD12" s="579">
        <f t="shared" si="7"/>
        <v>62958</v>
      </c>
      <c r="BE12" s="579">
        <f t="shared" si="7"/>
        <v>40275</v>
      </c>
      <c r="BF12" s="579">
        <f t="shared" si="7"/>
        <v>18459</v>
      </c>
      <c r="BG12" s="579">
        <f t="shared" si="7"/>
        <v>18932</v>
      </c>
      <c r="BH12" s="579">
        <f t="shared" si="7"/>
        <v>27148</v>
      </c>
      <c r="BI12" s="579">
        <f t="shared" si="7"/>
        <v>27821</v>
      </c>
      <c r="BJ12" s="579">
        <f t="shared" si="7"/>
        <v>28318</v>
      </c>
      <c r="BK12" s="579">
        <f t="shared" si="7"/>
        <v>32163</v>
      </c>
      <c r="BL12" s="579">
        <f t="shared" si="7"/>
        <v>37209</v>
      </c>
      <c r="BM12" s="579">
        <f t="shared" si="7"/>
        <v>41723</v>
      </c>
      <c r="BN12" s="579">
        <f t="shared" si="7"/>
        <v>40915</v>
      </c>
      <c r="BO12" s="579">
        <f t="shared" si="8"/>
        <v>38815</v>
      </c>
      <c r="BP12" s="579">
        <f t="shared" si="9"/>
        <v>38085</v>
      </c>
      <c r="BQ12" s="915">
        <f t="shared" si="10"/>
        <v>35602</v>
      </c>
      <c r="BR12" s="878">
        <f t="shared" si="4"/>
        <v>-6.5196271497965057</v>
      </c>
      <c r="BS12" s="170" t="s">
        <v>48</v>
      </c>
    </row>
    <row r="13" spans="1:71" ht="12.75" customHeight="1">
      <c r="A13" s="171" t="s">
        <v>53</v>
      </c>
      <c r="B13" s="438">
        <v>185541</v>
      </c>
      <c r="C13" s="439">
        <v>193736</v>
      </c>
      <c r="D13" s="440">
        <v>197513</v>
      </c>
      <c r="E13" s="440">
        <v>221769</v>
      </c>
      <c r="F13" s="440">
        <v>223525</v>
      </c>
      <c r="G13" s="440">
        <v>170067</v>
      </c>
      <c r="H13" s="440">
        <v>197270</v>
      </c>
      <c r="I13" s="440">
        <v>233617</v>
      </c>
      <c r="J13" s="440">
        <v>219508</v>
      </c>
      <c r="K13" s="440">
        <v>212831</v>
      </c>
      <c r="L13" s="440">
        <v>228390</v>
      </c>
      <c r="M13" s="440">
        <v>237922</v>
      </c>
      <c r="N13" s="440">
        <v>258118</v>
      </c>
      <c r="O13" s="440">
        <v>270730</v>
      </c>
      <c r="P13" s="440">
        <v>285415</v>
      </c>
      <c r="Q13" s="440">
        <v>304925</v>
      </c>
      <c r="R13" s="440">
        <v>267981</v>
      </c>
      <c r="S13" s="401">
        <v>38735</v>
      </c>
      <c r="T13" s="399">
        <v>42018</v>
      </c>
      <c r="U13" s="399">
        <v>38373</v>
      </c>
      <c r="V13" s="399">
        <v>38452</v>
      </c>
      <c r="W13" s="399">
        <v>37792</v>
      </c>
      <c r="X13" s="399">
        <v>26177</v>
      </c>
      <c r="Y13" s="399">
        <v>30841</v>
      </c>
      <c r="Z13" s="399">
        <v>35943</v>
      </c>
      <c r="AA13" s="399">
        <v>31684</v>
      </c>
      <c r="AB13" s="399">
        <v>31417</v>
      </c>
      <c r="AC13" s="399">
        <v>27331</v>
      </c>
      <c r="AD13" s="399">
        <v>27765</v>
      </c>
      <c r="AE13" s="399">
        <v>27182</v>
      </c>
      <c r="AF13" s="399">
        <v>25292</v>
      </c>
      <c r="AG13" s="399">
        <v>25781</v>
      </c>
      <c r="AH13" s="399">
        <v>28273</v>
      </c>
      <c r="AI13" s="406">
        <v>22538</v>
      </c>
      <c r="AJ13" s="401">
        <v>53728</v>
      </c>
      <c r="AK13" s="399">
        <v>59873</v>
      </c>
      <c r="AL13" s="399">
        <v>62837</v>
      </c>
      <c r="AM13" s="399">
        <v>68424</v>
      </c>
      <c r="AN13" s="399">
        <v>67797</v>
      </c>
      <c r="AO13" s="399">
        <v>40322</v>
      </c>
      <c r="AP13" s="399">
        <v>48827</v>
      </c>
      <c r="AQ13" s="399">
        <v>60218</v>
      </c>
      <c r="AR13" s="399">
        <v>54534</v>
      </c>
      <c r="AS13" s="399">
        <v>55215</v>
      </c>
      <c r="AT13" s="399">
        <v>58574</v>
      </c>
      <c r="AU13" s="399">
        <v>61958</v>
      </c>
      <c r="AV13" s="399">
        <v>65277</v>
      </c>
      <c r="AW13" s="399">
        <v>66428</v>
      </c>
      <c r="AX13" s="399">
        <v>68399</v>
      </c>
      <c r="AY13" s="399">
        <v>71267</v>
      </c>
      <c r="AZ13" s="399">
        <v>52117</v>
      </c>
      <c r="BA13" s="576">
        <f t="shared" si="7"/>
        <v>278004</v>
      </c>
      <c r="BB13" s="414">
        <f t="shared" si="7"/>
        <v>295627</v>
      </c>
      <c r="BC13" s="414">
        <f t="shared" si="7"/>
        <v>298723</v>
      </c>
      <c r="BD13" s="414">
        <f t="shared" si="7"/>
        <v>328645</v>
      </c>
      <c r="BE13" s="414">
        <f t="shared" si="7"/>
        <v>329114</v>
      </c>
      <c r="BF13" s="414">
        <f t="shared" si="7"/>
        <v>236566</v>
      </c>
      <c r="BG13" s="414">
        <f t="shared" si="7"/>
        <v>276938</v>
      </c>
      <c r="BH13" s="414">
        <f t="shared" si="7"/>
        <v>329778</v>
      </c>
      <c r="BI13" s="414">
        <f t="shared" si="7"/>
        <v>305726</v>
      </c>
      <c r="BJ13" s="414">
        <f t="shared" si="7"/>
        <v>299463</v>
      </c>
      <c r="BK13" s="414">
        <f t="shared" si="7"/>
        <v>314295</v>
      </c>
      <c r="BL13" s="414">
        <f t="shared" si="7"/>
        <v>327645</v>
      </c>
      <c r="BM13" s="414">
        <f t="shared" si="7"/>
        <v>350577</v>
      </c>
      <c r="BN13" s="414">
        <f t="shared" si="7"/>
        <v>362450</v>
      </c>
      <c r="BO13" s="414">
        <f t="shared" si="8"/>
        <v>379595</v>
      </c>
      <c r="BP13" s="414">
        <f t="shared" si="9"/>
        <v>404465</v>
      </c>
      <c r="BQ13" s="415">
        <f t="shared" si="10"/>
        <v>342636</v>
      </c>
      <c r="BR13" s="877">
        <f t="shared" si="4"/>
        <v>-15.286613180374076</v>
      </c>
      <c r="BS13" s="172" t="s">
        <v>53</v>
      </c>
    </row>
    <row r="14" spans="1:71" ht="12.75" customHeight="1">
      <c r="A14" s="169" t="s">
        <v>38</v>
      </c>
      <c r="B14" s="441">
        <v>2365</v>
      </c>
      <c r="C14" s="442">
        <v>2896</v>
      </c>
      <c r="D14" s="443">
        <v>3696</v>
      </c>
      <c r="E14" s="443">
        <v>4610</v>
      </c>
      <c r="F14" s="443">
        <v>2976</v>
      </c>
      <c r="G14" s="443">
        <v>1175</v>
      </c>
      <c r="H14" s="443">
        <v>1370</v>
      </c>
      <c r="I14" s="443">
        <v>2435</v>
      </c>
      <c r="J14" s="443">
        <v>2752</v>
      </c>
      <c r="K14" s="443">
        <v>2885</v>
      </c>
      <c r="L14" s="443">
        <v>3243</v>
      </c>
      <c r="M14" s="443">
        <v>3897</v>
      </c>
      <c r="N14" s="443">
        <v>4353</v>
      </c>
      <c r="O14" s="443">
        <v>4781</v>
      </c>
      <c r="P14" s="443">
        <v>5018</v>
      </c>
      <c r="Q14" s="443">
        <v>4450</v>
      </c>
      <c r="R14" s="443">
        <v>3301</v>
      </c>
      <c r="S14" s="407">
        <v>89</v>
      </c>
      <c r="T14" s="402">
        <v>163</v>
      </c>
      <c r="U14" s="402">
        <v>147</v>
      </c>
      <c r="V14" s="402">
        <v>121</v>
      </c>
      <c r="W14" s="402">
        <v>109</v>
      </c>
      <c r="X14" s="402">
        <v>25</v>
      </c>
      <c r="Y14" s="402">
        <v>50</v>
      </c>
      <c r="Z14" s="402">
        <v>52</v>
      </c>
      <c r="AA14" s="402">
        <v>50</v>
      </c>
      <c r="AB14" s="402">
        <v>48</v>
      </c>
      <c r="AC14" s="402">
        <v>64</v>
      </c>
      <c r="AD14" s="402">
        <v>53</v>
      </c>
      <c r="AE14" s="402">
        <v>39</v>
      </c>
      <c r="AF14" s="402">
        <v>44</v>
      </c>
      <c r="AG14" s="402">
        <v>64</v>
      </c>
      <c r="AH14" s="402">
        <v>51</v>
      </c>
      <c r="AI14" s="403">
        <v>48</v>
      </c>
      <c r="AJ14" s="407">
        <v>549</v>
      </c>
      <c r="AK14" s="402">
        <v>812</v>
      </c>
      <c r="AL14" s="402">
        <v>1387</v>
      </c>
      <c r="AM14" s="402">
        <v>1597</v>
      </c>
      <c r="AN14" s="402">
        <v>1192</v>
      </c>
      <c r="AO14" s="402">
        <v>231</v>
      </c>
      <c r="AP14" s="402">
        <v>320</v>
      </c>
      <c r="AQ14" s="402">
        <v>694</v>
      </c>
      <c r="AR14" s="402">
        <v>684</v>
      </c>
      <c r="AS14" s="402">
        <v>808</v>
      </c>
      <c r="AT14" s="402">
        <v>712</v>
      </c>
      <c r="AU14" s="402">
        <v>714</v>
      </c>
      <c r="AV14" s="402">
        <v>839</v>
      </c>
      <c r="AW14" s="402">
        <v>1004</v>
      </c>
      <c r="AX14" s="402">
        <v>1017</v>
      </c>
      <c r="AY14" s="402">
        <v>1006</v>
      </c>
      <c r="AZ14" s="402">
        <v>457</v>
      </c>
      <c r="BA14" s="578">
        <f t="shared" si="7"/>
        <v>3003</v>
      </c>
      <c r="BB14" s="579">
        <f t="shared" si="7"/>
        <v>3871</v>
      </c>
      <c r="BC14" s="579">
        <f t="shared" si="7"/>
        <v>5230</v>
      </c>
      <c r="BD14" s="579">
        <f t="shared" si="7"/>
        <v>6328</v>
      </c>
      <c r="BE14" s="579">
        <f t="shared" si="7"/>
        <v>4277</v>
      </c>
      <c r="BF14" s="579">
        <f t="shared" si="7"/>
        <v>1431</v>
      </c>
      <c r="BG14" s="579">
        <f t="shared" si="7"/>
        <v>1740</v>
      </c>
      <c r="BH14" s="579">
        <f t="shared" si="7"/>
        <v>3181</v>
      </c>
      <c r="BI14" s="579">
        <f t="shared" si="7"/>
        <v>3486</v>
      </c>
      <c r="BJ14" s="579">
        <f t="shared" si="7"/>
        <v>3741</v>
      </c>
      <c r="BK14" s="579">
        <f t="shared" si="7"/>
        <v>4019</v>
      </c>
      <c r="BL14" s="579">
        <f t="shared" si="7"/>
        <v>4664</v>
      </c>
      <c r="BM14" s="579">
        <f t="shared" si="7"/>
        <v>5231</v>
      </c>
      <c r="BN14" s="579">
        <f t="shared" si="7"/>
        <v>5829</v>
      </c>
      <c r="BO14" s="579">
        <f t="shared" si="8"/>
        <v>6099</v>
      </c>
      <c r="BP14" s="579">
        <f t="shared" si="9"/>
        <v>5507</v>
      </c>
      <c r="BQ14" s="915">
        <f t="shared" si="10"/>
        <v>3806</v>
      </c>
      <c r="BR14" s="878">
        <f t="shared" si="4"/>
        <v>-30.887960777192674</v>
      </c>
      <c r="BS14" s="170" t="s">
        <v>38</v>
      </c>
    </row>
    <row r="15" spans="1:71" ht="12.75" customHeight="1">
      <c r="A15" s="171" t="s">
        <v>56</v>
      </c>
      <c r="B15" s="438">
        <v>29313</v>
      </c>
      <c r="C15" s="439">
        <v>36431</v>
      </c>
      <c r="D15" s="440">
        <v>39502</v>
      </c>
      <c r="E15" s="440">
        <v>42727</v>
      </c>
      <c r="F15" s="440">
        <v>28163</v>
      </c>
      <c r="G15" s="440">
        <v>8611</v>
      </c>
      <c r="H15" s="440">
        <v>9957</v>
      </c>
      <c r="I15" s="440">
        <v>10868</v>
      </c>
      <c r="J15" s="440">
        <v>10325</v>
      </c>
      <c r="K15" s="440">
        <v>10808</v>
      </c>
      <c r="L15" s="440">
        <v>16478</v>
      </c>
      <c r="M15" s="440">
        <v>23403</v>
      </c>
      <c r="N15" s="440">
        <v>27537</v>
      </c>
      <c r="O15" s="440">
        <v>23916</v>
      </c>
      <c r="P15" s="440">
        <v>25171</v>
      </c>
      <c r="Q15" s="440">
        <v>25091</v>
      </c>
      <c r="R15" s="440">
        <v>21512</v>
      </c>
      <c r="S15" s="401">
        <v>1588</v>
      </c>
      <c r="T15" s="399">
        <v>1838</v>
      </c>
      <c r="U15" s="399">
        <v>3077</v>
      </c>
      <c r="V15" s="399">
        <v>2634</v>
      </c>
      <c r="W15" s="399">
        <v>2079</v>
      </c>
      <c r="X15" s="399">
        <v>859</v>
      </c>
      <c r="Y15" s="399">
        <v>875</v>
      </c>
      <c r="Z15" s="399">
        <v>690</v>
      </c>
      <c r="AA15" s="399">
        <v>645</v>
      </c>
      <c r="AB15" s="399">
        <v>441</v>
      </c>
      <c r="AC15" s="399">
        <v>510</v>
      </c>
      <c r="AD15" s="399">
        <v>759</v>
      </c>
      <c r="AE15" s="399">
        <v>937</v>
      </c>
      <c r="AF15" s="399">
        <v>558</v>
      </c>
      <c r="AG15" s="399">
        <v>622</v>
      </c>
      <c r="AH15" s="399">
        <v>556</v>
      </c>
      <c r="AI15" s="406">
        <v>477</v>
      </c>
      <c r="AJ15" s="401">
        <v>2686</v>
      </c>
      <c r="AK15" s="399">
        <v>3696</v>
      </c>
      <c r="AL15" s="399">
        <v>3712</v>
      </c>
      <c r="AM15" s="399">
        <v>3504</v>
      </c>
      <c r="AN15" s="399">
        <v>2609</v>
      </c>
      <c r="AO15" s="399">
        <v>699</v>
      </c>
      <c r="AP15" s="399">
        <v>611</v>
      </c>
      <c r="AQ15" s="399">
        <v>807</v>
      </c>
      <c r="AR15" s="399">
        <v>919</v>
      </c>
      <c r="AS15" s="399">
        <v>1302</v>
      </c>
      <c r="AT15" s="399">
        <v>1438</v>
      </c>
      <c r="AU15" s="399">
        <v>1491</v>
      </c>
      <c r="AV15" s="399">
        <v>2103</v>
      </c>
      <c r="AW15" s="399">
        <v>1882</v>
      </c>
      <c r="AX15" s="399">
        <v>1889</v>
      </c>
      <c r="AY15" s="399">
        <v>1869</v>
      </c>
      <c r="AZ15" s="399">
        <v>1641</v>
      </c>
      <c r="BA15" s="576">
        <f t="shared" si="7"/>
        <v>33587</v>
      </c>
      <c r="BB15" s="414">
        <f t="shared" si="7"/>
        <v>41965</v>
      </c>
      <c r="BC15" s="414">
        <f t="shared" si="7"/>
        <v>46291</v>
      </c>
      <c r="BD15" s="414">
        <f t="shared" si="7"/>
        <v>48865</v>
      </c>
      <c r="BE15" s="414">
        <f t="shared" si="7"/>
        <v>32851</v>
      </c>
      <c r="BF15" s="414">
        <f t="shared" si="7"/>
        <v>10169</v>
      </c>
      <c r="BG15" s="414">
        <f t="shared" si="7"/>
        <v>11443</v>
      </c>
      <c r="BH15" s="414">
        <f t="shared" si="7"/>
        <v>12365</v>
      </c>
      <c r="BI15" s="414">
        <f t="shared" si="7"/>
        <v>11889</v>
      </c>
      <c r="BJ15" s="414">
        <f t="shared" si="7"/>
        <v>12551</v>
      </c>
      <c r="BK15" s="414">
        <f t="shared" si="7"/>
        <v>18426</v>
      </c>
      <c r="BL15" s="414">
        <f t="shared" si="7"/>
        <v>25653</v>
      </c>
      <c r="BM15" s="414">
        <f t="shared" si="7"/>
        <v>30577</v>
      </c>
      <c r="BN15" s="414">
        <f t="shared" si="7"/>
        <v>26356</v>
      </c>
      <c r="BO15" s="414">
        <f t="shared" si="8"/>
        <v>27682</v>
      </c>
      <c r="BP15" s="414">
        <f t="shared" si="9"/>
        <v>27516</v>
      </c>
      <c r="BQ15" s="415">
        <f t="shared" si="10"/>
        <v>23630</v>
      </c>
      <c r="BR15" s="877">
        <f t="shared" si="4"/>
        <v>-14.122692251780776</v>
      </c>
      <c r="BS15" s="172" t="s">
        <v>56</v>
      </c>
    </row>
    <row r="16" spans="1:71" ht="12.75" customHeight="1">
      <c r="A16" s="169" t="s">
        <v>49</v>
      </c>
      <c r="B16" s="441">
        <v>22543</v>
      </c>
      <c r="C16" s="442">
        <v>23071</v>
      </c>
      <c r="D16" s="443">
        <v>23730</v>
      </c>
      <c r="E16" s="443">
        <v>24007</v>
      </c>
      <c r="F16" s="443">
        <v>22205</v>
      </c>
      <c r="G16" s="443">
        <v>14499</v>
      </c>
      <c r="H16" s="443">
        <v>10632</v>
      </c>
      <c r="I16" s="443">
        <v>6357</v>
      </c>
      <c r="J16" s="443">
        <v>3707</v>
      </c>
      <c r="K16" s="443">
        <v>3431</v>
      </c>
      <c r="L16" s="443">
        <v>4886</v>
      </c>
      <c r="M16" s="443">
        <v>5652</v>
      </c>
      <c r="N16" s="443">
        <v>5623</v>
      </c>
      <c r="O16" s="443">
        <v>6579</v>
      </c>
      <c r="P16" s="443">
        <v>6906</v>
      </c>
      <c r="Q16" s="443">
        <v>7878</v>
      </c>
      <c r="R16" s="443">
        <v>6848</v>
      </c>
      <c r="S16" s="407">
        <v>1288</v>
      </c>
      <c r="T16" s="402">
        <v>1114</v>
      </c>
      <c r="U16" s="402">
        <v>1173</v>
      </c>
      <c r="V16" s="402">
        <v>1298</v>
      </c>
      <c r="W16" s="402">
        <v>1287</v>
      </c>
      <c r="X16" s="402">
        <v>988</v>
      </c>
      <c r="Y16" s="402">
        <v>688</v>
      </c>
      <c r="Z16" s="402">
        <v>283</v>
      </c>
      <c r="AA16" s="402">
        <v>114</v>
      </c>
      <c r="AB16" s="402">
        <v>176</v>
      </c>
      <c r="AC16" s="402">
        <v>155</v>
      </c>
      <c r="AD16" s="402">
        <v>185</v>
      </c>
      <c r="AE16" s="402">
        <v>116</v>
      </c>
      <c r="AF16" s="402">
        <v>204</v>
      </c>
      <c r="AG16" s="402">
        <v>182</v>
      </c>
      <c r="AH16" s="402">
        <v>145</v>
      </c>
      <c r="AI16" s="403">
        <v>212</v>
      </c>
      <c r="AJ16" s="407">
        <v>944</v>
      </c>
      <c r="AK16" s="402">
        <v>1353</v>
      </c>
      <c r="AL16" s="402">
        <v>1014</v>
      </c>
      <c r="AM16" s="402">
        <v>1199</v>
      </c>
      <c r="AN16" s="402">
        <v>1503</v>
      </c>
      <c r="AO16" s="402">
        <v>889</v>
      </c>
      <c r="AP16" s="402">
        <v>618</v>
      </c>
      <c r="AQ16" s="402">
        <v>264</v>
      </c>
      <c r="AR16" s="402">
        <v>105</v>
      </c>
      <c r="AS16" s="402">
        <v>169</v>
      </c>
      <c r="AT16" s="402">
        <v>228</v>
      </c>
      <c r="AU16" s="402">
        <v>280</v>
      </c>
      <c r="AV16" s="402">
        <v>205</v>
      </c>
      <c r="AW16" s="402">
        <v>220</v>
      </c>
      <c r="AX16" s="402">
        <v>170</v>
      </c>
      <c r="AY16" s="402">
        <v>289</v>
      </c>
      <c r="AZ16" s="402">
        <v>351</v>
      </c>
      <c r="BA16" s="578">
        <f t="shared" si="7"/>
        <v>24775</v>
      </c>
      <c r="BB16" s="579">
        <f t="shared" si="7"/>
        <v>25538</v>
      </c>
      <c r="BC16" s="579">
        <f t="shared" si="7"/>
        <v>25917</v>
      </c>
      <c r="BD16" s="579">
        <f t="shared" si="7"/>
        <v>26504</v>
      </c>
      <c r="BE16" s="579">
        <f t="shared" si="7"/>
        <v>24995</v>
      </c>
      <c r="BF16" s="579">
        <f t="shared" si="7"/>
        <v>16376</v>
      </c>
      <c r="BG16" s="579">
        <f t="shared" si="7"/>
        <v>11938</v>
      </c>
      <c r="BH16" s="579">
        <f t="shared" si="7"/>
        <v>6904</v>
      </c>
      <c r="BI16" s="579">
        <f t="shared" si="7"/>
        <v>3926</v>
      </c>
      <c r="BJ16" s="579">
        <f t="shared" si="7"/>
        <v>3776</v>
      </c>
      <c r="BK16" s="579">
        <f t="shared" si="7"/>
        <v>5269</v>
      </c>
      <c r="BL16" s="579">
        <f t="shared" si="7"/>
        <v>6117</v>
      </c>
      <c r="BM16" s="579">
        <f t="shared" si="7"/>
        <v>5944</v>
      </c>
      <c r="BN16" s="579">
        <f t="shared" si="7"/>
        <v>7003</v>
      </c>
      <c r="BO16" s="579">
        <f t="shared" si="8"/>
        <v>7258</v>
      </c>
      <c r="BP16" s="579">
        <f t="shared" si="9"/>
        <v>8312</v>
      </c>
      <c r="BQ16" s="915">
        <f t="shared" si="10"/>
        <v>7411</v>
      </c>
      <c r="BR16" s="878">
        <f t="shared" si="4"/>
        <v>-10.83974975938402</v>
      </c>
      <c r="BS16" s="170" t="s">
        <v>49</v>
      </c>
    </row>
    <row r="17" spans="1:71" ht="12.75" customHeight="1">
      <c r="A17" s="171" t="s">
        <v>54</v>
      </c>
      <c r="B17" s="438">
        <v>333414</v>
      </c>
      <c r="C17" s="439">
        <v>386250</v>
      </c>
      <c r="D17" s="440">
        <v>273922</v>
      </c>
      <c r="E17" s="440">
        <v>275563</v>
      </c>
      <c r="F17" s="440">
        <v>165872</v>
      </c>
      <c r="G17" s="440">
        <v>106527</v>
      </c>
      <c r="H17" s="440">
        <v>116004</v>
      </c>
      <c r="I17" s="440">
        <v>104374</v>
      </c>
      <c r="J17" s="440">
        <v>76387</v>
      </c>
      <c r="K17" s="440">
        <v>85388</v>
      </c>
      <c r="L17" s="440">
        <v>113787</v>
      </c>
      <c r="M17" s="440">
        <v>154795</v>
      </c>
      <c r="N17" s="440">
        <v>172191</v>
      </c>
      <c r="O17" s="440">
        <v>198896</v>
      </c>
      <c r="P17" s="440">
        <v>214342</v>
      </c>
      <c r="Q17" s="440">
        <v>214975</v>
      </c>
      <c r="R17" s="440">
        <v>158108</v>
      </c>
      <c r="S17" s="401">
        <v>8152</v>
      </c>
      <c r="T17" s="399">
        <v>9847</v>
      </c>
      <c r="U17" s="399">
        <v>8577</v>
      </c>
      <c r="V17" s="399">
        <v>9318</v>
      </c>
      <c r="W17" s="399">
        <v>7338</v>
      </c>
      <c r="X17" s="399">
        <v>3999</v>
      </c>
      <c r="Y17" s="399">
        <v>3573</v>
      </c>
      <c r="Z17" s="399">
        <v>3410</v>
      </c>
      <c r="AA17" s="399">
        <v>2451</v>
      </c>
      <c r="AB17" s="399">
        <v>2123</v>
      </c>
      <c r="AC17" s="399">
        <v>2320</v>
      </c>
      <c r="AD17" s="399">
        <v>3178</v>
      </c>
      <c r="AE17" s="399">
        <v>3759</v>
      </c>
      <c r="AF17" s="399">
        <v>3868</v>
      </c>
      <c r="AG17" s="399">
        <v>4251</v>
      </c>
      <c r="AH17" s="399">
        <v>3971</v>
      </c>
      <c r="AI17" s="406">
        <v>3159</v>
      </c>
      <c r="AJ17" s="401">
        <v>29131</v>
      </c>
      <c r="AK17" s="399">
        <v>34514</v>
      </c>
      <c r="AL17" s="399">
        <v>32395</v>
      </c>
      <c r="AM17" s="399">
        <v>35779</v>
      </c>
      <c r="AN17" s="399">
        <v>24729</v>
      </c>
      <c r="AO17" s="399">
        <v>8280</v>
      </c>
      <c r="AP17" s="399">
        <v>10117</v>
      </c>
      <c r="AQ17" s="399">
        <v>12896</v>
      </c>
      <c r="AR17" s="399">
        <v>10589</v>
      </c>
      <c r="AS17" s="399">
        <v>11081</v>
      </c>
      <c r="AT17" s="399">
        <v>13970</v>
      </c>
      <c r="AU17" s="399">
        <v>19390</v>
      </c>
      <c r="AV17" s="399">
        <v>21089</v>
      </c>
      <c r="AW17" s="399">
        <v>21008</v>
      </c>
      <c r="AX17" s="399">
        <v>20138</v>
      </c>
      <c r="AY17" s="399">
        <v>20793</v>
      </c>
      <c r="AZ17" s="399">
        <v>16176</v>
      </c>
      <c r="BA17" s="576">
        <f t="shared" si="7"/>
        <v>370697</v>
      </c>
      <c r="BB17" s="414">
        <f t="shared" si="7"/>
        <v>430611</v>
      </c>
      <c r="BC17" s="414">
        <f t="shared" si="7"/>
        <v>314894</v>
      </c>
      <c r="BD17" s="414">
        <f t="shared" si="7"/>
        <v>320660</v>
      </c>
      <c r="BE17" s="414">
        <f t="shared" si="7"/>
        <v>197939</v>
      </c>
      <c r="BF17" s="414">
        <f t="shared" si="7"/>
        <v>118806</v>
      </c>
      <c r="BG17" s="414">
        <f t="shared" si="7"/>
        <v>129694</v>
      </c>
      <c r="BH17" s="414">
        <f t="shared" si="7"/>
        <v>120680</v>
      </c>
      <c r="BI17" s="414">
        <f t="shared" si="7"/>
        <v>89427</v>
      </c>
      <c r="BJ17" s="414">
        <f t="shared" si="7"/>
        <v>98592</v>
      </c>
      <c r="BK17" s="414">
        <f t="shared" si="7"/>
        <v>130077</v>
      </c>
      <c r="BL17" s="414">
        <f t="shared" si="7"/>
        <v>177363</v>
      </c>
      <c r="BM17" s="414">
        <f t="shared" si="7"/>
        <v>197039</v>
      </c>
      <c r="BN17" s="414">
        <f t="shared" si="7"/>
        <v>223772</v>
      </c>
      <c r="BO17" s="414">
        <f t="shared" si="8"/>
        <v>238731</v>
      </c>
      <c r="BP17" s="414">
        <f t="shared" si="9"/>
        <v>239739</v>
      </c>
      <c r="BQ17" s="415">
        <f t="shared" si="10"/>
        <v>177443</v>
      </c>
      <c r="BR17" s="877">
        <f t="shared" si="4"/>
        <v>-25.984925272900952</v>
      </c>
      <c r="BS17" s="172" t="s">
        <v>54</v>
      </c>
    </row>
    <row r="18" spans="1:71" ht="12.75" customHeight="1">
      <c r="A18" s="169" t="s">
        <v>55</v>
      </c>
      <c r="B18" s="441">
        <v>407515</v>
      </c>
      <c r="C18" s="442">
        <v>419043</v>
      </c>
      <c r="D18" s="443">
        <v>439194</v>
      </c>
      <c r="E18" s="443">
        <v>460513</v>
      </c>
      <c r="F18" s="443">
        <v>458937</v>
      </c>
      <c r="G18" s="443">
        <v>372590</v>
      </c>
      <c r="H18" s="443">
        <v>415448</v>
      </c>
      <c r="I18" s="443">
        <v>426652</v>
      </c>
      <c r="J18" s="443">
        <v>381233</v>
      </c>
      <c r="K18" s="443">
        <v>364989</v>
      </c>
      <c r="L18" s="443">
        <v>370361</v>
      </c>
      <c r="M18" s="443">
        <v>377741</v>
      </c>
      <c r="N18" s="443">
        <v>408546</v>
      </c>
      <c r="O18" s="443">
        <v>437415</v>
      </c>
      <c r="P18" s="443">
        <v>457573</v>
      </c>
      <c r="Q18" s="443">
        <v>478375</v>
      </c>
      <c r="R18" s="443">
        <v>401154</v>
      </c>
      <c r="S18" s="407">
        <v>9037</v>
      </c>
      <c r="T18" s="402">
        <v>11314</v>
      </c>
      <c r="U18" s="402">
        <v>9740</v>
      </c>
      <c r="V18" s="402">
        <v>8403</v>
      </c>
      <c r="W18" s="402">
        <v>9707</v>
      </c>
      <c r="X18" s="402">
        <v>7599</v>
      </c>
      <c r="Y18" s="402">
        <v>7687</v>
      </c>
      <c r="Z18" s="402">
        <v>9501</v>
      </c>
      <c r="AA18" s="402">
        <v>8208</v>
      </c>
      <c r="AB18" s="402">
        <v>7339</v>
      </c>
      <c r="AC18" s="402">
        <v>6086</v>
      </c>
      <c r="AD18" s="402">
        <v>5925</v>
      </c>
      <c r="AE18" s="402">
        <v>6556</v>
      </c>
      <c r="AF18" s="402">
        <v>6856</v>
      </c>
      <c r="AG18" s="402">
        <v>6944</v>
      </c>
      <c r="AH18" s="402">
        <v>6742</v>
      </c>
      <c r="AI18" s="403">
        <v>5962</v>
      </c>
      <c r="AJ18" s="407">
        <v>38440</v>
      </c>
      <c r="AK18" s="402">
        <v>49765</v>
      </c>
      <c r="AL18" s="402">
        <v>43613</v>
      </c>
      <c r="AM18" s="402">
        <v>44405</v>
      </c>
      <c r="AN18" s="402">
        <v>48163</v>
      </c>
      <c r="AO18" s="402">
        <v>28576</v>
      </c>
      <c r="AP18" s="402">
        <v>28172</v>
      </c>
      <c r="AQ18" s="402">
        <v>39864</v>
      </c>
      <c r="AR18" s="402">
        <v>37465</v>
      </c>
      <c r="AS18" s="402">
        <v>37626</v>
      </c>
      <c r="AT18" s="402">
        <v>32698</v>
      </c>
      <c r="AU18" s="402">
        <v>36855</v>
      </c>
      <c r="AV18" s="402">
        <v>41600</v>
      </c>
      <c r="AW18" s="402">
        <v>44452</v>
      </c>
      <c r="AX18" s="402">
        <v>48519</v>
      </c>
      <c r="AY18" s="402">
        <v>49519</v>
      </c>
      <c r="AZ18" s="402">
        <v>36737</v>
      </c>
      <c r="BA18" s="578">
        <f t="shared" si="7"/>
        <v>454992</v>
      </c>
      <c r="BB18" s="579">
        <f t="shared" si="7"/>
        <v>480122</v>
      </c>
      <c r="BC18" s="579">
        <f t="shared" si="7"/>
        <v>492547</v>
      </c>
      <c r="BD18" s="579">
        <f t="shared" si="7"/>
        <v>513321</v>
      </c>
      <c r="BE18" s="579">
        <f t="shared" si="7"/>
        <v>516807</v>
      </c>
      <c r="BF18" s="579">
        <f t="shared" si="7"/>
        <v>408765</v>
      </c>
      <c r="BG18" s="579">
        <f t="shared" si="7"/>
        <v>451307</v>
      </c>
      <c r="BH18" s="579">
        <f t="shared" si="7"/>
        <v>476017</v>
      </c>
      <c r="BI18" s="579">
        <f t="shared" si="7"/>
        <v>426906</v>
      </c>
      <c r="BJ18" s="579">
        <f t="shared" si="7"/>
        <v>409954</v>
      </c>
      <c r="BK18" s="579">
        <f t="shared" si="7"/>
        <v>409145</v>
      </c>
      <c r="BL18" s="579">
        <f t="shared" si="7"/>
        <v>420521</v>
      </c>
      <c r="BM18" s="579">
        <f t="shared" si="7"/>
        <v>456702</v>
      </c>
      <c r="BN18" s="579">
        <f t="shared" si="7"/>
        <v>488723</v>
      </c>
      <c r="BO18" s="579">
        <f t="shared" si="8"/>
        <v>513036</v>
      </c>
      <c r="BP18" s="579">
        <f t="shared" si="9"/>
        <v>534636</v>
      </c>
      <c r="BQ18" s="915">
        <f t="shared" si="10"/>
        <v>443853</v>
      </c>
      <c r="BR18" s="878">
        <f t="shared" si="4"/>
        <v>-16.98033802437547</v>
      </c>
      <c r="BS18" s="170" t="s">
        <v>55</v>
      </c>
    </row>
    <row r="19" spans="1:71" ht="12.75" customHeight="1">
      <c r="A19" s="10" t="s">
        <v>66</v>
      </c>
      <c r="B19" s="438">
        <v>12598</v>
      </c>
      <c r="C19" s="439">
        <v>12650</v>
      </c>
      <c r="D19" s="440">
        <v>13607</v>
      </c>
      <c r="E19" s="440">
        <v>13782</v>
      </c>
      <c r="F19" s="440">
        <v>13148</v>
      </c>
      <c r="G19" s="440">
        <v>6780</v>
      </c>
      <c r="H19" s="440">
        <v>4996</v>
      </c>
      <c r="I19" s="440">
        <v>5198</v>
      </c>
      <c r="J19" s="440">
        <v>5218</v>
      </c>
      <c r="K19" s="444">
        <v>5268</v>
      </c>
      <c r="L19" s="440">
        <v>5219</v>
      </c>
      <c r="M19" s="440">
        <v>6843</v>
      </c>
      <c r="N19" s="440">
        <v>8316</v>
      </c>
      <c r="O19" s="440">
        <v>8500</v>
      </c>
      <c r="P19" s="440">
        <v>9101</v>
      </c>
      <c r="Q19" s="440">
        <v>9143</v>
      </c>
      <c r="R19" s="440">
        <v>7004</v>
      </c>
      <c r="S19" s="911" t="s">
        <v>70</v>
      </c>
      <c r="T19" s="912" t="s">
        <v>70</v>
      </c>
      <c r="U19" s="912" t="s">
        <v>70</v>
      </c>
      <c r="V19" s="912" t="s">
        <v>70</v>
      </c>
      <c r="W19" s="912" t="s">
        <v>70</v>
      </c>
      <c r="X19" s="913" t="s">
        <v>70</v>
      </c>
      <c r="Y19" s="913" t="s">
        <v>70</v>
      </c>
      <c r="Z19" s="913" t="s">
        <v>70</v>
      </c>
      <c r="AA19" s="913" t="s">
        <v>70</v>
      </c>
      <c r="AB19" s="412">
        <v>159</v>
      </c>
      <c r="AC19" s="412">
        <v>179</v>
      </c>
      <c r="AD19" s="412">
        <v>228</v>
      </c>
      <c r="AE19" s="412">
        <v>268</v>
      </c>
      <c r="AF19" s="412">
        <v>273</v>
      </c>
      <c r="AG19" s="412">
        <v>319</v>
      </c>
      <c r="AH19" s="412">
        <v>284</v>
      </c>
      <c r="AI19" s="413">
        <v>181</v>
      </c>
      <c r="AJ19" s="409" t="s">
        <v>70</v>
      </c>
      <c r="AK19" s="410" t="s">
        <v>70</v>
      </c>
      <c r="AL19" s="410" t="s">
        <v>70</v>
      </c>
      <c r="AM19" s="410" t="s">
        <v>70</v>
      </c>
      <c r="AN19" s="410" t="s">
        <v>70</v>
      </c>
      <c r="AO19" s="410" t="s">
        <v>70</v>
      </c>
      <c r="AP19" s="410" t="s">
        <v>70</v>
      </c>
      <c r="AQ19" s="410" t="s">
        <v>70</v>
      </c>
      <c r="AR19" s="410" t="s">
        <v>70</v>
      </c>
      <c r="AS19" s="414">
        <v>479</v>
      </c>
      <c r="AT19" s="414">
        <v>738</v>
      </c>
      <c r="AU19" s="414">
        <v>749</v>
      </c>
      <c r="AV19" s="414">
        <v>1057</v>
      </c>
      <c r="AW19" s="414">
        <v>1040</v>
      </c>
      <c r="AX19" s="414">
        <v>1077</v>
      </c>
      <c r="AY19" s="414">
        <v>1127</v>
      </c>
      <c r="AZ19" s="414">
        <v>725</v>
      </c>
      <c r="BA19" s="576">
        <f t="shared" ref="BA19:BI19" si="11">B19</f>
        <v>12598</v>
      </c>
      <c r="BB19" s="414">
        <f t="shared" si="11"/>
        <v>12650</v>
      </c>
      <c r="BC19" s="414">
        <f t="shared" si="11"/>
        <v>13607</v>
      </c>
      <c r="BD19" s="414">
        <f t="shared" si="11"/>
        <v>13782</v>
      </c>
      <c r="BE19" s="414">
        <f t="shared" si="11"/>
        <v>13148</v>
      </c>
      <c r="BF19" s="414">
        <f t="shared" si="11"/>
        <v>6780</v>
      </c>
      <c r="BG19" s="414">
        <f t="shared" si="11"/>
        <v>4996</v>
      </c>
      <c r="BH19" s="414">
        <f t="shared" si="11"/>
        <v>5198</v>
      </c>
      <c r="BI19" s="414">
        <f t="shared" si="11"/>
        <v>5218</v>
      </c>
      <c r="BJ19" s="414">
        <f t="shared" ref="BJ19:BN20" si="12">K19+AB19+AS19</f>
        <v>5906</v>
      </c>
      <c r="BK19" s="414">
        <f t="shared" si="12"/>
        <v>6136</v>
      </c>
      <c r="BL19" s="414">
        <f t="shared" si="12"/>
        <v>7820</v>
      </c>
      <c r="BM19" s="414">
        <f t="shared" si="12"/>
        <v>9641</v>
      </c>
      <c r="BN19" s="414">
        <f t="shared" si="12"/>
        <v>9813</v>
      </c>
      <c r="BO19" s="414">
        <f t="shared" si="8"/>
        <v>10497</v>
      </c>
      <c r="BP19" s="414">
        <f t="shared" si="9"/>
        <v>10554</v>
      </c>
      <c r="BQ19" s="415">
        <f t="shared" si="10"/>
        <v>7910</v>
      </c>
      <c r="BR19" s="877">
        <f t="shared" si="4"/>
        <v>-25.052112942960008</v>
      </c>
      <c r="BS19" s="64" t="s">
        <v>66</v>
      </c>
    </row>
    <row r="20" spans="1:71" ht="12.75" customHeight="1">
      <c r="A20" s="306" t="s">
        <v>57</v>
      </c>
      <c r="B20" s="445">
        <v>214009</v>
      </c>
      <c r="C20" s="446">
        <v>207400</v>
      </c>
      <c r="D20" s="447">
        <v>231436</v>
      </c>
      <c r="E20" s="447">
        <v>242626</v>
      </c>
      <c r="F20" s="447">
        <v>223885</v>
      </c>
      <c r="G20" s="447">
        <v>175405</v>
      </c>
      <c r="H20" s="447">
        <v>179502</v>
      </c>
      <c r="I20" s="447">
        <v>172265</v>
      </c>
      <c r="J20" s="447">
        <v>116673</v>
      </c>
      <c r="K20" s="447">
        <v>100378</v>
      </c>
      <c r="L20" s="447">
        <v>118909</v>
      </c>
      <c r="M20" s="447">
        <v>133680</v>
      </c>
      <c r="N20" s="447">
        <v>200434</v>
      </c>
      <c r="O20" s="447">
        <v>191944</v>
      </c>
      <c r="P20" s="443">
        <v>180473</v>
      </c>
      <c r="Q20" s="443">
        <v>186334</v>
      </c>
      <c r="R20" s="443">
        <v>158462</v>
      </c>
      <c r="S20" s="418">
        <v>10843</v>
      </c>
      <c r="T20" s="416">
        <v>12101</v>
      </c>
      <c r="U20" s="416">
        <v>10188</v>
      </c>
      <c r="V20" s="416">
        <v>10083</v>
      </c>
      <c r="W20" s="416">
        <v>9286</v>
      </c>
      <c r="X20" s="416">
        <v>6714</v>
      </c>
      <c r="Y20" s="416">
        <v>6098</v>
      </c>
      <c r="Z20" s="416">
        <v>6581</v>
      </c>
      <c r="AA20" s="416">
        <v>3590</v>
      </c>
      <c r="AB20" s="416">
        <v>3026</v>
      </c>
      <c r="AC20" s="416">
        <v>3076</v>
      </c>
      <c r="AD20" s="416">
        <v>3318</v>
      </c>
      <c r="AE20" s="416">
        <v>5143</v>
      </c>
      <c r="AF20" s="416">
        <v>4351</v>
      </c>
      <c r="AG20" s="416">
        <v>4740</v>
      </c>
      <c r="AH20" s="416">
        <v>4525</v>
      </c>
      <c r="AI20" s="417">
        <v>3701</v>
      </c>
      <c r="AJ20" s="418">
        <v>25350</v>
      </c>
      <c r="AK20" s="416">
        <v>28666</v>
      </c>
      <c r="AL20" s="416">
        <v>25560</v>
      </c>
      <c r="AM20" s="416">
        <v>25737</v>
      </c>
      <c r="AN20" s="416">
        <v>25191</v>
      </c>
      <c r="AO20" s="416">
        <v>12372</v>
      </c>
      <c r="AP20" s="416">
        <v>11749</v>
      </c>
      <c r="AQ20" s="416">
        <v>14166</v>
      </c>
      <c r="AR20" s="416">
        <v>10021</v>
      </c>
      <c r="AS20" s="416">
        <v>10503</v>
      </c>
      <c r="AT20" s="416">
        <v>9168</v>
      </c>
      <c r="AU20" s="416">
        <v>12011</v>
      </c>
      <c r="AV20" s="416">
        <v>18645</v>
      </c>
      <c r="AW20" s="416">
        <v>19258</v>
      </c>
      <c r="AX20" s="416">
        <v>20295</v>
      </c>
      <c r="AY20" s="416">
        <v>18679</v>
      </c>
      <c r="AZ20" s="416">
        <v>16279</v>
      </c>
      <c r="BA20" s="578">
        <f t="shared" ref="BA20:BI20" si="13">B20+S20+AJ20</f>
        <v>250202</v>
      </c>
      <c r="BB20" s="579">
        <f t="shared" si="13"/>
        <v>248167</v>
      </c>
      <c r="BC20" s="579">
        <f t="shared" si="13"/>
        <v>267184</v>
      </c>
      <c r="BD20" s="579">
        <f t="shared" si="13"/>
        <v>278446</v>
      </c>
      <c r="BE20" s="579">
        <f t="shared" si="13"/>
        <v>258362</v>
      </c>
      <c r="BF20" s="579">
        <f t="shared" si="13"/>
        <v>194491</v>
      </c>
      <c r="BG20" s="579">
        <f t="shared" si="13"/>
        <v>197349</v>
      </c>
      <c r="BH20" s="579">
        <f t="shared" si="13"/>
        <v>193012</v>
      </c>
      <c r="BI20" s="579">
        <f t="shared" si="13"/>
        <v>130284</v>
      </c>
      <c r="BJ20" s="579">
        <f t="shared" si="12"/>
        <v>113907</v>
      </c>
      <c r="BK20" s="579">
        <f t="shared" si="12"/>
        <v>131153</v>
      </c>
      <c r="BL20" s="579">
        <f t="shared" si="12"/>
        <v>149009</v>
      </c>
      <c r="BM20" s="579">
        <f t="shared" si="12"/>
        <v>224222</v>
      </c>
      <c r="BN20" s="579">
        <f t="shared" si="12"/>
        <v>215553</v>
      </c>
      <c r="BO20" s="579">
        <f t="shared" si="8"/>
        <v>205508</v>
      </c>
      <c r="BP20" s="579">
        <f t="shared" si="9"/>
        <v>209538</v>
      </c>
      <c r="BQ20" s="915">
        <f t="shared" si="10"/>
        <v>178442</v>
      </c>
      <c r="BR20" s="878">
        <f t="shared" si="4"/>
        <v>-14.840267636419171</v>
      </c>
      <c r="BS20" s="308" t="s">
        <v>57</v>
      </c>
    </row>
    <row r="21" spans="1:71" ht="12.75" customHeight="1">
      <c r="A21" s="171" t="s">
        <v>36</v>
      </c>
      <c r="B21" s="438">
        <v>3479</v>
      </c>
      <c r="C21" s="439">
        <v>3233</v>
      </c>
      <c r="D21" s="440">
        <v>3697</v>
      </c>
      <c r="E21" s="440">
        <v>4578</v>
      </c>
      <c r="F21" s="440">
        <v>5228</v>
      </c>
      <c r="G21" s="440">
        <v>3397</v>
      </c>
      <c r="H21" s="440">
        <v>3584</v>
      </c>
      <c r="I21" s="440">
        <v>2596</v>
      </c>
      <c r="J21" s="440">
        <v>1395</v>
      </c>
      <c r="K21" s="440">
        <v>966</v>
      </c>
      <c r="L21" s="444">
        <v>1151</v>
      </c>
      <c r="M21" s="440">
        <v>1442</v>
      </c>
      <c r="N21" s="440">
        <v>1764</v>
      </c>
      <c r="O21" s="440">
        <v>1990</v>
      </c>
      <c r="P21" s="440">
        <v>1645</v>
      </c>
      <c r="Q21" s="440">
        <v>1894</v>
      </c>
      <c r="R21" s="440">
        <v>1440</v>
      </c>
      <c r="S21" s="911" t="s">
        <v>70</v>
      </c>
      <c r="T21" s="912" t="s">
        <v>70</v>
      </c>
      <c r="U21" s="912" t="s">
        <v>70</v>
      </c>
      <c r="V21" s="912" t="s">
        <v>70</v>
      </c>
      <c r="W21" s="912" t="s">
        <v>70</v>
      </c>
      <c r="X21" s="913" t="s">
        <v>70</v>
      </c>
      <c r="Y21" s="913" t="s">
        <v>70</v>
      </c>
      <c r="Z21" s="913" t="s">
        <v>70</v>
      </c>
      <c r="AA21" s="913" t="s">
        <v>70</v>
      </c>
      <c r="AB21" s="913" t="s">
        <v>70</v>
      </c>
      <c r="AC21" s="412">
        <v>20</v>
      </c>
      <c r="AD21" s="412">
        <v>36</v>
      </c>
      <c r="AE21" s="412">
        <v>58</v>
      </c>
      <c r="AF21" s="412">
        <v>74</v>
      </c>
      <c r="AG21" s="412">
        <v>112</v>
      </c>
      <c r="AH21" s="412">
        <v>108</v>
      </c>
      <c r="AI21" s="413">
        <v>73</v>
      </c>
      <c r="AJ21" s="409" t="s">
        <v>70</v>
      </c>
      <c r="AK21" s="410" t="s">
        <v>70</v>
      </c>
      <c r="AL21" s="410" t="s">
        <v>70</v>
      </c>
      <c r="AM21" s="410" t="s">
        <v>70</v>
      </c>
      <c r="AN21" s="410" t="s">
        <v>70</v>
      </c>
      <c r="AO21" s="410" t="s">
        <v>70</v>
      </c>
      <c r="AP21" s="410" t="s">
        <v>70</v>
      </c>
      <c r="AQ21" s="410" t="s">
        <v>70</v>
      </c>
      <c r="AR21" s="410" t="s">
        <v>70</v>
      </c>
      <c r="AS21" s="410" t="s">
        <v>70</v>
      </c>
      <c r="AT21" s="414">
        <v>5</v>
      </c>
      <c r="AU21" s="414">
        <v>11</v>
      </c>
      <c r="AV21" s="414">
        <v>12</v>
      </c>
      <c r="AW21" s="414">
        <v>29</v>
      </c>
      <c r="AX21" s="414">
        <v>9</v>
      </c>
      <c r="AY21" s="414">
        <v>12</v>
      </c>
      <c r="AZ21" s="414">
        <v>12</v>
      </c>
      <c r="BA21" s="576">
        <f t="shared" ref="BA21:BJ21" si="14">B21</f>
        <v>3479</v>
      </c>
      <c r="BB21" s="414">
        <f t="shared" si="14"/>
        <v>3233</v>
      </c>
      <c r="BC21" s="414">
        <f t="shared" si="14"/>
        <v>3697</v>
      </c>
      <c r="BD21" s="414">
        <f t="shared" si="14"/>
        <v>4578</v>
      </c>
      <c r="BE21" s="414">
        <f t="shared" si="14"/>
        <v>5228</v>
      </c>
      <c r="BF21" s="414">
        <f t="shared" si="14"/>
        <v>3397</v>
      </c>
      <c r="BG21" s="414">
        <f t="shared" si="14"/>
        <v>3584</v>
      </c>
      <c r="BH21" s="414">
        <f t="shared" si="14"/>
        <v>2596</v>
      </c>
      <c r="BI21" s="414">
        <f t="shared" si="14"/>
        <v>1395</v>
      </c>
      <c r="BJ21" s="414">
        <f t="shared" si="14"/>
        <v>966</v>
      </c>
      <c r="BK21" s="414">
        <f t="shared" ref="BK21:BN25" si="15">L21+AC21+AT21</f>
        <v>1176</v>
      </c>
      <c r="BL21" s="414">
        <f t="shared" si="15"/>
        <v>1489</v>
      </c>
      <c r="BM21" s="414">
        <f t="shared" si="15"/>
        <v>1834</v>
      </c>
      <c r="BN21" s="414">
        <f t="shared" si="15"/>
        <v>2093</v>
      </c>
      <c r="BO21" s="414">
        <f t="shared" si="8"/>
        <v>1766</v>
      </c>
      <c r="BP21" s="414">
        <f t="shared" si="9"/>
        <v>2014</v>
      </c>
      <c r="BQ21" s="415">
        <f t="shared" si="10"/>
        <v>1525</v>
      </c>
      <c r="BR21" s="877">
        <f t="shared" si="4"/>
        <v>-24.28003972194638</v>
      </c>
      <c r="BS21" s="172" t="s">
        <v>36</v>
      </c>
    </row>
    <row r="22" spans="1:71" ht="12.75" customHeight="1">
      <c r="A22" s="306" t="s">
        <v>40</v>
      </c>
      <c r="B22" s="445">
        <v>1404</v>
      </c>
      <c r="C22" s="446">
        <v>1728</v>
      </c>
      <c r="D22" s="447">
        <v>2508</v>
      </c>
      <c r="E22" s="447">
        <v>3458</v>
      </c>
      <c r="F22" s="447">
        <v>2041</v>
      </c>
      <c r="G22" s="447">
        <v>520</v>
      </c>
      <c r="H22" s="447">
        <v>571</v>
      </c>
      <c r="I22" s="447">
        <v>1755</v>
      </c>
      <c r="J22" s="447">
        <v>2236</v>
      </c>
      <c r="K22" s="447">
        <v>2175</v>
      </c>
      <c r="L22" s="447">
        <v>2539</v>
      </c>
      <c r="M22" s="447">
        <v>2348</v>
      </c>
      <c r="N22" s="447">
        <v>2218</v>
      </c>
      <c r="O22" s="447">
        <v>2245</v>
      </c>
      <c r="P22" s="443">
        <v>2392</v>
      </c>
      <c r="Q22" s="443">
        <v>2700</v>
      </c>
      <c r="R22" s="443">
        <v>2119</v>
      </c>
      <c r="S22" s="418">
        <v>104</v>
      </c>
      <c r="T22" s="416">
        <v>286</v>
      </c>
      <c r="U22" s="416">
        <v>221</v>
      </c>
      <c r="V22" s="416">
        <v>271</v>
      </c>
      <c r="W22" s="416">
        <v>179</v>
      </c>
      <c r="X22" s="416">
        <v>49</v>
      </c>
      <c r="Y22" s="416">
        <v>59</v>
      </c>
      <c r="Z22" s="416">
        <v>110</v>
      </c>
      <c r="AA22" s="416">
        <v>89</v>
      </c>
      <c r="AB22" s="416">
        <v>71</v>
      </c>
      <c r="AC22" s="416">
        <v>57</v>
      </c>
      <c r="AD22" s="416">
        <v>76</v>
      </c>
      <c r="AE22" s="416">
        <v>57</v>
      </c>
      <c r="AF22" s="416">
        <v>48</v>
      </c>
      <c r="AG22" s="416">
        <v>62</v>
      </c>
      <c r="AH22" s="416">
        <v>61</v>
      </c>
      <c r="AI22" s="417">
        <v>60</v>
      </c>
      <c r="AJ22" s="418">
        <v>782</v>
      </c>
      <c r="AK22" s="416">
        <v>1023</v>
      </c>
      <c r="AL22" s="416">
        <v>1926</v>
      </c>
      <c r="AM22" s="416">
        <v>2990</v>
      </c>
      <c r="AN22" s="416">
        <v>1811</v>
      </c>
      <c r="AO22" s="416">
        <v>251</v>
      </c>
      <c r="AP22" s="416">
        <v>410</v>
      </c>
      <c r="AQ22" s="416">
        <v>1280</v>
      </c>
      <c r="AR22" s="416">
        <v>1420</v>
      </c>
      <c r="AS22" s="416">
        <v>1229</v>
      </c>
      <c r="AT22" s="416">
        <v>843</v>
      </c>
      <c r="AU22" s="416">
        <v>1179</v>
      </c>
      <c r="AV22" s="416">
        <v>1531</v>
      </c>
      <c r="AW22" s="416">
        <v>1510</v>
      </c>
      <c r="AX22" s="416">
        <v>1590</v>
      </c>
      <c r="AY22" s="416">
        <v>1169</v>
      </c>
      <c r="AZ22" s="416">
        <v>654</v>
      </c>
      <c r="BA22" s="578">
        <f t="shared" ref="BA22:BJ25" si="16">B22+S22+AJ22</f>
        <v>2290</v>
      </c>
      <c r="BB22" s="579">
        <f t="shared" si="16"/>
        <v>3037</v>
      </c>
      <c r="BC22" s="579">
        <f t="shared" si="16"/>
        <v>4655</v>
      </c>
      <c r="BD22" s="579">
        <f t="shared" si="16"/>
        <v>6719</v>
      </c>
      <c r="BE22" s="579">
        <f t="shared" si="16"/>
        <v>4031</v>
      </c>
      <c r="BF22" s="579">
        <f t="shared" si="16"/>
        <v>820</v>
      </c>
      <c r="BG22" s="579">
        <f t="shared" si="16"/>
        <v>1040</v>
      </c>
      <c r="BH22" s="579">
        <f t="shared" si="16"/>
        <v>3145</v>
      </c>
      <c r="BI22" s="579">
        <f t="shared" si="16"/>
        <v>3745</v>
      </c>
      <c r="BJ22" s="579">
        <f t="shared" si="16"/>
        <v>3475</v>
      </c>
      <c r="BK22" s="579">
        <f t="shared" si="15"/>
        <v>3439</v>
      </c>
      <c r="BL22" s="579">
        <f t="shared" si="15"/>
        <v>3603</v>
      </c>
      <c r="BM22" s="579">
        <f t="shared" si="15"/>
        <v>3806</v>
      </c>
      <c r="BN22" s="579">
        <f t="shared" si="15"/>
        <v>3803</v>
      </c>
      <c r="BO22" s="579">
        <f t="shared" si="8"/>
        <v>4044</v>
      </c>
      <c r="BP22" s="579">
        <f t="shared" si="9"/>
        <v>3930</v>
      </c>
      <c r="BQ22" s="915">
        <f t="shared" si="10"/>
        <v>2833</v>
      </c>
      <c r="BR22" s="878">
        <f t="shared" si="4"/>
        <v>-27.913486005089055</v>
      </c>
      <c r="BS22" s="308" t="s">
        <v>40</v>
      </c>
    </row>
    <row r="23" spans="1:71" ht="12.75" customHeight="1">
      <c r="A23" s="171" t="s">
        <v>41</v>
      </c>
      <c r="B23" s="438">
        <v>2064</v>
      </c>
      <c r="C23" s="439">
        <v>3303</v>
      </c>
      <c r="D23" s="440">
        <v>4107</v>
      </c>
      <c r="E23" s="440">
        <v>4251</v>
      </c>
      <c r="F23" s="440">
        <v>3000</v>
      </c>
      <c r="G23" s="440">
        <v>776</v>
      </c>
      <c r="H23" s="440">
        <v>936</v>
      </c>
      <c r="I23" s="440">
        <v>1824</v>
      </c>
      <c r="J23" s="440">
        <v>1600</v>
      </c>
      <c r="K23" s="440">
        <v>1823</v>
      </c>
      <c r="L23" s="440">
        <v>1991</v>
      </c>
      <c r="M23" s="440">
        <v>2369</v>
      </c>
      <c r="N23" s="440">
        <v>2791</v>
      </c>
      <c r="O23" s="440">
        <v>3227</v>
      </c>
      <c r="P23" s="440">
        <v>3592</v>
      </c>
      <c r="Q23" s="440">
        <v>4424</v>
      </c>
      <c r="R23" s="440">
        <v>2979</v>
      </c>
      <c r="S23" s="401">
        <v>172</v>
      </c>
      <c r="T23" s="399">
        <v>261</v>
      </c>
      <c r="U23" s="399">
        <v>231</v>
      </c>
      <c r="V23" s="399">
        <v>327</v>
      </c>
      <c r="W23" s="399">
        <v>390</v>
      </c>
      <c r="X23" s="399">
        <v>100</v>
      </c>
      <c r="Y23" s="399">
        <v>69</v>
      </c>
      <c r="Z23" s="399">
        <v>124</v>
      </c>
      <c r="AA23" s="399">
        <v>110</v>
      </c>
      <c r="AB23" s="399">
        <v>193</v>
      </c>
      <c r="AC23" s="399">
        <v>134</v>
      </c>
      <c r="AD23" s="399">
        <v>105</v>
      </c>
      <c r="AE23" s="399">
        <v>113</v>
      </c>
      <c r="AF23" s="399">
        <v>134</v>
      </c>
      <c r="AG23" s="399">
        <v>112</v>
      </c>
      <c r="AH23" s="399">
        <v>147</v>
      </c>
      <c r="AI23" s="406">
        <v>95</v>
      </c>
      <c r="AJ23" s="401">
        <v>1486</v>
      </c>
      <c r="AK23" s="399">
        <v>2104</v>
      </c>
      <c r="AL23" s="399">
        <v>2893</v>
      </c>
      <c r="AM23" s="399">
        <v>4679</v>
      </c>
      <c r="AN23" s="399">
        <v>3084</v>
      </c>
      <c r="AO23" s="399">
        <v>414</v>
      </c>
      <c r="AP23" s="399">
        <v>1300</v>
      </c>
      <c r="AQ23" s="399">
        <v>2638</v>
      </c>
      <c r="AR23" s="399">
        <v>2649</v>
      </c>
      <c r="AS23" s="399">
        <v>3228</v>
      </c>
      <c r="AT23" s="399">
        <v>2117</v>
      </c>
      <c r="AU23" s="399">
        <v>3497</v>
      </c>
      <c r="AV23" s="399">
        <v>5891</v>
      </c>
      <c r="AW23" s="399">
        <v>6862</v>
      </c>
      <c r="AX23" s="399">
        <v>8178</v>
      </c>
      <c r="AY23" s="399">
        <v>7266</v>
      </c>
      <c r="AZ23" s="399">
        <v>4093</v>
      </c>
      <c r="BA23" s="576">
        <f t="shared" si="16"/>
        <v>3722</v>
      </c>
      <c r="BB23" s="414">
        <f t="shared" si="16"/>
        <v>5668</v>
      </c>
      <c r="BC23" s="414">
        <f t="shared" si="16"/>
        <v>7231</v>
      </c>
      <c r="BD23" s="414">
        <f t="shared" si="16"/>
        <v>9257</v>
      </c>
      <c r="BE23" s="414">
        <f t="shared" si="16"/>
        <v>6474</v>
      </c>
      <c r="BF23" s="414">
        <f t="shared" si="16"/>
        <v>1290</v>
      </c>
      <c r="BG23" s="414">
        <f t="shared" si="16"/>
        <v>2305</v>
      </c>
      <c r="BH23" s="414">
        <f t="shared" si="16"/>
        <v>4586</v>
      </c>
      <c r="BI23" s="414">
        <f t="shared" si="16"/>
        <v>4359</v>
      </c>
      <c r="BJ23" s="414">
        <f t="shared" si="16"/>
        <v>5244</v>
      </c>
      <c r="BK23" s="414">
        <f t="shared" si="15"/>
        <v>4242</v>
      </c>
      <c r="BL23" s="414">
        <f t="shared" si="15"/>
        <v>5971</v>
      </c>
      <c r="BM23" s="414">
        <f t="shared" si="15"/>
        <v>8795</v>
      </c>
      <c r="BN23" s="414">
        <f t="shared" si="15"/>
        <v>10223</v>
      </c>
      <c r="BO23" s="414">
        <f t="shared" si="8"/>
        <v>11882</v>
      </c>
      <c r="BP23" s="414">
        <f t="shared" si="9"/>
        <v>11837</v>
      </c>
      <c r="BQ23" s="415">
        <f t="shared" si="10"/>
        <v>7167</v>
      </c>
      <c r="BR23" s="877">
        <f t="shared" si="4"/>
        <v>-39.4525639942553</v>
      </c>
      <c r="BS23" s="172" t="s">
        <v>41</v>
      </c>
    </row>
    <row r="24" spans="1:71" ht="12.75" customHeight="1">
      <c r="A24" s="306" t="s">
        <v>58</v>
      </c>
      <c r="B24" s="445">
        <v>2670</v>
      </c>
      <c r="C24" s="446">
        <v>3025</v>
      </c>
      <c r="D24" s="447">
        <v>3083</v>
      </c>
      <c r="E24" s="447">
        <v>3492</v>
      </c>
      <c r="F24" s="447">
        <v>4028</v>
      </c>
      <c r="G24" s="447">
        <v>3063</v>
      </c>
      <c r="H24" s="447">
        <v>3246</v>
      </c>
      <c r="I24" s="447">
        <v>3592</v>
      </c>
      <c r="J24" s="447">
        <v>3424</v>
      </c>
      <c r="K24" s="447">
        <v>3276</v>
      </c>
      <c r="L24" s="447">
        <v>3529</v>
      </c>
      <c r="M24" s="447">
        <v>3949</v>
      </c>
      <c r="N24" s="447">
        <v>4549</v>
      </c>
      <c r="O24" s="447">
        <v>4861</v>
      </c>
      <c r="P24" s="443">
        <v>4707</v>
      </c>
      <c r="Q24" s="443">
        <v>5401</v>
      </c>
      <c r="R24" s="443">
        <v>4727</v>
      </c>
      <c r="S24" s="418">
        <v>159</v>
      </c>
      <c r="T24" s="416">
        <v>219</v>
      </c>
      <c r="U24" s="416">
        <v>159</v>
      </c>
      <c r="V24" s="416">
        <v>175</v>
      </c>
      <c r="W24" s="416">
        <v>209</v>
      </c>
      <c r="X24" s="416">
        <v>135</v>
      </c>
      <c r="Y24" s="416">
        <v>147</v>
      </c>
      <c r="Z24" s="416">
        <v>193</v>
      </c>
      <c r="AA24" s="416">
        <v>169</v>
      </c>
      <c r="AB24" s="416">
        <v>163</v>
      </c>
      <c r="AC24" s="416">
        <v>170</v>
      </c>
      <c r="AD24" s="416">
        <v>147</v>
      </c>
      <c r="AE24" s="416">
        <v>153</v>
      </c>
      <c r="AF24" s="416">
        <v>161</v>
      </c>
      <c r="AG24" s="416">
        <v>147</v>
      </c>
      <c r="AH24" s="416">
        <v>143</v>
      </c>
      <c r="AI24" s="417">
        <v>196</v>
      </c>
      <c r="AJ24" s="418">
        <v>879</v>
      </c>
      <c r="AK24" s="416">
        <v>1361</v>
      </c>
      <c r="AL24" s="416">
        <v>1265</v>
      </c>
      <c r="AM24" s="416">
        <v>1472</v>
      </c>
      <c r="AN24" s="416">
        <v>1584</v>
      </c>
      <c r="AO24" s="416">
        <v>790</v>
      </c>
      <c r="AP24" s="416">
        <v>700</v>
      </c>
      <c r="AQ24" s="416">
        <v>1153</v>
      </c>
      <c r="AR24" s="416">
        <v>899</v>
      </c>
      <c r="AS24" s="416">
        <v>848</v>
      </c>
      <c r="AT24" s="416">
        <v>918</v>
      </c>
      <c r="AU24" s="416">
        <v>1005</v>
      </c>
      <c r="AV24" s="416">
        <v>1135</v>
      </c>
      <c r="AW24" s="416">
        <v>1116</v>
      </c>
      <c r="AX24" s="416">
        <v>1200</v>
      </c>
      <c r="AY24" s="416">
        <v>1216</v>
      </c>
      <c r="AZ24" s="416">
        <v>849</v>
      </c>
      <c r="BA24" s="578">
        <f t="shared" si="16"/>
        <v>3708</v>
      </c>
      <c r="BB24" s="579">
        <f t="shared" si="16"/>
        <v>4605</v>
      </c>
      <c r="BC24" s="579">
        <f t="shared" si="16"/>
        <v>4507</v>
      </c>
      <c r="BD24" s="579">
        <f t="shared" si="16"/>
        <v>5139</v>
      </c>
      <c r="BE24" s="579">
        <f t="shared" si="16"/>
        <v>5821</v>
      </c>
      <c r="BF24" s="579">
        <f t="shared" si="16"/>
        <v>3988</v>
      </c>
      <c r="BG24" s="579">
        <f t="shared" si="16"/>
        <v>4093</v>
      </c>
      <c r="BH24" s="579">
        <f t="shared" si="16"/>
        <v>4938</v>
      </c>
      <c r="BI24" s="579">
        <f t="shared" si="16"/>
        <v>4492</v>
      </c>
      <c r="BJ24" s="579">
        <f t="shared" si="16"/>
        <v>4287</v>
      </c>
      <c r="BK24" s="579">
        <f t="shared" si="15"/>
        <v>4617</v>
      </c>
      <c r="BL24" s="579">
        <f t="shared" si="15"/>
        <v>5101</v>
      </c>
      <c r="BM24" s="579">
        <f t="shared" si="15"/>
        <v>5837</v>
      </c>
      <c r="BN24" s="579">
        <f t="shared" si="15"/>
        <v>6138</v>
      </c>
      <c r="BO24" s="579">
        <f t="shared" si="8"/>
        <v>6054</v>
      </c>
      <c r="BP24" s="579">
        <f t="shared" si="9"/>
        <v>6760</v>
      </c>
      <c r="BQ24" s="915">
        <f t="shared" si="10"/>
        <v>5772</v>
      </c>
      <c r="BR24" s="878">
        <f t="shared" si="4"/>
        <v>-14.615384615384613</v>
      </c>
      <c r="BS24" s="308" t="s">
        <v>58</v>
      </c>
    </row>
    <row r="25" spans="1:71" ht="12.75" customHeight="1">
      <c r="A25" s="171" t="s">
        <v>39</v>
      </c>
      <c r="B25" s="438">
        <v>29641</v>
      </c>
      <c r="C25" s="439">
        <v>35500</v>
      </c>
      <c r="D25" s="440">
        <v>21604</v>
      </c>
      <c r="E25" s="440">
        <v>21920</v>
      </c>
      <c r="F25" s="440">
        <v>21559</v>
      </c>
      <c r="G25" s="440">
        <v>10619</v>
      </c>
      <c r="H25" s="440">
        <v>9187</v>
      </c>
      <c r="I25" s="440">
        <v>11446</v>
      </c>
      <c r="J25" s="440">
        <v>10952</v>
      </c>
      <c r="K25" s="440">
        <v>11424</v>
      </c>
      <c r="L25" s="440">
        <v>15937</v>
      </c>
      <c r="M25" s="440">
        <v>17516</v>
      </c>
      <c r="N25" s="440">
        <v>21335</v>
      </c>
      <c r="O25" s="440">
        <v>19943</v>
      </c>
      <c r="P25" s="440">
        <v>22725</v>
      </c>
      <c r="Q25" s="440">
        <v>26203</v>
      </c>
      <c r="R25" s="440">
        <v>22041</v>
      </c>
      <c r="S25" s="409"/>
      <c r="T25" s="410"/>
      <c r="U25" s="410"/>
      <c r="V25" s="410"/>
      <c r="W25" s="410"/>
      <c r="X25" s="399"/>
      <c r="Y25" s="399">
        <v>313</v>
      </c>
      <c r="Z25" s="399">
        <v>417</v>
      </c>
      <c r="AA25" s="399">
        <v>371</v>
      </c>
      <c r="AB25" s="399">
        <v>434</v>
      </c>
      <c r="AC25" s="399">
        <v>400</v>
      </c>
      <c r="AD25" s="399">
        <v>471</v>
      </c>
      <c r="AE25" s="399">
        <v>475</v>
      </c>
      <c r="AF25" s="399">
        <v>674</v>
      </c>
      <c r="AG25" s="399">
        <v>665</v>
      </c>
      <c r="AH25" s="399">
        <v>514</v>
      </c>
      <c r="AI25" s="406">
        <v>321</v>
      </c>
      <c r="AJ25" s="401">
        <v>5146</v>
      </c>
      <c r="AK25" s="399">
        <v>6171</v>
      </c>
      <c r="AL25" s="399"/>
      <c r="AM25" s="399"/>
      <c r="AN25" s="399"/>
      <c r="AO25" s="399"/>
      <c r="AP25" s="399">
        <v>1965</v>
      </c>
      <c r="AQ25" s="399">
        <v>3884</v>
      </c>
      <c r="AR25" s="399">
        <v>3949</v>
      </c>
      <c r="AS25" s="399">
        <v>4546</v>
      </c>
      <c r="AT25" s="399">
        <v>4439</v>
      </c>
      <c r="AU25" s="399">
        <v>5231</v>
      </c>
      <c r="AV25" s="399">
        <v>5038</v>
      </c>
      <c r="AW25" s="399">
        <v>5178</v>
      </c>
      <c r="AX25" s="399">
        <v>5580</v>
      </c>
      <c r="AY25" s="399">
        <v>4760</v>
      </c>
      <c r="AZ25" s="399">
        <v>2950</v>
      </c>
      <c r="BA25" s="576">
        <f t="shared" si="16"/>
        <v>34787</v>
      </c>
      <c r="BB25" s="414">
        <f t="shared" si="16"/>
        <v>41671</v>
      </c>
      <c r="BC25" s="414">
        <f t="shared" si="16"/>
        <v>21604</v>
      </c>
      <c r="BD25" s="414">
        <f t="shared" si="16"/>
        <v>21920</v>
      </c>
      <c r="BE25" s="414">
        <f t="shared" si="16"/>
        <v>21559</v>
      </c>
      <c r="BF25" s="414">
        <f t="shared" si="16"/>
        <v>10619</v>
      </c>
      <c r="BG25" s="414">
        <f t="shared" si="16"/>
        <v>11465</v>
      </c>
      <c r="BH25" s="414">
        <f t="shared" si="16"/>
        <v>15747</v>
      </c>
      <c r="BI25" s="414">
        <f t="shared" si="16"/>
        <v>15272</v>
      </c>
      <c r="BJ25" s="414">
        <f t="shared" si="16"/>
        <v>16404</v>
      </c>
      <c r="BK25" s="414">
        <f t="shared" si="15"/>
        <v>20776</v>
      </c>
      <c r="BL25" s="414">
        <f t="shared" si="15"/>
        <v>23218</v>
      </c>
      <c r="BM25" s="414">
        <f t="shared" si="15"/>
        <v>26848</v>
      </c>
      <c r="BN25" s="414">
        <f t="shared" si="15"/>
        <v>25795</v>
      </c>
      <c r="BO25" s="414">
        <f t="shared" si="8"/>
        <v>28970</v>
      </c>
      <c r="BP25" s="414">
        <f t="shared" si="9"/>
        <v>31477</v>
      </c>
      <c r="BQ25" s="415">
        <f t="shared" si="9"/>
        <v>25312</v>
      </c>
      <c r="BR25" s="877">
        <f t="shared" si="4"/>
        <v>-19.585729262636207</v>
      </c>
      <c r="BS25" s="172" t="s">
        <v>39</v>
      </c>
    </row>
    <row r="26" spans="1:71" ht="12.75" customHeight="1">
      <c r="A26" s="306" t="s">
        <v>42</v>
      </c>
      <c r="B26" s="445">
        <v>375</v>
      </c>
      <c r="C26" s="446">
        <v>652</v>
      </c>
      <c r="D26" s="447">
        <v>564</v>
      </c>
      <c r="E26" s="447">
        <v>865</v>
      </c>
      <c r="F26" s="447">
        <v>783</v>
      </c>
      <c r="G26" s="447">
        <v>471</v>
      </c>
      <c r="H26" s="447">
        <v>924</v>
      </c>
      <c r="I26" s="447">
        <v>1392</v>
      </c>
      <c r="J26" s="447">
        <v>552</v>
      </c>
      <c r="K26" s="447">
        <v>536</v>
      </c>
      <c r="L26" s="447">
        <v>536</v>
      </c>
      <c r="M26" s="447">
        <v>597</v>
      </c>
      <c r="N26" s="447">
        <v>742</v>
      </c>
      <c r="O26" s="447">
        <v>738</v>
      </c>
      <c r="P26" s="447">
        <v>903</v>
      </c>
      <c r="Q26" s="447">
        <v>779</v>
      </c>
      <c r="R26" s="447">
        <v>630</v>
      </c>
      <c r="S26" s="905" t="s">
        <v>70</v>
      </c>
      <c r="T26" s="617" t="s">
        <v>70</v>
      </c>
      <c r="U26" s="617" t="s">
        <v>70</v>
      </c>
      <c r="V26" s="617" t="s">
        <v>70</v>
      </c>
      <c r="W26" s="617" t="s">
        <v>70</v>
      </c>
      <c r="X26" s="617" t="s">
        <v>70</v>
      </c>
      <c r="Y26" s="617" t="s">
        <v>70</v>
      </c>
      <c r="Z26" s="617" t="s">
        <v>70</v>
      </c>
      <c r="AA26" s="617" t="s">
        <v>70</v>
      </c>
      <c r="AB26" s="617" t="s">
        <v>70</v>
      </c>
      <c r="AC26" s="617" t="s">
        <v>70</v>
      </c>
      <c r="AD26" s="617" t="s">
        <v>70</v>
      </c>
      <c r="AE26" s="617" t="s">
        <v>70</v>
      </c>
      <c r="AF26" s="617" t="s">
        <v>70</v>
      </c>
      <c r="AG26" s="617" t="s">
        <v>70</v>
      </c>
      <c r="AH26" s="617" t="s">
        <v>70</v>
      </c>
      <c r="AI26" s="909" t="s">
        <v>70</v>
      </c>
      <c r="AJ26" s="905" t="s">
        <v>70</v>
      </c>
      <c r="AK26" s="617" t="s">
        <v>70</v>
      </c>
      <c r="AL26" s="617" t="s">
        <v>70</v>
      </c>
      <c r="AM26" s="617" t="s">
        <v>70</v>
      </c>
      <c r="AN26" s="617" t="s">
        <v>70</v>
      </c>
      <c r="AO26" s="617" t="s">
        <v>70</v>
      </c>
      <c r="AP26" s="617" t="s">
        <v>70</v>
      </c>
      <c r="AQ26" s="617" t="s">
        <v>70</v>
      </c>
      <c r="AR26" s="617" t="s">
        <v>70</v>
      </c>
      <c r="AS26" s="617" t="s">
        <v>70</v>
      </c>
      <c r="AT26" s="617" t="s">
        <v>70</v>
      </c>
      <c r="AU26" s="617" t="s">
        <v>70</v>
      </c>
      <c r="AV26" s="617" t="s">
        <v>70</v>
      </c>
      <c r="AW26" s="617" t="s">
        <v>70</v>
      </c>
      <c r="AX26" s="617" t="s">
        <v>70</v>
      </c>
      <c r="AY26" s="617" t="s">
        <v>70</v>
      </c>
      <c r="AZ26" s="617" t="s">
        <v>70</v>
      </c>
      <c r="BA26" s="580">
        <f t="shared" ref="BA26:BN26" si="17">B26</f>
        <v>375</v>
      </c>
      <c r="BB26" s="581">
        <f t="shared" si="17"/>
        <v>652</v>
      </c>
      <c r="BC26" s="581">
        <f t="shared" si="17"/>
        <v>564</v>
      </c>
      <c r="BD26" s="581">
        <f t="shared" si="17"/>
        <v>865</v>
      </c>
      <c r="BE26" s="581">
        <f t="shared" si="17"/>
        <v>783</v>
      </c>
      <c r="BF26" s="581">
        <f t="shared" si="17"/>
        <v>471</v>
      </c>
      <c r="BG26" s="581">
        <f t="shared" si="17"/>
        <v>924</v>
      </c>
      <c r="BH26" s="581">
        <f t="shared" si="17"/>
        <v>1392</v>
      </c>
      <c r="BI26" s="581">
        <f t="shared" si="17"/>
        <v>552</v>
      </c>
      <c r="BJ26" s="581">
        <f t="shared" si="17"/>
        <v>536</v>
      </c>
      <c r="BK26" s="581">
        <f t="shared" si="17"/>
        <v>536</v>
      </c>
      <c r="BL26" s="581">
        <f t="shared" si="17"/>
        <v>597</v>
      </c>
      <c r="BM26" s="581">
        <f t="shared" si="17"/>
        <v>742</v>
      </c>
      <c r="BN26" s="579">
        <f t="shared" si="17"/>
        <v>738</v>
      </c>
      <c r="BO26" s="579">
        <v>903</v>
      </c>
      <c r="BP26" s="579">
        <f>Q26</f>
        <v>779</v>
      </c>
      <c r="BQ26" s="915">
        <f>R26</f>
        <v>630</v>
      </c>
      <c r="BR26" s="878">
        <f t="shared" si="4"/>
        <v>-19.127086007702189</v>
      </c>
      <c r="BS26" s="308" t="s">
        <v>42</v>
      </c>
    </row>
    <row r="27" spans="1:71" ht="12.75" customHeight="1">
      <c r="A27" s="10" t="s">
        <v>50</v>
      </c>
      <c r="B27" s="438">
        <v>86126</v>
      </c>
      <c r="C27" s="439">
        <v>65224</v>
      </c>
      <c r="D27" s="440">
        <v>63913</v>
      </c>
      <c r="E27" s="440">
        <v>80830</v>
      </c>
      <c r="F27" s="440">
        <v>84654</v>
      </c>
      <c r="G27" s="440">
        <v>51281</v>
      </c>
      <c r="H27" s="440">
        <v>49564</v>
      </c>
      <c r="I27" s="440">
        <v>58653</v>
      </c>
      <c r="J27" s="440">
        <v>56543</v>
      </c>
      <c r="K27" s="440">
        <v>50246</v>
      </c>
      <c r="L27" s="440">
        <v>51523</v>
      </c>
      <c r="M27" s="440">
        <v>57376</v>
      </c>
      <c r="N27" s="440">
        <v>70061</v>
      </c>
      <c r="O27" s="440">
        <v>73116</v>
      </c>
      <c r="P27" s="440">
        <v>78604</v>
      </c>
      <c r="Q27" s="440">
        <v>75860</v>
      </c>
      <c r="R27" s="440">
        <v>60103</v>
      </c>
      <c r="S27" s="401">
        <v>2799</v>
      </c>
      <c r="T27" s="399">
        <v>3255</v>
      </c>
      <c r="U27" s="399">
        <v>3309</v>
      </c>
      <c r="V27" s="399">
        <v>2167</v>
      </c>
      <c r="W27" s="399">
        <v>2555</v>
      </c>
      <c r="X27" s="399">
        <v>1794</v>
      </c>
      <c r="Y27" s="399">
        <v>1689</v>
      </c>
      <c r="Z27" s="399">
        <v>1753</v>
      </c>
      <c r="AA27" s="399">
        <v>1778</v>
      </c>
      <c r="AB27" s="399">
        <v>1757</v>
      </c>
      <c r="AC27" s="399">
        <v>1258</v>
      </c>
      <c r="AD27" s="399">
        <v>1602</v>
      </c>
      <c r="AE27" s="399">
        <v>1765</v>
      </c>
      <c r="AF27" s="399">
        <v>1621</v>
      </c>
      <c r="AG27" s="399">
        <v>1970</v>
      </c>
      <c r="AH27" s="399">
        <v>1957</v>
      </c>
      <c r="AI27" s="406">
        <v>1614</v>
      </c>
      <c r="AJ27" s="401">
        <v>11588</v>
      </c>
      <c r="AK27" s="399">
        <v>12290</v>
      </c>
      <c r="AL27" s="399">
        <v>16695</v>
      </c>
      <c r="AM27" s="399">
        <v>13117</v>
      </c>
      <c r="AN27" s="399">
        <v>15719</v>
      </c>
      <c r="AO27" s="399">
        <v>9963</v>
      </c>
      <c r="AP27" s="399">
        <v>8959</v>
      </c>
      <c r="AQ27" s="399">
        <v>11172</v>
      </c>
      <c r="AR27" s="399">
        <v>10569</v>
      </c>
      <c r="AS27" s="399">
        <v>11810</v>
      </c>
      <c r="AT27" s="399">
        <v>9326</v>
      </c>
      <c r="AU27" s="399">
        <v>12478</v>
      </c>
      <c r="AV27" s="399">
        <v>13953</v>
      </c>
      <c r="AW27" s="399">
        <v>13382</v>
      </c>
      <c r="AX27" s="399">
        <v>14773</v>
      </c>
      <c r="AY27" s="399">
        <v>14025</v>
      </c>
      <c r="AZ27" s="399">
        <v>9217</v>
      </c>
      <c r="BA27" s="576">
        <f t="shared" ref="BA27:BN30" si="18">B27+S27+AJ27</f>
        <v>100513</v>
      </c>
      <c r="BB27" s="414">
        <f t="shared" si="18"/>
        <v>80769</v>
      </c>
      <c r="BC27" s="414">
        <f t="shared" si="18"/>
        <v>83917</v>
      </c>
      <c r="BD27" s="414">
        <f t="shared" si="18"/>
        <v>96114</v>
      </c>
      <c r="BE27" s="414">
        <f t="shared" si="18"/>
        <v>102928</v>
      </c>
      <c r="BF27" s="414">
        <f t="shared" si="18"/>
        <v>63038</v>
      </c>
      <c r="BG27" s="414">
        <f t="shared" si="18"/>
        <v>60212</v>
      </c>
      <c r="BH27" s="414">
        <f t="shared" si="18"/>
        <v>71578</v>
      </c>
      <c r="BI27" s="414">
        <f t="shared" si="18"/>
        <v>68890</v>
      </c>
      <c r="BJ27" s="414">
        <f t="shared" si="18"/>
        <v>63813</v>
      </c>
      <c r="BK27" s="414">
        <f t="shared" si="18"/>
        <v>62107</v>
      </c>
      <c r="BL27" s="414">
        <f t="shared" si="18"/>
        <v>71456</v>
      </c>
      <c r="BM27" s="414">
        <f t="shared" si="18"/>
        <v>85779</v>
      </c>
      <c r="BN27" s="414">
        <f t="shared" si="18"/>
        <v>88119</v>
      </c>
      <c r="BO27" s="414">
        <f t="shared" si="8"/>
        <v>95347</v>
      </c>
      <c r="BP27" s="414">
        <f t="shared" si="9"/>
        <v>91842</v>
      </c>
      <c r="BQ27" s="415">
        <f t="shared" si="9"/>
        <v>70934</v>
      </c>
      <c r="BR27" s="877">
        <f t="shared" si="4"/>
        <v>-22.765183685024283</v>
      </c>
      <c r="BS27" s="64" t="s">
        <v>50</v>
      </c>
    </row>
    <row r="28" spans="1:71" ht="12.75" customHeight="1">
      <c r="A28" s="306" t="s">
        <v>59</v>
      </c>
      <c r="B28" s="445">
        <v>28888</v>
      </c>
      <c r="C28" s="446">
        <v>28752</v>
      </c>
      <c r="D28" s="447">
        <v>30357</v>
      </c>
      <c r="E28" s="447">
        <v>32322</v>
      </c>
      <c r="F28" s="447">
        <v>32763</v>
      </c>
      <c r="G28" s="447">
        <v>25582</v>
      </c>
      <c r="H28" s="447">
        <v>27992</v>
      </c>
      <c r="I28" s="447">
        <v>32563</v>
      </c>
      <c r="J28" s="447">
        <v>31505</v>
      </c>
      <c r="K28" s="447">
        <v>30714</v>
      </c>
      <c r="L28" s="447">
        <v>31171</v>
      </c>
      <c r="M28" s="447">
        <v>32852</v>
      </c>
      <c r="N28" s="447">
        <v>35906</v>
      </c>
      <c r="O28" s="447">
        <v>40158</v>
      </c>
      <c r="P28" s="447">
        <v>43619</v>
      </c>
      <c r="Q28" s="447">
        <v>43413</v>
      </c>
      <c r="R28" s="447">
        <v>36539</v>
      </c>
      <c r="S28" s="418">
        <v>1047</v>
      </c>
      <c r="T28" s="416">
        <v>1048</v>
      </c>
      <c r="U28" s="416">
        <v>992</v>
      </c>
      <c r="V28" s="416">
        <v>1144</v>
      </c>
      <c r="W28" s="416">
        <v>1158</v>
      </c>
      <c r="X28" s="416">
        <v>864</v>
      </c>
      <c r="Y28" s="416">
        <v>798</v>
      </c>
      <c r="Z28" s="416">
        <v>899</v>
      </c>
      <c r="AA28" s="416">
        <v>847</v>
      </c>
      <c r="AB28" s="416">
        <v>794</v>
      </c>
      <c r="AC28" s="416">
        <v>791</v>
      </c>
      <c r="AD28" s="416">
        <v>830</v>
      </c>
      <c r="AE28" s="416">
        <v>842</v>
      </c>
      <c r="AF28" s="416">
        <v>804</v>
      </c>
      <c r="AG28" s="416">
        <v>780</v>
      </c>
      <c r="AH28" s="416">
        <v>742</v>
      </c>
      <c r="AI28" s="417">
        <v>507</v>
      </c>
      <c r="AJ28" s="418">
        <v>8643</v>
      </c>
      <c r="AK28" s="416">
        <v>7878</v>
      </c>
      <c r="AL28" s="416">
        <v>6617</v>
      </c>
      <c r="AM28" s="416">
        <v>7273</v>
      </c>
      <c r="AN28" s="416">
        <v>7432</v>
      </c>
      <c r="AO28" s="416">
        <v>3926</v>
      </c>
      <c r="AP28" s="416">
        <v>4387</v>
      </c>
      <c r="AQ28" s="416">
        <v>6446</v>
      </c>
      <c r="AR28" s="416">
        <v>5807</v>
      </c>
      <c r="AS28" s="416">
        <v>6636</v>
      </c>
      <c r="AT28" s="416">
        <v>6035</v>
      </c>
      <c r="AU28" s="416">
        <v>6461</v>
      </c>
      <c r="AV28" s="416">
        <v>7150</v>
      </c>
      <c r="AW28" s="416">
        <v>7398</v>
      </c>
      <c r="AX28" s="416">
        <v>7469</v>
      </c>
      <c r="AY28" s="416">
        <v>7503</v>
      </c>
      <c r="AZ28" s="416">
        <v>5262</v>
      </c>
      <c r="BA28" s="578">
        <f t="shared" si="18"/>
        <v>38578</v>
      </c>
      <c r="BB28" s="579">
        <f t="shared" si="18"/>
        <v>37678</v>
      </c>
      <c r="BC28" s="579">
        <f t="shared" si="18"/>
        <v>37966</v>
      </c>
      <c r="BD28" s="579">
        <f t="shared" si="18"/>
        <v>40739</v>
      </c>
      <c r="BE28" s="579">
        <f t="shared" si="18"/>
        <v>41353</v>
      </c>
      <c r="BF28" s="579">
        <f t="shared" si="18"/>
        <v>30372</v>
      </c>
      <c r="BG28" s="579">
        <f t="shared" si="18"/>
        <v>33177</v>
      </c>
      <c r="BH28" s="579">
        <f t="shared" si="18"/>
        <v>39908</v>
      </c>
      <c r="BI28" s="579">
        <f t="shared" si="18"/>
        <v>38159</v>
      </c>
      <c r="BJ28" s="579">
        <f t="shared" si="18"/>
        <v>38144</v>
      </c>
      <c r="BK28" s="579">
        <f t="shared" si="18"/>
        <v>37997</v>
      </c>
      <c r="BL28" s="579">
        <f t="shared" si="18"/>
        <v>40143</v>
      </c>
      <c r="BM28" s="579">
        <f t="shared" si="18"/>
        <v>43898</v>
      </c>
      <c r="BN28" s="579">
        <f t="shared" si="18"/>
        <v>48360</v>
      </c>
      <c r="BO28" s="579">
        <f t="shared" si="8"/>
        <v>51868</v>
      </c>
      <c r="BP28" s="579">
        <f t="shared" si="9"/>
        <v>51658</v>
      </c>
      <c r="BQ28" s="915">
        <f t="shared" si="9"/>
        <v>42308</v>
      </c>
      <c r="BR28" s="878">
        <f t="shared" si="4"/>
        <v>-18.099810290758441</v>
      </c>
      <c r="BS28" s="308" t="s">
        <v>59</v>
      </c>
    </row>
    <row r="29" spans="1:71" ht="12.75" customHeight="1">
      <c r="A29" s="171" t="s">
        <v>43</v>
      </c>
      <c r="B29" s="438">
        <v>34508</v>
      </c>
      <c r="C29" s="439">
        <v>35270</v>
      </c>
      <c r="D29" s="440">
        <v>38618</v>
      </c>
      <c r="E29" s="440">
        <v>52048</v>
      </c>
      <c r="F29" s="440">
        <v>55896</v>
      </c>
      <c r="G29" s="440">
        <v>40232</v>
      </c>
      <c r="H29" s="440">
        <v>38647</v>
      </c>
      <c r="I29" s="440">
        <v>45511</v>
      </c>
      <c r="J29" s="440">
        <v>38425</v>
      </c>
      <c r="K29" s="440">
        <v>41143</v>
      </c>
      <c r="L29" s="440">
        <v>44199</v>
      </c>
      <c r="M29" s="440">
        <v>50307</v>
      </c>
      <c r="N29" s="440">
        <v>56686</v>
      </c>
      <c r="O29" s="440">
        <v>57322</v>
      </c>
      <c r="P29" s="440">
        <v>66869</v>
      </c>
      <c r="Q29" s="440">
        <v>67908</v>
      </c>
      <c r="R29" s="440">
        <v>56954</v>
      </c>
      <c r="S29" s="401">
        <v>4092</v>
      </c>
      <c r="T29" s="399">
        <v>4377</v>
      </c>
      <c r="U29" s="399">
        <v>5162</v>
      </c>
      <c r="V29" s="399">
        <v>6330</v>
      </c>
      <c r="W29" s="399">
        <v>6004</v>
      </c>
      <c r="X29" s="399">
        <v>3650</v>
      </c>
      <c r="Y29" s="399">
        <v>4497</v>
      </c>
      <c r="Z29" s="399">
        <v>2550</v>
      </c>
      <c r="AA29" s="399">
        <v>2249</v>
      </c>
      <c r="AB29" s="399">
        <v>2928</v>
      </c>
      <c r="AC29" s="399">
        <v>2280</v>
      </c>
      <c r="AD29" s="399">
        <v>2127</v>
      </c>
      <c r="AE29" s="399">
        <v>2120</v>
      </c>
      <c r="AF29" s="399">
        <v>2078</v>
      </c>
      <c r="AG29" s="399">
        <v>2269</v>
      </c>
      <c r="AH29" s="399">
        <v>2757</v>
      </c>
      <c r="AI29" s="406">
        <v>2367</v>
      </c>
      <c r="AJ29" s="401">
        <v>8449</v>
      </c>
      <c r="AK29" s="399">
        <v>7417</v>
      </c>
      <c r="AL29" s="399">
        <v>10734</v>
      </c>
      <c r="AM29" s="399">
        <v>18243</v>
      </c>
      <c r="AN29" s="399">
        <v>16401</v>
      </c>
      <c r="AO29" s="399">
        <v>6235</v>
      </c>
      <c r="AP29" s="399">
        <v>8516</v>
      </c>
      <c r="AQ29" s="399">
        <v>14555</v>
      </c>
      <c r="AR29" s="399">
        <v>14389</v>
      </c>
      <c r="AS29" s="399">
        <v>16775</v>
      </c>
      <c r="AT29" s="399">
        <v>15431</v>
      </c>
      <c r="AU29" s="399">
        <v>20303</v>
      </c>
      <c r="AV29" s="399">
        <v>24493</v>
      </c>
      <c r="AW29" s="399">
        <v>24813</v>
      </c>
      <c r="AX29" s="399">
        <v>28427</v>
      </c>
      <c r="AY29" s="399">
        <v>25877</v>
      </c>
      <c r="AZ29" s="399">
        <v>18319</v>
      </c>
      <c r="BA29" s="576">
        <f t="shared" si="18"/>
        <v>47049</v>
      </c>
      <c r="BB29" s="414">
        <f t="shared" si="18"/>
        <v>47064</v>
      </c>
      <c r="BC29" s="414">
        <f t="shared" si="18"/>
        <v>54514</v>
      </c>
      <c r="BD29" s="414">
        <f t="shared" si="18"/>
        <v>76621</v>
      </c>
      <c r="BE29" s="414">
        <f t="shared" si="18"/>
        <v>78301</v>
      </c>
      <c r="BF29" s="414">
        <f t="shared" si="18"/>
        <v>50117</v>
      </c>
      <c r="BG29" s="414">
        <f t="shared" si="18"/>
        <v>51660</v>
      </c>
      <c r="BH29" s="414">
        <f t="shared" si="18"/>
        <v>62616</v>
      </c>
      <c r="BI29" s="414">
        <f t="shared" si="18"/>
        <v>55063</v>
      </c>
      <c r="BJ29" s="414">
        <f t="shared" si="18"/>
        <v>60846</v>
      </c>
      <c r="BK29" s="414">
        <f t="shared" si="18"/>
        <v>61910</v>
      </c>
      <c r="BL29" s="414">
        <f t="shared" si="18"/>
        <v>72737</v>
      </c>
      <c r="BM29" s="414">
        <f t="shared" si="18"/>
        <v>83299</v>
      </c>
      <c r="BN29" s="414">
        <f t="shared" si="18"/>
        <v>84213</v>
      </c>
      <c r="BO29" s="414">
        <f t="shared" si="8"/>
        <v>97565</v>
      </c>
      <c r="BP29" s="414">
        <f t="shared" si="9"/>
        <v>96542</v>
      </c>
      <c r="BQ29" s="415">
        <f t="shared" si="9"/>
        <v>77640</v>
      </c>
      <c r="BR29" s="877">
        <f t="shared" si="4"/>
        <v>-19.579043317934165</v>
      </c>
      <c r="BS29" s="172" t="s">
        <v>43</v>
      </c>
    </row>
    <row r="30" spans="1:71" ht="12.75" customHeight="1">
      <c r="A30" s="306" t="s">
        <v>60</v>
      </c>
      <c r="B30" s="445">
        <v>70890</v>
      </c>
      <c r="C30" s="446">
        <v>66632</v>
      </c>
      <c r="D30" s="447">
        <v>64342</v>
      </c>
      <c r="E30" s="447">
        <v>68418</v>
      </c>
      <c r="F30" s="447">
        <v>55398</v>
      </c>
      <c r="G30" s="447">
        <v>38905</v>
      </c>
      <c r="H30" s="447">
        <v>45650</v>
      </c>
      <c r="I30" s="447">
        <v>34877</v>
      </c>
      <c r="J30" s="447">
        <v>16002</v>
      </c>
      <c r="K30" s="447">
        <v>18202</v>
      </c>
      <c r="L30" s="447">
        <v>26166</v>
      </c>
      <c r="M30" s="447">
        <v>30858</v>
      </c>
      <c r="N30" s="447">
        <v>34890</v>
      </c>
      <c r="O30" s="447">
        <v>38506</v>
      </c>
      <c r="P30" s="447">
        <v>39333</v>
      </c>
      <c r="Q30" s="447">
        <v>38392</v>
      </c>
      <c r="R30" s="447">
        <v>27297</v>
      </c>
      <c r="S30" s="418">
        <v>1288</v>
      </c>
      <c r="T30" s="416">
        <v>1563</v>
      </c>
      <c r="U30" s="416">
        <v>1329</v>
      </c>
      <c r="V30" s="416">
        <v>1398</v>
      </c>
      <c r="W30" s="416">
        <v>1048</v>
      </c>
      <c r="X30" s="416">
        <v>847</v>
      </c>
      <c r="Y30" s="416">
        <v>745</v>
      </c>
      <c r="Z30" s="416">
        <v>651</v>
      </c>
      <c r="AA30" s="416">
        <v>336</v>
      </c>
      <c r="AB30" s="416">
        <v>345</v>
      </c>
      <c r="AC30" s="416">
        <v>565</v>
      </c>
      <c r="AD30" s="416">
        <v>577</v>
      </c>
      <c r="AE30" s="416">
        <v>596</v>
      </c>
      <c r="AF30" s="416">
        <v>826</v>
      </c>
      <c r="AG30" s="416">
        <v>806</v>
      </c>
      <c r="AH30" s="416">
        <v>829</v>
      </c>
      <c r="AI30" s="417">
        <v>823</v>
      </c>
      <c r="AJ30" s="418">
        <v>3399</v>
      </c>
      <c r="AK30" s="416">
        <v>3787</v>
      </c>
      <c r="AL30" s="416">
        <v>4082</v>
      </c>
      <c r="AM30" s="416">
        <v>4247</v>
      </c>
      <c r="AN30" s="416">
        <v>4486</v>
      </c>
      <c r="AO30" s="416">
        <v>2364</v>
      </c>
      <c r="AP30" s="416">
        <v>2389</v>
      </c>
      <c r="AQ30" s="416">
        <v>2088</v>
      </c>
      <c r="AR30" s="416">
        <v>1558</v>
      </c>
      <c r="AS30" s="416">
        <v>2049</v>
      </c>
      <c r="AT30" s="416">
        <v>2563</v>
      </c>
      <c r="AU30" s="416">
        <v>3464</v>
      </c>
      <c r="AV30" s="416">
        <v>4232</v>
      </c>
      <c r="AW30" s="416">
        <v>4655</v>
      </c>
      <c r="AX30" s="416">
        <v>4511</v>
      </c>
      <c r="AY30" s="416">
        <v>3973</v>
      </c>
      <c r="AZ30" s="416">
        <v>3812</v>
      </c>
      <c r="BA30" s="578">
        <f t="shared" si="18"/>
        <v>75577</v>
      </c>
      <c r="BB30" s="579">
        <f t="shared" si="18"/>
        <v>71982</v>
      </c>
      <c r="BC30" s="579">
        <f t="shared" si="18"/>
        <v>69753</v>
      </c>
      <c r="BD30" s="579">
        <f t="shared" si="18"/>
        <v>74063</v>
      </c>
      <c r="BE30" s="579">
        <f t="shared" si="18"/>
        <v>60932</v>
      </c>
      <c r="BF30" s="579">
        <f t="shared" si="18"/>
        <v>42116</v>
      </c>
      <c r="BG30" s="579">
        <f t="shared" si="18"/>
        <v>48784</v>
      </c>
      <c r="BH30" s="579">
        <f t="shared" si="18"/>
        <v>37616</v>
      </c>
      <c r="BI30" s="579">
        <f t="shared" si="18"/>
        <v>17896</v>
      </c>
      <c r="BJ30" s="579">
        <f t="shared" si="18"/>
        <v>20596</v>
      </c>
      <c r="BK30" s="579">
        <f t="shared" si="18"/>
        <v>29294</v>
      </c>
      <c r="BL30" s="579">
        <f t="shared" si="18"/>
        <v>34899</v>
      </c>
      <c r="BM30" s="579">
        <f t="shared" si="18"/>
        <v>39718</v>
      </c>
      <c r="BN30" s="579">
        <f t="shared" si="18"/>
        <v>43987</v>
      </c>
      <c r="BO30" s="579">
        <f t="shared" si="8"/>
        <v>44650</v>
      </c>
      <c r="BP30" s="579">
        <f t="shared" si="9"/>
        <v>43194</v>
      </c>
      <c r="BQ30" s="915">
        <f t="shared" si="9"/>
        <v>31932</v>
      </c>
      <c r="BR30" s="878">
        <f t="shared" si="4"/>
        <v>-26.073065703569938</v>
      </c>
      <c r="BS30" s="308" t="s">
        <v>60</v>
      </c>
    </row>
    <row r="31" spans="1:71" ht="12.75" customHeight="1">
      <c r="A31" s="171" t="s">
        <v>44</v>
      </c>
      <c r="B31" s="438"/>
      <c r="C31" s="439"/>
      <c r="D31" s="440">
        <v>30508</v>
      </c>
      <c r="E31" s="440">
        <v>33229</v>
      </c>
      <c r="F31" s="440">
        <v>36414</v>
      </c>
      <c r="G31" s="440">
        <v>14086</v>
      </c>
      <c r="H31" s="440">
        <v>9238</v>
      </c>
      <c r="I31" s="440">
        <v>10531</v>
      </c>
      <c r="J31" s="440">
        <v>10741</v>
      </c>
      <c r="K31" s="440">
        <v>8880</v>
      </c>
      <c r="L31" s="440">
        <v>10218</v>
      </c>
      <c r="M31" s="440">
        <v>11356</v>
      </c>
      <c r="N31" s="440">
        <v>14372</v>
      </c>
      <c r="O31" s="440">
        <v>16098</v>
      </c>
      <c r="P31" s="440">
        <v>17645</v>
      </c>
      <c r="Q31" s="440">
        <v>18037</v>
      </c>
      <c r="R31" s="440">
        <v>14266</v>
      </c>
      <c r="S31" s="401"/>
      <c r="T31" s="399"/>
      <c r="U31" s="399">
        <v>3612</v>
      </c>
      <c r="V31" s="399">
        <v>3468</v>
      </c>
      <c r="W31" s="399">
        <v>3744</v>
      </c>
      <c r="X31" s="399">
        <v>973</v>
      </c>
      <c r="Y31" s="399">
        <v>746</v>
      </c>
      <c r="Z31" s="399">
        <v>561</v>
      </c>
      <c r="AA31" s="399">
        <v>776</v>
      </c>
      <c r="AB31" s="399">
        <v>299</v>
      </c>
      <c r="AC31" s="399">
        <v>488</v>
      </c>
      <c r="AD31" s="399">
        <v>347</v>
      </c>
      <c r="AE31" s="399">
        <v>402</v>
      </c>
      <c r="AF31" s="399">
        <v>325</v>
      </c>
      <c r="AG31" s="399">
        <v>294</v>
      </c>
      <c r="AH31" s="399">
        <v>411</v>
      </c>
      <c r="AI31" s="406">
        <v>318</v>
      </c>
      <c r="AJ31" s="401"/>
      <c r="AK31" s="399"/>
      <c r="AL31" s="399">
        <v>4170</v>
      </c>
      <c r="AM31" s="399">
        <v>11511</v>
      </c>
      <c r="AN31" s="399">
        <v>8762</v>
      </c>
      <c r="AO31" s="399">
        <v>1619</v>
      </c>
      <c r="AP31" s="399">
        <v>2160</v>
      </c>
      <c r="AQ31" s="399">
        <v>1574</v>
      </c>
      <c r="AR31" s="399">
        <v>2702</v>
      </c>
      <c r="AS31" s="399">
        <v>3032</v>
      </c>
      <c r="AT31" s="399">
        <v>3698</v>
      </c>
      <c r="AU31" s="399">
        <v>5778</v>
      </c>
      <c r="AV31" s="399">
        <v>7630</v>
      </c>
      <c r="AW31" s="399">
        <v>6028</v>
      </c>
      <c r="AX31" s="399">
        <v>6961</v>
      </c>
      <c r="AY31" s="399">
        <v>6536</v>
      </c>
      <c r="AZ31" s="399">
        <v>4186</v>
      </c>
      <c r="BA31" s="576"/>
      <c r="BB31" s="414"/>
      <c r="BC31" s="414">
        <f t="shared" ref="BC31:BN35" si="19">D31+U31+AL31</f>
        <v>38290</v>
      </c>
      <c r="BD31" s="414">
        <f t="shared" si="19"/>
        <v>48208</v>
      </c>
      <c r="BE31" s="414">
        <f t="shared" si="19"/>
        <v>48920</v>
      </c>
      <c r="BF31" s="414">
        <f t="shared" si="19"/>
        <v>16678</v>
      </c>
      <c r="BG31" s="414">
        <f t="shared" si="19"/>
        <v>12144</v>
      </c>
      <c r="BH31" s="414">
        <f t="shared" si="19"/>
        <v>12666</v>
      </c>
      <c r="BI31" s="414">
        <f t="shared" si="19"/>
        <v>14219</v>
      </c>
      <c r="BJ31" s="414">
        <f t="shared" si="19"/>
        <v>12211</v>
      </c>
      <c r="BK31" s="414">
        <f t="shared" si="19"/>
        <v>14404</v>
      </c>
      <c r="BL31" s="414">
        <f t="shared" si="19"/>
        <v>17481</v>
      </c>
      <c r="BM31" s="414">
        <f t="shared" si="19"/>
        <v>22404</v>
      </c>
      <c r="BN31" s="414">
        <f t="shared" si="19"/>
        <v>22451</v>
      </c>
      <c r="BO31" s="414">
        <f t="shared" si="8"/>
        <v>24900</v>
      </c>
      <c r="BP31" s="414">
        <f t="shared" si="9"/>
        <v>24984</v>
      </c>
      <c r="BQ31" s="415">
        <f t="shared" si="9"/>
        <v>18770</v>
      </c>
      <c r="BR31" s="877">
        <f t="shared" si="4"/>
        <v>-24.871918027537617</v>
      </c>
      <c r="BS31" s="172" t="s">
        <v>44</v>
      </c>
    </row>
    <row r="32" spans="1:71" ht="12.75" customHeight="1">
      <c r="A32" s="306" t="s">
        <v>46</v>
      </c>
      <c r="B32" s="445">
        <v>6998</v>
      </c>
      <c r="C32" s="446">
        <v>6881</v>
      </c>
      <c r="D32" s="447">
        <v>6048</v>
      </c>
      <c r="E32" s="447">
        <v>6813</v>
      </c>
      <c r="F32" s="447">
        <v>7282</v>
      </c>
      <c r="G32" s="447">
        <v>4426</v>
      </c>
      <c r="H32" s="447">
        <v>4703</v>
      </c>
      <c r="I32" s="447">
        <v>5753</v>
      </c>
      <c r="J32" s="447">
        <v>5760</v>
      </c>
      <c r="K32" s="447">
        <v>6165</v>
      </c>
      <c r="L32" s="447">
        <v>6318</v>
      </c>
      <c r="M32" s="447">
        <v>6639</v>
      </c>
      <c r="N32" s="447">
        <v>7738</v>
      </c>
      <c r="O32" s="447">
        <v>8688</v>
      </c>
      <c r="P32" s="447">
        <v>8948</v>
      </c>
      <c r="Q32" s="447">
        <v>8597</v>
      </c>
      <c r="R32" s="447">
        <v>6256</v>
      </c>
      <c r="S32" s="418">
        <v>408</v>
      </c>
      <c r="T32" s="416">
        <v>346</v>
      </c>
      <c r="U32" s="416">
        <v>383</v>
      </c>
      <c r="V32" s="416">
        <v>391</v>
      </c>
      <c r="W32" s="416">
        <v>401</v>
      </c>
      <c r="X32" s="416">
        <v>227</v>
      </c>
      <c r="Y32" s="416">
        <v>201</v>
      </c>
      <c r="Z32" s="416">
        <v>173</v>
      </c>
      <c r="AA32" s="416">
        <v>158</v>
      </c>
      <c r="AB32" s="416">
        <v>132</v>
      </c>
      <c r="AC32" s="416">
        <v>149</v>
      </c>
      <c r="AD32" s="416">
        <v>164</v>
      </c>
      <c r="AE32" s="416">
        <v>184</v>
      </c>
      <c r="AF32" s="416">
        <v>150</v>
      </c>
      <c r="AG32" s="416">
        <v>183</v>
      </c>
      <c r="AH32" s="416">
        <v>143</v>
      </c>
      <c r="AI32" s="417">
        <v>94</v>
      </c>
      <c r="AJ32" s="418">
        <v>1066</v>
      </c>
      <c r="AK32" s="416">
        <v>1305</v>
      </c>
      <c r="AL32" s="416">
        <v>1679</v>
      </c>
      <c r="AM32" s="416">
        <v>2326</v>
      </c>
      <c r="AN32" s="416">
        <v>2175</v>
      </c>
      <c r="AO32" s="416">
        <v>531</v>
      </c>
      <c r="AP32" s="416">
        <v>682</v>
      </c>
      <c r="AQ32" s="416">
        <v>1209</v>
      </c>
      <c r="AR32" s="416">
        <v>939</v>
      </c>
      <c r="AS32" s="416">
        <v>1063</v>
      </c>
      <c r="AT32" s="416">
        <v>1343</v>
      </c>
      <c r="AU32" s="416">
        <v>1743</v>
      </c>
      <c r="AV32" s="416">
        <v>2208</v>
      </c>
      <c r="AW32" s="416">
        <v>2196</v>
      </c>
      <c r="AX32" s="416">
        <v>2578</v>
      </c>
      <c r="AY32" s="416">
        <v>2122</v>
      </c>
      <c r="AZ32" s="416">
        <v>1252</v>
      </c>
      <c r="BA32" s="578">
        <f t="shared" ref="BA32:BB39" si="20">B32+S32+AJ32</f>
        <v>8472</v>
      </c>
      <c r="BB32" s="579">
        <f t="shared" si="20"/>
        <v>8532</v>
      </c>
      <c r="BC32" s="579">
        <f t="shared" si="19"/>
        <v>8110</v>
      </c>
      <c r="BD32" s="579">
        <f t="shared" si="19"/>
        <v>9530</v>
      </c>
      <c r="BE32" s="579">
        <f t="shared" si="19"/>
        <v>9858</v>
      </c>
      <c r="BF32" s="579">
        <f t="shared" si="19"/>
        <v>5184</v>
      </c>
      <c r="BG32" s="579">
        <f t="shared" si="19"/>
        <v>5586</v>
      </c>
      <c r="BH32" s="579">
        <f t="shared" si="19"/>
        <v>7135</v>
      </c>
      <c r="BI32" s="579">
        <f t="shared" si="19"/>
        <v>6857</v>
      </c>
      <c r="BJ32" s="579">
        <f t="shared" si="19"/>
        <v>7360</v>
      </c>
      <c r="BK32" s="579">
        <f t="shared" si="19"/>
        <v>7810</v>
      </c>
      <c r="BL32" s="579">
        <f t="shared" si="19"/>
        <v>8546</v>
      </c>
      <c r="BM32" s="579">
        <f t="shared" si="19"/>
        <v>10130</v>
      </c>
      <c r="BN32" s="579">
        <f t="shared" si="19"/>
        <v>11034</v>
      </c>
      <c r="BO32" s="579">
        <f t="shared" si="8"/>
        <v>11709</v>
      </c>
      <c r="BP32" s="579">
        <f t="shared" si="9"/>
        <v>10862</v>
      </c>
      <c r="BQ32" s="915">
        <f t="shared" si="9"/>
        <v>7602</v>
      </c>
      <c r="BR32" s="878">
        <f t="shared" si="4"/>
        <v>-30.012888970723623</v>
      </c>
      <c r="BS32" s="308" t="s">
        <v>46</v>
      </c>
    </row>
    <row r="33" spans="1:71" ht="12.75" customHeight="1">
      <c r="A33" s="171" t="s">
        <v>45</v>
      </c>
      <c r="B33" s="438">
        <v>10204</v>
      </c>
      <c r="C33" s="439">
        <v>14425</v>
      </c>
      <c r="D33" s="440">
        <v>19502</v>
      </c>
      <c r="E33" s="440">
        <v>23618</v>
      </c>
      <c r="F33" s="440">
        <v>26900</v>
      </c>
      <c r="G33" s="440">
        <v>15709</v>
      </c>
      <c r="H33" s="440">
        <v>6952</v>
      </c>
      <c r="I33" s="440">
        <v>5716</v>
      </c>
      <c r="J33" s="440">
        <v>5165</v>
      </c>
      <c r="K33" s="440">
        <v>5076</v>
      </c>
      <c r="L33" s="440">
        <v>5628</v>
      </c>
      <c r="M33" s="440">
        <v>7289</v>
      </c>
      <c r="N33" s="440">
        <v>7459</v>
      </c>
      <c r="O33" s="440">
        <v>7689</v>
      </c>
      <c r="P33" s="440">
        <v>8955</v>
      </c>
      <c r="Q33" s="440">
        <v>8543</v>
      </c>
      <c r="R33" s="440">
        <v>6375</v>
      </c>
      <c r="S33" s="401">
        <v>774</v>
      </c>
      <c r="T33" s="399">
        <v>936</v>
      </c>
      <c r="U33" s="399">
        <v>948</v>
      </c>
      <c r="V33" s="399">
        <v>1083</v>
      </c>
      <c r="W33" s="399">
        <v>1075</v>
      </c>
      <c r="X33" s="399">
        <v>473</v>
      </c>
      <c r="Y33" s="399">
        <v>505</v>
      </c>
      <c r="Z33" s="399">
        <v>596</v>
      </c>
      <c r="AA33" s="399">
        <v>537</v>
      </c>
      <c r="AB33" s="399">
        <v>454</v>
      </c>
      <c r="AC33" s="542">
        <v>448</v>
      </c>
      <c r="AD33" s="399">
        <v>368</v>
      </c>
      <c r="AE33" s="399">
        <v>461</v>
      </c>
      <c r="AF33" s="399">
        <v>492</v>
      </c>
      <c r="AG33" s="399">
        <v>509</v>
      </c>
      <c r="AH33" s="399">
        <v>369</v>
      </c>
      <c r="AI33" s="406">
        <v>208</v>
      </c>
      <c r="AJ33" s="401">
        <v>2075</v>
      </c>
      <c r="AK33" s="399">
        <v>2821</v>
      </c>
      <c r="AL33" s="399">
        <v>3465</v>
      </c>
      <c r="AM33" s="399">
        <v>4360</v>
      </c>
      <c r="AN33" s="399">
        <v>3767</v>
      </c>
      <c r="AO33" s="399">
        <v>1188</v>
      </c>
      <c r="AP33" s="399">
        <v>1946</v>
      </c>
      <c r="AQ33" s="399">
        <v>3211</v>
      </c>
      <c r="AR33" s="399">
        <v>2996</v>
      </c>
      <c r="AS33" s="399">
        <v>3429</v>
      </c>
      <c r="AT33" s="542">
        <v>3201</v>
      </c>
      <c r="AU33" s="399">
        <v>4079</v>
      </c>
      <c r="AV33" s="399">
        <v>4022</v>
      </c>
      <c r="AW33" s="399">
        <v>3774</v>
      </c>
      <c r="AX33" s="399">
        <v>3757</v>
      </c>
      <c r="AY33" s="399">
        <v>3000</v>
      </c>
      <c r="AZ33" s="399">
        <v>1511</v>
      </c>
      <c r="BA33" s="576">
        <f t="shared" si="20"/>
        <v>13053</v>
      </c>
      <c r="BB33" s="414">
        <f t="shared" si="20"/>
        <v>18182</v>
      </c>
      <c r="BC33" s="414">
        <f t="shared" si="19"/>
        <v>23915</v>
      </c>
      <c r="BD33" s="414">
        <f t="shared" si="19"/>
        <v>29061</v>
      </c>
      <c r="BE33" s="414">
        <f t="shared" si="19"/>
        <v>31742</v>
      </c>
      <c r="BF33" s="414">
        <f t="shared" si="19"/>
        <v>17370</v>
      </c>
      <c r="BG33" s="414">
        <f t="shared" si="19"/>
        <v>9403</v>
      </c>
      <c r="BH33" s="414">
        <f t="shared" si="19"/>
        <v>9523</v>
      </c>
      <c r="BI33" s="414">
        <f t="shared" si="19"/>
        <v>8698</v>
      </c>
      <c r="BJ33" s="414">
        <f t="shared" si="19"/>
        <v>8959</v>
      </c>
      <c r="BK33" s="414">
        <f t="shared" si="19"/>
        <v>9277</v>
      </c>
      <c r="BL33" s="414">
        <f t="shared" si="19"/>
        <v>11736</v>
      </c>
      <c r="BM33" s="414">
        <f t="shared" si="19"/>
        <v>11942</v>
      </c>
      <c r="BN33" s="414">
        <f t="shared" si="19"/>
        <v>11955</v>
      </c>
      <c r="BO33" s="414">
        <f t="shared" si="8"/>
        <v>13221</v>
      </c>
      <c r="BP33" s="414">
        <f t="shared" si="9"/>
        <v>11912</v>
      </c>
      <c r="BQ33" s="415">
        <f t="shared" si="9"/>
        <v>8094</v>
      </c>
      <c r="BR33" s="877">
        <f t="shared" si="4"/>
        <v>-32.051712558764265</v>
      </c>
      <c r="BS33" s="172" t="s">
        <v>45</v>
      </c>
    </row>
    <row r="34" spans="1:71" ht="12.75" customHeight="1">
      <c r="A34" s="306" t="s">
        <v>61</v>
      </c>
      <c r="B34" s="445">
        <v>17068</v>
      </c>
      <c r="C34" s="446">
        <v>15353</v>
      </c>
      <c r="D34" s="447">
        <v>16472</v>
      </c>
      <c r="E34" s="447">
        <v>17507</v>
      </c>
      <c r="F34" s="447">
        <v>16395</v>
      </c>
      <c r="G34" s="447">
        <v>8693</v>
      </c>
      <c r="H34" s="447">
        <v>10821</v>
      </c>
      <c r="I34" s="447">
        <v>14346</v>
      </c>
      <c r="J34" s="447">
        <v>11463</v>
      </c>
      <c r="K34" s="447">
        <v>10621</v>
      </c>
      <c r="L34" s="447">
        <v>10750</v>
      </c>
      <c r="M34" s="447">
        <v>11522</v>
      </c>
      <c r="N34" s="447">
        <v>13678</v>
      </c>
      <c r="O34" s="447">
        <v>15689</v>
      </c>
      <c r="P34" s="447">
        <v>15931</v>
      </c>
      <c r="Q34" s="447">
        <v>15261</v>
      </c>
      <c r="R34" s="447">
        <v>13389</v>
      </c>
      <c r="S34" s="418">
        <v>1630</v>
      </c>
      <c r="T34" s="416">
        <v>1490</v>
      </c>
      <c r="U34" s="416">
        <v>1305</v>
      </c>
      <c r="V34" s="416">
        <v>1395</v>
      </c>
      <c r="W34" s="416">
        <v>1149</v>
      </c>
      <c r="X34" s="416">
        <v>991</v>
      </c>
      <c r="Y34" s="416">
        <v>1011</v>
      </c>
      <c r="Z34" s="416">
        <v>1085</v>
      </c>
      <c r="AA34" s="416">
        <v>853</v>
      </c>
      <c r="AB34" s="416">
        <v>767</v>
      </c>
      <c r="AC34" s="416">
        <v>575</v>
      </c>
      <c r="AD34" s="416">
        <v>548</v>
      </c>
      <c r="AE34" s="416">
        <v>642</v>
      </c>
      <c r="AF34" s="416">
        <v>511</v>
      </c>
      <c r="AG34" s="416">
        <v>541</v>
      </c>
      <c r="AH34" s="416">
        <v>598</v>
      </c>
      <c r="AI34" s="417">
        <v>597</v>
      </c>
      <c r="AJ34" s="418">
        <v>2889</v>
      </c>
      <c r="AK34" s="416">
        <v>3112</v>
      </c>
      <c r="AL34" s="416">
        <v>2726</v>
      </c>
      <c r="AM34" s="416">
        <v>2779</v>
      </c>
      <c r="AN34" s="416">
        <v>3485</v>
      </c>
      <c r="AO34" s="416">
        <v>2178</v>
      </c>
      <c r="AP34" s="416">
        <v>1867</v>
      </c>
      <c r="AQ34" s="416">
        <v>2345</v>
      </c>
      <c r="AR34" s="416">
        <v>2399</v>
      </c>
      <c r="AS34" s="416">
        <v>2720</v>
      </c>
      <c r="AT34" s="416">
        <v>1947</v>
      </c>
      <c r="AU34" s="416">
        <v>2122</v>
      </c>
      <c r="AV34" s="416">
        <v>2598</v>
      </c>
      <c r="AW34" s="416">
        <v>2869</v>
      </c>
      <c r="AX34" s="416">
        <v>2897</v>
      </c>
      <c r="AY34" s="416">
        <v>2914</v>
      </c>
      <c r="AZ34" s="416">
        <v>2328</v>
      </c>
      <c r="BA34" s="578">
        <f t="shared" si="20"/>
        <v>21587</v>
      </c>
      <c r="BB34" s="579">
        <f t="shared" si="20"/>
        <v>19955</v>
      </c>
      <c r="BC34" s="579">
        <f t="shared" si="19"/>
        <v>20503</v>
      </c>
      <c r="BD34" s="579">
        <f t="shared" si="19"/>
        <v>21681</v>
      </c>
      <c r="BE34" s="579">
        <f t="shared" si="19"/>
        <v>21029</v>
      </c>
      <c r="BF34" s="579">
        <f t="shared" si="19"/>
        <v>11862</v>
      </c>
      <c r="BG34" s="579">
        <f t="shared" si="19"/>
        <v>13699</v>
      </c>
      <c r="BH34" s="579">
        <f t="shared" si="19"/>
        <v>17776</v>
      </c>
      <c r="BI34" s="579">
        <f t="shared" si="19"/>
        <v>14715</v>
      </c>
      <c r="BJ34" s="579">
        <f t="shared" si="19"/>
        <v>14108</v>
      </c>
      <c r="BK34" s="579">
        <f t="shared" si="19"/>
        <v>13272</v>
      </c>
      <c r="BL34" s="579">
        <f t="shared" si="19"/>
        <v>14192</v>
      </c>
      <c r="BM34" s="579">
        <f t="shared" si="19"/>
        <v>16918</v>
      </c>
      <c r="BN34" s="579">
        <f t="shared" si="19"/>
        <v>19069</v>
      </c>
      <c r="BO34" s="579">
        <f t="shared" si="8"/>
        <v>19369</v>
      </c>
      <c r="BP34" s="579">
        <f t="shared" si="9"/>
        <v>18773</v>
      </c>
      <c r="BQ34" s="915">
        <f t="shared" si="9"/>
        <v>16314</v>
      </c>
      <c r="BR34" s="878">
        <f t="shared" si="4"/>
        <v>-13.098599051829751</v>
      </c>
      <c r="BS34" s="308" t="s">
        <v>61</v>
      </c>
    </row>
    <row r="35" spans="1:71" ht="12.75" customHeight="1">
      <c r="A35" s="171" t="s">
        <v>62</v>
      </c>
      <c r="B35" s="438">
        <v>31002</v>
      </c>
      <c r="C35" s="439">
        <v>34789</v>
      </c>
      <c r="D35" s="440">
        <v>39618</v>
      </c>
      <c r="E35" s="440">
        <v>44222</v>
      </c>
      <c r="F35" s="440">
        <v>39269</v>
      </c>
      <c r="G35" s="440">
        <v>27432</v>
      </c>
      <c r="H35" s="440">
        <v>37778</v>
      </c>
      <c r="I35" s="440">
        <v>46280</v>
      </c>
      <c r="J35" s="440">
        <v>39294</v>
      </c>
      <c r="K35" s="440">
        <v>37370</v>
      </c>
      <c r="L35" s="440">
        <v>41935</v>
      </c>
      <c r="M35" s="440">
        <v>44799</v>
      </c>
      <c r="N35" s="440">
        <v>51647</v>
      </c>
      <c r="O35" s="440">
        <v>55381</v>
      </c>
      <c r="P35" s="440">
        <v>56584</v>
      </c>
      <c r="Q35" s="440">
        <v>53811</v>
      </c>
      <c r="R35" s="440">
        <v>31008</v>
      </c>
      <c r="S35" s="401">
        <v>836</v>
      </c>
      <c r="T35" s="399">
        <v>1255</v>
      </c>
      <c r="U35" s="399">
        <v>866</v>
      </c>
      <c r="V35" s="399">
        <v>988</v>
      </c>
      <c r="W35" s="399">
        <v>1036</v>
      </c>
      <c r="X35" s="399">
        <v>714</v>
      </c>
      <c r="Y35" s="399">
        <v>759</v>
      </c>
      <c r="Z35" s="399">
        <v>934</v>
      </c>
      <c r="AA35" s="399">
        <v>464</v>
      </c>
      <c r="AB35" s="399">
        <v>363</v>
      </c>
      <c r="AC35" s="399">
        <v>527</v>
      </c>
      <c r="AD35" s="399">
        <v>607</v>
      </c>
      <c r="AE35" s="399">
        <v>560</v>
      </c>
      <c r="AF35" s="399">
        <v>470</v>
      </c>
      <c r="AG35" s="399">
        <v>527</v>
      </c>
      <c r="AH35" s="399">
        <v>568</v>
      </c>
      <c r="AI35" s="406">
        <v>408</v>
      </c>
      <c r="AJ35" s="401">
        <v>4400</v>
      </c>
      <c r="AK35" s="399">
        <v>5763</v>
      </c>
      <c r="AL35" s="399">
        <v>5362</v>
      </c>
      <c r="AM35" s="399">
        <v>5722</v>
      </c>
      <c r="AN35" s="399">
        <v>5962</v>
      </c>
      <c r="AO35" s="399">
        <v>4783</v>
      </c>
      <c r="AP35" s="399">
        <v>4076</v>
      </c>
      <c r="AQ35" s="399">
        <v>5018</v>
      </c>
      <c r="AR35" s="399">
        <v>5100</v>
      </c>
      <c r="AS35" s="399">
        <v>4505</v>
      </c>
      <c r="AT35" s="399">
        <v>4722</v>
      </c>
      <c r="AU35" s="399">
        <v>4849</v>
      </c>
      <c r="AV35" s="399">
        <v>5960</v>
      </c>
      <c r="AW35" s="399">
        <v>6291</v>
      </c>
      <c r="AX35" s="399">
        <v>6436</v>
      </c>
      <c r="AY35" s="399">
        <v>6745</v>
      </c>
      <c r="AZ35" s="399">
        <v>5220</v>
      </c>
      <c r="BA35" s="576">
        <f t="shared" si="20"/>
        <v>36238</v>
      </c>
      <c r="BB35" s="414">
        <f t="shared" si="20"/>
        <v>41807</v>
      </c>
      <c r="BC35" s="414">
        <f t="shared" si="19"/>
        <v>45846</v>
      </c>
      <c r="BD35" s="414">
        <f t="shared" si="19"/>
        <v>50932</v>
      </c>
      <c r="BE35" s="414">
        <f t="shared" si="19"/>
        <v>46267</v>
      </c>
      <c r="BF35" s="414">
        <f t="shared" si="19"/>
        <v>32929</v>
      </c>
      <c r="BG35" s="414">
        <f t="shared" si="19"/>
        <v>42613</v>
      </c>
      <c r="BH35" s="414">
        <f t="shared" si="19"/>
        <v>52232</v>
      </c>
      <c r="BI35" s="414">
        <f t="shared" si="19"/>
        <v>44858</v>
      </c>
      <c r="BJ35" s="414">
        <f t="shared" si="19"/>
        <v>42238</v>
      </c>
      <c r="BK35" s="414">
        <f t="shared" si="19"/>
        <v>47184</v>
      </c>
      <c r="BL35" s="414">
        <f t="shared" si="19"/>
        <v>50255</v>
      </c>
      <c r="BM35" s="414">
        <f t="shared" si="19"/>
        <v>58167</v>
      </c>
      <c r="BN35" s="414">
        <f t="shared" si="19"/>
        <v>62142</v>
      </c>
      <c r="BO35" s="414">
        <f t="shared" si="8"/>
        <v>63547</v>
      </c>
      <c r="BP35" s="583">
        <f t="shared" si="9"/>
        <v>61124</v>
      </c>
      <c r="BQ35" s="584">
        <f t="shared" si="9"/>
        <v>36636</v>
      </c>
      <c r="BR35" s="277">
        <f t="shared" si="4"/>
        <v>-40.062823113670575</v>
      </c>
      <c r="BS35" s="172" t="s">
        <v>62</v>
      </c>
    </row>
    <row r="36" spans="1:71" ht="12.75" customHeight="1">
      <c r="A36" s="635" t="s">
        <v>51</v>
      </c>
      <c r="B36" s="636">
        <v>322901</v>
      </c>
      <c r="C36" s="637">
        <v>325372</v>
      </c>
      <c r="D36" s="638">
        <v>322338</v>
      </c>
      <c r="E36" s="638">
        <v>333339</v>
      </c>
      <c r="F36" s="638">
        <v>287158</v>
      </c>
      <c r="G36" s="638">
        <v>185317</v>
      </c>
      <c r="H36" s="638">
        <v>221877</v>
      </c>
      <c r="I36" s="638">
        <v>259532</v>
      </c>
      <c r="J36" s="638">
        <v>238782</v>
      </c>
      <c r="K36" s="638">
        <v>270238</v>
      </c>
      <c r="L36" s="638">
        <v>320909</v>
      </c>
      <c r="M36" s="639">
        <v>382166</v>
      </c>
      <c r="N36" s="638">
        <v>386649</v>
      </c>
      <c r="O36" s="638">
        <v>371658</v>
      </c>
      <c r="P36" s="638">
        <v>369336</v>
      </c>
      <c r="Q36" s="638">
        <v>375857</v>
      </c>
      <c r="R36" s="638">
        <f>301549</f>
        <v>301549</v>
      </c>
      <c r="S36" s="640">
        <v>20551</v>
      </c>
      <c r="T36" s="641">
        <v>24833</v>
      </c>
      <c r="U36" s="641">
        <v>18329</v>
      </c>
      <c r="V36" s="641">
        <v>17519</v>
      </c>
      <c r="W36" s="641">
        <v>18615</v>
      </c>
      <c r="X36" s="641">
        <v>12493</v>
      </c>
      <c r="Y36" s="641">
        <v>11103</v>
      </c>
      <c r="Z36" s="641">
        <v>12185</v>
      </c>
      <c r="AA36" s="641">
        <v>13339</v>
      </c>
      <c r="AB36" s="641">
        <v>15196</v>
      </c>
      <c r="AC36" s="641">
        <v>11011</v>
      </c>
      <c r="AD36" s="642">
        <v>50285</v>
      </c>
      <c r="AE36" s="641">
        <v>52802</v>
      </c>
      <c r="AF36" s="641">
        <v>51959</v>
      </c>
      <c r="AG36" s="641">
        <v>49889</v>
      </c>
      <c r="AH36" s="641">
        <v>55433</v>
      </c>
      <c r="AI36" s="910">
        <v>37619</v>
      </c>
      <c r="AJ36" s="640">
        <v>34002</v>
      </c>
      <c r="AK36" s="641">
        <v>38205</v>
      </c>
      <c r="AL36" s="641">
        <v>34532</v>
      </c>
      <c r="AM36" s="641">
        <v>29328</v>
      </c>
      <c r="AN36" s="641">
        <v>35094</v>
      </c>
      <c r="AO36" s="641">
        <v>19326</v>
      </c>
      <c r="AP36" s="641">
        <v>20301</v>
      </c>
      <c r="AQ36" s="641">
        <v>28940</v>
      </c>
      <c r="AR36" s="641">
        <v>29023</v>
      </c>
      <c r="AS36" s="641">
        <v>37987</v>
      </c>
      <c r="AT36" s="641">
        <v>27604</v>
      </c>
      <c r="AU36" s="643" t="s">
        <v>193</v>
      </c>
      <c r="AV36" s="644" t="s">
        <v>193</v>
      </c>
      <c r="AW36" s="906" t="s">
        <v>193</v>
      </c>
      <c r="AX36" s="906" t="s">
        <v>193</v>
      </c>
      <c r="AY36" s="906" t="s">
        <v>193</v>
      </c>
      <c r="AZ36" s="906" t="s">
        <v>193</v>
      </c>
      <c r="BA36" s="645">
        <f t="shared" si="20"/>
        <v>377454</v>
      </c>
      <c r="BB36" s="646">
        <f t="shared" si="20"/>
        <v>388410</v>
      </c>
      <c r="BC36" s="646">
        <f t="shared" ref="BC36:BK39" si="21">D36+U36+AL36</f>
        <v>375199</v>
      </c>
      <c r="BD36" s="646">
        <f t="shared" si="21"/>
        <v>380186</v>
      </c>
      <c r="BE36" s="646">
        <f t="shared" si="21"/>
        <v>340867</v>
      </c>
      <c r="BF36" s="646">
        <f t="shared" si="21"/>
        <v>217136</v>
      </c>
      <c r="BG36" s="646">
        <f t="shared" si="21"/>
        <v>253281</v>
      </c>
      <c r="BH36" s="646">
        <f t="shared" si="21"/>
        <v>300657</v>
      </c>
      <c r="BI36" s="646">
        <f t="shared" si="21"/>
        <v>281144</v>
      </c>
      <c r="BJ36" s="646">
        <f t="shared" si="21"/>
        <v>323421</v>
      </c>
      <c r="BK36" s="646">
        <f t="shared" si="21"/>
        <v>359524</v>
      </c>
      <c r="BL36" s="646">
        <f t="shared" ref="BL36:BP36" si="22">M36+AD36</f>
        <v>432451</v>
      </c>
      <c r="BM36" s="646">
        <f t="shared" si="22"/>
        <v>439451</v>
      </c>
      <c r="BN36" s="646">
        <f t="shared" si="22"/>
        <v>423617</v>
      </c>
      <c r="BO36" s="646">
        <f t="shared" si="22"/>
        <v>419225</v>
      </c>
      <c r="BP36" s="914">
        <f t="shared" si="22"/>
        <v>431290</v>
      </c>
      <c r="BQ36" s="915">
        <f>R36+AI36</f>
        <v>339168</v>
      </c>
      <c r="BR36" s="878">
        <f t="shared" si="4"/>
        <v>-21.359642004219907</v>
      </c>
      <c r="BS36" s="919" t="s">
        <v>51</v>
      </c>
    </row>
    <row r="37" spans="1:71" ht="12.75" customHeight="1">
      <c r="A37" s="171" t="s">
        <v>33</v>
      </c>
      <c r="B37" s="438">
        <v>1627</v>
      </c>
      <c r="C37" s="439">
        <v>2172</v>
      </c>
      <c r="D37" s="440">
        <v>2490</v>
      </c>
      <c r="E37" s="440">
        <v>2782</v>
      </c>
      <c r="F37" s="440">
        <v>1227</v>
      </c>
      <c r="G37" s="440">
        <v>302</v>
      </c>
      <c r="H37" s="440">
        <v>220</v>
      </c>
      <c r="I37" s="440">
        <v>344</v>
      </c>
      <c r="J37" s="440">
        <v>417</v>
      </c>
      <c r="K37" s="440">
        <v>583</v>
      </c>
      <c r="L37" s="440">
        <v>854</v>
      </c>
      <c r="M37" s="440">
        <v>1269</v>
      </c>
      <c r="N37" s="440">
        <v>1628</v>
      </c>
      <c r="O37" s="440">
        <v>2041</v>
      </c>
      <c r="P37" s="440">
        <v>1965</v>
      </c>
      <c r="Q37" s="440">
        <v>1368</v>
      </c>
      <c r="R37" s="440">
        <v>1025</v>
      </c>
      <c r="S37" s="401">
        <v>119</v>
      </c>
      <c r="T37" s="399">
        <v>324</v>
      </c>
      <c r="U37" s="399">
        <v>198</v>
      </c>
      <c r="V37" s="399">
        <v>234</v>
      </c>
      <c r="W37" s="399">
        <v>97</v>
      </c>
      <c r="X37" s="399">
        <v>18</v>
      </c>
      <c r="Y37" s="399">
        <v>15</v>
      </c>
      <c r="Z37" s="399">
        <v>17</v>
      </c>
      <c r="AA37" s="399">
        <v>29</v>
      </c>
      <c r="AB37" s="399">
        <v>39</v>
      </c>
      <c r="AC37" s="399">
        <v>54</v>
      </c>
      <c r="AD37" s="399">
        <v>104</v>
      </c>
      <c r="AE37" s="399">
        <v>132</v>
      </c>
      <c r="AF37" s="399">
        <v>186</v>
      </c>
      <c r="AG37" s="399">
        <v>169</v>
      </c>
      <c r="AH37" s="399">
        <v>138</v>
      </c>
      <c r="AI37" s="406">
        <v>94</v>
      </c>
      <c r="AJ37" s="401">
        <v>181</v>
      </c>
      <c r="AK37" s="399">
        <v>314</v>
      </c>
      <c r="AL37" s="399">
        <v>325</v>
      </c>
      <c r="AM37" s="399">
        <v>301</v>
      </c>
      <c r="AN37" s="399">
        <v>178</v>
      </c>
      <c r="AO37" s="399">
        <v>30</v>
      </c>
      <c r="AP37" s="399">
        <v>26</v>
      </c>
      <c r="AQ37" s="399">
        <v>29</v>
      </c>
      <c r="AR37" s="399">
        <v>57</v>
      </c>
      <c r="AS37" s="399">
        <v>52</v>
      </c>
      <c r="AT37" s="399">
        <v>84</v>
      </c>
      <c r="AU37" s="399">
        <v>116</v>
      </c>
      <c r="AV37" s="399">
        <v>176</v>
      </c>
      <c r="AW37" s="399">
        <v>207</v>
      </c>
      <c r="AX37" s="399">
        <v>254</v>
      </c>
      <c r="AY37" s="399">
        <v>162</v>
      </c>
      <c r="AZ37" s="399">
        <v>100</v>
      </c>
      <c r="BA37" s="576">
        <f t="shared" si="20"/>
        <v>1927</v>
      </c>
      <c r="BB37" s="414">
        <f t="shared" si="20"/>
        <v>2810</v>
      </c>
      <c r="BC37" s="414">
        <f t="shared" si="21"/>
        <v>3013</v>
      </c>
      <c r="BD37" s="414">
        <f t="shared" si="21"/>
        <v>3317</v>
      </c>
      <c r="BE37" s="414">
        <f t="shared" si="21"/>
        <v>1502</v>
      </c>
      <c r="BF37" s="414">
        <f t="shared" si="21"/>
        <v>350</v>
      </c>
      <c r="BG37" s="414">
        <f t="shared" si="21"/>
        <v>261</v>
      </c>
      <c r="BH37" s="414">
        <f t="shared" si="21"/>
        <v>390</v>
      </c>
      <c r="BI37" s="414">
        <f t="shared" si="21"/>
        <v>503</v>
      </c>
      <c r="BJ37" s="414">
        <f t="shared" si="21"/>
        <v>674</v>
      </c>
      <c r="BK37" s="414">
        <f t="shared" si="21"/>
        <v>992</v>
      </c>
      <c r="BL37" s="414">
        <f t="shared" ref="BL37:BN39" si="23">M37+AD37+AU37</f>
        <v>1489</v>
      </c>
      <c r="BM37" s="414">
        <f t="shared" si="23"/>
        <v>1936</v>
      </c>
      <c r="BN37" s="414">
        <f t="shared" si="23"/>
        <v>2434</v>
      </c>
      <c r="BO37" s="414">
        <f t="shared" si="8"/>
        <v>2388</v>
      </c>
      <c r="BP37" s="414">
        <f t="shared" si="9"/>
        <v>1668</v>
      </c>
      <c r="BQ37" s="916">
        <f t="shared" si="9"/>
        <v>1219</v>
      </c>
      <c r="BR37" s="667">
        <f t="shared" si="4"/>
        <v>-26.918465227817748</v>
      </c>
      <c r="BS37" s="172" t="s">
        <v>33</v>
      </c>
    </row>
    <row r="38" spans="1:71" ht="12.75" customHeight="1">
      <c r="A38" s="306" t="s">
        <v>63</v>
      </c>
      <c r="B38" s="445">
        <v>31114</v>
      </c>
      <c r="C38" s="446">
        <v>35185</v>
      </c>
      <c r="D38" s="447">
        <v>42611</v>
      </c>
      <c r="E38" s="447">
        <v>45609</v>
      </c>
      <c r="F38" s="447">
        <v>34870</v>
      </c>
      <c r="G38" s="447">
        <v>23504</v>
      </c>
      <c r="H38" s="447">
        <v>29040</v>
      </c>
      <c r="I38" s="447">
        <v>35513</v>
      </c>
      <c r="J38" s="447">
        <v>31848</v>
      </c>
      <c r="K38" s="447">
        <v>30854</v>
      </c>
      <c r="L38" s="447">
        <v>29613</v>
      </c>
      <c r="M38" s="447">
        <v>33235</v>
      </c>
      <c r="N38" s="447">
        <v>36002</v>
      </c>
      <c r="O38" s="447">
        <v>35847</v>
      </c>
      <c r="P38" s="447">
        <v>37209</v>
      </c>
      <c r="Q38" s="447">
        <v>37723</v>
      </c>
      <c r="R38" s="447">
        <v>32101</v>
      </c>
      <c r="S38" s="418">
        <v>3340</v>
      </c>
      <c r="T38" s="416">
        <v>3037</v>
      </c>
      <c r="U38" s="416">
        <v>1801</v>
      </c>
      <c r="V38" s="416">
        <v>1670</v>
      </c>
      <c r="W38" s="416">
        <v>1869</v>
      </c>
      <c r="X38" s="416">
        <v>1276</v>
      </c>
      <c r="Y38" s="416">
        <v>1553</v>
      </c>
      <c r="Z38" s="416">
        <v>1842</v>
      </c>
      <c r="AA38" s="416">
        <v>1780</v>
      </c>
      <c r="AB38" s="416">
        <v>1732</v>
      </c>
      <c r="AC38" s="416">
        <v>1337</v>
      </c>
      <c r="AD38" s="416">
        <v>1321</v>
      </c>
      <c r="AE38" s="416">
        <v>1610</v>
      </c>
      <c r="AF38" s="416">
        <v>1766</v>
      </c>
      <c r="AG38" s="416">
        <v>2126</v>
      </c>
      <c r="AH38" s="416">
        <v>2012</v>
      </c>
      <c r="AI38" s="417">
        <v>1871</v>
      </c>
      <c r="AJ38" s="418">
        <v>3017</v>
      </c>
      <c r="AK38" s="416">
        <v>4459</v>
      </c>
      <c r="AL38" s="416">
        <v>3988</v>
      </c>
      <c r="AM38" s="416">
        <v>4591</v>
      </c>
      <c r="AN38" s="416">
        <v>4659</v>
      </c>
      <c r="AO38" s="416">
        <v>2822</v>
      </c>
      <c r="AP38" s="416">
        <v>2525</v>
      </c>
      <c r="AQ38" s="416">
        <v>3268</v>
      </c>
      <c r="AR38" s="416">
        <v>4013</v>
      </c>
      <c r="AS38" s="416">
        <v>4046</v>
      </c>
      <c r="AT38" s="416">
        <v>4106</v>
      </c>
      <c r="AU38" s="416">
        <v>3894</v>
      </c>
      <c r="AV38" s="416">
        <v>4378</v>
      </c>
      <c r="AW38" s="416">
        <v>4470</v>
      </c>
      <c r="AX38" s="416">
        <v>4998</v>
      </c>
      <c r="AY38" s="416">
        <v>5378</v>
      </c>
      <c r="AZ38" s="416">
        <v>4092</v>
      </c>
      <c r="BA38" s="578">
        <f t="shared" si="20"/>
        <v>37471</v>
      </c>
      <c r="BB38" s="579">
        <f t="shared" si="20"/>
        <v>42681</v>
      </c>
      <c r="BC38" s="579">
        <f t="shared" si="21"/>
        <v>48400</v>
      </c>
      <c r="BD38" s="579">
        <f t="shared" si="21"/>
        <v>51870</v>
      </c>
      <c r="BE38" s="579">
        <f t="shared" si="21"/>
        <v>41398</v>
      </c>
      <c r="BF38" s="579">
        <f t="shared" si="21"/>
        <v>27602</v>
      </c>
      <c r="BG38" s="579">
        <f t="shared" si="21"/>
        <v>33118</v>
      </c>
      <c r="BH38" s="579">
        <f t="shared" si="21"/>
        <v>40623</v>
      </c>
      <c r="BI38" s="579">
        <f t="shared" si="21"/>
        <v>37641</v>
      </c>
      <c r="BJ38" s="579">
        <f t="shared" si="21"/>
        <v>36632</v>
      </c>
      <c r="BK38" s="579">
        <f t="shared" si="21"/>
        <v>35056</v>
      </c>
      <c r="BL38" s="579">
        <f t="shared" si="23"/>
        <v>38450</v>
      </c>
      <c r="BM38" s="579">
        <f t="shared" si="23"/>
        <v>41990</v>
      </c>
      <c r="BN38" s="579">
        <f t="shared" si="23"/>
        <v>42083</v>
      </c>
      <c r="BO38" s="579">
        <f t="shared" si="8"/>
        <v>44333</v>
      </c>
      <c r="BP38" s="579">
        <f t="shared" si="9"/>
        <v>45113</v>
      </c>
      <c r="BQ38" s="915">
        <f t="shared" si="9"/>
        <v>38064</v>
      </c>
      <c r="BR38" s="878">
        <f t="shared" si="4"/>
        <v>-15.625207811495585</v>
      </c>
      <c r="BS38" s="308" t="s">
        <v>63</v>
      </c>
    </row>
    <row r="39" spans="1:71" ht="12.75" customHeight="1">
      <c r="A39" s="173" t="s">
        <v>34</v>
      </c>
      <c r="B39" s="448">
        <v>20602</v>
      </c>
      <c r="C39" s="449">
        <v>22254</v>
      </c>
      <c r="D39" s="450">
        <v>23015</v>
      </c>
      <c r="E39" s="450">
        <v>25386</v>
      </c>
      <c r="F39" s="450">
        <v>26275</v>
      </c>
      <c r="G39" s="450">
        <v>23110</v>
      </c>
      <c r="H39" s="450">
        <v>25697</v>
      </c>
      <c r="I39" s="450">
        <v>30387</v>
      </c>
      <c r="J39" s="450">
        <v>32509</v>
      </c>
      <c r="K39" s="450">
        <v>31199</v>
      </c>
      <c r="L39" s="450">
        <v>31113</v>
      </c>
      <c r="M39" s="450">
        <v>33526</v>
      </c>
      <c r="N39" s="450">
        <v>33475</v>
      </c>
      <c r="O39" s="450">
        <v>36386</v>
      </c>
      <c r="P39" s="450">
        <v>37116</v>
      </c>
      <c r="Q39" s="450">
        <v>40119</v>
      </c>
      <c r="R39" s="450">
        <v>34612</v>
      </c>
      <c r="S39" s="424">
        <v>921</v>
      </c>
      <c r="T39" s="422">
        <v>1058</v>
      </c>
      <c r="U39" s="422">
        <v>1095</v>
      </c>
      <c r="V39" s="422">
        <v>1106</v>
      </c>
      <c r="W39" s="422">
        <v>1287</v>
      </c>
      <c r="X39" s="422">
        <v>1150</v>
      </c>
      <c r="Y39" s="422">
        <v>1003</v>
      </c>
      <c r="Z39" s="422">
        <v>1205</v>
      </c>
      <c r="AA39" s="422">
        <v>1237</v>
      </c>
      <c r="AB39" s="422">
        <v>1005</v>
      </c>
      <c r="AC39" s="422">
        <v>990</v>
      </c>
      <c r="AD39" s="422">
        <v>1026</v>
      </c>
      <c r="AE39" s="422">
        <v>1144</v>
      </c>
      <c r="AF39" s="422">
        <v>1036</v>
      </c>
      <c r="AG39" s="422">
        <v>1237</v>
      </c>
      <c r="AH39" s="422">
        <v>1122</v>
      </c>
      <c r="AI39" s="423">
        <v>1063</v>
      </c>
      <c r="AJ39" s="424">
        <v>2708</v>
      </c>
      <c r="AK39" s="422">
        <v>3390</v>
      </c>
      <c r="AL39" s="422">
        <v>3746</v>
      </c>
      <c r="AM39" s="422">
        <v>3290</v>
      </c>
      <c r="AN39" s="422">
        <v>3876</v>
      </c>
      <c r="AO39" s="422">
        <v>3292</v>
      </c>
      <c r="AP39" s="422">
        <v>2601</v>
      </c>
      <c r="AQ39" s="422">
        <v>3275</v>
      </c>
      <c r="AR39" s="422">
        <v>2984</v>
      </c>
      <c r="AS39" s="422">
        <v>2843</v>
      </c>
      <c r="AT39" s="422">
        <v>3754</v>
      </c>
      <c r="AU39" s="422">
        <v>3390</v>
      </c>
      <c r="AV39" s="422">
        <v>3351</v>
      </c>
      <c r="AW39" s="422">
        <v>3888</v>
      </c>
      <c r="AX39" s="422">
        <v>3664</v>
      </c>
      <c r="AY39" s="422">
        <v>3609</v>
      </c>
      <c r="AZ39" s="422">
        <v>3085</v>
      </c>
      <c r="BA39" s="582">
        <f t="shared" si="20"/>
        <v>24231</v>
      </c>
      <c r="BB39" s="583">
        <f t="shared" si="20"/>
        <v>26702</v>
      </c>
      <c r="BC39" s="583">
        <f t="shared" si="21"/>
        <v>27856</v>
      </c>
      <c r="BD39" s="583">
        <f t="shared" si="21"/>
        <v>29782</v>
      </c>
      <c r="BE39" s="583">
        <f t="shared" si="21"/>
        <v>31438</v>
      </c>
      <c r="BF39" s="583">
        <f t="shared" si="21"/>
        <v>27552</v>
      </c>
      <c r="BG39" s="583">
        <f t="shared" si="21"/>
        <v>29301</v>
      </c>
      <c r="BH39" s="583">
        <f t="shared" si="21"/>
        <v>34867</v>
      </c>
      <c r="BI39" s="583">
        <f t="shared" si="21"/>
        <v>36730</v>
      </c>
      <c r="BJ39" s="583">
        <f t="shared" si="21"/>
        <v>35047</v>
      </c>
      <c r="BK39" s="583">
        <f t="shared" si="21"/>
        <v>35857</v>
      </c>
      <c r="BL39" s="583">
        <f t="shared" si="23"/>
        <v>37942</v>
      </c>
      <c r="BM39" s="583">
        <f t="shared" si="23"/>
        <v>37970</v>
      </c>
      <c r="BN39" s="583">
        <f t="shared" si="23"/>
        <v>41310</v>
      </c>
      <c r="BO39" s="583">
        <f t="shared" si="8"/>
        <v>42017</v>
      </c>
      <c r="BP39" s="583">
        <f t="shared" si="9"/>
        <v>44850</v>
      </c>
      <c r="BQ39" s="584">
        <f t="shared" si="9"/>
        <v>38760</v>
      </c>
      <c r="BR39" s="877">
        <f>BP39/BO39*100-100</f>
        <v>6.7425089844586665</v>
      </c>
      <c r="BS39" s="175" t="s">
        <v>34</v>
      </c>
    </row>
    <row r="40" spans="1:71" ht="12.75" customHeight="1">
      <c r="A40" s="1067" t="s">
        <v>330</v>
      </c>
      <c r="B40" s="1080"/>
      <c r="C40" s="1080"/>
      <c r="D40" s="1080"/>
      <c r="E40" s="1080"/>
      <c r="F40" s="1080"/>
      <c r="G40" s="1080"/>
      <c r="H40" s="1080"/>
      <c r="I40" s="1080"/>
      <c r="J40" s="1080"/>
      <c r="K40" s="1080"/>
      <c r="L40" s="1080"/>
      <c r="M40" s="1080"/>
      <c r="N40" s="1080"/>
      <c r="O40" s="1080"/>
      <c r="P40" s="1080"/>
      <c r="Q40" s="1080"/>
      <c r="R40" s="1080"/>
      <c r="S40" s="1080"/>
      <c r="T40" s="1080"/>
      <c r="U40" s="1080"/>
      <c r="V40" s="1080"/>
      <c r="W40" s="1080"/>
      <c r="X40" s="1080"/>
      <c r="Y40" s="1080"/>
      <c r="Z40" s="1080"/>
      <c r="AA40" s="1080"/>
      <c r="AB40" s="1080"/>
      <c r="AC40" s="1080"/>
      <c r="AD40" s="1080"/>
      <c r="AE40" s="1080"/>
      <c r="AF40" s="1080"/>
      <c r="AG40" s="1080"/>
      <c r="AH40" s="1080"/>
      <c r="AI40" s="1080"/>
      <c r="AJ40" s="1080"/>
      <c r="AK40" s="1080"/>
      <c r="AL40" s="1080"/>
      <c r="AM40" s="1080"/>
      <c r="AN40" s="1080"/>
      <c r="AO40" s="1080"/>
      <c r="AP40" s="1080"/>
      <c r="AQ40" s="1080"/>
      <c r="AR40" s="1080"/>
      <c r="AS40" s="1080"/>
      <c r="AT40" s="1080"/>
      <c r="AU40" s="1080"/>
      <c r="BR40" s="613"/>
    </row>
    <row r="41" spans="1:71" ht="12.75" customHeight="1">
      <c r="A41" s="180" t="s">
        <v>326</v>
      </c>
      <c r="W41" s="60"/>
    </row>
    <row r="42" spans="1:71" ht="15" customHeight="1">
      <c r="A42" s="54" t="s">
        <v>194</v>
      </c>
      <c r="U42" s="1"/>
      <c r="BO42" s="616"/>
      <c r="BP42" s="616"/>
      <c r="BQ42" s="616"/>
      <c r="BR42" s="1"/>
    </row>
    <row r="43" spans="1:71" ht="11.25" customHeight="1">
      <c r="A43" s="3" t="s">
        <v>186</v>
      </c>
    </row>
    <row r="44" spans="1:71" ht="11.25" customHeight="1">
      <c r="A44" s="3"/>
    </row>
    <row r="45" spans="1:71" ht="17.25" customHeight="1">
      <c r="S45" s="79"/>
      <c r="BP45" s="1"/>
      <c r="BQ45" s="1"/>
    </row>
  </sheetData>
  <mergeCells count="11">
    <mergeCell ref="BR4:BR6"/>
    <mergeCell ref="A2:BN2"/>
    <mergeCell ref="A3:BN3"/>
    <mergeCell ref="BA4:BN5"/>
    <mergeCell ref="A40:AU40"/>
    <mergeCell ref="B4:P4"/>
    <mergeCell ref="B5:P5"/>
    <mergeCell ref="S4:AG4"/>
    <mergeCell ref="S5:AG5"/>
    <mergeCell ref="AJ4:AX4"/>
    <mergeCell ref="AJ5:AX5"/>
  </mergeCells>
  <phoneticPr fontId="4" type="noConversion"/>
  <printOptions horizontalCentered="1"/>
  <pageMargins left="0.6692913385826772" right="0.6692913385826772" top="0.4" bottom="0.16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T2.6</vt:lpstr>
      <vt:lpstr>motorisation</vt:lpstr>
      <vt:lpstr>stock_cars</vt:lpstr>
      <vt:lpstr>stock_bus</vt:lpstr>
      <vt:lpstr>stock_busses</vt:lpstr>
      <vt:lpstr>stock_goods</vt:lpstr>
      <vt:lpstr>stock_mbike</vt:lpstr>
      <vt:lpstr>car_reg</vt:lpstr>
      <vt:lpstr>comm_reg</vt:lpstr>
      <vt:lpstr>bus_reg</vt:lpstr>
      <vt:lpstr>mbike_reg</vt:lpstr>
      <vt:lpstr>moped_del</vt:lpstr>
      <vt:lpstr>sea_fleet_eu</vt:lpstr>
      <vt:lpstr>sea_world_region</vt:lpstr>
      <vt:lpstr>sea_world_type</vt:lpstr>
      <vt:lpstr>aircraft_passeng</vt:lpstr>
      <vt:lpstr>aircraft_other</vt:lpstr>
      <vt:lpstr>stock_loco</vt:lpstr>
      <vt:lpstr>stock_railcar</vt:lpstr>
      <vt:lpstr>stock_railgood</vt:lpstr>
      <vt:lpstr>T2.6!A</vt:lpstr>
      <vt:lpstr>aircraft_other!Print_Area</vt:lpstr>
      <vt:lpstr>aircraft_passeng!Print_Area</vt:lpstr>
      <vt:lpstr>bus_reg!Print_Area</vt:lpstr>
      <vt:lpstr>car_reg!Print_Area</vt:lpstr>
      <vt:lpstr>comm_reg!Print_Area</vt:lpstr>
      <vt:lpstr>mbike_reg!Print_Area</vt:lpstr>
      <vt:lpstr>moped_del!Print_Area</vt:lpstr>
      <vt:lpstr>motorisation!Print_Area</vt:lpstr>
      <vt:lpstr>sea_fleet_eu!Print_Area</vt:lpstr>
      <vt:lpstr>sea_world_region!Print_Area</vt:lpstr>
      <vt:lpstr>sea_world_type!Print_Area</vt:lpstr>
      <vt:lpstr>stock_bus!Print_Area</vt:lpstr>
      <vt:lpstr>stock_cars!Print_Area</vt:lpstr>
      <vt:lpstr>stock_goods!Print_Area</vt:lpstr>
      <vt:lpstr>stock_mbike!Print_Area</vt:lpstr>
      <vt:lpstr>stock_railcar!Print_Area</vt:lpstr>
      <vt:lpstr>stock_railgood!Print_Area</vt:lpstr>
      <vt:lpstr>T2.6!Print_Area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georgpi</dc:creator>
  <cp:lastModifiedBy>LUPU Iuliana (MOVE)</cp:lastModifiedBy>
  <cp:lastPrinted>2013-02-18T14:00:29Z</cp:lastPrinted>
  <dcterms:created xsi:type="dcterms:W3CDTF">2003-09-05T14:33:05Z</dcterms:created>
  <dcterms:modified xsi:type="dcterms:W3CDTF">2021-09-13T11:41:14Z</dcterms:modified>
</cp:coreProperties>
</file>