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85" windowWidth="14400" windowHeight="11655" tabRatio="921" firstSheet="10" activeTab="18"/>
  </bookViews>
  <sheets>
    <sheet name="T2.6" sheetId="1" r:id="rId1"/>
    <sheet name="motorisation" sheetId="2" r:id="rId2"/>
    <sheet name="stock_cars" sheetId="3" r:id="rId3"/>
    <sheet name="stock_bus" sheetId="4" r:id="rId4"/>
    <sheet name="stock_goods" sheetId="5" r:id="rId5"/>
    <sheet name="stock_mbike" sheetId="6" r:id="rId6"/>
    <sheet name="car_reg" sheetId="7" r:id="rId7"/>
    <sheet name="comm_reg" sheetId="8" r:id="rId8"/>
    <sheet name="bus_reg" sheetId="9" r:id="rId9"/>
    <sheet name="mbike_reg" sheetId="10" r:id="rId10"/>
    <sheet name="moped_del" sheetId="11" r:id="rId11"/>
    <sheet name="sea_fleet_eu" sheetId="12" r:id="rId12"/>
    <sheet name="sea_world_region" sheetId="13" r:id="rId13"/>
    <sheet name="sea_world_type" sheetId="14" r:id="rId14"/>
    <sheet name="aircraft_passeng" sheetId="15" r:id="rId15"/>
    <sheet name="aircraft_other" sheetId="16" r:id="rId16"/>
    <sheet name="stock_loco" sheetId="17" r:id="rId17"/>
    <sheet name="stock_railcar" sheetId="18" r:id="rId18"/>
    <sheet name="stock_railgood" sheetId="19" r:id="rId19"/>
  </sheets>
  <definedNames>
    <definedName name="A" localSheetId="0">'T2.6'!$A$65501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5">'aircraft_other'!$B$1:$H$50</definedName>
    <definedName name="_xlnm.Print_Area" localSheetId="14">'aircraft_passeng'!$B$1:$H$47</definedName>
    <definedName name="_xlnm.Print_Area" localSheetId="8">'bus_reg'!$B$1:$AS$41</definedName>
    <definedName name="_xlnm.Print_Area" localSheetId="6">'car_reg'!$B$1:$Z$43</definedName>
    <definedName name="_xlnm.Print_Area" localSheetId="7">'comm_reg'!$B$1:$AH$41</definedName>
    <definedName name="_xlnm.Print_Area" localSheetId="9">'mbike_reg'!$B$1:$S$45</definedName>
    <definedName name="_xlnm.Print_Area" localSheetId="10">'moped_del'!$B$1:$V$44</definedName>
    <definedName name="_xlnm.Print_Area" localSheetId="1">'motorisation'!$A$1:$AH$46</definedName>
    <definedName name="_xlnm.Print_Area" localSheetId="11">'sea_fleet_eu'!$B$1:$K$46</definedName>
    <definedName name="_xlnm.Print_Area" localSheetId="12">'sea_world_region'!$B$1:$L$21</definedName>
    <definedName name="_xlnm.Print_Area" localSheetId="13">'sea_world_type'!$B$1:$L$41</definedName>
    <definedName name="_xlnm.Print_Area" localSheetId="3">'stock_bus'!$B$1:$Z$46</definedName>
    <definedName name="_xlnm.Print_Area" localSheetId="2">'stock_cars'!$A$1:$Z$48</definedName>
    <definedName name="_xlnm.Print_Area" localSheetId="4">'stock_goods'!$B$1:$Z$46</definedName>
    <definedName name="_xlnm.Print_Area" localSheetId="16">'stock_loco'!#REF!</definedName>
    <definedName name="_xlnm.Print_Area" localSheetId="5">'stock_mbike'!$B$1:$S$46</definedName>
    <definedName name="_xlnm.Print_Area" localSheetId="17">'stock_railcar'!$B$1:$Z$46</definedName>
    <definedName name="_xlnm.Print_Area" localSheetId="18">'stock_railgood'!$B$1:$N$44</definedName>
    <definedName name="_xlnm.Print_Area" localSheetId="0">'T2.6'!$A$1:$D$33</definedName>
    <definedName name="TABLE" localSheetId="16">'stock_loco'!#REF!</definedName>
    <definedName name="TABLE_2" localSheetId="16">'stock_loco'!#REF!</definedName>
  </definedNames>
  <calcPr fullCalcOnLoad="1"/>
</workbook>
</file>

<file path=xl/sharedStrings.xml><?xml version="1.0" encoding="utf-8"?>
<sst xmlns="http://schemas.openxmlformats.org/spreadsheetml/2006/main" count="2152" uniqueCount="316">
  <si>
    <t>Notes:</t>
  </si>
  <si>
    <t>MK</t>
  </si>
  <si>
    <t>change</t>
  </si>
  <si>
    <t>thousand</t>
  </si>
  <si>
    <t>Light commercial vehicles</t>
  </si>
  <si>
    <t>Commercial Vehicles</t>
  </si>
  <si>
    <t>Heavy Commercial Vehicles</t>
  </si>
  <si>
    <t>&lt; 3.5t</t>
  </si>
  <si>
    <t>&gt; 3,5t &amp; &lt; 16t</t>
  </si>
  <si>
    <t>&gt; 16t</t>
  </si>
  <si>
    <t>Number of passenger cars per 1000 inhabitants</t>
  </si>
  <si>
    <t>Road : Passenger Cars</t>
  </si>
  <si>
    <t>Stock of vehicles</t>
  </si>
  <si>
    <t>Road : Buses and Coaches</t>
  </si>
  <si>
    <t xml:space="preserve">    Road : Goods Vehicles</t>
  </si>
  <si>
    <t>Road : Powered Two-wheelers</t>
  </si>
  <si>
    <t>Rail : Locomotives and Railcars</t>
  </si>
  <si>
    <t>Rail : Passenger Transport Vehicles</t>
  </si>
  <si>
    <t>Rail : Goods Transport Wagons</t>
  </si>
  <si>
    <t>Sea : EU Merchant Fleet</t>
  </si>
  <si>
    <t>Total fleet controlled</t>
  </si>
  <si>
    <t>Number</t>
  </si>
  <si>
    <t>mio dwt</t>
  </si>
  <si>
    <t>Sea : World Merchant Fleet</t>
  </si>
  <si>
    <t>Europe*</t>
  </si>
  <si>
    <t>North America</t>
  </si>
  <si>
    <t>Latin America</t>
  </si>
  <si>
    <t>Asia/Oceania</t>
  </si>
  <si>
    <t>Africa</t>
  </si>
  <si>
    <t>Unknown</t>
  </si>
  <si>
    <t>(ships of 300 gt and over)</t>
  </si>
  <si>
    <t>Bulk carriers</t>
  </si>
  <si>
    <t>General cargo</t>
  </si>
  <si>
    <t>(ships of 1000 gt and over)</t>
  </si>
  <si>
    <t xml:space="preserve">Passenger aircraft </t>
  </si>
  <si>
    <t>50 seats or less</t>
  </si>
  <si>
    <t>51 to 150 seats</t>
  </si>
  <si>
    <t>151 to 250 seats</t>
  </si>
  <si>
    <t>251 seats and more</t>
  </si>
  <si>
    <t>Freight / Cargo</t>
  </si>
  <si>
    <t>Quick-change convertible</t>
  </si>
  <si>
    <t xml:space="preserve">Special purpose / Ambulance </t>
  </si>
  <si>
    <t>Business / Corporate / Executive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</si>
  <si>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</si>
  <si>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</si>
  <si>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</si>
  <si>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</si>
  <si>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</si>
  <si>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</si>
  <si>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</si>
  <si>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</si>
  <si>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</si>
  <si>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</si>
  <si>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</si>
  <si>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</si>
  <si>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</si>
  <si>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</si>
  <si>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</si>
  <si>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</si>
  <si>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</si>
  <si>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</si>
  <si>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</si>
  <si>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</si>
  <si>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</si>
  <si>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</si>
  <si>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</si>
  <si>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</si>
  <si>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</si>
  <si>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</si>
  <si>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</si>
  <si>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</si>
  <si>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</si>
  <si>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</si>
  <si>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</si>
  <si>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</si>
  <si>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</si>
  <si>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HR</t>
  </si>
  <si>
    <t>World</t>
  </si>
  <si>
    <t>Total</t>
  </si>
  <si>
    <t>More than 30 000 small private planes not included.</t>
  </si>
  <si>
    <t>(1)</t>
  </si>
  <si>
    <t>Note:</t>
  </si>
  <si>
    <t xml:space="preserve">  </t>
  </si>
  <si>
    <t>LI</t>
  </si>
  <si>
    <t xml:space="preserve">   of which: </t>
  </si>
  <si>
    <t>Reefer</t>
  </si>
  <si>
    <t>Ro-Ro: vehicles roll on to embark, vehicles roll off to disembark.</t>
  </si>
  <si>
    <t>Liquid gas tankers</t>
  </si>
  <si>
    <t>Ore/ bulk / oil carriers</t>
  </si>
  <si>
    <t>Container ships</t>
  </si>
  <si>
    <t>Reefer: refrigerated ships.</t>
  </si>
  <si>
    <t>New vehicle registrations</t>
  </si>
  <si>
    <t>Road : Motorcycles</t>
  </si>
  <si>
    <t>Road : Mopeds</t>
  </si>
  <si>
    <t>Number of Civil Aircraft In Service</t>
  </si>
  <si>
    <t>New vehicle deliveries</t>
  </si>
  <si>
    <t>On 1st January:</t>
  </si>
  <si>
    <t>Total controlled fleet by world region</t>
  </si>
  <si>
    <t>World region</t>
  </si>
  <si>
    <t>Share of EU in Total and of Foreign Flag in EU</t>
  </si>
  <si>
    <t>Light buses and coaches</t>
  </si>
  <si>
    <t>Buses and coaches</t>
  </si>
  <si>
    <t>Heavy buses and coaches</t>
  </si>
  <si>
    <t>&lt;3.5t</t>
  </si>
  <si>
    <t>%</t>
  </si>
  <si>
    <t>Data relate to main railways (UIC members)</t>
  </si>
  <si>
    <t>(passenger / cargo)</t>
  </si>
  <si>
    <t>mtow</t>
  </si>
  <si>
    <t>Multi-role</t>
  </si>
  <si>
    <r>
      <t>mtow</t>
    </r>
    <r>
      <rPr>
        <sz val="8"/>
        <rFont val="Arial"/>
        <family val="2"/>
      </rPr>
      <t>: maximum take-off weight</t>
    </r>
  </si>
  <si>
    <t>Total fleet</t>
  </si>
  <si>
    <t>2007*</t>
  </si>
  <si>
    <t>Stock of registered vehicles</t>
  </si>
  <si>
    <t>In this table blank means none.</t>
  </si>
  <si>
    <t>EUROPEAN UNION</t>
  </si>
  <si>
    <t>European Commission</t>
  </si>
  <si>
    <t>Means of Transport</t>
  </si>
  <si>
    <t>Road: Passenger Cars : Stock of Vehicles</t>
  </si>
  <si>
    <t>Road: Buses and Coaches : Stock of Vehicles</t>
  </si>
  <si>
    <t>Road: Goods Vehicles : Stock of Vehicles</t>
  </si>
  <si>
    <t>Road: Powered Two-wheelers : Stock of Vehicles</t>
  </si>
  <si>
    <t>Road: Passenger Cars : New Vehicle Registrations</t>
  </si>
  <si>
    <t>Road: Goods Vehicles : New Vehicle Registrations</t>
  </si>
  <si>
    <t>Road: Buses and Coaches : New Vehicle Registrations</t>
  </si>
  <si>
    <t>Road: Motorcycles : New Vehicle Registrations</t>
  </si>
  <si>
    <t>Road: Mopeds : New Vehicle Deliveries</t>
  </si>
  <si>
    <t>Sea:  EU Merchant Fleet</t>
  </si>
  <si>
    <t>Sea:  World Merchant Fleet by World Region</t>
  </si>
  <si>
    <t>Sea:  World Merchant Fleet by Type of Ship</t>
  </si>
  <si>
    <t>Rail: Passenger Transport Vehicles: Stocks of  Coaches, Railcars and Trailers</t>
  </si>
  <si>
    <t>Rail: Goods Transport Wagons : Stock of Vehicles</t>
  </si>
  <si>
    <r>
      <t xml:space="preserve">in co-operation with </t>
    </r>
    <r>
      <rPr>
        <b/>
        <sz val="10"/>
        <rFont val="Arial"/>
        <family val="2"/>
      </rPr>
      <t>Eurostat</t>
    </r>
  </si>
  <si>
    <r>
      <t>Source</t>
    </r>
    <r>
      <rPr>
        <sz val="8"/>
        <rFont val="Arial"/>
        <family val="2"/>
      </rPr>
      <t>: Association des Constructeurs Européens d'Automobiles (ACEA), national sources</t>
    </r>
  </si>
  <si>
    <r>
      <t>For transport of goods and passengers: fleet by type of ship and country of domicile</t>
    </r>
    <r>
      <rPr>
        <sz val="10"/>
        <rFont val="Arial"/>
        <family val="2"/>
      </rPr>
      <t xml:space="preserve">, numbers and deadweight </t>
    </r>
  </si>
  <si>
    <t>Tankers</t>
  </si>
  <si>
    <t>Passenger and passenger cargo</t>
  </si>
  <si>
    <t>Cargo passenger and Ro-Ro passenger ships</t>
  </si>
  <si>
    <t>2008*</t>
  </si>
  <si>
    <t>(1) figures included in other categories</t>
  </si>
  <si>
    <t>Road : Motorisation</t>
  </si>
  <si>
    <t>Directorate-General for Mobility and Transport</t>
  </si>
  <si>
    <t>TRANSPORT IN FIGURES</t>
  </si>
  <si>
    <t>Part 2  :  TRANSPORT</t>
  </si>
  <si>
    <t>Chapter 2.6  :</t>
  </si>
  <si>
    <t>2.6.1</t>
  </si>
  <si>
    <t>Road: Motorisation : Number of Passenger Cars per 1000 Inhabitants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</si>
  <si>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</si>
  <si>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</si>
  <si>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</si>
  <si>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</si>
  <si>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</si>
  <si>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</si>
  <si>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</si>
  <si>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</si>
  <si>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</si>
  <si>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2.6.11</t>
  </si>
  <si>
    <t>2.6.12a</t>
  </si>
  <si>
    <t>2.6.12b</t>
  </si>
  <si>
    <t>2.6.13</t>
  </si>
  <si>
    <t>Air:   Passenger Aircraft : Number in Service</t>
  </si>
  <si>
    <t>2.6.14</t>
  </si>
  <si>
    <t>Air:   Freight, Special,  Business Aircraft : Number in Service</t>
  </si>
  <si>
    <t>2.6.15</t>
  </si>
  <si>
    <t>Rail: Locomotives and Railcars : Stock of Vehicles</t>
  </si>
  <si>
    <t>2.6.16</t>
  </si>
  <si>
    <t>2.6.17</t>
  </si>
  <si>
    <t>Taxis are usually included.</t>
  </si>
  <si>
    <t>Only ships of 1000 gt and over</t>
  </si>
  <si>
    <r>
      <t>For transport of goods and passengers: passenger and passenger / cargo ships by registered flag</t>
    </r>
    <r>
      <rPr>
        <sz val="10"/>
        <rFont val="Arial"/>
        <family val="2"/>
      </rPr>
      <t>, numbers and gross tons</t>
    </r>
  </si>
  <si>
    <r>
      <t>Cruise ships by registered flag</t>
    </r>
    <r>
      <rPr>
        <sz val="10"/>
        <rFont val="Arial"/>
        <family val="2"/>
      </rPr>
      <t>, numbers and gross tons</t>
    </r>
  </si>
  <si>
    <t>Air : Passenger Aircraft</t>
  </si>
  <si>
    <t>Air : Freight, Special, Business Aircraft</t>
  </si>
  <si>
    <t xml:space="preserve">Stock of coaches, railcars and trailers  </t>
  </si>
  <si>
    <t>2009*</t>
  </si>
  <si>
    <r>
      <t>Source</t>
    </r>
    <r>
      <rPr>
        <sz val="8"/>
        <rFont val="Arial"/>
        <family val="2"/>
      </rPr>
      <t>: tables 2.6.2 and 1.5</t>
    </r>
  </si>
  <si>
    <r>
      <t>Notes:</t>
    </r>
  </si>
  <si>
    <r>
      <t xml:space="preserve">Stock at end of year, except for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1 August,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</si>
  <si>
    <r>
      <t>Data include buses, coaches, minibuses and sometimes also trolleybuses.</t>
    </r>
  </si>
  <si>
    <r>
      <t xml:space="preserve">Notes: </t>
    </r>
  </si>
  <si>
    <r>
      <t>As a rule, data include heavy and light goods vehicles, lorries and road tractors; due to varying concepts of such vehicles, data are not fully comparable between countries.</t>
    </r>
  </si>
  <si>
    <r>
      <t>National vehicle stock data do not always include all powered two-wheelers and are therefore not fully comparable between countries.</t>
    </r>
  </si>
  <si>
    <r>
      <t>Tricycles and quads are sometimes included in the data.</t>
    </r>
  </si>
  <si>
    <r>
      <t>dwt</t>
    </r>
    <r>
      <rPr>
        <sz val="8"/>
        <rFont val="Arial"/>
        <family val="2"/>
      </rPr>
      <t xml:space="preserve"> (million)</t>
    </r>
  </si>
  <si>
    <r>
      <t>Notes:</t>
    </r>
    <r>
      <rPr>
        <sz val="8"/>
        <rFont val="Arial"/>
        <family val="2"/>
      </rPr>
      <t xml:space="preserve"> </t>
    </r>
  </si>
  <si>
    <r>
      <t xml:space="preserve">gt </t>
    </r>
    <r>
      <rPr>
        <sz val="8"/>
        <rFont val="Arial"/>
        <family val="2"/>
      </rPr>
      <t>(1000)</t>
    </r>
  </si>
  <si>
    <r>
      <t>Source</t>
    </r>
    <r>
      <rPr>
        <sz val="8"/>
        <rFont val="Arial"/>
        <family val="2"/>
      </rPr>
      <t>: Institute for Shipping Economics and Logistics, Bremen</t>
    </r>
  </si>
  <si>
    <r>
      <t>Special purpose / Ambulance</t>
    </r>
    <r>
      <rPr>
        <sz val="8"/>
        <rFont val="Arial"/>
        <family val="2"/>
      </rPr>
      <t>: contains data about Hospital / Ambulance / Medevac and Special Role / Operations / Mission aircraft.</t>
    </r>
  </si>
  <si>
    <t xml:space="preserve">Passenger (not Ro-Ro) </t>
  </si>
  <si>
    <t>Road: Goods vehicles</t>
  </si>
  <si>
    <t>2010*</t>
  </si>
  <si>
    <t>2010</t>
  </si>
  <si>
    <t>2011</t>
  </si>
  <si>
    <t>Belgium</t>
  </si>
  <si>
    <t>Bulgaria</t>
  </si>
  <si>
    <t>Czech Republic</t>
  </si>
  <si>
    <t>: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</si>
  <si>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</si>
  <si>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</si>
  <si>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</si>
  <si>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</si>
  <si>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</si>
  <si>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</si>
  <si>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</si>
  <si>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</si>
  <si>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</si>
  <si>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</si>
  <si>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</si>
  <si>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</si>
  <si>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</si>
  <si>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</si>
  <si>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</si>
  <si>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</si>
  <si>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</si>
  <si>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</si>
  <si>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</si>
  <si>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</si>
  <si>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</si>
  <si>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</si>
  <si>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</si>
  <si>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</si>
  <si>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</si>
  <si>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</si>
  <si>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</si>
  <si>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Croatia</t>
  </si>
  <si>
    <t>Former Yugoslav Republic of Macedonia, the</t>
  </si>
  <si>
    <t>Turkey</t>
  </si>
  <si>
    <t>not available</t>
  </si>
  <si>
    <r>
      <t>Source</t>
    </r>
    <r>
      <rPr>
        <sz val="8"/>
        <rFont val="Arial"/>
        <family val="2"/>
      </rPr>
      <t xml:space="preserve">: Eurostat,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</si>
  <si>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Eurostat, national statistics, United Nations Economic Commission for Europe, estimates </t>
    </r>
    <r>
      <rPr>
        <i/>
        <sz val="8"/>
        <rFont val="Arial"/>
        <family val="2"/>
      </rPr>
      <t>(in italics)</t>
    </r>
  </si>
  <si>
    <t>Lorries</t>
  </si>
  <si>
    <t>Road tractors</t>
  </si>
  <si>
    <r>
      <t>Source</t>
    </r>
    <r>
      <rPr>
        <sz val="8"/>
        <rFont val="Arial"/>
        <family val="2"/>
      </rPr>
      <t xml:space="preserve">:  Eurostat,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</si>
  <si>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National flag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</si>
  <si>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  <r>
      <rPr>
        <sz val="8"/>
        <rFont val="Arial"/>
        <family val="2"/>
      </rPr>
      <t xml:space="preserve"> including international registers like NIS and DIS. Including vessels registered at territorial dependencies.</t>
    </r>
  </si>
  <si>
    <r>
      <t xml:space="preserve">Foreign flag         </t>
    </r>
    <r>
      <rPr>
        <sz val="8"/>
        <rFont val="Arial"/>
        <family val="2"/>
      </rPr>
      <t>(including other EU)</t>
    </r>
  </si>
  <si>
    <t>Special value:</t>
  </si>
  <si>
    <t>2011*</t>
  </si>
  <si>
    <t xml:space="preserve">% of foreign flag in total fleet </t>
  </si>
  <si>
    <r>
      <t>Source</t>
    </r>
    <r>
      <rPr>
        <sz val="8"/>
        <rFont val="Arial"/>
        <family val="2"/>
      </rPr>
      <t xml:space="preserve">: Association des Constructeurs Européens d'Automobiles (ACEA), Eurostat, national sources, </t>
    </r>
    <r>
      <rPr>
        <i/>
        <sz val="8"/>
        <rFont val="Arial"/>
        <family val="2"/>
      </rPr>
      <t>estimates (in italics)</t>
    </r>
  </si>
  <si>
    <t>RS</t>
  </si>
  <si>
    <t>ME</t>
  </si>
  <si>
    <r>
      <t xml:space="preserve">Stock at end of year, except for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1 August (1 July in 2012),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</si>
  <si>
    <r>
      <rPr>
        <b/>
        <sz val="8"/>
        <rFont val="Arial"/>
        <family val="2"/>
      </rPr>
      <t>HR:</t>
    </r>
    <r>
      <rPr>
        <sz val="8"/>
        <rFont val="Arial"/>
        <family val="2"/>
      </rPr>
      <t xml:space="preserve"> from 2009 light vans are included in passenger cars and no longer in Goods Vehicles</t>
    </r>
  </si>
  <si>
    <t>TIME</t>
  </si>
  <si>
    <t>2012</t>
  </si>
  <si>
    <t>GEO/VEHICLE</t>
  </si>
  <si>
    <t>Germany (until 1990 former territory of the FRG)</t>
  </si>
  <si>
    <r>
      <t xml:space="preserve">Stock at end of year, except for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</si>
  <si>
    <r>
      <t>Source</t>
    </r>
    <r>
      <rPr>
        <sz val="8"/>
        <rFont val="Arial"/>
        <family val="2"/>
      </rPr>
      <t xml:space="preserve">: Association des Constructeurs Européens d'Automobiles (ACEA), national sources, estimates </t>
    </r>
    <r>
      <rPr>
        <i/>
        <sz val="8"/>
        <rFont val="Arial"/>
        <family val="2"/>
      </rPr>
      <t>(italics)</t>
    </r>
  </si>
  <si>
    <r>
      <t>*:</t>
    </r>
    <r>
      <rPr>
        <sz val="8"/>
        <rFont val="Arial"/>
        <family val="2"/>
      </rPr>
      <t xml:space="preserve"> In this table Europe includes EU-28, EFTA, Monaco, Gibraltar, Andorra, Turkey, Western Balkan countries, Russia, Ukraine and Moldavia</t>
    </r>
  </si>
  <si>
    <r>
      <t xml:space="preserve">***: </t>
    </r>
    <r>
      <rPr>
        <sz val="8"/>
        <rFont val="Arial"/>
        <family val="2"/>
      </rPr>
      <t>foreign flag share includes ships registered by EU countries in other EU countries</t>
    </r>
  </si>
  <si>
    <t>2012*</t>
  </si>
  <si>
    <t>AL</t>
  </si>
  <si>
    <t>EU-28</t>
  </si>
  <si>
    <t>of which:  EU-28**</t>
  </si>
  <si>
    <t>EU-28** control of total</t>
  </si>
  <si>
    <t>EU-28** : Foreign flag share ***</t>
  </si>
  <si>
    <t>**: EU-28 since 2012</t>
  </si>
  <si>
    <r>
      <t xml:space="preserve">Source: </t>
    </r>
    <r>
      <rPr>
        <sz val="8"/>
        <rFont val="Arial"/>
        <family val="2"/>
      </rPr>
      <t>Association des Constructeurs Européens de Motocycles (ACEM), Eurostat, national sources, estimates</t>
    </r>
    <r>
      <rPr>
        <i/>
        <sz val="8"/>
        <rFont val="Arial"/>
        <family val="2"/>
      </rPr>
      <t xml:space="preserve"> (in italics)</t>
    </r>
  </si>
  <si>
    <t xml:space="preserve">New vehicle registrations </t>
  </si>
  <si>
    <r>
      <t>Source</t>
    </r>
    <r>
      <rPr>
        <sz val="8"/>
        <rFont val="Arial"/>
        <family val="2"/>
      </rPr>
      <t xml:space="preserve">: Association des Constructeurs Européens de Motocycles (ACEM), national sources, estimates </t>
    </r>
    <r>
      <rPr>
        <i/>
        <sz val="8"/>
        <rFont val="Arial"/>
        <family val="2"/>
      </rPr>
      <t>(in italics)</t>
    </r>
    <r>
      <rPr>
        <sz val="8"/>
        <rFont val="Arial"/>
        <family val="2"/>
      </rPr>
      <t xml:space="preserve">. Official statistics on mopeds are often unavailable, therefore data and estimates should be considered as indicative. </t>
    </r>
  </si>
  <si>
    <r>
      <t xml:space="preserve">Notes: </t>
    </r>
    <r>
      <rPr>
        <sz val="8"/>
        <rFont val="Arial"/>
        <family val="2"/>
      </rPr>
      <t>Passenger car stock at end of year n divided by the population on 1 January of year n+1</t>
    </r>
  </si>
  <si>
    <t>under 
100 000lbs</t>
  </si>
  <si>
    <t>over 
100 000lbs</t>
  </si>
  <si>
    <t>2013*</t>
  </si>
  <si>
    <r>
      <t>Source:</t>
    </r>
    <r>
      <rPr>
        <sz val="8"/>
        <rFont val="Arial"/>
        <family val="2"/>
      </rPr>
      <t xml:space="preserve"> ISL, up to 2011 based on quarterly updates from IHS Fairplay, since 2012 on Clarkson Research Services Limited (CRSL)</t>
    </r>
  </si>
  <si>
    <t>Crude oil and oil product tankers</t>
  </si>
  <si>
    <t>Oil / chemical tankers</t>
  </si>
  <si>
    <t>Conventional cargo</t>
  </si>
  <si>
    <t>Special cargo (*)</t>
  </si>
  <si>
    <t>Pure car carriers</t>
  </si>
  <si>
    <t>Ro-Ro cargo</t>
  </si>
  <si>
    <t>(*) Including open hatch carriers.</t>
  </si>
  <si>
    <r>
      <rPr>
        <b/>
        <sz val="8"/>
        <rFont val="Arial"/>
        <family val="2"/>
      </rPr>
      <t>EE,  FR:</t>
    </r>
    <r>
      <rPr>
        <sz val="8"/>
        <rFont val="Arial"/>
        <family val="2"/>
      </rPr>
      <t xml:space="preserve"> include special purpose vehicles.</t>
    </r>
  </si>
  <si>
    <r>
      <t>Source</t>
    </r>
    <r>
      <rPr>
        <sz val="8"/>
        <rFont val="Arial"/>
        <family val="2"/>
      </rPr>
      <t>: ISL, based on updates from Clarkson Research Services Limited (CRSL)</t>
    </r>
  </si>
  <si>
    <t>(**) No deadweight figure is given for cruise ships, since dwt is a measure of the weight admissible in the vessel.</t>
  </si>
  <si>
    <t>2014*</t>
  </si>
  <si>
    <r>
      <t>RO</t>
    </r>
    <r>
      <rPr>
        <b/>
        <sz val="8"/>
        <rFont val="Calibri"/>
        <family val="2"/>
      </rPr>
      <t>¹</t>
    </r>
  </si>
  <si>
    <r>
      <rPr>
        <b/>
        <sz val="8"/>
        <rFont val="Arial"/>
        <family val="2"/>
      </rPr>
      <t>CY:</t>
    </r>
    <r>
      <rPr>
        <sz val="8"/>
        <rFont val="Arial"/>
        <family val="2"/>
      </rPr>
      <t xml:space="preserve"> vehicle classification corresponds to "light", "heavy" and "road tractors" goods conveyance vehicles.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</si>
  <si>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 xml:space="preserve">: 1970 = 5 </t>
    </r>
    <r>
      <rPr>
        <i/>
        <sz val="8"/>
        <rFont val="Arial"/>
        <family val="2"/>
      </rPr>
      <t>000</t>
    </r>
    <r>
      <rPr>
        <sz val="8"/>
        <rFont val="Arial"/>
        <family val="2"/>
      </rPr>
      <t>; 1980 = 4 506; 1990 = 6 331</t>
    </r>
  </si>
  <si>
    <r>
      <t>CS:</t>
    </r>
    <r>
      <rPr>
        <sz val="8"/>
        <rFont val="Arial"/>
        <family val="2"/>
      </rPr>
      <t xml:space="preserve"> 1970: 4 998; 1990: 6 010</t>
    </r>
  </si>
  <si>
    <t>2015*</t>
  </si>
  <si>
    <r>
      <t>Source</t>
    </r>
    <r>
      <rPr>
        <sz val="8"/>
        <rFont val="Arial"/>
        <family val="2"/>
      </rPr>
      <t>:  Union Internationale des Chemins de Fer, Eurostat, national statistics,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</si>
  <si>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 xml:space="preserve">:  Union Internationale des Chemins de Fer, Eurostat, national statistics (own estimates in </t>
    </r>
    <r>
      <rPr>
        <i/>
        <sz val="8"/>
        <rFont val="Arial"/>
        <family val="2"/>
      </rPr>
      <t>italics</t>
    </r>
    <r>
      <rPr>
        <sz val="8"/>
        <rFont val="Arial"/>
        <family val="2"/>
      </rPr>
      <t>)</t>
    </r>
  </si>
  <si>
    <r>
      <rPr>
        <b/>
        <sz val="8"/>
        <rFont val="Arial"/>
        <family val="2"/>
      </rPr>
      <t>DE:</t>
    </r>
    <r>
      <rPr>
        <sz val="8"/>
        <rFont val="Arial"/>
        <family val="2"/>
      </rPr>
      <t xml:space="preserve"> data has been revised until 2008 due to the suspension of the dissemination of vehicle data from insurance plates.</t>
    </r>
  </si>
  <si>
    <t>Data relates to main railway undertakings. Values on this table consider the declared values of locomotives (diesel + electric) and railcars (diesel + electric) and in some cases multiple units.</t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</si>
  <si>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>: 1970=</t>
    </r>
    <r>
      <rPr>
        <i/>
        <sz val="8"/>
        <rFont val="Arial"/>
        <family val="2"/>
      </rPr>
      <t>10 000</t>
    </r>
    <r>
      <rPr>
        <sz val="8"/>
        <rFont val="Arial"/>
        <family val="2"/>
      </rPr>
      <t>,  1980=10 761,  1990=9 635</t>
    </r>
  </si>
  <si>
    <r>
      <t>CS:</t>
    </r>
    <r>
      <rPr>
        <sz val="8"/>
        <rFont val="Arial"/>
        <family val="2"/>
      </rPr>
      <t xml:space="preserve"> 1970=10 145   1990=8 597</t>
    </r>
  </si>
  <si>
    <t>2016*</t>
  </si>
  <si>
    <t>(2)</t>
  </si>
  <si>
    <r>
      <t xml:space="preserve">(1) Data included under "Light commercial vehicles"; (2) The split in </t>
    </r>
    <r>
      <rPr>
        <b/>
        <sz val="8"/>
        <rFont val="Arial"/>
        <family val="2"/>
      </rPr>
      <t xml:space="preserve">UK </t>
    </r>
    <r>
      <rPr>
        <sz val="8"/>
        <rFont val="Arial"/>
        <family val="2"/>
      </rPr>
      <t>corresponds to Light Goods Vehicles and Heavy Goods Vehicles with no further separation.</t>
    </r>
  </si>
  <si>
    <t xml:space="preserve"> (1)</t>
  </si>
  <si>
    <r>
      <t>Source</t>
    </r>
    <r>
      <rPr>
        <sz val="8"/>
        <rFont val="Arial"/>
        <family val="2"/>
      </rPr>
      <t>: Flightglobal</t>
    </r>
  </si>
  <si>
    <r>
      <t xml:space="preserve">dwt </t>
    </r>
    <r>
      <rPr>
        <sz val="8"/>
        <rFont val="Arial"/>
        <family val="2"/>
      </rPr>
      <t>(1 000)</t>
    </r>
  </si>
  <si>
    <t>Ships of 1 000 gt and over</t>
  </si>
  <si>
    <t>(ships of 1 000 gt and over)</t>
  </si>
  <si>
    <t>2019</t>
  </si>
  <si>
    <t>change 16/17</t>
  </si>
  <si>
    <t>On January 1st, 2018</t>
  </si>
  <si>
    <t>change 
16/17 %</t>
  </si>
  <si>
    <t>change 16/17
%</t>
  </si>
  <si>
    <t>change
17/18 (%)</t>
  </si>
  <si>
    <t>17/18</t>
  </si>
  <si>
    <t>Up to December 2018(**)</t>
  </si>
  <si>
    <t>On 31 December 2018</t>
  </si>
  <si>
    <r>
      <t>Source</t>
    </r>
    <r>
      <rPr>
        <sz val="8"/>
        <rFont val="Arial"/>
        <family val="2"/>
      </rPr>
      <t xml:space="preserve">:  Union Internationale des Chemins de Fer, Eurostat, </t>
    </r>
    <r>
      <rPr>
        <i/>
        <sz val="8"/>
        <rFont val="Arial"/>
        <family val="2"/>
      </rPr>
      <t>estimates (in italics); 2017 data for BE,DK, EL, LU, UK refer to the previous year</t>
    </r>
  </si>
  <si>
    <t>Change 16/17</t>
  </si>
  <si>
    <t>change 16/17 %</t>
  </si>
  <si>
    <t>2017*</t>
  </si>
  <si>
    <t>634,5 (*)</t>
  </si>
  <si>
    <t>33,7 (*)</t>
  </si>
  <si>
    <t>(*) data bot comparable between 2016 and 2017 due to  break in time series</t>
  </si>
  <si>
    <r>
      <rPr>
        <b/>
        <sz val="8"/>
        <rFont val="Arial"/>
        <family val="2"/>
      </rPr>
      <t xml:space="preserve">(*) SI: </t>
    </r>
    <r>
      <rPr>
        <sz val="8"/>
        <rFont val="Arial"/>
        <family val="2"/>
      </rPr>
      <t xml:space="preserve">data not comparable between 2016 and 2017 due  to break in time series: since May 2017 obligatory registration of mopeds with the maximum speed of 25 km/h </t>
    </r>
  </si>
  <si>
    <r>
      <t xml:space="preserve">Break in time series due to inclusion of mopeds from 2001 in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, from 2002 in </t>
    </r>
    <r>
      <rPr>
        <b/>
        <sz val="8"/>
        <rFont val="Arial"/>
        <family val="2"/>
      </rPr>
      <t xml:space="preserve">SI </t>
    </r>
    <r>
      <rPr>
        <sz val="8"/>
        <rFont val="Arial"/>
        <family val="2"/>
      </rPr>
      <t xml:space="preserve">and </t>
    </r>
    <r>
      <rPr>
        <b/>
        <sz val="8"/>
        <rFont val="Arial"/>
        <family val="2"/>
      </rPr>
      <t>HR</t>
    </r>
    <r>
      <rPr>
        <sz val="8"/>
        <rFont val="Arial"/>
        <family val="2"/>
      </rPr>
      <t xml:space="preserve">, from 2004 in </t>
    </r>
    <r>
      <rPr>
        <b/>
        <sz val="8"/>
        <rFont val="Arial"/>
        <family val="2"/>
      </rPr>
      <t>LV</t>
    </r>
    <r>
      <rPr>
        <sz val="8"/>
        <rFont val="Arial"/>
        <family val="2"/>
      </rPr>
      <t xml:space="preserve">, from 2005 in </t>
    </r>
    <r>
      <rPr>
        <b/>
        <sz val="8"/>
        <rFont val="Arial"/>
        <family val="2"/>
      </rPr>
      <t>PL</t>
    </r>
    <r>
      <rPr>
        <sz val="8"/>
        <rFont val="Arial"/>
        <family val="2"/>
      </rPr>
      <t xml:space="preserve">, from 2007 in </t>
    </r>
    <r>
      <rPr>
        <b/>
        <sz val="8"/>
        <rFont val="Arial"/>
        <family val="2"/>
      </rPr>
      <t xml:space="preserve">LT, </t>
    </r>
    <r>
      <rPr>
        <sz val="8"/>
        <rFont val="Arial"/>
        <family val="2"/>
      </rPr>
      <t xml:space="preserve">from 2009 in </t>
    </r>
    <r>
      <rPr>
        <b/>
        <sz val="8"/>
        <rFont val="Arial"/>
        <family val="2"/>
      </rPr>
      <t xml:space="preserve">SK, </t>
    </r>
    <r>
      <rPr>
        <sz val="8"/>
        <rFont val="Arial"/>
        <family val="2"/>
      </rPr>
      <t xml:space="preserve">from 2011 in </t>
    </r>
    <r>
      <rPr>
        <b/>
        <sz val="8"/>
        <rFont val="Arial"/>
        <family val="2"/>
      </rPr>
      <t>EE,</t>
    </r>
    <r>
      <rPr>
        <sz val="8"/>
        <rFont val="Arial"/>
        <family val="2"/>
      </rPr>
      <t xml:space="preserve"> from 2017 in</t>
    </r>
    <r>
      <rPr>
        <b/>
        <sz val="8"/>
        <rFont val="Arial"/>
        <family val="2"/>
      </rPr>
      <t xml:space="preserve"> BE. </t>
    </r>
  </si>
  <si>
    <r>
      <t xml:space="preserve">Notes: </t>
    </r>
    <r>
      <rPr>
        <sz val="8"/>
        <rFont val="Arial"/>
        <family val="2"/>
      </rPr>
      <t>2018 figures are in most cases provisional. 1. Data for Romania refers to sales (APIA). For registrations, see ACAROM figures at www.acea.be</t>
    </r>
  </si>
  <si>
    <r>
      <t>Source:</t>
    </r>
    <r>
      <rPr>
        <sz val="8"/>
        <rFont val="Arial"/>
        <family val="2"/>
      </rPr>
      <t xml:space="preserve"> national statistics, Association des Constructeurs Européens de Motocycles (ACEM), estimates </t>
    </r>
    <r>
      <rPr>
        <i/>
        <sz val="8"/>
        <rFont val="Arial"/>
        <family val="2"/>
      </rPr>
      <t>(in italics)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</si>
</sst>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#\ ##0"/>
    <numFmt numFmtId="168" formatCode="0.000"/>
    <numFmt numFmtId="169" formatCode="0.0%"/>
    <numFmt numFmtId="170" formatCode="#,##0.0\ \ "/>
    <numFmt numFmtId="171" formatCode="#,###,##0"/>
    <numFmt numFmtId="172" formatCode="0.0\ \ \ "/>
    <numFmt numFmtId="173" formatCode="0.00\ "/>
    <numFmt numFmtId="174" formatCode="#,##0\ "/>
    <numFmt numFmtId="175" formatCode="##0\ "/>
    <numFmt numFmtId="176" formatCode="dd\.mm\.yy"/>
    <numFmt numFmtId="177" formatCode="_-* #,##0.00\ _F_t_-;\-* #,##0.00\ _F_t_-;_-* &quot;-&quot;??\ _F_t_-;_-@_-"/>
    <numFmt numFmtId="178" formatCode="#\ ##0.0"/>
    <numFmt numFmtId="179" formatCode="#\ ###\ ###\ ###\ ##0"/>
    <numFmt numFmtId="180" formatCode="#\ ##0.000"/>
    <numFmt numFmtId="181" formatCode="#\ ###\ ##0"/>
    <numFmt numFmtId="182" formatCode="########\ ##0.0"/>
    <numFmt numFmtId="183" formatCode="###\ ##0.0"/>
    <numFmt numFmtId="184" formatCode="\(##\);\(##\)"/>
    <numFmt numFmtId="185" formatCode="##############\ ##0.0"/>
    <numFmt numFmtId="186" formatCode="####\ ##0.0"/>
    <numFmt numFmtId="187" formatCode="_-* #,##0.00\ _k_r_-;\-* #,##0.00\ _k_r_-;_-* &quot;-&quot;??\ _k_r_-;_-@_-"/>
    <numFmt numFmtId="188" formatCode="######\ ##0.0"/>
  </numFmts>
  <fonts count="9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name val="Times"/>
      <family val="1"/>
    </font>
    <font>
      <b/>
      <sz val="10"/>
      <name val="Times"/>
      <family val="1"/>
    </font>
    <font>
      <b/>
      <sz val="8"/>
      <name val="Times"/>
      <family val="1"/>
    </font>
    <font>
      <b/>
      <i/>
      <sz val="10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0"/>
      <name val="Times New Roman CE"/>
      <family val="0"/>
    </font>
    <font>
      <b/>
      <vertAlign val="superscript"/>
      <sz val="8"/>
      <name val="Arial"/>
      <family val="2"/>
    </font>
    <font>
      <sz val="10"/>
      <color indexed="8"/>
      <name val="Arial"/>
      <family val="2"/>
    </font>
    <font>
      <b/>
      <sz val="6"/>
      <color indexed="1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37"/>
      <name val="Arial"/>
      <family val="2"/>
    </font>
    <font>
      <b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u val="single"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b/>
      <sz val="12"/>
      <name val="Times New Roman"/>
      <family val="1"/>
    </font>
    <font>
      <i/>
      <sz val="8"/>
      <color indexed="38"/>
      <name val="Arial"/>
      <family val="2"/>
    </font>
    <font>
      <sz val="10"/>
      <color indexed="56"/>
      <name val="Arial"/>
      <family val="2"/>
    </font>
    <font>
      <b/>
      <vertAlign val="superscript"/>
      <sz val="12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56"/>
      <name val="Arial"/>
      <family val="2"/>
    </font>
    <font>
      <i/>
      <sz val="8"/>
      <color indexed="57"/>
      <name val="Arial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8"/>
      <name val="Calibri"/>
      <family val="2"/>
    </font>
    <font>
      <sz val="18"/>
      <color indexed="62"/>
      <name val="Cambria"/>
      <family val="2"/>
    </font>
    <font>
      <sz val="9.5"/>
      <color indexed="8"/>
      <name val="Albany AMT"/>
      <family val="0"/>
    </font>
    <font>
      <u val="single"/>
      <sz val="10"/>
      <color indexed="36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i/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.5"/>
      <color rgb="FF000000"/>
      <name val="Albany AMT"/>
      <family val="0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9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9"/>
      </patternFill>
    </fill>
    <fill>
      <patternFill patternType="solid">
        <fgColor rgb="FFFFCC99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/>
      <right style="thin"/>
      <top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ck"/>
      <top/>
      <bottom/>
    </border>
    <border>
      <left style="thick"/>
      <right/>
      <top/>
      <bottom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/>
      <top style="thin"/>
      <bottom/>
    </border>
    <border>
      <left/>
      <right style="thick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 style="hair"/>
      <top style="thin"/>
      <bottom style="thin"/>
    </border>
    <border>
      <left/>
      <right style="hair"/>
      <top/>
      <bottom/>
    </border>
    <border>
      <left style="hair"/>
      <right/>
      <top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/>
      <top style="thin"/>
      <bottom style="thin"/>
    </border>
    <border>
      <left/>
      <right/>
      <top style="thin">
        <color indexed="47"/>
      </top>
      <bottom style="thin">
        <color indexed="47"/>
      </bottom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/>
      <top/>
      <bottom style="thin"/>
    </border>
    <border>
      <left/>
      <right/>
      <top style="hair"/>
      <bottom style="thin"/>
    </border>
    <border>
      <left style="thick"/>
      <right/>
      <top style="hair"/>
      <bottom style="thin"/>
    </border>
    <border>
      <left/>
      <right style="thin"/>
      <top style="hair"/>
      <bottom style="thin"/>
    </border>
    <border>
      <left style="thick"/>
      <right style="thin"/>
      <top style="thin"/>
      <bottom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48" fillId="21" borderId="0" applyNumberFormat="0" applyBorder="0" applyAlignment="0" applyProtection="0"/>
    <xf numFmtId="0" fontId="73" fillId="22" borderId="0" applyNumberFormat="0" applyBorder="0" applyAlignment="0" applyProtection="0"/>
    <xf numFmtId="0" fontId="48" fillId="23" borderId="0" applyNumberFormat="0" applyBorder="0" applyAlignment="0" applyProtection="0"/>
    <xf numFmtId="0" fontId="73" fillId="24" borderId="0" applyNumberFormat="0" applyBorder="0" applyAlignment="0" applyProtection="0"/>
    <xf numFmtId="0" fontId="48" fillId="25" borderId="0" applyNumberFormat="0" applyBorder="0" applyAlignment="0" applyProtection="0"/>
    <xf numFmtId="0" fontId="73" fillId="26" borderId="0" applyNumberFormat="0" applyBorder="0" applyAlignment="0" applyProtection="0"/>
    <xf numFmtId="0" fontId="48" fillId="27" borderId="0" applyNumberFormat="0" applyBorder="0" applyAlignment="0" applyProtection="0"/>
    <xf numFmtId="0" fontId="73" fillId="28" borderId="0" applyNumberFormat="0" applyBorder="0" applyAlignment="0" applyProtection="0"/>
    <xf numFmtId="0" fontId="48" fillId="29" borderId="0" applyNumberFormat="0" applyBorder="0" applyAlignment="0" applyProtection="0"/>
    <xf numFmtId="0" fontId="73" fillId="30" borderId="0" applyNumberFormat="0" applyBorder="0" applyAlignment="0" applyProtection="0"/>
    <xf numFmtId="0" fontId="48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3" borderId="1" applyNumberFormat="0" applyAlignment="0" applyProtection="0"/>
    <xf numFmtId="0" fontId="0" fillId="34" borderId="0">
      <alignment/>
      <protection locked="0"/>
    </xf>
    <xf numFmtId="0" fontId="76" fillId="35" borderId="2" applyNumberFormat="0" applyAlignment="0" applyProtection="0"/>
    <xf numFmtId="49" fontId="0" fillId="36" borderId="3">
      <alignment vertical="top" wrapText="1"/>
      <protection/>
    </xf>
    <xf numFmtId="0" fontId="0" fillId="37" borderId="4">
      <alignment horizontal="center" vertical="center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9" fillId="0" borderId="0" applyFont="0" applyFill="0" applyBorder="0" applyAlignment="0" applyProtection="0"/>
    <xf numFmtId="187" fontId="0" fillId="0" borderId="0" applyFont="0" applyFill="0" applyBorder="0" applyAlignment="0" applyProtection="0"/>
    <xf numFmtId="49" fontId="0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31" fillId="38" borderId="0" applyNumberFormat="0" applyBorder="0">
      <alignment/>
      <protection locked="0"/>
    </xf>
    <xf numFmtId="3" fontId="43" fillId="0" borderId="3">
      <alignment horizontal="right" vertical="top"/>
      <protection/>
    </xf>
    <xf numFmtId="164" fontId="43" fillId="0" borderId="5">
      <alignment/>
      <protection/>
    </xf>
    <xf numFmtId="164" fontId="46" fillId="0" borderId="5">
      <alignment/>
      <protection/>
    </xf>
    <xf numFmtId="0" fontId="7" fillId="29" borderId="6">
      <alignment horizontal="centerContinuous" vertical="top" wrapText="1"/>
      <protection/>
    </xf>
    <xf numFmtId="0" fontId="47" fillId="0" borderId="0">
      <alignment horizontal="left" vertical="top"/>
      <protection/>
    </xf>
    <xf numFmtId="0" fontId="77" fillId="0" borderId="0" applyNumberFormat="0" applyFill="0" applyBorder="0" applyAlignment="0" applyProtection="0"/>
    <xf numFmtId="0" fontId="0" fillId="39" borderId="0">
      <alignment/>
      <protection locked="0"/>
    </xf>
    <xf numFmtId="0" fontId="7" fillId="37" borderId="0">
      <alignment vertical="center"/>
      <protection locked="0"/>
    </xf>
    <xf numFmtId="0" fontId="53" fillId="0" borderId="0" applyNumberFormat="0" applyFill="0" applyBorder="0" applyAlignment="0" applyProtection="0"/>
    <xf numFmtId="0" fontId="7" fillId="0" borderId="0">
      <alignment/>
      <protection locked="0"/>
    </xf>
    <xf numFmtId="0" fontId="78" fillId="40" borderId="0" applyNumberFormat="0" applyBorder="0" applyAlignment="0" applyProtection="0"/>
    <xf numFmtId="0" fontId="2" fillId="0" borderId="0">
      <alignment/>
      <protection locked="0"/>
    </xf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1" fontId="32" fillId="41" borderId="0" applyNumberFormat="0" applyBorder="0">
      <alignment horizontal="left"/>
      <protection locked="0"/>
    </xf>
    <xf numFmtId="0" fontId="83" fillId="42" borderId="1" applyNumberFormat="0" applyAlignment="0" applyProtection="0"/>
    <xf numFmtId="171" fontId="31" fillId="43" borderId="0" applyNumberFormat="0" applyBorder="0">
      <alignment horizontal="right"/>
      <protection locked="0"/>
    </xf>
    <xf numFmtId="171" fontId="84" fillId="44" borderId="0" applyNumberFormat="0" applyBorder="0">
      <alignment horizontal="right"/>
      <protection locked="0"/>
    </xf>
    <xf numFmtId="0" fontId="41" fillId="0" borderId="0">
      <alignment/>
      <protection/>
    </xf>
    <xf numFmtId="0" fontId="85" fillId="0" borderId="10" applyNumberFormat="0" applyFill="0" applyAlignment="0" applyProtection="0"/>
    <xf numFmtId="171" fontId="33" fillId="43" borderId="0" applyNumberFormat="0" applyBorder="0">
      <alignment horizontal="right"/>
      <protection locked="0"/>
    </xf>
    <xf numFmtId="171" fontId="34" fillId="43" borderId="0" applyNumberFormat="0" applyBorder="0">
      <alignment horizontal="right"/>
      <protection locked="0"/>
    </xf>
    <xf numFmtId="0" fontId="86" fillId="45" borderId="0" applyNumberFormat="0" applyBorder="0" applyAlignment="0" applyProtection="0"/>
    <xf numFmtId="0" fontId="1" fillId="0" borderId="0">
      <alignment/>
      <protection/>
    </xf>
    <xf numFmtId="0" fontId="8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 applyNumberFormat="0">
      <alignment/>
      <protection/>
    </xf>
    <xf numFmtId="0" fontId="28" fillId="0" borderId="0">
      <alignment/>
      <protection/>
    </xf>
    <xf numFmtId="0" fontId="88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0" fillId="0" borderId="0">
      <alignment/>
      <protection locked="0"/>
    </xf>
    <xf numFmtId="0" fontId="3" fillId="0" borderId="0">
      <alignment/>
      <protection/>
    </xf>
    <xf numFmtId="0" fontId="0" fillId="0" borderId="0">
      <alignment/>
      <protection/>
    </xf>
    <xf numFmtId="0" fontId="0" fillId="46" borderId="11" applyNumberFormat="0" applyFont="0" applyAlignment="0" applyProtection="0"/>
    <xf numFmtId="0" fontId="45" fillId="0" borderId="0">
      <alignment vertical="top"/>
      <protection/>
    </xf>
    <xf numFmtId="0" fontId="0" fillId="46" borderId="11" applyNumberFormat="0" applyFont="0" applyAlignment="0" applyProtection="0"/>
    <xf numFmtId="0" fontId="8" fillId="0" borderId="0">
      <alignment/>
      <protection/>
    </xf>
    <xf numFmtId="184" fontId="44" fillId="0" borderId="0">
      <alignment horizontal="right"/>
      <protection/>
    </xf>
    <xf numFmtId="0" fontId="89" fillId="33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0" fillId="37" borderId="13">
      <alignment vertical="center"/>
      <protection locked="0"/>
    </xf>
    <xf numFmtId="0" fontId="42" fillId="0" borderId="0">
      <alignment vertical="top" wrapText="1"/>
      <protection/>
    </xf>
    <xf numFmtId="0" fontId="42" fillId="0" borderId="0">
      <alignment vertical="top" wrapText="1"/>
      <protection/>
    </xf>
    <xf numFmtId="0" fontId="3" fillId="0" borderId="0">
      <alignment/>
      <protection/>
    </xf>
    <xf numFmtId="0" fontId="0" fillId="34" borderId="0">
      <alignment/>
      <protection locked="0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1" fontId="35" fillId="47" borderId="0" applyNumberFormat="0" applyBorder="0">
      <alignment horizontal="center"/>
      <protection locked="0"/>
    </xf>
    <xf numFmtId="171" fontId="12" fillId="43" borderId="0" applyNumberFormat="0" applyBorder="0">
      <alignment horizontal="left"/>
      <protection locked="0"/>
    </xf>
    <xf numFmtId="171" fontId="84" fillId="44" borderId="0" applyNumberFormat="0" applyBorder="0">
      <alignment horizontal="left"/>
      <protection locked="0"/>
    </xf>
    <xf numFmtId="171" fontId="36" fillId="38" borderId="0" applyNumberFormat="0" applyBorder="0">
      <alignment horizontal="center"/>
      <protection locked="0"/>
    </xf>
    <xf numFmtId="171" fontId="36" fillId="43" borderId="0" applyNumberFormat="0" applyBorder="0">
      <alignment horizontal="left"/>
      <protection locked="0"/>
    </xf>
    <xf numFmtId="0" fontId="11" fillId="38" borderId="0" applyNumberFormat="0" applyBorder="0">
      <alignment/>
      <protection locked="0"/>
    </xf>
    <xf numFmtId="171" fontId="11" fillId="38" borderId="0" applyNumberFormat="0" applyBorder="0">
      <alignment/>
      <protection locked="0"/>
    </xf>
    <xf numFmtId="171" fontId="12" fillId="48" borderId="0" applyNumberFormat="0" applyBorder="0">
      <alignment horizontal="left"/>
      <protection locked="0"/>
    </xf>
    <xf numFmtId="171" fontId="84" fillId="44" borderId="0" applyNumberFormat="0" applyBorder="0">
      <alignment horizontal="left"/>
      <protection locked="0"/>
    </xf>
    <xf numFmtId="171" fontId="37" fillId="38" borderId="0" applyNumberFormat="0" applyBorder="0">
      <alignment/>
      <protection locked="0"/>
    </xf>
    <xf numFmtId="0" fontId="91" fillId="0" borderId="14" applyNumberFormat="0" applyFill="0" applyAlignment="0" applyProtection="0"/>
    <xf numFmtId="171" fontId="12" fillId="49" borderId="0" applyNumberFormat="0" applyBorder="0">
      <alignment horizontal="right"/>
      <protection locked="0"/>
    </xf>
    <xf numFmtId="171" fontId="12" fillId="49" borderId="0" applyNumberFormat="0" applyBorder="0">
      <alignment/>
      <protection locked="0"/>
    </xf>
    <xf numFmtId="171" fontId="12" fillId="49" borderId="0" applyNumberFormat="0" applyBorder="0">
      <alignment/>
      <protection locked="0"/>
    </xf>
    <xf numFmtId="0" fontId="12" fillId="41" borderId="0" applyNumberFormat="0" applyBorder="0">
      <alignment/>
      <protection locked="0"/>
    </xf>
    <xf numFmtId="171" fontId="38" fillId="50" borderId="0" applyNumberFormat="0" applyBorder="0">
      <alignment/>
      <protection locked="0"/>
    </xf>
    <xf numFmtId="171" fontId="39" fillId="50" borderId="0" applyNumberFormat="0" applyBorder="0">
      <alignment/>
      <protection locked="0"/>
    </xf>
    <xf numFmtId="171" fontId="12" fillId="43" borderId="0" applyNumberFormat="0" applyBorder="0">
      <alignment/>
      <protection locked="0"/>
    </xf>
    <xf numFmtId="171" fontId="12" fillId="43" borderId="0" applyNumberFormat="0" applyBorder="0">
      <alignment/>
      <protection locked="0"/>
    </xf>
    <xf numFmtId="171" fontId="12" fillId="43" borderId="0" applyNumberFormat="0" applyBorder="0">
      <alignment/>
      <protection locked="0"/>
    </xf>
    <xf numFmtId="171" fontId="12" fillId="41" borderId="0" applyNumberFormat="0" applyBorder="0">
      <alignment/>
      <protection locked="0"/>
    </xf>
    <xf numFmtId="171" fontId="40" fillId="51" borderId="0" applyNumberFormat="0" applyBorder="0">
      <alignment/>
      <protection locked="0"/>
    </xf>
    <xf numFmtId="187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92" fillId="0" borderId="0" applyNumberFormat="0" applyFill="0" applyBorder="0" applyAlignment="0" applyProtection="0"/>
  </cellStyleXfs>
  <cellXfs count="110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 quotePrefix="1">
      <alignment horizontal="right" vertical="top"/>
    </xf>
    <xf numFmtId="0" fontId="5" fillId="0" borderId="0" xfId="0" applyFont="1" applyBorder="1" applyAlignment="1" quotePrefix="1">
      <alignment horizontal="right" vertical="top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right" vertical="top"/>
    </xf>
    <xf numFmtId="0" fontId="6" fillId="0" borderId="0" xfId="0" applyFont="1" applyBorder="1" applyAlignment="1">
      <alignment vertical="top"/>
    </xf>
    <xf numFmtId="9" fontId="5" fillId="0" borderId="0" xfId="0" applyNumberFormat="1" applyFont="1" applyAlignment="1" quotePrefix="1">
      <alignment horizontal="right" vertical="top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/>
    </xf>
    <xf numFmtId="0" fontId="0" fillId="0" borderId="0" xfId="0" applyAlignment="1">
      <alignment vertical="top"/>
    </xf>
    <xf numFmtId="1" fontId="4" fillId="52" borderId="18" xfId="0" applyNumberFormat="1" applyFont="1" applyFill="1" applyBorder="1" applyAlignment="1">
      <alignment horizontal="center" vertical="center"/>
    </xf>
    <xf numFmtId="1" fontId="4" fillId="52" borderId="17" xfId="0" applyNumberFormat="1" applyFont="1" applyFill="1" applyBorder="1" applyAlignment="1">
      <alignment horizontal="center" vertical="center"/>
    </xf>
    <xf numFmtId="1" fontId="4" fillId="52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13" fillId="53" borderId="15" xfId="0" applyFont="1" applyFill="1" applyBorder="1" applyAlignment="1">
      <alignment horizontal="center" vertical="center" wrapText="1"/>
    </xf>
    <xf numFmtId="0" fontId="13" fillId="53" borderId="16" xfId="0" applyFont="1" applyFill="1" applyBorder="1" applyAlignment="1">
      <alignment horizontal="center" vertical="center" wrapText="1"/>
    </xf>
    <xf numFmtId="0" fontId="4" fillId="53" borderId="15" xfId="0" applyFont="1" applyFill="1" applyBorder="1" applyAlignment="1">
      <alignment horizontal="center"/>
    </xf>
    <xf numFmtId="0" fontId="4" fillId="53" borderId="4" xfId="0" applyFont="1" applyFill="1" applyBorder="1" applyAlignment="1">
      <alignment horizontal="center" vertical="center"/>
    </xf>
    <xf numFmtId="0" fontId="4" fillId="53" borderId="15" xfId="0" applyFont="1" applyFill="1" applyBorder="1" applyAlignment="1">
      <alignment horizontal="center" vertical="center"/>
    </xf>
    <xf numFmtId="1" fontId="4" fillId="52" borderId="20" xfId="0" applyNumberFormat="1" applyFont="1" applyFill="1" applyBorder="1" applyAlignment="1">
      <alignment horizontal="center" vertical="center"/>
    </xf>
    <xf numFmtId="1" fontId="4" fillId="52" borderId="13" xfId="0" applyNumberFormat="1" applyFont="1" applyFill="1" applyBorder="1" applyAlignment="1">
      <alignment horizontal="center" vertical="center"/>
    </xf>
    <xf numFmtId="1" fontId="4" fillId="52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52" borderId="18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53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4" fillId="53" borderId="22" xfId="0" applyFont="1" applyFill="1" applyBorder="1" applyAlignment="1">
      <alignment horizontal="center" vertical="center"/>
    </xf>
    <xf numFmtId="0" fontId="4" fillId="53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1" fontId="4" fillId="53" borderId="24" xfId="0" applyNumberFormat="1" applyFont="1" applyFill="1" applyBorder="1" applyAlignment="1">
      <alignment horizontal="right" vertical="center"/>
    </xf>
    <xf numFmtId="171" fontId="4" fillId="53" borderId="25" xfId="0" applyNumberFormat="1" applyFont="1" applyFill="1" applyBorder="1" applyAlignment="1">
      <alignment horizontal="right" vertical="center"/>
    </xf>
    <xf numFmtId="171" fontId="3" fillId="0" borderId="24" xfId="0" applyNumberFormat="1" applyFont="1" applyFill="1" applyBorder="1" applyAlignment="1">
      <alignment vertical="center"/>
    </xf>
    <xf numFmtId="171" fontId="3" fillId="0" borderId="25" xfId="0" applyNumberFormat="1" applyFont="1" applyFill="1" applyBorder="1" applyAlignment="1">
      <alignment vertical="center"/>
    </xf>
    <xf numFmtId="171" fontId="3" fillId="53" borderId="26" xfId="0" applyNumberFormat="1" applyFont="1" applyFill="1" applyBorder="1" applyAlignment="1">
      <alignment vertical="center"/>
    </xf>
    <xf numFmtId="171" fontId="3" fillId="53" borderId="0" xfId="0" applyNumberFormat="1" applyFont="1" applyFill="1" applyBorder="1" applyAlignment="1">
      <alignment vertical="center"/>
    </xf>
    <xf numFmtId="171" fontId="3" fillId="0" borderId="26" xfId="0" applyNumberFormat="1" applyFont="1" applyFill="1" applyBorder="1" applyAlignment="1" quotePrefix="1">
      <alignment horizontal="right" vertical="center"/>
    </xf>
    <xf numFmtId="171" fontId="3" fillId="0" borderId="0" xfId="0" applyNumberFormat="1" applyFont="1" applyFill="1" applyBorder="1" applyAlignment="1" quotePrefix="1">
      <alignment horizontal="right" vertical="center"/>
    </xf>
    <xf numFmtId="171" fontId="3" fillId="0" borderId="0" xfId="0" applyNumberFormat="1" applyFont="1" applyFill="1" applyBorder="1" applyAlignment="1">
      <alignment vertical="center"/>
    </xf>
    <xf numFmtId="171" fontId="3" fillId="0" borderId="26" xfId="0" applyNumberFormat="1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horizontal="right" vertical="center"/>
    </xf>
    <xf numFmtId="171" fontId="3" fillId="0" borderId="26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/>
    </xf>
    <xf numFmtId="1" fontId="4" fillId="52" borderId="0" xfId="0" applyNumberFormat="1" applyFont="1" applyFill="1" applyBorder="1" applyAlignment="1">
      <alignment horizontal="center" vertical="center"/>
    </xf>
    <xf numFmtId="1" fontId="4" fillId="52" borderId="24" xfId="0" applyNumberFormat="1" applyFont="1" applyFill="1" applyBorder="1" applyAlignment="1">
      <alignment horizontal="center"/>
    </xf>
    <xf numFmtId="1" fontId="4" fillId="52" borderId="25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top"/>
    </xf>
    <xf numFmtId="174" fontId="3" fillId="53" borderId="23" xfId="0" applyNumberFormat="1" applyFont="1" applyFill="1" applyBorder="1" applyAlignment="1">
      <alignment horizontal="right" vertical="center"/>
    </xf>
    <xf numFmtId="0" fontId="3" fillId="52" borderId="18" xfId="0" applyFont="1" applyFill="1" applyBorder="1" applyAlignment="1">
      <alignment horizontal="center" vertical="top" wrapText="1"/>
    </xf>
    <xf numFmtId="0" fontId="3" fillId="52" borderId="19" xfId="0" applyFont="1" applyFill="1" applyBorder="1" applyAlignment="1">
      <alignment horizontal="center" vertical="top" wrapText="1"/>
    </xf>
    <xf numFmtId="0" fontId="3" fillId="52" borderId="16" xfId="0" applyFont="1" applyFill="1" applyBorder="1" applyAlignment="1">
      <alignment horizontal="center" vertical="top" wrapText="1"/>
    </xf>
    <xf numFmtId="175" fontId="9" fillId="0" borderId="0" xfId="0" applyNumberFormat="1" applyFont="1" applyFill="1" applyBorder="1" applyAlignment="1">
      <alignment horizontal="right" vertical="center"/>
    </xf>
    <xf numFmtId="0" fontId="3" fillId="52" borderId="23" xfId="0" applyFont="1" applyFill="1" applyBorder="1" applyAlignment="1">
      <alignment horizontal="center" vertical="top" wrapText="1"/>
    </xf>
    <xf numFmtId="0" fontId="3" fillId="52" borderId="4" xfId="0" applyFont="1" applyFill="1" applyBorder="1" applyAlignment="1">
      <alignment horizontal="center" vertical="top" wrapText="1"/>
    </xf>
    <xf numFmtId="0" fontId="3" fillId="52" borderId="26" xfId="0" applyFont="1" applyFill="1" applyBorder="1" applyAlignment="1">
      <alignment horizontal="center" vertical="top" wrapText="1"/>
    </xf>
    <xf numFmtId="0" fontId="14" fillId="0" borderId="0" xfId="0" applyFont="1" applyAlignment="1" quotePrefix="1">
      <alignment horizontal="left"/>
    </xf>
    <xf numFmtId="0" fontId="0" fillId="0" borderId="23" xfId="0" applyFill="1" applyBorder="1" applyAlignment="1">
      <alignment/>
    </xf>
    <xf numFmtId="0" fontId="0" fillId="0" borderId="19" xfId="0" applyFill="1" applyBorder="1" applyAlignment="1">
      <alignment/>
    </xf>
    <xf numFmtId="0" fontId="13" fillId="52" borderId="15" xfId="0" applyFont="1" applyFill="1" applyBorder="1" applyAlignment="1">
      <alignment horizontal="center" wrapText="1"/>
    </xf>
    <xf numFmtId="1" fontId="4" fillId="52" borderId="15" xfId="0" applyNumberFormat="1" applyFont="1" applyFill="1" applyBorder="1" applyAlignment="1">
      <alignment horizontal="center"/>
    </xf>
    <xf numFmtId="1" fontId="4" fillId="52" borderId="4" xfId="0" applyNumberFormat="1" applyFont="1" applyFill="1" applyBorder="1" applyAlignment="1">
      <alignment horizontal="center" vertical="center"/>
    </xf>
    <xf numFmtId="1" fontId="4" fillId="52" borderId="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7" fontId="2" fillId="0" borderId="0" xfId="0" applyNumberFormat="1" applyFont="1" applyBorder="1" applyAlignment="1" quotePrefix="1">
      <alignment horizontal="center" vertical="center" wrapText="1"/>
    </xf>
    <xf numFmtId="0" fontId="19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center"/>
    </xf>
    <xf numFmtId="172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173" fontId="0" fillId="0" borderId="0" xfId="0" applyNumberFormat="1" applyFont="1" applyAlignment="1" quotePrefix="1">
      <alignment horizontal="left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169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vertical="top"/>
    </xf>
    <xf numFmtId="174" fontId="3" fillId="0" borderId="23" xfId="0" applyNumberFormat="1" applyFont="1" applyFill="1" applyBorder="1" applyAlignment="1">
      <alignment horizontal="right" vertical="center"/>
    </xf>
    <xf numFmtId="166" fontId="3" fillId="0" borderId="25" xfId="0" applyNumberFormat="1" applyFont="1" applyFill="1" applyBorder="1" applyAlignment="1">
      <alignment horizontal="right" vertical="center"/>
    </xf>
    <xf numFmtId="166" fontId="3" fillId="53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3" fillId="0" borderId="17" xfId="0" applyNumberFormat="1" applyFont="1" applyFill="1" applyBorder="1" applyAlignment="1">
      <alignment horizontal="right" vertical="center"/>
    </xf>
    <xf numFmtId="1" fontId="4" fillId="52" borderId="26" xfId="0" applyNumberFormat="1" applyFont="1" applyFill="1" applyBorder="1" applyAlignment="1">
      <alignment horizontal="center" vertical="center"/>
    </xf>
    <xf numFmtId="166" fontId="3" fillId="0" borderId="24" xfId="0" applyNumberFormat="1" applyFont="1" applyFill="1" applyBorder="1" applyAlignment="1">
      <alignment horizontal="right" vertical="center"/>
    </xf>
    <xf numFmtId="166" fontId="3" fillId="53" borderId="26" xfId="0" applyNumberFormat="1" applyFont="1" applyFill="1" applyBorder="1" applyAlignment="1">
      <alignment horizontal="right" vertical="center"/>
    </xf>
    <xf numFmtId="166" fontId="3" fillId="0" borderId="26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166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5" fillId="0" borderId="0" xfId="0" applyNumberFormat="1" applyFont="1" applyAlignment="1" quotePrefix="1">
      <alignment horizontal="right" vertical="top"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175" fontId="4" fillId="53" borderId="0" xfId="0" applyNumberFormat="1" applyFont="1" applyFill="1" applyBorder="1" applyAlignment="1">
      <alignment horizontal="right" vertical="center"/>
    </xf>
    <xf numFmtId="175" fontId="3" fillId="53" borderId="4" xfId="0" applyNumberFormat="1" applyFont="1" applyFill="1" applyBorder="1" applyAlignment="1">
      <alignment horizontal="right" vertical="center"/>
    </xf>
    <xf numFmtId="175" fontId="3" fillId="53" borderId="26" xfId="0" applyNumberFormat="1" applyFont="1" applyFill="1" applyBorder="1" applyAlignment="1">
      <alignment horizontal="right" vertical="center"/>
    </xf>
    <xf numFmtId="175" fontId="3" fillId="53" borderId="0" xfId="0" applyNumberFormat="1" applyFont="1" applyFill="1" applyBorder="1" applyAlignment="1">
      <alignment horizontal="right" vertical="center"/>
    </xf>
    <xf numFmtId="175" fontId="3" fillId="0" borderId="4" xfId="0" applyNumberFormat="1" applyFont="1" applyFill="1" applyBorder="1" applyAlignment="1">
      <alignment horizontal="right" vertical="center"/>
    </xf>
    <xf numFmtId="175" fontId="3" fillId="0" borderId="26" xfId="0" applyNumberFormat="1" applyFont="1" applyFill="1" applyBorder="1" applyAlignment="1">
      <alignment horizontal="right" vertical="center"/>
    </xf>
    <xf numFmtId="175" fontId="3" fillId="0" borderId="0" xfId="0" applyNumberFormat="1" applyFont="1" applyFill="1" applyBorder="1" applyAlignment="1">
      <alignment horizontal="right" vertical="center"/>
    </xf>
    <xf numFmtId="175" fontId="3" fillId="0" borderId="16" xfId="0" applyNumberFormat="1" applyFont="1" applyFill="1" applyBorder="1" applyAlignment="1">
      <alignment horizontal="right" vertical="center"/>
    </xf>
    <xf numFmtId="175" fontId="3" fillId="0" borderId="18" xfId="0" applyNumberFormat="1" applyFont="1" applyFill="1" applyBorder="1" applyAlignment="1">
      <alignment horizontal="right" vertical="center"/>
    </xf>
    <xf numFmtId="175" fontId="3" fillId="0" borderId="17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13" fillId="52" borderId="22" xfId="0" applyFont="1" applyFill="1" applyBorder="1" applyAlignment="1">
      <alignment horizontal="center" wrapText="1"/>
    </xf>
    <xf numFmtId="0" fontId="4" fillId="52" borderId="23" xfId="0" applyFont="1" applyFill="1" applyBorder="1" applyAlignment="1">
      <alignment horizontal="center" vertical="top"/>
    </xf>
    <xf numFmtId="0" fontId="4" fillId="54" borderId="15" xfId="0" applyFont="1" applyFill="1" applyBorder="1" applyAlignment="1">
      <alignment horizontal="center" vertical="center"/>
    </xf>
    <xf numFmtId="0" fontId="4" fillId="54" borderId="4" xfId="0" applyFont="1" applyFill="1" applyBorder="1" applyAlignment="1">
      <alignment horizontal="center" vertical="center"/>
    </xf>
    <xf numFmtId="0" fontId="4" fillId="54" borderId="16" xfId="0" applyFont="1" applyFill="1" applyBorder="1" applyAlignment="1">
      <alignment horizontal="center" vertical="center"/>
    </xf>
    <xf numFmtId="167" fontId="3" fillId="0" borderId="4" xfId="0" applyNumberFormat="1" applyFont="1" applyFill="1" applyBorder="1" applyAlignment="1">
      <alignment horizontal="right" vertical="center"/>
    </xf>
    <xf numFmtId="167" fontId="3" fillId="54" borderId="4" xfId="0" applyNumberFormat="1" applyFont="1" applyFill="1" applyBorder="1" applyAlignment="1">
      <alignment horizontal="right" vertical="center"/>
    </xf>
    <xf numFmtId="167" fontId="3" fillId="54" borderId="1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2" fontId="3" fillId="0" borderId="4" xfId="0" applyNumberFormat="1" applyFont="1" applyFill="1" applyBorder="1" applyAlignment="1">
      <alignment horizontal="right" vertical="center"/>
    </xf>
    <xf numFmtId="2" fontId="3" fillId="54" borderId="4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horizontal="right" vertical="center"/>
    </xf>
    <xf numFmtId="0" fontId="4" fillId="52" borderId="16" xfId="0" applyFont="1" applyFill="1" applyBorder="1" applyAlignment="1">
      <alignment horizontal="center" vertical="center"/>
    </xf>
    <xf numFmtId="166" fontId="3" fillId="54" borderId="0" xfId="0" applyNumberFormat="1" applyFont="1" applyFill="1" applyBorder="1" applyAlignment="1">
      <alignment horizontal="right" vertical="center"/>
    </xf>
    <xf numFmtId="166" fontId="9" fillId="54" borderId="0" xfId="0" applyNumberFormat="1" applyFont="1" applyFill="1" applyBorder="1" applyAlignment="1">
      <alignment horizontal="right" vertical="center"/>
    </xf>
    <xf numFmtId="166" fontId="3" fillId="54" borderId="23" xfId="0" applyNumberFormat="1" applyFont="1" applyFill="1" applyBorder="1" applyAlignment="1">
      <alignment horizontal="right" vertical="center"/>
    </xf>
    <xf numFmtId="166" fontId="3" fillId="0" borderId="23" xfId="0" applyNumberFormat="1" applyFont="1" applyFill="1" applyBorder="1" applyAlignment="1">
      <alignment horizontal="right" vertical="center"/>
    </xf>
    <xf numFmtId="166" fontId="3" fillId="54" borderId="19" xfId="0" applyNumberFormat="1" applyFont="1" applyFill="1" applyBorder="1" applyAlignment="1">
      <alignment horizontal="right" vertical="center"/>
    </xf>
    <xf numFmtId="0" fontId="4" fillId="52" borderId="16" xfId="0" applyFont="1" applyFill="1" applyBorder="1" applyAlignment="1">
      <alignment horizontal="center" vertical="top"/>
    </xf>
    <xf numFmtId="1" fontId="4" fillId="52" borderId="20" xfId="0" applyNumberFormat="1" applyFont="1" applyFill="1" applyBorder="1" applyAlignment="1">
      <alignment horizontal="center" vertical="center"/>
    </xf>
    <xf numFmtId="1" fontId="4" fillId="52" borderId="13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6" fontId="4" fillId="53" borderId="24" xfId="0" applyNumberFormat="1" applyFont="1" applyFill="1" applyBorder="1" applyAlignment="1">
      <alignment horizontal="right" vertical="center"/>
    </xf>
    <xf numFmtId="166" fontId="4" fillId="53" borderId="25" xfId="0" applyNumberFormat="1" applyFont="1" applyFill="1" applyBorder="1" applyAlignment="1">
      <alignment horizontal="right" vertical="center"/>
    </xf>
    <xf numFmtId="0" fontId="4" fillId="53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53" borderId="2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6" fontId="3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1" fontId="4" fillId="52" borderId="18" xfId="0" applyNumberFormat="1" applyFont="1" applyFill="1" applyBorder="1" applyAlignment="1">
      <alignment horizontal="center" vertical="center"/>
    </xf>
    <xf numFmtId="1" fontId="4" fillId="52" borderId="17" xfId="0" applyNumberFormat="1" applyFont="1" applyFill="1" applyBorder="1" applyAlignment="1">
      <alignment horizontal="center" vertical="center"/>
    </xf>
    <xf numFmtId="1" fontId="4" fillId="52" borderId="19" xfId="0" applyNumberFormat="1" applyFont="1" applyFill="1" applyBorder="1" applyAlignment="1">
      <alignment horizontal="center" vertical="center"/>
    </xf>
    <xf numFmtId="3" fontId="4" fillId="53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52" borderId="0" xfId="0" applyFont="1" applyFill="1" applyBorder="1" applyAlignment="1">
      <alignment horizontal="center" vertical="center" wrapText="1"/>
    </xf>
    <xf numFmtId="0" fontId="4" fillId="52" borderId="23" xfId="0" applyFont="1" applyFill="1" applyBorder="1" applyAlignment="1">
      <alignment horizontal="center" vertical="center" wrapText="1"/>
    </xf>
    <xf numFmtId="1" fontId="4" fillId="34" borderId="22" xfId="0" applyNumberFormat="1" applyFont="1" applyFill="1" applyBorder="1" applyAlignment="1" quotePrefix="1">
      <alignment horizontal="center" vertical="center"/>
    </xf>
    <xf numFmtId="1" fontId="4" fillId="34" borderId="23" xfId="0" applyNumberFormat="1" applyFont="1" applyFill="1" applyBorder="1" applyAlignment="1" quotePrefix="1">
      <alignment horizontal="center" vertical="center"/>
    </xf>
    <xf numFmtId="1" fontId="4" fillId="34" borderId="19" xfId="0" applyNumberFormat="1" applyFont="1" applyFill="1" applyBorder="1" applyAlignment="1" quotePrefix="1">
      <alignment horizontal="center" vertical="center"/>
    </xf>
    <xf numFmtId="0" fontId="6" fillId="0" borderId="0" xfId="0" applyFont="1" applyAlignment="1">
      <alignment horizontal="center"/>
    </xf>
    <xf numFmtId="0" fontId="24" fillId="0" borderId="0" xfId="0" applyFont="1" applyAlignment="1" quotePrefix="1">
      <alignment horizontal="right" vertical="top"/>
    </xf>
    <xf numFmtId="0" fontId="23" fillId="0" borderId="0" xfId="0" applyFont="1" applyBorder="1" applyAlignment="1">
      <alignment horizontal="right" vertical="top"/>
    </xf>
    <xf numFmtId="165" fontId="3" fillId="0" borderId="24" xfId="0" applyNumberFormat="1" applyFont="1" applyFill="1" applyBorder="1" applyAlignment="1">
      <alignment horizontal="right" vertical="center"/>
    </xf>
    <xf numFmtId="165" fontId="3" fillId="53" borderId="26" xfId="0" applyNumberFormat="1" applyFont="1" applyFill="1" applyBorder="1" applyAlignment="1">
      <alignment horizontal="right" vertical="center"/>
    </xf>
    <xf numFmtId="165" fontId="3" fillId="0" borderId="26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3" fillId="0" borderId="18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13" fillId="52" borderId="21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vertical="center"/>
    </xf>
    <xf numFmtId="165" fontId="4" fillId="53" borderId="24" xfId="0" applyNumberFormat="1" applyFont="1" applyFill="1" applyBorder="1" applyAlignment="1">
      <alignment horizontal="right" vertical="center"/>
    </xf>
    <xf numFmtId="0" fontId="10" fillId="52" borderId="18" xfId="0" applyFont="1" applyFill="1" applyBorder="1" applyAlignment="1">
      <alignment horizontal="center" vertical="center"/>
    </xf>
    <xf numFmtId="0" fontId="10" fillId="52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90"/>
    </xf>
    <xf numFmtId="168" fontId="4" fillId="53" borderId="23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4" fillId="55" borderId="15" xfId="0" applyFont="1" applyFill="1" applyBorder="1" applyAlignment="1">
      <alignment horizontal="center"/>
    </xf>
    <xf numFmtId="0" fontId="4" fillId="54" borderId="4" xfId="0" applyFont="1" applyFill="1" applyBorder="1" applyAlignment="1">
      <alignment horizontal="center"/>
    </xf>
    <xf numFmtId="0" fontId="4" fillId="55" borderId="4" xfId="0" applyFont="1" applyFill="1" applyBorder="1" applyAlignment="1">
      <alignment horizontal="center"/>
    </xf>
    <xf numFmtId="0" fontId="4" fillId="54" borderId="16" xfId="0" applyFont="1" applyFill="1" applyBorder="1" applyAlignment="1">
      <alignment horizontal="center"/>
    </xf>
    <xf numFmtId="168" fontId="3" fillId="55" borderId="22" xfId="0" applyNumberFormat="1" applyFont="1" applyFill="1" applyBorder="1" applyAlignment="1">
      <alignment horizontal="right"/>
    </xf>
    <xf numFmtId="168" fontId="3" fillId="54" borderId="23" xfId="0" applyNumberFormat="1" applyFont="1" applyFill="1" applyBorder="1" applyAlignment="1">
      <alignment horizontal="right"/>
    </xf>
    <xf numFmtId="168" fontId="3" fillId="55" borderId="23" xfId="0" applyNumberFormat="1" applyFont="1" applyFill="1" applyBorder="1" applyAlignment="1">
      <alignment horizontal="right"/>
    </xf>
    <xf numFmtId="168" fontId="3" fillId="54" borderId="19" xfId="0" applyNumberFormat="1" applyFont="1" applyFill="1" applyBorder="1" applyAlignment="1">
      <alignment horizontal="right"/>
    </xf>
    <xf numFmtId="169" fontId="3" fillId="55" borderId="25" xfId="0" applyNumberFormat="1" applyFont="1" applyFill="1" applyBorder="1" applyAlignment="1">
      <alignment horizontal="right"/>
    </xf>
    <xf numFmtId="169" fontId="3" fillId="54" borderId="0" xfId="0" applyNumberFormat="1" applyFont="1" applyFill="1" applyBorder="1" applyAlignment="1">
      <alignment horizontal="right"/>
    </xf>
    <xf numFmtId="169" fontId="3" fillId="55" borderId="0" xfId="0" applyNumberFormat="1" applyFont="1" applyFill="1" applyBorder="1" applyAlignment="1">
      <alignment horizontal="right"/>
    </xf>
    <xf numFmtId="169" fontId="3" fillId="55" borderId="22" xfId="0" applyNumberFormat="1" applyFont="1" applyFill="1" applyBorder="1" applyAlignment="1">
      <alignment horizontal="right"/>
    </xf>
    <xf numFmtId="169" fontId="3" fillId="54" borderId="23" xfId="0" applyNumberFormat="1" applyFont="1" applyFill="1" applyBorder="1" applyAlignment="1">
      <alignment horizontal="right"/>
    </xf>
    <xf numFmtId="169" fontId="3" fillId="55" borderId="23" xfId="0" applyNumberFormat="1" applyFont="1" applyFill="1" applyBorder="1" applyAlignment="1">
      <alignment horizontal="right"/>
    </xf>
    <xf numFmtId="169" fontId="3" fillId="54" borderId="19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3" fillId="52" borderId="26" xfId="0" applyFont="1" applyFill="1" applyBorder="1" applyAlignment="1">
      <alignment horizontal="left" vertical="center"/>
    </xf>
    <xf numFmtId="0" fontId="4" fillId="52" borderId="26" xfId="0" applyFont="1" applyFill="1" applyBorder="1" applyAlignment="1">
      <alignment horizontal="center" vertical="center"/>
    </xf>
    <xf numFmtId="0" fontId="4" fillId="52" borderId="0" xfId="0" applyFont="1" applyFill="1" applyBorder="1" applyAlignment="1">
      <alignment horizontal="center" vertical="center"/>
    </xf>
    <xf numFmtId="0" fontId="4" fillId="52" borderId="23" xfId="0" applyFont="1" applyFill="1" applyBorder="1" applyAlignment="1">
      <alignment horizontal="center" vertical="center"/>
    </xf>
    <xf numFmtId="0" fontId="4" fillId="52" borderId="16" xfId="0" applyFont="1" applyFill="1" applyBorder="1" applyAlignment="1">
      <alignment horizontal="center" vertical="top" wrapText="1"/>
    </xf>
    <xf numFmtId="0" fontId="4" fillId="53" borderId="15" xfId="0" applyFont="1" applyFill="1" applyBorder="1" applyAlignment="1">
      <alignment horizontal="left" vertical="center"/>
    </xf>
    <xf numFmtId="168" fontId="3" fillId="0" borderId="24" xfId="0" applyNumberFormat="1" applyFont="1" applyFill="1" applyBorder="1" applyAlignment="1">
      <alignment horizontal="right" vertical="center"/>
    </xf>
    <xf numFmtId="168" fontId="3" fillId="0" borderId="25" xfId="0" applyNumberFormat="1" applyFont="1" applyBorder="1" applyAlignment="1">
      <alignment vertical="center"/>
    </xf>
    <xf numFmtId="168" fontId="3" fillId="0" borderId="22" xfId="0" applyNumberFormat="1" applyFont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168" fontId="3" fillId="53" borderId="26" xfId="0" applyNumberFormat="1" applyFont="1" applyFill="1" applyBorder="1" applyAlignment="1">
      <alignment horizontal="right" vertical="center"/>
    </xf>
    <xf numFmtId="168" fontId="3" fillId="53" borderId="0" xfId="0" applyNumberFormat="1" applyFont="1" applyFill="1" applyBorder="1" applyAlignment="1">
      <alignment vertical="center"/>
    </xf>
    <xf numFmtId="168" fontId="3" fillId="53" borderId="23" xfId="0" applyNumberFormat="1" applyFont="1" applyFill="1" applyBorder="1" applyAlignment="1">
      <alignment vertical="center"/>
    </xf>
    <xf numFmtId="0" fontId="4" fillId="53" borderId="4" xfId="0" applyFont="1" applyFill="1" applyBorder="1" applyAlignment="1">
      <alignment horizontal="left" vertical="center"/>
    </xf>
    <xf numFmtId="168" fontId="3" fillId="0" borderId="26" xfId="0" applyNumberFormat="1" applyFont="1" applyFill="1" applyBorder="1" applyAlignment="1">
      <alignment horizontal="right" vertical="center"/>
    </xf>
    <xf numFmtId="168" fontId="3" fillId="0" borderId="0" xfId="0" applyNumberFormat="1" applyFont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8" fontId="3" fillId="0" borderId="23" xfId="0" applyNumberFormat="1" applyFont="1" applyBorder="1" applyAlignment="1">
      <alignment vertical="center"/>
    </xf>
    <xf numFmtId="168" fontId="3" fillId="0" borderId="26" xfId="0" applyNumberFormat="1" applyFont="1" applyBorder="1" applyAlignment="1">
      <alignment vertical="center"/>
    </xf>
    <xf numFmtId="0" fontId="4" fillId="53" borderId="6" xfId="0" applyFont="1" applyFill="1" applyBorder="1" applyAlignment="1">
      <alignment horizontal="center" vertical="center" wrapText="1"/>
    </xf>
    <xf numFmtId="165" fontId="4" fillId="53" borderId="21" xfId="0" applyNumberFormat="1" applyFont="1" applyFill="1" applyBorder="1" applyAlignment="1">
      <alignment horizontal="right" vertical="center"/>
    </xf>
    <xf numFmtId="0" fontId="4" fillId="52" borderId="15" xfId="0" applyFont="1" applyFill="1" applyBorder="1" applyAlignment="1">
      <alignment horizontal="center" vertical="center" wrapText="1"/>
    </xf>
    <xf numFmtId="169" fontId="3" fillId="0" borderId="24" xfId="0" applyNumberFormat="1" applyFont="1" applyFill="1" applyBorder="1" applyAlignment="1">
      <alignment horizontal="center" vertical="center"/>
    </xf>
    <xf numFmtId="169" fontId="3" fillId="0" borderId="25" xfId="0" applyNumberFormat="1" applyFont="1" applyFill="1" applyBorder="1" applyAlignment="1">
      <alignment horizontal="center" vertical="center"/>
    </xf>
    <xf numFmtId="169" fontId="3" fillId="0" borderId="25" xfId="0" applyNumberFormat="1" applyFont="1" applyFill="1" applyBorder="1" applyAlignment="1">
      <alignment horizontal="right" vertical="center"/>
    </xf>
    <xf numFmtId="169" fontId="3" fillId="0" borderId="22" xfId="0" applyNumberFormat="1" applyFont="1" applyFill="1" applyBorder="1" applyAlignment="1">
      <alignment horizontal="center" vertical="center"/>
    </xf>
    <xf numFmtId="169" fontId="3" fillId="0" borderId="18" xfId="0" applyNumberFormat="1" applyFont="1" applyFill="1" applyBorder="1" applyAlignment="1">
      <alignment horizontal="center" vertical="center"/>
    </xf>
    <xf numFmtId="169" fontId="3" fillId="0" borderId="17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3" fillId="52" borderId="15" xfId="0" applyFont="1" applyFill="1" applyBorder="1" applyAlignment="1">
      <alignment horizontal="left" vertical="top" wrapText="1"/>
    </xf>
    <xf numFmtId="0" fontId="4" fillId="52" borderId="19" xfId="0" applyFont="1" applyFill="1" applyBorder="1" applyAlignment="1">
      <alignment horizontal="center" vertical="top" wrapText="1"/>
    </xf>
    <xf numFmtId="0" fontId="4" fillId="53" borderId="6" xfId="0" applyFont="1" applyFill="1" applyBorder="1" applyAlignment="1">
      <alignment horizontal="left" vertical="center" wrapText="1"/>
    </xf>
    <xf numFmtId="3" fontId="4" fillId="53" borderId="13" xfId="0" applyNumberFormat="1" applyFont="1" applyFill="1" applyBorder="1" applyAlignment="1">
      <alignment horizontal="right" vertical="center"/>
    </xf>
    <xf numFmtId="9" fontId="3" fillId="53" borderId="21" xfId="0" applyNumberFormat="1" applyFont="1" applyFill="1" applyBorder="1" applyAlignment="1">
      <alignment horizontal="right" vertical="center" wrapText="1"/>
    </xf>
    <xf numFmtId="0" fontId="4" fillId="53" borderId="4" xfId="0" applyFont="1" applyFill="1" applyBorder="1" applyAlignment="1">
      <alignment horizontal="left" vertical="center" wrapText="1"/>
    </xf>
    <xf numFmtId="9" fontId="3" fillId="53" borderId="22" xfId="0" applyNumberFormat="1" applyFont="1" applyFill="1" applyBorder="1" applyAlignment="1">
      <alignment horizontal="right" vertical="center" wrapText="1"/>
    </xf>
    <xf numFmtId="9" fontId="3" fillId="53" borderId="23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9" fontId="3" fillId="0" borderId="23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9" fontId="3" fillId="0" borderId="23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 wrapText="1"/>
    </xf>
    <xf numFmtId="0" fontId="4" fillId="53" borderId="15" xfId="0" applyFont="1" applyFill="1" applyBorder="1" applyAlignment="1">
      <alignment horizontal="left" vertical="center" wrapText="1"/>
    </xf>
    <xf numFmtId="3" fontId="3" fillId="53" borderId="25" xfId="0" applyNumberFormat="1" applyFont="1" applyFill="1" applyBorder="1" applyAlignment="1">
      <alignment horizontal="right" vertical="center"/>
    </xf>
    <xf numFmtId="0" fontId="3" fillId="53" borderId="25" xfId="0" applyFont="1" applyFill="1" applyBorder="1" applyAlignment="1">
      <alignment horizontal="right" vertical="center"/>
    </xf>
    <xf numFmtId="9" fontId="3" fillId="53" borderId="2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right" vertical="center"/>
    </xf>
    <xf numFmtId="9" fontId="3" fillId="0" borderId="19" xfId="0" applyNumberFormat="1" applyFont="1" applyFill="1" applyBorder="1" applyAlignment="1">
      <alignment horizontal="right" vertical="center"/>
    </xf>
    <xf numFmtId="3" fontId="3" fillId="53" borderId="13" xfId="0" applyNumberFormat="1" applyFont="1" applyFill="1" applyBorder="1" applyAlignment="1">
      <alignment horizontal="right" vertical="center"/>
    </xf>
    <xf numFmtId="9" fontId="3" fillId="53" borderId="21" xfId="0" applyNumberFormat="1" applyFont="1" applyFill="1" applyBorder="1" applyAlignment="1">
      <alignment horizontal="right" vertical="center"/>
    </xf>
    <xf numFmtId="9" fontId="3" fillId="53" borderId="23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9" fontId="3" fillId="0" borderId="19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left" vertical="center" wrapText="1"/>
    </xf>
    <xf numFmtId="3" fontId="3" fillId="0" borderId="25" xfId="0" applyNumberFormat="1" applyFont="1" applyFill="1" applyBorder="1" applyAlignment="1">
      <alignment horizontal="right" vertical="center"/>
    </xf>
    <xf numFmtId="9" fontId="3" fillId="0" borderId="25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/>
    </xf>
    <xf numFmtId="9" fontId="3" fillId="0" borderId="25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Fill="1" applyBorder="1" applyAlignment="1" quotePrefix="1">
      <alignment horizontal="right" vertical="top"/>
    </xf>
    <xf numFmtId="0" fontId="4" fillId="52" borderId="29" xfId="0" applyFont="1" applyFill="1" applyBorder="1" applyAlignment="1">
      <alignment horizontal="center" vertical="center" wrapText="1"/>
    </xf>
    <xf numFmtId="0" fontId="4" fillId="52" borderId="30" xfId="0" applyFont="1" applyFill="1" applyBorder="1" applyAlignment="1">
      <alignment horizontal="center" vertical="center" wrapText="1"/>
    </xf>
    <xf numFmtId="0" fontId="4" fillId="52" borderId="31" xfId="0" applyFont="1" applyFill="1" applyBorder="1" applyAlignment="1">
      <alignment horizontal="center" vertical="center" wrapText="1"/>
    </xf>
    <xf numFmtId="174" fontId="4" fillId="53" borderId="22" xfId="0" applyNumberFormat="1" applyFont="1" applyFill="1" applyBorder="1" applyAlignment="1">
      <alignment horizontal="right" vertical="center"/>
    </xf>
    <xf numFmtId="174" fontId="3" fillId="0" borderId="22" xfId="0" applyNumberFormat="1" applyFont="1" applyFill="1" applyBorder="1" applyAlignment="1">
      <alignment horizontal="right" vertical="center"/>
    </xf>
    <xf numFmtId="174" fontId="3" fillId="53" borderId="23" xfId="0" applyNumberFormat="1" applyFont="1" applyFill="1" applyBorder="1" applyAlignment="1">
      <alignment horizontal="center" vertical="center"/>
    </xf>
    <xf numFmtId="174" fontId="3" fillId="0" borderId="2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4" fillId="52" borderId="1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166" fontId="4" fillId="53" borderId="4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/>
    </xf>
    <xf numFmtId="166" fontId="3" fillId="54" borderId="32" xfId="0" applyNumberFormat="1" applyFont="1" applyFill="1" applyBorder="1" applyAlignment="1">
      <alignment horizontal="right" vertical="center"/>
    </xf>
    <xf numFmtId="166" fontId="3" fillId="0" borderId="32" xfId="0" applyNumberFormat="1" applyFont="1" applyFill="1" applyBorder="1" applyAlignment="1">
      <alignment horizontal="right" vertical="center"/>
    </xf>
    <xf numFmtId="166" fontId="4" fillId="0" borderId="16" xfId="0" applyNumberFormat="1" applyFont="1" applyFill="1" applyBorder="1" applyAlignment="1">
      <alignment horizontal="center" vertical="center"/>
    </xf>
    <xf numFmtId="166" fontId="3" fillId="54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 wrapText="1"/>
    </xf>
    <xf numFmtId="1" fontId="4" fillId="52" borderId="2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vertical="top"/>
    </xf>
    <xf numFmtId="9" fontId="5" fillId="0" borderId="0" xfId="0" applyNumberFormat="1" applyFont="1" applyBorder="1" applyAlignment="1" quotePrefix="1">
      <alignment horizontal="right" vertical="top"/>
    </xf>
    <xf numFmtId="0" fontId="4" fillId="0" borderId="0" xfId="0" applyFont="1" applyBorder="1" applyAlignment="1">
      <alignment horizontal="left" vertical="top"/>
    </xf>
    <xf numFmtId="0" fontId="4" fillId="52" borderId="0" xfId="0" applyFont="1" applyFill="1" applyBorder="1" applyAlignment="1">
      <alignment horizontal="center" vertical="top"/>
    </xf>
    <xf numFmtId="0" fontId="4" fillId="52" borderId="19" xfId="0" applyFont="1" applyFill="1" applyBorder="1" applyAlignment="1">
      <alignment horizontal="center" vertical="top"/>
    </xf>
    <xf numFmtId="0" fontId="4" fillId="52" borderId="17" xfId="0" applyFont="1" applyFill="1" applyBorder="1" applyAlignment="1">
      <alignment horizontal="center" vertical="top"/>
    </xf>
    <xf numFmtId="3" fontId="3" fillId="0" borderId="0" xfId="0" applyNumberFormat="1" applyFont="1" applyAlignment="1">
      <alignment/>
    </xf>
    <xf numFmtId="175" fontId="3" fillId="0" borderId="33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/>
    </xf>
    <xf numFmtId="0" fontId="27" fillId="0" borderId="0" xfId="91">
      <alignment/>
      <protection/>
    </xf>
    <xf numFmtId="0" fontId="0" fillId="0" borderId="0" xfId="91" applyNumberFormat="1" applyFont="1" applyFill="1" applyBorder="1" applyAlignment="1">
      <alignment/>
      <protection/>
    </xf>
    <xf numFmtId="0" fontId="27" fillId="0" borderId="0" xfId="91">
      <alignment/>
      <protection/>
    </xf>
    <xf numFmtId="0" fontId="0" fillId="0" borderId="0" xfId="91" applyNumberFormat="1" applyFont="1" applyFill="1" applyBorder="1" applyAlignment="1">
      <alignment/>
      <protection/>
    </xf>
    <xf numFmtId="176" fontId="0" fillId="0" borderId="0" xfId="91" applyNumberFormat="1" applyFont="1" applyFill="1" applyBorder="1" applyAlignment="1">
      <alignment/>
      <protection/>
    </xf>
    <xf numFmtId="0" fontId="5" fillId="0" borderId="0" xfId="0" applyFont="1" applyAlignment="1" quotePrefix="1">
      <alignment horizontal="right" vertical="top"/>
    </xf>
    <xf numFmtId="0" fontId="5" fillId="0" borderId="0" xfId="0" applyFont="1" applyAlignment="1" quotePrefix="1">
      <alignment horizontal="right" vertical="top"/>
    </xf>
    <xf numFmtId="166" fontId="3" fillId="54" borderId="33" xfId="0" applyNumberFormat="1" applyFont="1" applyFill="1" applyBorder="1" applyAlignment="1">
      <alignment horizontal="right" vertical="center"/>
    </xf>
    <xf numFmtId="0" fontId="4" fillId="52" borderId="0" xfId="0" applyFont="1" applyFill="1" applyBorder="1" applyAlignment="1">
      <alignment horizontal="center" vertical="center" wrapText="1"/>
    </xf>
    <xf numFmtId="169" fontId="3" fillId="55" borderId="26" xfId="0" applyNumberFormat="1" applyFont="1" applyFill="1" applyBorder="1" applyAlignment="1">
      <alignment horizontal="right"/>
    </xf>
    <xf numFmtId="169" fontId="4" fillId="53" borderId="24" xfId="0" applyNumberFormat="1" applyFont="1" applyFill="1" applyBorder="1" applyAlignment="1">
      <alignment horizontal="right"/>
    </xf>
    <xf numFmtId="169" fontId="4" fillId="53" borderId="22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Fill="1" applyAlignment="1">
      <alignment horizontal="center"/>
    </xf>
    <xf numFmtId="166" fontId="9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66" fontId="4" fillId="54" borderId="4" xfId="0" applyNumberFormat="1" applyFont="1" applyFill="1" applyBorder="1" applyAlignment="1">
      <alignment horizontal="center" vertical="center"/>
    </xf>
    <xf numFmtId="166" fontId="9" fillId="54" borderId="32" xfId="0" applyNumberFormat="1" applyFont="1" applyFill="1" applyBorder="1" applyAlignment="1">
      <alignment horizontal="right" vertical="center"/>
    </xf>
    <xf numFmtId="166" fontId="9" fillId="54" borderId="17" xfId="0" applyNumberFormat="1" applyFont="1" applyFill="1" applyBorder="1" applyAlignment="1">
      <alignment horizontal="right" vertical="center"/>
    </xf>
    <xf numFmtId="166" fontId="9" fillId="54" borderId="34" xfId="0" applyNumberFormat="1" applyFont="1" applyFill="1" applyBorder="1" applyAlignment="1">
      <alignment horizontal="right" vertical="center"/>
    </xf>
    <xf numFmtId="166" fontId="4" fillId="54" borderId="16" xfId="0" applyNumberFormat="1" applyFont="1" applyFill="1" applyBorder="1" applyAlignment="1">
      <alignment horizontal="center" vertical="center"/>
    </xf>
    <xf numFmtId="0" fontId="27" fillId="0" borderId="0" xfId="91">
      <alignment/>
      <protection/>
    </xf>
    <xf numFmtId="0" fontId="0" fillId="0" borderId="0" xfId="91" applyNumberFormat="1" applyFont="1" applyFill="1" applyBorder="1" applyAlignment="1">
      <alignment/>
      <protection/>
    </xf>
    <xf numFmtId="176" fontId="0" fillId="0" borderId="0" xfId="91" applyNumberFormat="1" applyFont="1" applyFill="1" applyBorder="1" applyAlignment="1">
      <alignment/>
      <protection/>
    </xf>
    <xf numFmtId="0" fontId="0" fillId="37" borderId="35" xfId="91" applyNumberFormat="1" applyFont="1" applyFill="1" applyBorder="1" applyAlignment="1">
      <alignment/>
      <protection/>
    </xf>
    <xf numFmtId="3" fontId="0" fillId="0" borderId="35" xfId="91" applyNumberFormat="1" applyFont="1" applyFill="1" applyBorder="1" applyAlignment="1">
      <alignment/>
      <protection/>
    </xf>
    <xf numFmtId="0" fontId="0" fillId="0" borderId="35" xfId="91" applyNumberFormat="1" applyFont="1" applyFill="1" applyBorder="1" applyAlignment="1">
      <alignment/>
      <protection/>
    </xf>
    <xf numFmtId="3" fontId="3" fillId="0" borderId="0" xfId="0" applyNumberFormat="1" applyFont="1" applyBorder="1" applyAlignment="1">
      <alignment/>
    </xf>
    <xf numFmtId="0" fontId="4" fillId="54" borderId="23" xfId="0" applyFont="1" applyFill="1" applyBorder="1" applyAlignment="1">
      <alignment horizontal="center" vertical="center"/>
    </xf>
    <xf numFmtId="0" fontId="4" fillId="54" borderId="19" xfId="0" applyFont="1" applyFill="1" applyBorder="1" applyAlignment="1">
      <alignment horizontal="center" vertical="center"/>
    </xf>
    <xf numFmtId="0" fontId="4" fillId="52" borderId="0" xfId="0" applyFont="1" applyFill="1" applyBorder="1" applyAlignment="1">
      <alignment horizontal="center" vertical="center" wrapText="1"/>
    </xf>
    <xf numFmtId="0" fontId="5" fillId="0" borderId="0" xfId="0" applyFont="1" applyAlignment="1" quotePrefix="1">
      <alignment horizontal="right" vertical="top"/>
    </xf>
    <xf numFmtId="0" fontId="4" fillId="54" borderId="4" xfId="0" applyFont="1" applyFill="1" applyBorder="1" applyAlignment="1">
      <alignment horizontal="center" vertical="center"/>
    </xf>
    <xf numFmtId="166" fontId="3" fillId="54" borderId="26" xfId="0" applyNumberFormat="1" applyFont="1" applyFill="1" applyBorder="1" applyAlignment="1">
      <alignment horizontal="right" vertical="center"/>
    </xf>
    <xf numFmtId="0" fontId="4" fillId="54" borderId="23" xfId="0" applyFont="1" applyFill="1" applyBorder="1" applyAlignment="1">
      <alignment horizontal="center" vertical="center"/>
    </xf>
    <xf numFmtId="0" fontId="4" fillId="54" borderId="16" xfId="0" applyFont="1" applyFill="1" applyBorder="1" applyAlignment="1">
      <alignment horizontal="center" vertical="center"/>
    </xf>
    <xf numFmtId="166" fontId="3" fillId="54" borderId="18" xfId="0" applyNumberFormat="1" applyFont="1" applyFill="1" applyBorder="1" applyAlignment="1">
      <alignment horizontal="right" vertical="center"/>
    </xf>
    <xf numFmtId="0" fontId="4" fillId="54" borderId="19" xfId="0" applyFont="1" applyFill="1" applyBorder="1" applyAlignment="1">
      <alignment horizontal="center" vertical="center"/>
    </xf>
    <xf numFmtId="0" fontId="4" fillId="52" borderId="0" xfId="0" applyFont="1" applyFill="1" applyBorder="1" applyAlignment="1">
      <alignment horizontal="center" vertical="center" wrapText="1"/>
    </xf>
    <xf numFmtId="165" fontId="3" fillId="54" borderId="26" xfId="0" applyNumberFormat="1" applyFont="1" applyFill="1" applyBorder="1" applyAlignment="1">
      <alignment horizontal="right" vertical="center"/>
    </xf>
    <xf numFmtId="165" fontId="3" fillId="54" borderId="18" xfId="0" applyNumberFormat="1" applyFont="1" applyFill="1" applyBorder="1" applyAlignment="1">
      <alignment horizontal="right" vertical="center"/>
    </xf>
    <xf numFmtId="49" fontId="3" fillId="54" borderId="23" xfId="0" applyNumberFormat="1" applyFont="1" applyFill="1" applyBorder="1" applyAlignment="1">
      <alignment horizontal="right"/>
    </xf>
    <xf numFmtId="169" fontId="3" fillId="54" borderId="26" xfId="0" applyNumberFormat="1" applyFont="1" applyFill="1" applyBorder="1" applyAlignment="1">
      <alignment horizontal="right"/>
    </xf>
    <xf numFmtId="169" fontId="3" fillId="54" borderId="17" xfId="0" applyNumberFormat="1" applyFont="1" applyFill="1" applyBorder="1" applyAlignment="1">
      <alignment horizontal="right"/>
    </xf>
    <xf numFmtId="0" fontId="3" fillId="54" borderId="0" xfId="0" applyFont="1" applyFill="1" applyAlignment="1">
      <alignment/>
    </xf>
    <xf numFmtId="0" fontId="4" fillId="0" borderId="4" xfId="0" applyFont="1" applyFill="1" applyBorder="1" applyAlignment="1">
      <alignment horizontal="center"/>
    </xf>
    <xf numFmtId="168" fontId="3" fillId="0" borderId="23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23" xfId="0" applyNumberFormat="1" applyFont="1" applyFill="1" applyBorder="1" applyAlignment="1">
      <alignment horizontal="right"/>
    </xf>
    <xf numFmtId="168" fontId="3" fillId="53" borderId="33" xfId="0" applyNumberFormat="1" applyFont="1" applyFill="1" applyBorder="1" applyAlignment="1">
      <alignment vertical="center"/>
    </xf>
    <xf numFmtId="169" fontId="3" fillId="0" borderId="36" xfId="0" applyNumberFormat="1" applyFont="1" applyFill="1" applyBorder="1" applyAlignment="1">
      <alignment horizontal="right" vertical="center"/>
    </xf>
    <xf numFmtId="174" fontId="3" fillId="54" borderId="23" xfId="0" applyNumberFormat="1" applyFont="1" applyFill="1" applyBorder="1" applyAlignment="1">
      <alignment horizontal="right" vertical="center"/>
    </xf>
    <xf numFmtId="174" fontId="3" fillId="54" borderId="23" xfId="0" applyNumberFormat="1" applyFont="1" applyFill="1" applyBorder="1" applyAlignment="1">
      <alignment horizontal="center" vertical="center"/>
    </xf>
    <xf numFmtId="174" fontId="3" fillId="54" borderId="19" xfId="0" applyNumberFormat="1" applyFont="1" applyFill="1" applyBorder="1" applyAlignment="1">
      <alignment horizontal="right" vertical="center"/>
    </xf>
    <xf numFmtId="174" fontId="3" fillId="54" borderId="19" xfId="0" applyNumberFormat="1" applyFont="1" applyFill="1" applyBorder="1" applyAlignment="1">
      <alignment horizontal="center" vertical="center"/>
    </xf>
    <xf numFmtId="175" fontId="3" fillId="53" borderId="33" xfId="0" applyNumberFormat="1" applyFont="1" applyFill="1" applyBorder="1" applyAlignment="1">
      <alignment horizontal="right" vertical="center"/>
    </xf>
    <xf numFmtId="175" fontId="3" fillId="54" borderId="4" xfId="0" applyNumberFormat="1" applyFont="1" applyFill="1" applyBorder="1" applyAlignment="1">
      <alignment horizontal="right" vertical="center"/>
    </xf>
    <xf numFmtId="175" fontId="3" fillId="54" borderId="26" xfId="0" applyNumberFormat="1" applyFont="1" applyFill="1" applyBorder="1" applyAlignment="1">
      <alignment horizontal="right" vertical="center"/>
    </xf>
    <xf numFmtId="175" fontId="3" fillId="54" borderId="0" xfId="0" applyNumberFormat="1" applyFont="1" applyFill="1" applyBorder="1" applyAlignment="1">
      <alignment horizontal="right" vertical="center"/>
    </xf>
    <xf numFmtId="175" fontId="3" fillId="54" borderId="33" xfId="0" applyNumberFormat="1" applyFont="1" applyFill="1" applyBorder="1" applyAlignment="1">
      <alignment horizontal="right" vertical="center"/>
    </xf>
    <xf numFmtId="175" fontId="9" fillId="54" borderId="0" xfId="0" applyNumberFormat="1" applyFont="1" applyFill="1" applyBorder="1" applyAlignment="1">
      <alignment horizontal="right" vertical="center"/>
    </xf>
    <xf numFmtId="175" fontId="3" fillId="54" borderId="32" xfId="0" applyNumberFormat="1" applyFont="1" applyFill="1" applyBorder="1" applyAlignment="1">
      <alignment horizontal="right" vertical="center"/>
    </xf>
    <xf numFmtId="175" fontId="9" fillId="54" borderId="26" xfId="0" applyNumberFormat="1" applyFont="1" applyFill="1" applyBorder="1" applyAlignment="1">
      <alignment horizontal="right" vertical="center"/>
    </xf>
    <xf numFmtId="175" fontId="3" fillId="54" borderId="16" xfId="0" applyNumberFormat="1" applyFont="1" applyFill="1" applyBorder="1" applyAlignment="1">
      <alignment horizontal="right" vertical="center"/>
    </xf>
    <xf numFmtId="175" fontId="3" fillId="54" borderId="18" xfId="0" applyNumberFormat="1" applyFont="1" applyFill="1" applyBorder="1" applyAlignment="1">
      <alignment horizontal="right" vertical="center"/>
    </xf>
    <xf numFmtId="175" fontId="3" fillId="54" borderId="17" xfId="0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/>
    </xf>
    <xf numFmtId="9" fontId="5" fillId="0" borderId="0" xfId="0" applyNumberFormat="1" applyFont="1" applyAlignment="1" quotePrefix="1">
      <alignment horizontal="right" vertical="top"/>
    </xf>
    <xf numFmtId="0" fontId="4" fillId="53" borderId="4" xfId="0" applyFont="1" applyFill="1" applyBorder="1" applyAlignment="1">
      <alignment horizontal="center" vertical="center"/>
    </xf>
    <xf numFmtId="0" fontId="4" fillId="53" borderId="15" xfId="0" applyFont="1" applyFill="1" applyBorder="1" applyAlignment="1">
      <alignment horizontal="center" vertical="center"/>
    </xf>
    <xf numFmtId="1" fontId="4" fillId="52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23" xfId="0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1" fontId="4" fillId="52" borderId="24" xfId="0" applyNumberFormat="1" applyFont="1" applyFill="1" applyBorder="1" applyAlignment="1">
      <alignment horizontal="center" vertical="center"/>
    </xf>
    <xf numFmtId="1" fontId="4" fillId="52" borderId="2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166" fontId="4" fillId="0" borderId="0" xfId="0" applyNumberFormat="1" applyFont="1" applyAlignment="1">
      <alignment/>
    </xf>
    <xf numFmtId="171" fontId="3" fillId="54" borderId="26" xfId="0" applyNumberFormat="1" applyFont="1" applyFill="1" applyBorder="1" applyAlignment="1">
      <alignment vertical="center"/>
    </xf>
    <xf numFmtId="171" fontId="3" fillId="54" borderId="0" xfId="0" applyNumberFormat="1" applyFont="1" applyFill="1" applyBorder="1" applyAlignment="1">
      <alignment vertical="center"/>
    </xf>
    <xf numFmtId="171" fontId="3" fillId="54" borderId="26" xfId="0" applyNumberFormat="1" applyFont="1" applyFill="1" applyBorder="1" applyAlignment="1" quotePrefix="1">
      <alignment horizontal="right" vertical="center"/>
    </xf>
    <xf numFmtId="171" fontId="3" fillId="54" borderId="0" xfId="0" applyNumberFormat="1" applyFont="1" applyFill="1" applyBorder="1" applyAlignment="1" quotePrefix="1">
      <alignment horizontal="right" vertical="center"/>
    </xf>
    <xf numFmtId="171" fontId="3" fillId="54" borderId="0" xfId="0" applyNumberFormat="1" applyFont="1" applyFill="1" applyBorder="1" applyAlignment="1">
      <alignment horizontal="right" vertical="center"/>
    </xf>
    <xf numFmtId="171" fontId="3" fillId="54" borderId="26" xfId="0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167" fontId="3" fillId="0" borderId="16" xfId="0" applyNumberFormat="1" applyFont="1" applyFill="1" applyBorder="1" applyAlignment="1">
      <alignment horizontal="right" vertical="center"/>
    </xf>
    <xf numFmtId="167" fontId="3" fillId="54" borderId="15" xfId="0" applyNumberFormat="1" applyFont="1" applyFill="1" applyBorder="1" applyAlignment="1">
      <alignment horizontal="right" vertical="center"/>
    </xf>
    <xf numFmtId="166" fontId="3" fillId="0" borderId="23" xfId="0" applyNumberFormat="1" applyFont="1" applyFill="1" applyBorder="1" applyAlignment="1">
      <alignment horizontal="right" vertical="center" wrapText="1"/>
    </xf>
    <xf numFmtId="2" fontId="3" fillId="54" borderId="15" xfId="0" applyNumberFormat="1" applyFont="1" applyFill="1" applyBorder="1" applyAlignment="1">
      <alignment horizontal="right" vertical="center"/>
    </xf>
    <xf numFmtId="166" fontId="3" fillId="54" borderId="2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4" fillId="54" borderId="22" xfId="0" applyFont="1" applyFill="1" applyBorder="1" applyAlignment="1">
      <alignment horizontal="center" vertical="center"/>
    </xf>
    <xf numFmtId="166" fontId="3" fillId="0" borderId="36" xfId="0" applyNumberFormat="1" applyFont="1" applyFill="1" applyBorder="1" applyAlignment="1">
      <alignment horizontal="right" vertical="center"/>
    </xf>
    <xf numFmtId="167" fontId="4" fillId="54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 vertical="center"/>
    </xf>
    <xf numFmtId="167" fontId="3" fillId="54" borderId="0" xfId="0" applyNumberFormat="1" applyFont="1" applyFill="1" applyBorder="1" applyAlignment="1">
      <alignment horizontal="right" vertical="center"/>
    </xf>
    <xf numFmtId="167" fontId="3" fillId="54" borderId="32" xfId="0" applyNumberFormat="1" applyFont="1" applyFill="1" applyBorder="1" applyAlignment="1">
      <alignment horizontal="right" vertical="center"/>
    </xf>
    <xf numFmtId="167" fontId="3" fillId="0" borderId="32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3" fillId="54" borderId="33" xfId="0" applyNumberFormat="1" applyFont="1" applyFill="1" applyBorder="1" applyAlignment="1">
      <alignment horizontal="right" vertical="center"/>
    </xf>
    <xf numFmtId="167" fontId="9" fillId="54" borderId="0" xfId="0" applyNumberFormat="1" applyFont="1" applyFill="1" applyBorder="1" applyAlignment="1">
      <alignment horizontal="right" vertical="center"/>
    </xf>
    <xf numFmtId="167" fontId="3" fillId="54" borderId="23" xfId="0" applyNumberFormat="1" applyFont="1" applyFill="1" applyBorder="1" applyAlignment="1">
      <alignment horizontal="right" vertical="center"/>
    </xf>
    <xf numFmtId="167" fontId="3" fillId="0" borderId="23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 wrapText="1"/>
    </xf>
    <xf numFmtId="167" fontId="3" fillId="0" borderId="23" xfId="0" applyNumberFormat="1" applyFont="1" applyFill="1" applyBorder="1" applyAlignment="1">
      <alignment horizontal="right" vertical="center" wrapText="1"/>
    </xf>
    <xf numFmtId="167" fontId="3" fillId="54" borderId="17" xfId="0" applyNumberFormat="1" applyFont="1" applyFill="1" applyBorder="1" applyAlignment="1">
      <alignment horizontal="right" vertical="center"/>
    </xf>
    <xf numFmtId="167" fontId="3" fillId="54" borderId="19" xfId="0" applyNumberFormat="1" applyFont="1" applyFill="1" applyBorder="1" applyAlignment="1">
      <alignment horizontal="right" vertical="center"/>
    </xf>
    <xf numFmtId="167" fontId="3" fillId="0" borderId="25" xfId="0" applyNumberFormat="1" applyFont="1" applyFill="1" applyBorder="1" applyAlignment="1">
      <alignment horizontal="right" vertical="center"/>
    </xf>
    <xf numFmtId="167" fontId="3" fillId="0" borderId="17" xfId="0" applyNumberFormat="1" applyFont="1" applyFill="1" applyBorder="1" applyAlignment="1">
      <alignment horizontal="right" vertical="center"/>
    </xf>
    <xf numFmtId="167" fontId="3" fillId="0" borderId="19" xfId="0" applyNumberFormat="1" applyFont="1" applyFill="1" applyBorder="1" applyAlignment="1">
      <alignment horizontal="right" vertical="center"/>
    </xf>
    <xf numFmtId="167" fontId="3" fillId="54" borderId="25" xfId="0" applyNumberFormat="1" applyFont="1" applyFill="1" applyBorder="1" applyAlignment="1">
      <alignment horizontal="right" vertical="center"/>
    </xf>
    <xf numFmtId="178" fontId="4" fillId="53" borderId="24" xfId="0" applyNumberFormat="1" applyFont="1" applyFill="1" applyBorder="1" applyAlignment="1" quotePrefix="1">
      <alignment horizontal="right" vertical="center"/>
    </xf>
    <xf numFmtId="178" fontId="4" fillId="53" borderId="25" xfId="0" applyNumberFormat="1" applyFont="1" applyFill="1" applyBorder="1" applyAlignment="1" quotePrefix="1">
      <alignment horizontal="right" vertical="center"/>
    </xf>
    <xf numFmtId="178" fontId="4" fillId="53" borderId="25" xfId="0" applyNumberFormat="1" applyFont="1" applyFill="1" applyBorder="1" applyAlignment="1">
      <alignment horizontal="right" vertical="center"/>
    </xf>
    <xf numFmtId="178" fontId="10" fillId="53" borderId="25" xfId="0" applyNumberFormat="1" applyFont="1" applyFill="1" applyBorder="1" applyAlignment="1">
      <alignment horizontal="right" vertical="center"/>
    </xf>
    <xf numFmtId="178" fontId="3" fillId="0" borderId="24" xfId="0" applyNumberFormat="1" applyFont="1" applyFill="1" applyBorder="1" applyAlignment="1" quotePrefix="1">
      <alignment horizontal="right" vertical="center"/>
    </xf>
    <xf numFmtId="178" fontId="3" fillId="0" borderId="25" xfId="0" applyNumberFormat="1" applyFont="1" applyFill="1" applyBorder="1" applyAlignment="1" quotePrefix="1">
      <alignment horizontal="right" vertical="center"/>
    </xf>
    <xf numFmtId="178" fontId="3" fillId="0" borderId="25" xfId="0" applyNumberFormat="1" applyFont="1" applyFill="1" applyBorder="1" applyAlignment="1">
      <alignment horizontal="right" vertical="center"/>
    </xf>
    <xf numFmtId="178" fontId="3" fillId="0" borderId="36" xfId="0" applyNumberFormat="1" applyFont="1" applyFill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right" vertical="center"/>
    </xf>
    <xf numFmtId="178" fontId="3" fillId="53" borderId="26" xfId="0" applyNumberFormat="1" applyFont="1" applyFill="1" applyBorder="1" applyAlignment="1">
      <alignment horizontal="right" vertical="center"/>
    </xf>
    <xf numFmtId="178" fontId="3" fillId="53" borderId="0" xfId="0" applyNumberFormat="1" applyFont="1" applyFill="1" applyBorder="1" applyAlignment="1">
      <alignment horizontal="right" vertical="center"/>
    </xf>
    <xf numFmtId="178" fontId="3" fillId="53" borderId="32" xfId="0" applyNumberFormat="1" applyFont="1" applyFill="1" applyBorder="1" applyAlignment="1">
      <alignment horizontal="right" vertical="center"/>
    </xf>
    <xf numFmtId="178" fontId="3" fillId="53" borderId="4" xfId="0" applyNumberFormat="1" applyFont="1" applyFill="1" applyBorder="1" applyAlignment="1">
      <alignment horizontal="right" vertical="center"/>
    </xf>
    <xf numFmtId="178" fontId="3" fillId="0" borderId="26" xfId="0" applyNumberFormat="1" applyFont="1" applyFill="1" applyBorder="1" applyAlignment="1" quotePrefix="1">
      <alignment horizontal="right" vertical="center"/>
    </xf>
    <xf numFmtId="178" fontId="3" fillId="0" borderId="0" xfId="0" applyNumberFormat="1" applyFont="1" applyFill="1" applyBorder="1" applyAlignment="1" quotePrefix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Border="1" applyAlignment="1">
      <alignment vertical="top" wrapText="1"/>
    </xf>
    <xf numFmtId="178" fontId="3" fillId="0" borderId="26" xfId="0" applyNumberFormat="1" applyFont="1" applyFill="1" applyBorder="1" applyAlignment="1">
      <alignment horizontal="right" vertical="center"/>
    </xf>
    <xf numFmtId="178" fontId="3" fillId="0" borderId="32" xfId="0" applyNumberFormat="1" applyFont="1" applyFill="1" applyBorder="1" applyAlignment="1">
      <alignment horizontal="right" vertical="center"/>
    </xf>
    <xf numFmtId="178" fontId="3" fillId="0" borderId="33" xfId="0" applyNumberFormat="1" applyFont="1" applyFill="1" applyBorder="1" applyAlignment="1">
      <alignment horizontal="right" vertical="center"/>
    </xf>
    <xf numFmtId="178" fontId="3" fillId="0" borderId="23" xfId="0" applyNumberFormat="1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horizontal="right" vertical="center"/>
    </xf>
    <xf numFmtId="178" fontId="3" fillId="53" borderId="33" xfId="0" applyNumberFormat="1" applyFont="1" applyFill="1" applyBorder="1" applyAlignment="1">
      <alignment horizontal="right" vertical="center"/>
    </xf>
    <xf numFmtId="178" fontId="3" fillId="54" borderId="4" xfId="0" applyNumberFormat="1" applyFont="1" applyFill="1" applyBorder="1" applyAlignment="1">
      <alignment horizontal="right" vertical="center"/>
    </xf>
    <xf numFmtId="178" fontId="3" fillId="54" borderId="26" xfId="0" applyNumberFormat="1" applyFont="1" applyFill="1" applyBorder="1" applyAlignment="1">
      <alignment horizontal="right" vertical="center"/>
    </xf>
    <xf numFmtId="178" fontId="3" fillId="54" borderId="0" xfId="0" applyNumberFormat="1" applyFont="1" applyFill="1" applyBorder="1" applyAlignment="1">
      <alignment horizontal="right" vertical="center"/>
    </xf>
    <xf numFmtId="178" fontId="3" fillId="54" borderId="33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3" fillId="0" borderId="33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78" fontId="3" fillId="54" borderId="32" xfId="0" applyNumberFormat="1" applyFont="1" applyFill="1" applyBorder="1" applyAlignment="1">
      <alignment horizontal="right" vertical="center"/>
    </xf>
    <xf numFmtId="178" fontId="9" fillId="54" borderId="0" xfId="0" applyNumberFormat="1" applyFont="1" applyFill="1" applyBorder="1" applyAlignment="1">
      <alignment horizontal="right" vertical="center"/>
    </xf>
    <xf numFmtId="178" fontId="3" fillId="54" borderId="18" xfId="0" applyNumberFormat="1" applyFont="1" applyFill="1" applyBorder="1" applyAlignment="1">
      <alignment horizontal="right" vertical="center"/>
    </xf>
    <xf numFmtId="178" fontId="3" fillId="54" borderId="17" xfId="0" applyNumberFormat="1" applyFont="1" applyFill="1" applyBorder="1" applyAlignment="1">
      <alignment horizontal="right" vertical="center"/>
    </xf>
    <xf numFmtId="178" fontId="3" fillId="54" borderId="34" xfId="0" applyNumberFormat="1" applyFont="1" applyFill="1" applyBorder="1" applyAlignment="1">
      <alignment horizontal="right" vertical="center"/>
    </xf>
    <xf numFmtId="178" fontId="3" fillId="54" borderId="16" xfId="0" applyNumberFormat="1" applyFont="1" applyFill="1" applyBorder="1" applyAlignment="1">
      <alignment horizontal="right" vertical="center"/>
    </xf>
    <xf numFmtId="178" fontId="3" fillId="0" borderId="24" xfId="0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178" fontId="3" fillId="54" borderId="24" xfId="0" applyNumberFormat="1" applyFont="1" applyFill="1" applyBorder="1" applyAlignment="1">
      <alignment horizontal="right" vertical="center"/>
    </xf>
    <xf numFmtId="178" fontId="3" fillId="54" borderId="25" xfId="0" applyNumberFormat="1" applyFont="1" applyFill="1" applyBorder="1" applyAlignment="1">
      <alignment horizontal="right" vertical="center"/>
    </xf>
    <xf numFmtId="178" fontId="3" fillId="54" borderId="15" xfId="0" applyNumberFormat="1" applyFont="1" applyFill="1" applyBorder="1" applyAlignment="1">
      <alignment horizontal="right" vertical="center"/>
    </xf>
    <xf numFmtId="178" fontId="4" fillId="53" borderId="24" xfId="0" applyNumberFormat="1" applyFont="1" applyFill="1" applyBorder="1" applyAlignment="1">
      <alignment horizontal="center" vertical="center"/>
    </xf>
    <xf numFmtId="178" fontId="4" fillId="53" borderId="25" xfId="0" applyNumberFormat="1" applyFont="1" applyFill="1" applyBorder="1" applyAlignment="1">
      <alignment horizontal="center" vertical="center"/>
    </xf>
    <xf numFmtId="178" fontId="10" fillId="53" borderId="0" xfId="0" applyNumberFormat="1" applyFont="1" applyFill="1" applyBorder="1" applyAlignment="1">
      <alignment horizontal="right" vertical="center"/>
    </xf>
    <xf numFmtId="178" fontId="3" fillId="53" borderId="23" xfId="0" applyNumberFormat="1" applyFont="1" applyFill="1" applyBorder="1" applyAlignment="1">
      <alignment horizontal="right" vertical="center"/>
    </xf>
    <xf numFmtId="178" fontId="9" fillId="53" borderId="0" xfId="0" applyNumberFormat="1" applyFont="1" applyFill="1" applyBorder="1" applyAlignment="1">
      <alignment horizontal="right" vertical="center"/>
    </xf>
    <xf numFmtId="178" fontId="9" fillId="54" borderId="2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 quotePrefix="1">
      <alignment horizontal="right" vertical="top"/>
    </xf>
    <xf numFmtId="0" fontId="4" fillId="52" borderId="0" xfId="0" applyFont="1" applyFill="1" applyBorder="1" applyAlignment="1">
      <alignment horizontal="center" vertical="center" wrapText="1"/>
    </xf>
    <xf numFmtId="166" fontId="23" fillId="0" borderId="18" xfId="0" applyNumberFormat="1" applyFont="1" applyFill="1" applyBorder="1" applyAlignment="1">
      <alignment horizontal="right" vertical="center"/>
    </xf>
    <xf numFmtId="166" fontId="23" fillId="0" borderId="17" xfId="0" applyNumberFormat="1" applyFont="1" applyFill="1" applyBorder="1" applyAlignment="1">
      <alignment horizontal="right" vertical="center"/>
    </xf>
    <xf numFmtId="178" fontId="4" fillId="53" borderId="24" xfId="0" applyNumberFormat="1" applyFont="1" applyFill="1" applyBorder="1" applyAlignment="1">
      <alignment horizontal="right" vertical="center"/>
    </xf>
    <xf numFmtId="178" fontId="4" fillId="53" borderId="22" xfId="0" applyNumberFormat="1" applyFont="1" applyFill="1" applyBorder="1" applyAlignment="1">
      <alignment horizontal="right" vertical="center"/>
    </xf>
    <xf numFmtId="178" fontId="3" fillId="0" borderId="22" xfId="0" applyNumberFormat="1" applyFont="1" applyFill="1" applyBorder="1" applyAlignment="1">
      <alignment horizontal="right" vertical="center"/>
    </xf>
    <xf numFmtId="178" fontId="3" fillId="54" borderId="23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center" vertical="center"/>
    </xf>
    <xf numFmtId="178" fontId="3" fillId="54" borderId="19" xfId="0" applyNumberFormat="1" applyFont="1" applyFill="1" applyBorder="1" applyAlignment="1">
      <alignment horizontal="right" vertical="center"/>
    </xf>
    <xf numFmtId="178" fontId="23" fillId="0" borderId="17" xfId="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165" fontId="3" fillId="54" borderId="24" xfId="0" applyNumberFormat="1" applyFont="1" applyFill="1" applyBorder="1" applyAlignment="1">
      <alignment horizontal="right" vertical="center"/>
    </xf>
    <xf numFmtId="167" fontId="10" fillId="53" borderId="25" xfId="0" applyNumberFormat="1" applyFont="1" applyFill="1" applyBorder="1" applyAlignment="1">
      <alignment horizontal="right" vertical="center"/>
    </xf>
    <xf numFmtId="167" fontId="4" fillId="53" borderId="25" xfId="0" applyNumberFormat="1" applyFont="1" applyFill="1" applyBorder="1" applyAlignment="1">
      <alignment horizontal="right" vertical="center"/>
    </xf>
    <xf numFmtId="167" fontId="16" fillId="0" borderId="0" xfId="141" applyNumberFormat="1" applyFont="1" applyFill="1" applyBorder="1" applyAlignment="1">
      <alignment vertical="center"/>
      <protection locked="0"/>
    </xf>
    <xf numFmtId="167" fontId="16" fillId="0" borderId="25" xfId="141" applyNumberFormat="1" applyFont="1" applyFill="1" applyBorder="1" applyAlignment="1">
      <alignment vertical="center"/>
      <protection locked="0"/>
    </xf>
    <xf numFmtId="167" fontId="16" fillId="0" borderId="22" xfId="141" applyNumberFormat="1" applyFont="1" applyFill="1" applyBorder="1" applyAlignment="1">
      <alignment vertical="center"/>
      <protection locked="0"/>
    </xf>
    <xf numFmtId="167" fontId="16" fillId="0" borderId="26" xfId="141" applyNumberFormat="1" applyFont="1" applyFill="1" applyBorder="1" applyAlignment="1">
      <alignment vertical="center"/>
      <protection locked="0"/>
    </xf>
    <xf numFmtId="167" fontId="16" fillId="0" borderId="24" xfId="141" applyNumberFormat="1" applyFont="1" applyFill="1" applyBorder="1" applyAlignment="1">
      <alignment vertical="center"/>
      <protection locked="0"/>
    </xf>
    <xf numFmtId="167" fontId="16" fillId="53" borderId="0" xfId="141" applyNumberFormat="1" applyFont="1" applyFill="1" applyBorder="1" applyAlignment="1">
      <alignment vertical="center"/>
      <protection locked="0"/>
    </xf>
    <xf numFmtId="167" fontId="16" fillId="53" borderId="23" xfId="141" applyNumberFormat="1" applyFont="1" applyFill="1" applyBorder="1" applyAlignment="1">
      <alignment vertical="center"/>
      <protection locked="0"/>
    </xf>
    <xf numFmtId="167" fontId="16" fillId="53" borderId="26" xfId="141" applyNumberFormat="1" applyFont="1" applyFill="1" applyBorder="1" applyAlignment="1">
      <alignment horizontal="center" vertical="center"/>
      <protection locked="0"/>
    </xf>
    <xf numFmtId="167" fontId="16" fillId="53" borderId="0" xfId="141" applyNumberFormat="1" applyFont="1" applyFill="1" applyBorder="1" applyAlignment="1">
      <alignment horizontal="center" vertical="center"/>
      <protection locked="0"/>
    </xf>
    <xf numFmtId="167" fontId="16" fillId="0" borderId="23" xfId="141" applyNumberFormat="1" applyFont="1" applyFill="1" applyBorder="1" applyAlignment="1">
      <alignment vertical="center"/>
      <protection locked="0"/>
    </xf>
    <xf numFmtId="167" fontId="16" fillId="53" borderId="26" xfId="141" applyNumberFormat="1" applyFont="1" applyFill="1" applyBorder="1" applyAlignment="1">
      <alignment vertical="center"/>
      <protection locked="0"/>
    </xf>
    <xf numFmtId="167" fontId="16" fillId="0" borderId="33" xfId="141" applyNumberFormat="1" applyFont="1" applyFill="1" applyBorder="1" applyAlignment="1">
      <alignment vertical="center"/>
      <protection locked="0"/>
    </xf>
    <xf numFmtId="167" fontId="16" fillId="0" borderId="26" xfId="141" applyNumberFormat="1" applyFont="1" applyFill="1" applyBorder="1" applyAlignment="1">
      <alignment horizontal="center" vertical="center"/>
      <protection locked="0"/>
    </xf>
    <xf numFmtId="167" fontId="16" fillId="0" borderId="0" xfId="141" applyNumberFormat="1" applyFont="1" applyFill="1" applyBorder="1" applyAlignment="1">
      <alignment horizontal="center" vertical="center"/>
      <protection locked="0"/>
    </xf>
    <xf numFmtId="167" fontId="16" fillId="0" borderId="0" xfId="141" applyNumberFormat="1" applyFont="1" applyFill="1" applyBorder="1" applyAlignment="1" quotePrefix="1">
      <alignment horizontal="center" vertical="center"/>
      <protection locked="0"/>
    </xf>
    <xf numFmtId="167" fontId="16" fillId="0" borderId="0" xfId="141" applyNumberFormat="1" applyFont="1" applyFill="1" applyBorder="1" applyAlignment="1" quotePrefix="1">
      <alignment horizontal="right" vertical="center"/>
      <protection locked="0"/>
    </xf>
    <xf numFmtId="167" fontId="16" fillId="0" borderId="23" xfId="141" applyNumberFormat="1" applyFont="1" applyFill="1" applyBorder="1" applyAlignment="1" quotePrefix="1">
      <alignment horizontal="right" vertical="center"/>
      <protection locked="0"/>
    </xf>
    <xf numFmtId="167" fontId="16" fillId="0" borderId="0" xfId="141" applyNumberFormat="1" applyFont="1" applyFill="1" applyBorder="1" applyAlignment="1">
      <alignment horizontal="right" vertical="center"/>
      <protection locked="0"/>
    </xf>
    <xf numFmtId="167" fontId="16" fillId="0" borderId="23" xfId="141" applyNumberFormat="1" applyFont="1" applyFill="1" applyBorder="1" applyAlignment="1">
      <alignment horizontal="right" vertical="center"/>
      <protection locked="0"/>
    </xf>
    <xf numFmtId="167" fontId="16" fillId="54" borderId="0" xfId="141" applyNumberFormat="1" applyFont="1" applyFill="1" applyBorder="1" applyAlignment="1">
      <alignment vertical="center"/>
      <protection locked="0"/>
    </xf>
    <xf numFmtId="167" fontId="16" fillId="54" borderId="23" xfId="141" applyNumberFormat="1" applyFont="1" applyFill="1" applyBorder="1" applyAlignment="1">
      <alignment vertical="center"/>
      <protection locked="0"/>
    </xf>
    <xf numFmtId="167" fontId="16" fillId="54" borderId="26" xfId="141" applyNumberFormat="1" applyFont="1" applyFill="1" applyBorder="1" applyAlignment="1">
      <alignment vertical="center"/>
      <protection locked="0"/>
    </xf>
    <xf numFmtId="167" fontId="16" fillId="54" borderId="26" xfId="141" applyNumberFormat="1" applyFont="1" applyFill="1" applyBorder="1" applyAlignment="1" quotePrefix="1">
      <alignment horizontal="center" vertical="center"/>
      <protection locked="0"/>
    </xf>
    <xf numFmtId="167" fontId="16" fillId="54" borderId="0" xfId="141" applyNumberFormat="1" applyFont="1" applyFill="1" applyBorder="1" applyAlignment="1" quotePrefix="1">
      <alignment horizontal="center" vertical="center"/>
      <protection locked="0"/>
    </xf>
    <xf numFmtId="167" fontId="16" fillId="54" borderId="23" xfId="141" applyNumberFormat="1" applyFont="1" applyFill="1" applyBorder="1" applyAlignment="1" quotePrefix="1">
      <alignment horizontal="center" vertical="center"/>
      <protection locked="0"/>
    </xf>
    <xf numFmtId="167" fontId="16" fillId="54" borderId="17" xfId="141" applyNumberFormat="1" applyFont="1" applyFill="1" applyBorder="1" applyAlignment="1">
      <alignment vertical="center"/>
      <protection locked="0"/>
    </xf>
    <xf numFmtId="167" fontId="16" fillId="54" borderId="19" xfId="141" applyNumberFormat="1" applyFont="1" applyFill="1" applyBorder="1" applyAlignment="1">
      <alignment vertical="center"/>
      <protection locked="0"/>
    </xf>
    <xf numFmtId="167" fontId="16" fillId="54" borderId="18" xfId="141" applyNumberFormat="1" applyFont="1" applyFill="1" applyBorder="1" applyAlignment="1">
      <alignment vertical="center"/>
      <protection locked="0"/>
    </xf>
    <xf numFmtId="167" fontId="16" fillId="0" borderId="17" xfId="141" applyNumberFormat="1" applyFont="1" applyFill="1" applyBorder="1" applyAlignment="1">
      <alignment vertical="center"/>
      <protection locked="0"/>
    </xf>
    <xf numFmtId="167" fontId="16" fillId="0" borderId="19" xfId="141" applyNumberFormat="1" applyFont="1" applyFill="1" applyBorder="1" applyAlignment="1">
      <alignment vertical="center"/>
      <protection locked="0"/>
    </xf>
    <xf numFmtId="167" fontId="16" fillId="0" borderId="18" xfId="141" applyNumberFormat="1" applyFont="1" applyFill="1" applyBorder="1" applyAlignment="1">
      <alignment vertical="center"/>
      <protection locked="0"/>
    </xf>
    <xf numFmtId="167" fontId="4" fillId="53" borderId="24" xfId="0" applyNumberFormat="1" applyFont="1" applyFill="1" applyBorder="1" applyAlignment="1">
      <alignment horizontal="right" vertical="center"/>
    </xf>
    <xf numFmtId="167" fontId="4" fillId="53" borderId="22" xfId="0" applyNumberFormat="1" applyFont="1" applyFill="1" applyBorder="1" applyAlignment="1">
      <alignment horizontal="right" vertical="center"/>
    </xf>
    <xf numFmtId="167" fontId="3" fillId="0" borderId="26" xfId="0" applyNumberFormat="1" applyFont="1" applyFill="1" applyBorder="1" applyAlignment="1">
      <alignment horizontal="right" vertical="center"/>
    </xf>
    <xf numFmtId="167" fontId="3" fillId="53" borderId="26" xfId="0" applyNumberFormat="1" applyFont="1" applyFill="1" applyBorder="1" applyAlignment="1">
      <alignment horizontal="right" vertical="center"/>
    </xf>
    <xf numFmtId="167" fontId="3" fillId="53" borderId="0" xfId="0" applyNumberFormat="1" applyFont="1" applyFill="1" applyBorder="1" applyAlignment="1">
      <alignment horizontal="right" vertical="center"/>
    </xf>
    <xf numFmtId="167" fontId="16" fillId="0" borderId="26" xfId="141" applyNumberFormat="1" applyFont="1" applyFill="1" applyBorder="1" applyAlignment="1" quotePrefix="1">
      <alignment horizontal="center" vertical="center"/>
      <protection locked="0"/>
    </xf>
    <xf numFmtId="167" fontId="3" fillId="54" borderId="26" xfId="0" applyNumberFormat="1" applyFont="1" applyFill="1" applyBorder="1" applyAlignment="1">
      <alignment horizontal="right" vertical="center"/>
    </xf>
    <xf numFmtId="167" fontId="3" fillId="54" borderId="18" xfId="0" applyNumberFormat="1" applyFont="1" applyFill="1" applyBorder="1" applyAlignment="1">
      <alignment horizontal="right" vertical="center"/>
    </xf>
    <xf numFmtId="167" fontId="3" fillId="0" borderId="26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7" fontId="3" fillId="54" borderId="26" xfId="0" applyNumberFormat="1" applyFont="1" applyFill="1" applyBorder="1" applyAlignment="1">
      <alignment vertical="center"/>
    </xf>
    <xf numFmtId="167" fontId="3" fillId="54" borderId="0" xfId="0" applyNumberFormat="1" applyFont="1" applyFill="1" applyBorder="1" applyAlignment="1">
      <alignment vertical="center"/>
    </xf>
    <xf numFmtId="167" fontId="3" fillId="0" borderId="18" xfId="0" applyNumberFormat="1" applyFont="1" applyFill="1" applyBorder="1" applyAlignment="1">
      <alignment vertical="center"/>
    </xf>
    <xf numFmtId="167" fontId="3" fillId="0" borderId="17" xfId="0" applyNumberFormat="1" applyFont="1" applyFill="1" applyBorder="1" applyAlignment="1">
      <alignment vertical="center"/>
    </xf>
    <xf numFmtId="166" fontId="0" fillId="0" borderId="0" xfId="0" applyNumberFormat="1" applyAlignment="1">
      <alignment horizontal="center"/>
    </xf>
    <xf numFmtId="178" fontId="10" fillId="53" borderId="24" xfId="0" applyNumberFormat="1" applyFont="1" applyFill="1" applyBorder="1" applyAlignment="1">
      <alignment horizontal="right" vertical="center"/>
    </xf>
    <xf numFmtId="179" fontId="3" fillId="0" borderId="26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16" fillId="0" borderId="0" xfId="141" applyNumberFormat="1" applyFont="1" applyFill="1" applyBorder="1" applyAlignment="1">
      <alignment vertical="center"/>
      <protection locked="0"/>
    </xf>
    <xf numFmtId="179" fontId="16" fillId="0" borderId="25" xfId="141" applyNumberFormat="1" applyFont="1" applyFill="1" applyBorder="1" applyAlignment="1">
      <alignment vertical="center"/>
      <protection locked="0"/>
    </xf>
    <xf numFmtId="179" fontId="16" fillId="0" borderId="22" xfId="141" applyNumberFormat="1" applyFont="1" applyFill="1" applyBorder="1" applyAlignment="1">
      <alignment vertical="center"/>
      <protection locked="0"/>
    </xf>
    <xf numFmtId="179" fontId="3" fillId="53" borderId="26" xfId="0" applyNumberFormat="1" applyFont="1" applyFill="1" applyBorder="1" applyAlignment="1">
      <alignment vertical="center"/>
    </xf>
    <xf numFmtId="179" fontId="3" fillId="53" borderId="0" xfId="0" applyNumberFormat="1" applyFont="1" applyFill="1" applyBorder="1" applyAlignment="1">
      <alignment vertical="center"/>
    </xf>
    <xf numFmtId="179" fontId="16" fillId="53" borderId="0" xfId="141" applyNumberFormat="1" applyFont="1" applyFill="1" applyBorder="1" applyAlignment="1">
      <alignment vertical="center"/>
      <protection locked="0"/>
    </xf>
    <xf numFmtId="179" fontId="16" fillId="53" borderId="23" xfId="141" applyNumberFormat="1" applyFont="1" applyFill="1" applyBorder="1" applyAlignment="1">
      <alignment vertical="center"/>
      <protection locked="0"/>
    </xf>
    <xf numFmtId="179" fontId="16" fillId="0" borderId="23" xfId="141" applyNumberFormat="1" applyFont="1" applyFill="1" applyBorder="1" applyAlignment="1">
      <alignment vertical="center"/>
      <protection locked="0"/>
    </xf>
    <xf numFmtId="179" fontId="16" fillId="0" borderId="33" xfId="141" applyNumberFormat="1" applyFont="1" applyFill="1" applyBorder="1" applyAlignment="1">
      <alignment vertical="center"/>
      <protection locked="0"/>
    </xf>
    <xf numFmtId="179" fontId="3" fillId="54" borderId="26" xfId="0" applyNumberFormat="1" applyFont="1" applyFill="1" applyBorder="1" applyAlignment="1">
      <alignment vertical="center"/>
    </xf>
    <xf numFmtId="179" fontId="3" fillId="54" borderId="0" xfId="0" applyNumberFormat="1" applyFont="1" applyFill="1" applyBorder="1" applyAlignment="1">
      <alignment vertical="center"/>
    </xf>
    <xf numFmtId="179" fontId="16" fillId="54" borderId="0" xfId="141" applyNumberFormat="1" applyFont="1" applyFill="1" applyBorder="1" applyAlignment="1">
      <alignment vertical="center"/>
      <protection locked="0"/>
    </xf>
    <xf numFmtId="179" fontId="16" fillId="54" borderId="23" xfId="141" applyNumberFormat="1" applyFont="1" applyFill="1" applyBorder="1" applyAlignment="1">
      <alignment vertical="center"/>
      <protection locked="0"/>
    </xf>
    <xf numFmtId="179" fontId="3" fillId="54" borderId="18" xfId="0" applyNumberFormat="1" applyFont="1" applyFill="1" applyBorder="1" applyAlignment="1">
      <alignment vertical="center"/>
    </xf>
    <xf numFmtId="179" fontId="3" fillId="54" borderId="17" xfId="0" applyNumberFormat="1" applyFont="1" applyFill="1" applyBorder="1" applyAlignment="1">
      <alignment vertical="center"/>
    </xf>
    <xf numFmtId="179" fontId="16" fillId="54" borderId="17" xfId="141" applyNumberFormat="1" applyFont="1" applyFill="1" applyBorder="1" applyAlignment="1">
      <alignment vertical="center"/>
      <protection locked="0"/>
    </xf>
    <xf numFmtId="179" fontId="16" fillId="54" borderId="19" xfId="141" applyNumberFormat="1" applyFont="1" applyFill="1" applyBorder="1" applyAlignment="1">
      <alignment vertical="center"/>
      <protection locked="0"/>
    </xf>
    <xf numFmtId="179" fontId="3" fillId="0" borderId="25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vertical="center"/>
    </xf>
    <xf numFmtId="179" fontId="16" fillId="0" borderId="17" xfId="141" applyNumberFormat="1" applyFont="1" applyFill="1" applyBorder="1" applyAlignment="1">
      <alignment vertical="center"/>
      <protection locked="0"/>
    </xf>
    <xf numFmtId="179" fontId="16" fillId="0" borderId="19" xfId="141" applyNumberFormat="1" applyFont="1" applyFill="1" applyBorder="1" applyAlignment="1">
      <alignment vertical="center"/>
      <protection locked="0"/>
    </xf>
    <xf numFmtId="0" fontId="3" fillId="54" borderId="0" xfId="0" applyFont="1" applyFill="1" applyBorder="1" applyAlignment="1">
      <alignment/>
    </xf>
    <xf numFmtId="1" fontId="3" fillId="54" borderId="0" xfId="0" applyNumberFormat="1" applyFont="1" applyFill="1" applyAlignment="1">
      <alignment/>
    </xf>
    <xf numFmtId="175" fontId="3" fillId="0" borderId="25" xfId="0" applyNumberFormat="1" applyFont="1" applyFill="1" applyBorder="1" applyAlignment="1">
      <alignment horizontal="right" vertical="center"/>
    </xf>
    <xf numFmtId="175" fontId="9" fillId="0" borderId="25" xfId="0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4" fillId="5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167" fontId="3" fillId="0" borderId="24" xfId="0" applyNumberFormat="1" applyFont="1" applyFill="1" applyBorder="1" applyAlignment="1">
      <alignment horizontal="right" vertical="center"/>
    </xf>
    <xf numFmtId="167" fontId="3" fillId="0" borderId="22" xfId="0" applyNumberFormat="1" applyFont="1" applyFill="1" applyBorder="1" applyAlignment="1">
      <alignment horizontal="right" vertical="center"/>
    </xf>
    <xf numFmtId="167" fontId="3" fillId="53" borderId="23" xfId="0" applyNumberFormat="1" applyFont="1" applyFill="1" applyBorder="1" applyAlignment="1">
      <alignment horizontal="right" vertical="center"/>
    </xf>
    <xf numFmtId="167" fontId="4" fillId="53" borderId="15" xfId="0" applyNumberFormat="1" applyFont="1" applyFill="1" applyBorder="1" applyAlignment="1">
      <alignment horizontal="right" vertical="center"/>
    </xf>
    <xf numFmtId="167" fontId="3" fillId="0" borderId="15" xfId="0" applyNumberFormat="1" applyFont="1" applyFill="1" applyBorder="1" applyAlignment="1">
      <alignment horizontal="right" vertical="center"/>
    </xf>
    <xf numFmtId="167" fontId="3" fillId="53" borderId="4" xfId="0" applyNumberFormat="1" applyFont="1" applyFill="1" applyBorder="1" applyAlignment="1">
      <alignment horizontal="right" vertical="center"/>
    </xf>
    <xf numFmtId="167" fontId="10" fillId="53" borderId="25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vertical="center"/>
    </xf>
    <xf numFmtId="167" fontId="3" fillId="53" borderId="26" xfId="0" applyNumberFormat="1" applyFont="1" applyFill="1" applyBorder="1" applyAlignment="1">
      <alignment vertical="center"/>
    </xf>
    <xf numFmtId="167" fontId="3" fillId="53" borderId="0" xfId="0" applyNumberFormat="1" applyFont="1" applyFill="1" applyBorder="1" applyAlignment="1">
      <alignment vertical="center"/>
    </xf>
    <xf numFmtId="167" fontId="3" fillId="0" borderId="26" xfId="0" applyNumberFormat="1" applyFont="1" applyFill="1" applyBorder="1" applyAlignment="1" quotePrefix="1">
      <alignment horizontal="right" vertical="center"/>
    </xf>
    <xf numFmtId="167" fontId="3" fillId="0" borderId="0" xfId="0" applyNumberFormat="1" applyFont="1" applyFill="1" applyBorder="1" applyAlignment="1" quotePrefix="1">
      <alignment horizontal="right" vertical="center"/>
    </xf>
    <xf numFmtId="167" fontId="3" fillId="0" borderId="33" xfId="0" applyNumberFormat="1" applyFont="1" applyFill="1" applyBorder="1" applyAlignment="1">
      <alignment vertical="center"/>
    </xf>
    <xf numFmtId="167" fontId="9" fillId="0" borderId="26" xfId="0" applyNumberFormat="1" applyFont="1" applyFill="1" applyBorder="1" applyAlignment="1">
      <alignment vertical="center"/>
    </xf>
    <xf numFmtId="167" fontId="3" fillId="0" borderId="32" xfId="0" applyNumberFormat="1" applyFont="1" applyFill="1" applyBorder="1" applyAlignment="1">
      <alignment vertical="center"/>
    </xf>
    <xf numFmtId="167" fontId="9" fillId="53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167" fontId="3" fillId="54" borderId="32" xfId="0" applyNumberFormat="1" applyFont="1" applyFill="1" applyBorder="1" applyAlignment="1">
      <alignment vertical="center"/>
    </xf>
    <xf numFmtId="167" fontId="9" fillId="54" borderId="0" xfId="0" applyNumberFormat="1" applyFont="1" applyFill="1" applyBorder="1" applyAlignment="1">
      <alignment vertical="center"/>
    </xf>
    <xf numFmtId="167" fontId="3" fillId="54" borderId="26" xfId="0" applyNumberFormat="1" applyFont="1" applyFill="1" applyBorder="1" applyAlignment="1" quotePrefix="1">
      <alignment horizontal="right" vertical="center"/>
    </xf>
    <xf numFmtId="167" fontId="3" fillId="54" borderId="0" xfId="0" applyNumberFormat="1" applyFont="1" applyFill="1" applyBorder="1" applyAlignment="1" quotePrefix="1">
      <alignment horizontal="right" vertical="center"/>
    </xf>
    <xf numFmtId="167" fontId="3" fillId="54" borderId="18" xfId="0" applyNumberFormat="1" applyFont="1" applyFill="1" applyBorder="1" applyAlignment="1">
      <alignment vertical="center"/>
    </xf>
    <xf numFmtId="167" fontId="3" fillId="54" borderId="17" xfId="0" applyNumberFormat="1" applyFont="1" applyFill="1" applyBorder="1" applyAlignment="1">
      <alignment vertical="center"/>
    </xf>
    <xf numFmtId="167" fontId="3" fillId="54" borderId="34" xfId="0" applyNumberFormat="1" applyFont="1" applyFill="1" applyBorder="1" applyAlignment="1">
      <alignment vertical="center"/>
    </xf>
    <xf numFmtId="167" fontId="3" fillId="0" borderId="18" xfId="0" applyNumberFormat="1" applyFont="1" applyFill="1" applyBorder="1" applyAlignment="1">
      <alignment horizontal="right" vertical="center"/>
    </xf>
    <xf numFmtId="167" fontId="10" fillId="53" borderId="22" xfId="0" applyNumberFormat="1" applyFont="1" applyFill="1" applyBorder="1" applyAlignment="1">
      <alignment horizontal="right" vertical="center"/>
    </xf>
    <xf numFmtId="167" fontId="9" fillId="0" borderId="23" xfId="0" applyNumberFormat="1" applyFont="1" applyFill="1" applyBorder="1" applyAlignment="1">
      <alignment vertical="center"/>
    </xf>
    <xf numFmtId="167" fontId="3" fillId="53" borderId="23" xfId="0" applyNumberFormat="1" applyFont="1" applyFill="1" applyBorder="1" applyAlignment="1">
      <alignment vertical="center"/>
    </xf>
    <xf numFmtId="167" fontId="3" fillId="0" borderId="23" xfId="0" applyNumberFormat="1" applyFont="1" applyFill="1" applyBorder="1" applyAlignment="1">
      <alignment vertical="center"/>
    </xf>
    <xf numFmtId="167" fontId="9" fillId="53" borderId="23" xfId="0" applyNumberFormat="1" applyFont="1" applyFill="1" applyBorder="1" applyAlignment="1">
      <alignment vertical="center"/>
    </xf>
    <xf numFmtId="167" fontId="3" fillId="0" borderId="23" xfId="0" applyNumberFormat="1" applyFont="1" applyFill="1" applyBorder="1" applyAlignment="1">
      <alignment/>
    </xf>
    <xf numFmtId="167" fontId="3" fillId="54" borderId="23" xfId="0" applyNumberFormat="1" applyFont="1" applyFill="1" applyBorder="1" applyAlignment="1">
      <alignment vertical="center"/>
    </xf>
    <xf numFmtId="167" fontId="3" fillId="54" borderId="19" xfId="0" applyNumberFormat="1" applyFont="1" applyFill="1" applyBorder="1" applyAlignment="1">
      <alignment vertical="center"/>
    </xf>
    <xf numFmtId="167" fontId="3" fillId="0" borderId="19" xfId="0" applyNumberFormat="1" applyFont="1" applyFill="1" applyBorder="1" applyAlignment="1">
      <alignment vertical="center"/>
    </xf>
    <xf numFmtId="167" fontId="10" fillId="53" borderId="37" xfId="0" applyNumberFormat="1" applyFont="1" applyFill="1" applyBorder="1" applyAlignment="1">
      <alignment horizontal="right" vertical="center"/>
    </xf>
    <xf numFmtId="167" fontId="3" fillId="0" borderId="24" xfId="0" applyNumberFormat="1" applyFont="1" applyFill="1" applyBorder="1" applyAlignment="1">
      <alignment vertical="center"/>
    </xf>
    <xf numFmtId="167" fontId="3" fillId="0" borderId="25" xfId="0" applyNumberFormat="1" applyFont="1" applyFill="1" applyBorder="1" applyAlignment="1">
      <alignment vertical="center"/>
    </xf>
    <xf numFmtId="167" fontId="9" fillId="0" borderId="25" xfId="0" applyNumberFormat="1" applyFont="1" applyFill="1" applyBorder="1" applyAlignment="1">
      <alignment vertical="center"/>
    </xf>
    <xf numFmtId="167" fontId="3" fillId="0" borderId="22" xfId="0" applyNumberFormat="1" applyFont="1" applyFill="1" applyBorder="1" applyAlignment="1">
      <alignment vertical="center"/>
    </xf>
    <xf numFmtId="167" fontId="3" fillId="0" borderId="23" xfId="0" applyNumberFormat="1" applyFont="1" applyFill="1" applyBorder="1" applyAlignment="1" quotePrefix="1">
      <alignment horizontal="right" vertical="center"/>
    </xf>
    <xf numFmtId="167" fontId="9" fillId="54" borderId="23" xfId="0" applyNumberFormat="1" applyFont="1" applyFill="1" applyBorder="1" applyAlignment="1">
      <alignment vertical="center"/>
    </xf>
    <xf numFmtId="167" fontId="3" fillId="54" borderId="23" xfId="0" applyNumberFormat="1" applyFont="1" applyFill="1" applyBorder="1" applyAlignment="1" quotePrefix="1">
      <alignment horizontal="right" vertical="center"/>
    </xf>
    <xf numFmtId="167" fontId="3" fillId="0" borderId="38" xfId="0" applyNumberFormat="1" applyFont="1" applyFill="1" applyBorder="1" applyAlignment="1">
      <alignment vertical="center"/>
    </xf>
    <xf numFmtId="167" fontId="3" fillId="54" borderId="17" xfId="0" applyNumberFormat="1" applyFont="1" applyFill="1" applyBorder="1" applyAlignment="1">
      <alignment horizontal="center"/>
    </xf>
    <xf numFmtId="167" fontId="3" fillId="54" borderId="39" xfId="0" applyNumberFormat="1" applyFont="1" applyFill="1" applyBorder="1" applyAlignment="1">
      <alignment horizontal="center"/>
    </xf>
    <xf numFmtId="167" fontId="4" fillId="54" borderId="40" xfId="0" applyNumberFormat="1" applyFont="1" applyFill="1" applyBorder="1" applyAlignment="1">
      <alignment horizontal="center" vertical="center"/>
    </xf>
    <xf numFmtId="167" fontId="9" fillId="54" borderId="17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 vertical="center"/>
    </xf>
    <xf numFmtId="167" fontId="3" fillId="0" borderId="41" xfId="0" applyNumberFormat="1" applyFont="1" applyFill="1" applyBorder="1" applyAlignment="1">
      <alignment horizontal="right" vertical="center"/>
    </xf>
    <xf numFmtId="171" fontId="3" fillId="0" borderId="25" xfId="0" applyNumberFormat="1" applyFont="1" applyFill="1" applyBorder="1" applyAlignment="1">
      <alignment vertical="center"/>
    </xf>
    <xf numFmtId="171" fontId="3" fillId="54" borderId="24" xfId="0" applyNumberFormat="1" applyFont="1" applyFill="1" applyBorder="1" applyAlignment="1" quotePrefix="1">
      <alignment horizontal="right" vertical="center"/>
    </xf>
    <xf numFmtId="171" fontId="3" fillId="54" borderId="25" xfId="0" applyNumberFormat="1" applyFont="1" applyFill="1" applyBorder="1" applyAlignment="1" quotePrefix="1">
      <alignment horizontal="right" vertical="center"/>
    </xf>
    <xf numFmtId="167" fontId="9" fillId="0" borderId="25" xfId="0" applyNumberFormat="1" applyFont="1" applyFill="1" applyBorder="1" applyAlignment="1">
      <alignment vertical="center"/>
    </xf>
    <xf numFmtId="167" fontId="9" fillId="0" borderId="22" xfId="0" applyNumberFormat="1" applyFont="1" applyFill="1" applyBorder="1" applyAlignment="1">
      <alignment vertical="center"/>
    </xf>
    <xf numFmtId="167" fontId="3" fillId="53" borderId="38" xfId="0" applyNumberFormat="1" applyFont="1" applyFill="1" applyBorder="1" applyAlignment="1">
      <alignment vertical="center"/>
    </xf>
    <xf numFmtId="167" fontId="9" fillId="53" borderId="0" xfId="0" applyNumberFormat="1" applyFont="1" applyFill="1" applyBorder="1" applyAlignment="1">
      <alignment horizontal="right" vertical="center"/>
    </xf>
    <xf numFmtId="167" fontId="9" fillId="53" borderId="23" xfId="0" applyNumberFormat="1" applyFont="1" applyFill="1" applyBorder="1" applyAlignment="1">
      <alignment horizontal="right" vertical="center"/>
    </xf>
    <xf numFmtId="167" fontId="3" fillId="54" borderId="38" xfId="0" applyNumberFormat="1" applyFont="1" applyFill="1" applyBorder="1" applyAlignment="1">
      <alignment vertical="center"/>
    </xf>
    <xf numFmtId="167" fontId="3" fillId="0" borderId="25" xfId="0" applyNumberFormat="1" applyFont="1" applyFill="1" applyBorder="1" applyAlignment="1">
      <alignment vertical="center"/>
    </xf>
    <xf numFmtId="167" fontId="3" fillId="0" borderId="25" xfId="0" applyNumberFormat="1" applyFont="1" applyFill="1" applyBorder="1" applyAlignment="1">
      <alignment horizontal="right" vertical="center"/>
    </xf>
    <xf numFmtId="167" fontId="3" fillId="54" borderId="25" xfId="0" applyNumberFormat="1" applyFont="1" applyFill="1" applyBorder="1" applyAlignment="1" quotePrefix="1">
      <alignment horizontal="right" vertical="center"/>
    </xf>
    <xf numFmtId="167" fontId="3" fillId="54" borderId="22" xfId="0" applyNumberFormat="1" applyFont="1" applyFill="1" applyBorder="1" applyAlignment="1" quotePrefix="1">
      <alignment horizontal="right" vertical="center"/>
    </xf>
    <xf numFmtId="167" fontId="3" fillId="54" borderId="25" xfId="0" applyNumberFormat="1" applyFont="1" applyFill="1" applyBorder="1" applyAlignment="1" quotePrefix="1">
      <alignment horizontal="right" vertical="center"/>
    </xf>
    <xf numFmtId="0" fontId="4" fillId="0" borderId="16" xfId="0" applyFont="1" applyFill="1" applyBorder="1" applyAlignment="1">
      <alignment horizontal="center"/>
    </xf>
    <xf numFmtId="168" fontId="3" fillId="0" borderId="19" xfId="0" applyNumberFormat="1" applyFont="1" applyFill="1" applyBorder="1" applyAlignment="1">
      <alignment horizontal="right"/>
    </xf>
    <xf numFmtId="169" fontId="3" fillId="0" borderId="18" xfId="0" applyNumberFormat="1" applyFont="1" applyFill="1" applyBorder="1" applyAlignment="1">
      <alignment horizontal="right"/>
    </xf>
    <xf numFmtId="169" fontId="3" fillId="0" borderId="19" xfId="0" applyNumberFormat="1" applyFont="1" applyFill="1" applyBorder="1" applyAlignment="1">
      <alignment horizontal="right"/>
    </xf>
    <xf numFmtId="167" fontId="3" fillId="55" borderId="25" xfId="0" applyNumberFormat="1" applyFont="1" applyFill="1" applyBorder="1" applyAlignment="1">
      <alignment horizontal="right"/>
    </xf>
    <xf numFmtId="167" fontId="3" fillId="54" borderId="0" xfId="0" applyNumberFormat="1" applyFont="1" applyFill="1" applyBorder="1" applyAlignment="1">
      <alignment horizontal="right"/>
    </xf>
    <xf numFmtId="167" fontId="3" fillId="55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54" borderId="17" xfId="0" applyNumberFormat="1" applyFont="1" applyFill="1" applyBorder="1" applyAlignment="1">
      <alignment horizontal="right"/>
    </xf>
    <xf numFmtId="167" fontId="3" fillId="0" borderId="17" xfId="0" applyNumberFormat="1" applyFont="1" applyFill="1" applyBorder="1" applyAlignment="1">
      <alignment horizontal="right"/>
    </xf>
    <xf numFmtId="167" fontId="3" fillId="54" borderId="0" xfId="0" applyNumberFormat="1" applyFont="1" applyFill="1" applyBorder="1" applyAlignment="1" quotePrefix="1">
      <alignment horizontal="right"/>
    </xf>
    <xf numFmtId="168" fontId="3" fillId="0" borderId="25" xfId="0" applyNumberFormat="1" applyFont="1" applyBorder="1" applyAlignment="1">
      <alignment vertical="center"/>
    </xf>
    <xf numFmtId="169" fontId="3" fillId="0" borderId="25" xfId="0" applyNumberFormat="1" applyFont="1" applyFill="1" applyBorder="1" applyAlignment="1">
      <alignment horizontal="right" vertical="center"/>
    </xf>
    <xf numFmtId="180" fontId="4" fillId="53" borderId="20" xfId="0" applyNumberFormat="1" applyFont="1" applyFill="1" applyBorder="1" applyAlignment="1">
      <alignment horizontal="right" vertical="center"/>
    </xf>
    <xf numFmtId="180" fontId="4" fillId="53" borderId="13" xfId="0" applyNumberFormat="1" applyFont="1" applyFill="1" applyBorder="1" applyAlignment="1">
      <alignment horizontal="right" vertical="center"/>
    </xf>
    <xf numFmtId="181" fontId="4" fillId="53" borderId="20" xfId="0" applyNumberFormat="1" applyFont="1" applyFill="1" applyBorder="1" applyAlignment="1">
      <alignment horizontal="right" vertical="center"/>
    </xf>
    <xf numFmtId="181" fontId="4" fillId="53" borderId="42" xfId="0" applyNumberFormat="1" applyFont="1" applyFill="1" applyBorder="1" applyAlignment="1">
      <alignment horizontal="right" vertical="center"/>
    </xf>
    <xf numFmtId="181" fontId="4" fillId="53" borderId="13" xfId="0" applyNumberFormat="1" applyFont="1" applyFill="1" applyBorder="1" applyAlignment="1">
      <alignment horizontal="right" vertical="center"/>
    </xf>
    <xf numFmtId="181" fontId="4" fillId="53" borderId="26" xfId="0" applyNumberFormat="1" applyFont="1" applyFill="1" applyBorder="1" applyAlignment="1">
      <alignment horizontal="right" vertical="center"/>
    </xf>
    <xf numFmtId="181" fontId="4" fillId="53" borderId="43" xfId="0" applyNumberFormat="1" applyFont="1" applyFill="1" applyBorder="1" applyAlignment="1">
      <alignment horizontal="right" vertical="center"/>
    </xf>
    <xf numFmtId="181" fontId="4" fillId="53" borderId="0" xfId="0" applyNumberFormat="1" applyFont="1" applyFill="1" applyBorder="1" applyAlignment="1">
      <alignment horizontal="right" vertical="center"/>
    </xf>
    <xf numFmtId="181" fontId="3" fillId="0" borderId="26" xfId="0" applyNumberFormat="1" applyFont="1" applyFill="1" applyBorder="1" applyAlignment="1">
      <alignment horizontal="right" vertical="center"/>
    </xf>
    <xf numFmtId="181" fontId="3" fillId="0" borderId="43" xfId="0" applyNumberFormat="1" applyFont="1" applyFill="1" applyBorder="1" applyAlignment="1">
      <alignment horizontal="right" vertical="center"/>
    </xf>
    <xf numFmtId="181" fontId="3" fillId="0" borderId="44" xfId="0" applyNumberFormat="1" applyFont="1" applyFill="1" applyBorder="1" applyAlignment="1">
      <alignment horizontal="right" vertical="center"/>
    </xf>
    <xf numFmtId="181" fontId="4" fillId="53" borderId="24" xfId="0" applyNumberFormat="1" applyFont="1" applyFill="1" applyBorder="1" applyAlignment="1">
      <alignment horizontal="right" vertical="center"/>
    </xf>
    <xf numFmtId="181" fontId="3" fillId="53" borderId="45" xfId="0" applyNumberFormat="1" applyFont="1" applyFill="1" applyBorder="1" applyAlignment="1">
      <alignment horizontal="right" vertical="center"/>
    </xf>
    <xf numFmtId="181" fontId="4" fillId="53" borderId="46" xfId="0" applyNumberFormat="1" applyFont="1" applyFill="1" applyBorder="1" applyAlignment="1">
      <alignment horizontal="right" vertical="center"/>
    </xf>
    <xf numFmtId="181" fontId="3" fillId="0" borderId="18" xfId="0" applyNumberFormat="1" applyFont="1" applyFill="1" applyBorder="1" applyAlignment="1">
      <alignment horizontal="right" vertical="center"/>
    </xf>
    <xf numFmtId="181" fontId="3" fillId="0" borderId="27" xfId="0" applyNumberFormat="1" applyFont="1" applyFill="1" applyBorder="1" applyAlignment="1">
      <alignment horizontal="right" vertical="center"/>
    </xf>
    <xf numFmtId="181" fontId="3" fillId="0" borderId="28" xfId="0" applyNumberFormat="1" applyFont="1" applyFill="1" applyBorder="1" applyAlignment="1">
      <alignment horizontal="right" vertical="center"/>
    </xf>
    <xf numFmtId="181" fontId="3" fillId="53" borderId="42" xfId="0" applyNumberFormat="1" applyFont="1" applyFill="1" applyBorder="1" applyAlignment="1">
      <alignment horizontal="right" vertical="center"/>
    </xf>
    <xf numFmtId="181" fontId="4" fillId="53" borderId="47" xfId="0" applyNumberFormat="1" applyFont="1" applyFill="1" applyBorder="1" applyAlignment="1">
      <alignment horizontal="right" vertical="center"/>
    </xf>
    <xf numFmtId="181" fontId="3" fillId="53" borderId="43" xfId="0" applyNumberFormat="1" applyFont="1" applyFill="1" applyBorder="1" applyAlignment="1">
      <alignment horizontal="right" vertical="center"/>
    </xf>
    <xf numFmtId="181" fontId="4" fillId="53" borderId="42" xfId="0" applyNumberFormat="1" applyFont="1" applyFill="1" applyBorder="1" applyAlignment="1">
      <alignment horizontal="center" vertical="center"/>
    </xf>
    <xf numFmtId="181" fontId="4" fillId="53" borderId="43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81" fontId="4" fillId="53" borderId="25" xfId="0" applyNumberFormat="1" applyFont="1" applyFill="1" applyBorder="1" applyAlignment="1">
      <alignment horizontal="right" vertical="center"/>
    </xf>
    <xf numFmtId="181" fontId="3" fillId="53" borderId="25" xfId="0" applyNumberFormat="1" applyFont="1" applyFill="1" applyBorder="1" applyAlignment="1">
      <alignment horizontal="right" vertical="center"/>
    </xf>
    <xf numFmtId="181" fontId="3" fillId="0" borderId="17" xfId="0" applyNumberFormat="1" applyFont="1" applyFill="1" applyBorder="1" applyAlignment="1">
      <alignment horizontal="right" vertical="center"/>
    </xf>
    <xf numFmtId="181" fontId="3" fillId="53" borderId="13" xfId="0" applyNumberFormat="1" applyFont="1" applyFill="1" applyBorder="1" applyAlignment="1">
      <alignment horizontal="right" vertical="center"/>
    </xf>
    <xf numFmtId="181" fontId="3" fillId="53" borderId="0" xfId="0" applyNumberFormat="1" applyFont="1" applyFill="1" applyBorder="1" applyAlignment="1">
      <alignment horizontal="right" vertical="center"/>
    </xf>
    <xf numFmtId="167" fontId="3" fillId="53" borderId="25" xfId="0" applyNumberFormat="1" applyFont="1" applyFill="1" applyBorder="1" applyAlignment="1">
      <alignment horizontal="right" vertical="center"/>
    </xf>
    <xf numFmtId="167" fontId="3" fillId="0" borderId="43" xfId="0" applyNumberFormat="1" applyFont="1" applyFill="1" applyBorder="1" applyAlignment="1">
      <alignment horizontal="right" vertical="center"/>
    </xf>
    <xf numFmtId="167" fontId="3" fillId="0" borderId="44" xfId="0" applyNumberFormat="1" applyFont="1" applyFill="1" applyBorder="1" applyAlignment="1">
      <alignment horizontal="right" vertical="center"/>
    </xf>
    <xf numFmtId="167" fontId="3" fillId="0" borderId="27" xfId="0" applyNumberFormat="1" applyFont="1" applyFill="1" applyBorder="1" applyAlignment="1">
      <alignment horizontal="right" vertical="center"/>
    </xf>
    <xf numFmtId="167" fontId="3" fillId="0" borderId="28" xfId="0" applyNumberFormat="1" applyFont="1" applyFill="1" applyBorder="1" applyAlignment="1">
      <alignment horizontal="right" vertical="center"/>
    </xf>
    <xf numFmtId="1" fontId="4" fillId="52" borderId="25" xfId="0" applyNumberFormat="1" applyFont="1" applyFill="1" applyBorder="1" applyAlignment="1">
      <alignment horizontal="center"/>
    </xf>
    <xf numFmtId="167" fontId="3" fillId="54" borderId="25" xfId="0" applyNumberFormat="1" applyFont="1" applyFill="1" applyBorder="1" applyAlignment="1">
      <alignment horizontal="right" vertical="center"/>
    </xf>
    <xf numFmtId="166" fontId="3" fillId="54" borderId="25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183" fontId="3" fillId="54" borderId="0" xfId="0" applyNumberFormat="1" applyFont="1" applyFill="1" applyBorder="1" applyAlignment="1">
      <alignment horizontal="right" vertical="center"/>
    </xf>
    <xf numFmtId="182" fontId="3" fillId="54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 quotePrefix="1">
      <alignment horizontal="right" vertical="top"/>
    </xf>
    <xf numFmtId="175" fontId="9" fillId="0" borderId="33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178" fontId="4" fillId="53" borderId="15" xfId="0" applyNumberFormat="1" applyFont="1" applyFill="1" applyBorder="1" applyAlignment="1" quotePrefix="1">
      <alignment horizontal="right" vertical="center"/>
    </xf>
    <xf numFmtId="178" fontId="3" fillId="0" borderId="15" xfId="0" applyNumberFormat="1" applyFont="1" applyFill="1" applyBorder="1" applyAlignment="1" quotePrefix="1">
      <alignment horizontal="right" vertical="center"/>
    </xf>
    <xf numFmtId="178" fontId="3" fillId="0" borderId="4" xfId="0" applyNumberFormat="1" applyFont="1" applyFill="1" applyBorder="1" applyAlignment="1" quotePrefix="1">
      <alignment horizontal="right" vertical="center"/>
    </xf>
    <xf numFmtId="167" fontId="3" fillId="0" borderId="33" xfId="0" applyNumberFormat="1" applyFont="1" applyFill="1" applyBorder="1" applyAlignment="1">
      <alignment horizontal="right" vertical="center"/>
    </xf>
    <xf numFmtId="164" fontId="3" fillId="54" borderId="16" xfId="0" applyNumberFormat="1" applyFont="1" applyFill="1" applyBorder="1" applyAlignment="1">
      <alignment horizontal="right" vertical="center"/>
    </xf>
    <xf numFmtId="164" fontId="3" fillId="54" borderId="4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" fontId="4" fillId="52" borderId="6" xfId="0" applyNumberFormat="1" applyFont="1" applyFill="1" applyBorder="1" applyAlignment="1">
      <alignment horizontal="center" vertical="center" wrapText="1"/>
    </xf>
    <xf numFmtId="185" fontId="3" fillId="54" borderId="0" xfId="0" applyNumberFormat="1" applyFont="1" applyFill="1" applyBorder="1" applyAlignment="1">
      <alignment horizontal="right" vertical="center"/>
    </xf>
    <xf numFmtId="0" fontId="4" fillId="52" borderId="0" xfId="0" applyFont="1" applyFill="1" applyBorder="1" applyAlignment="1">
      <alignment horizontal="center" vertical="center" wrapText="1"/>
    </xf>
    <xf numFmtId="0" fontId="4" fillId="52" borderId="0" xfId="0" applyFont="1" applyFill="1" applyBorder="1" applyAlignment="1">
      <alignment horizontal="center" vertical="center" wrapText="1"/>
    </xf>
    <xf numFmtId="178" fontId="10" fillId="53" borderId="23" xfId="0" applyNumberFormat="1" applyFont="1" applyFill="1" applyBorder="1" applyAlignment="1">
      <alignment horizontal="right" vertical="center"/>
    </xf>
    <xf numFmtId="174" fontId="3" fillId="0" borderId="19" xfId="0" applyNumberFormat="1" applyFont="1" applyFill="1" applyBorder="1" applyAlignment="1">
      <alignment horizontal="center" vertical="center"/>
    </xf>
    <xf numFmtId="167" fontId="3" fillId="0" borderId="18" xfId="0" applyNumberFormat="1" applyFont="1" applyFill="1" applyBorder="1" applyAlignment="1">
      <alignment horizontal="center" vertical="center"/>
    </xf>
    <xf numFmtId="167" fontId="3" fillId="0" borderId="17" xfId="0" applyNumberFormat="1" applyFont="1" applyFill="1" applyBorder="1" applyAlignment="1">
      <alignment horizontal="center" vertical="center"/>
    </xf>
    <xf numFmtId="167" fontId="3" fillId="0" borderId="19" xfId="0" applyNumberFormat="1" applyFont="1" applyFill="1" applyBorder="1" applyAlignment="1">
      <alignment horizontal="center" vertical="center"/>
    </xf>
    <xf numFmtId="174" fontId="3" fillId="0" borderId="19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167" fontId="3" fillId="0" borderId="0" xfId="0" applyNumberFormat="1" applyFont="1" applyFill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1" fontId="4" fillId="52" borderId="22" xfId="0" applyNumberFormat="1" applyFont="1" applyFill="1" applyBorder="1" applyAlignment="1">
      <alignment horizontal="center" vertical="center"/>
    </xf>
    <xf numFmtId="167" fontId="3" fillId="53" borderId="33" xfId="0" applyNumberFormat="1" applyFont="1" applyFill="1" applyBorder="1" applyAlignment="1">
      <alignment vertical="center"/>
    </xf>
    <xf numFmtId="167" fontId="9" fillId="54" borderId="0" xfId="0" applyNumberFormat="1" applyFont="1" applyFill="1" applyBorder="1" applyAlignment="1" quotePrefix="1">
      <alignment horizontal="right" vertical="center"/>
    </xf>
    <xf numFmtId="167" fontId="9" fillId="54" borderId="23" xfId="0" applyNumberFormat="1" applyFont="1" applyFill="1" applyBorder="1" applyAlignment="1" quotePrefix="1">
      <alignment horizontal="right" vertical="center"/>
    </xf>
    <xf numFmtId="167" fontId="3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 quotePrefix="1">
      <alignment horizontal="right" vertical="top"/>
    </xf>
    <xf numFmtId="0" fontId="4" fillId="52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6" fontId="3" fillId="0" borderId="33" xfId="0" applyNumberFormat="1" applyFont="1" applyFill="1" applyBorder="1" applyAlignment="1">
      <alignment horizontal="right" vertical="center"/>
    </xf>
    <xf numFmtId="178" fontId="3" fillId="0" borderId="0" xfId="0" applyNumberFormat="1" applyFont="1" applyBorder="1" applyAlignment="1">
      <alignment/>
    </xf>
    <xf numFmtId="167" fontId="16" fillId="0" borderId="32" xfId="141" applyNumberFormat="1" applyFont="1" applyFill="1" applyBorder="1" applyAlignment="1">
      <alignment vertical="center"/>
      <protection locked="0"/>
    </xf>
    <xf numFmtId="0" fontId="0" fillId="0" borderId="0" xfId="0" applyAlignment="1">
      <alignment/>
    </xf>
    <xf numFmtId="166" fontId="3" fillId="54" borderId="23" xfId="0" applyNumberFormat="1" applyFont="1" applyFill="1" applyBorder="1" applyAlignment="1">
      <alignment horizontal="right" vertical="center" wrapText="1"/>
    </xf>
    <xf numFmtId="186" fontId="3" fillId="0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48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175" fontId="3" fillId="0" borderId="19" xfId="0" applyNumberFormat="1" applyFont="1" applyFill="1" applyBorder="1" applyAlignment="1">
      <alignment horizontal="right" vertical="center"/>
    </xf>
    <xf numFmtId="0" fontId="4" fillId="5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188" fontId="3" fillId="54" borderId="0" xfId="0" applyNumberFormat="1" applyFont="1" applyFill="1" applyBorder="1" applyAlignment="1">
      <alignment horizontal="right" vertical="center"/>
    </xf>
    <xf numFmtId="186" fontId="3" fillId="54" borderId="0" xfId="0" applyNumberFormat="1" applyFont="1" applyFill="1" applyBorder="1" applyAlignment="1">
      <alignment horizontal="right" vertical="center"/>
    </xf>
    <xf numFmtId="167" fontId="4" fillId="0" borderId="18" xfId="0" applyNumberFormat="1" applyFont="1" applyFill="1" applyBorder="1" applyAlignment="1">
      <alignment horizontal="right" vertical="center"/>
    </xf>
    <xf numFmtId="1" fontId="4" fillId="52" borderId="25" xfId="0" applyNumberFormat="1" applyFont="1" applyFill="1" applyBorder="1" applyAlignment="1">
      <alignment horizontal="center" vertical="center"/>
    </xf>
    <xf numFmtId="167" fontId="3" fillId="54" borderId="33" xfId="0" applyNumberFormat="1" applyFont="1" applyFill="1" applyBorder="1" applyAlignment="1">
      <alignment vertical="center"/>
    </xf>
    <xf numFmtId="167" fontId="9" fillId="54" borderId="19" xfId="0" applyNumberFormat="1" applyFont="1" applyFill="1" applyBorder="1" applyAlignment="1">
      <alignment vertical="center"/>
    </xf>
    <xf numFmtId="1" fontId="4" fillId="52" borderId="22" xfId="0" applyNumberFormat="1" applyFont="1" applyFill="1" applyBorder="1" applyAlignment="1">
      <alignment horizontal="center"/>
    </xf>
    <xf numFmtId="166" fontId="3" fillId="54" borderId="22" xfId="0" applyNumberFormat="1" applyFont="1" applyFill="1" applyBorder="1" applyAlignment="1">
      <alignment horizontal="right" vertical="center"/>
    </xf>
    <xf numFmtId="166" fontId="3" fillId="54" borderId="0" xfId="0" applyNumberFormat="1" applyFont="1" applyFill="1" applyBorder="1" applyAlignment="1">
      <alignment horizontal="right" vertical="center" wrapText="1"/>
    </xf>
    <xf numFmtId="0" fontId="4" fillId="54" borderId="6" xfId="0" applyFont="1" applyFill="1" applyBorder="1" applyAlignment="1">
      <alignment horizontal="center" vertical="center"/>
    </xf>
    <xf numFmtId="167" fontId="4" fillId="54" borderId="6" xfId="0" applyNumberFormat="1" applyFont="1" applyFill="1" applyBorder="1" applyAlignment="1">
      <alignment horizontal="right"/>
    </xf>
    <xf numFmtId="167" fontId="10" fillId="54" borderId="13" xfId="0" applyNumberFormat="1" applyFont="1" applyFill="1" applyBorder="1" applyAlignment="1">
      <alignment horizontal="right"/>
    </xf>
    <xf numFmtId="167" fontId="4" fillId="54" borderId="13" xfId="0" applyNumberFormat="1" applyFont="1" applyFill="1" applyBorder="1" applyAlignment="1">
      <alignment horizontal="right"/>
    </xf>
    <xf numFmtId="166" fontId="4" fillId="54" borderId="6" xfId="0" applyNumberFormat="1" applyFont="1" applyFill="1" applyBorder="1" applyAlignment="1">
      <alignment horizontal="right"/>
    </xf>
    <xf numFmtId="166" fontId="4" fillId="53" borderId="6" xfId="0" applyNumberFormat="1" applyFont="1" applyFill="1" applyBorder="1" applyAlignment="1">
      <alignment horizontal="center" vertical="center"/>
    </xf>
    <xf numFmtId="166" fontId="4" fillId="54" borderId="20" xfId="0" applyNumberFormat="1" applyFont="1" applyFill="1" applyBorder="1" applyAlignment="1">
      <alignment horizontal="right"/>
    </xf>
    <xf numFmtId="166" fontId="10" fillId="54" borderId="13" xfId="0" applyNumberFormat="1" applyFont="1" applyFill="1" applyBorder="1" applyAlignment="1">
      <alignment horizontal="right"/>
    </xf>
    <xf numFmtId="166" fontId="4" fillId="54" borderId="13" xfId="0" applyNumberFormat="1" applyFont="1" applyFill="1" applyBorder="1" applyAlignment="1">
      <alignment horizontal="right"/>
    </xf>
    <xf numFmtId="166" fontId="4" fillId="54" borderId="21" xfId="0" applyNumberFormat="1" applyFont="1" applyFill="1" applyBorder="1" applyAlignment="1">
      <alignment horizontal="right"/>
    </xf>
    <xf numFmtId="178" fontId="4" fillId="53" borderId="25" xfId="0" applyNumberFormat="1" applyFont="1" applyFill="1" applyBorder="1" applyAlignment="1">
      <alignment horizontal="right" vertical="center"/>
    </xf>
    <xf numFmtId="178" fontId="3" fillId="0" borderId="25" xfId="0" applyNumberFormat="1" applyFont="1" applyFill="1" applyBorder="1" applyAlignment="1">
      <alignment horizontal="right" vertical="center"/>
    </xf>
    <xf numFmtId="178" fontId="3" fillId="54" borderId="25" xfId="0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78" fontId="4" fillId="53" borderId="4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 wrapText="1"/>
    </xf>
    <xf numFmtId="175" fontId="4" fillId="53" borderId="21" xfId="0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0" fontId="4" fillId="53" borderId="6" xfId="0" applyFont="1" applyFill="1" applyBorder="1" applyAlignment="1">
      <alignment horizontal="center" vertical="center"/>
    </xf>
    <xf numFmtId="167" fontId="4" fillId="53" borderId="20" xfId="0" applyNumberFormat="1" applyFont="1" applyFill="1" applyBorder="1" applyAlignment="1">
      <alignment horizontal="right" vertical="center"/>
    </xf>
    <xf numFmtId="167" fontId="4" fillId="53" borderId="13" xfId="0" applyNumberFormat="1" applyFont="1" applyFill="1" applyBorder="1" applyAlignment="1">
      <alignment horizontal="right" vertical="center"/>
    </xf>
    <xf numFmtId="167" fontId="10" fillId="53" borderId="13" xfId="0" applyNumberFormat="1" applyFont="1" applyFill="1" applyBorder="1" applyAlignment="1">
      <alignment horizontal="right" vertical="center"/>
    </xf>
    <xf numFmtId="167" fontId="4" fillId="53" borderId="50" xfId="0" applyNumberFormat="1" applyFont="1" applyFill="1" applyBorder="1" applyAlignment="1">
      <alignment horizontal="right" vertical="center"/>
    </xf>
    <xf numFmtId="167" fontId="10" fillId="53" borderId="21" xfId="0" applyNumberFormat="1" applyFont="1" applyFill="1" applyBorder="1" applyAlignment="1">
      <alignment horizontal="right" vertical="center"/>
    </xf>
    <xf numFmtId="0" fontId="4" fillId="53" borderId="21" xfId="0" applyFont="1" applyFill="1" applyBorder="1" applyAlignment="1">
      <alignment horizontal="center" vertical="center"/>
    </xf>
    <xf numFmtId="0" fontId="93" fillId="0" borderId="0" xfId="0" applyFont="1" applyAlignment="1">
      <alignment vertical="center" wrapText="1"/>
    </xf>
    <xf numFmtId="167" fontId="3" fillId="0" borderId="33" xfId="0" applyNumberFormat="1" applyFont="1" applyFill="1" applyBorder="1" applyAlignment="1">
      <alignment/>
    </xf>
    <xf numFmtId="167" fontId="4" fillId="53" borderId="4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5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" fontId="4" fillId="52" borderId="22" xfId="0" applyNumberFormat="1" applyFont="1" applyFill="1" applyBorder="1" applyAlignment="1">
      <alignment horizontal="center" vertical="center"/>
    </xf>
    <xf numFmtId="179" fontId="10" fillId="53" borderId="20" xfId="0" applyNumberFormat="1" applyFont="1" applyFill="1" applyBorder="1" applyAlignment="1">
      <alignment horizontal="right" vertical="center"/>
    </xf>
    <xf numFmtId="179" fontId="10" fillId="53" borderId="13" xfId="0" applyNumberFormat="1" applyFont="1" applyFill="1" applyBorder="1" applyAlignment="1">
      <alignment horizontal="right" vertical="center"/>
    </xf>
    <xf numFmtId="179" fontId="4" fillId="53" borderId="13" xfId="0" applyNumberFormat="1" applyFont="1" applyFill="1" applyBorder="1" applyAlignment="1">
      <alignment horizontal="right" vertical="center"/>
    </xf>
    <xf numFmtId="167" fontId="10" fillId="53" borderId="20" xfId="0" applyNumberFormat="1" applyFont="1" applyFill="1" applyBorder="1" applyAlignment="1">
      <alignment horizontal="right" vertical="center"/>
    </xf>
    <xf numFmtId="1" fontId="4" fillId="52" borderId="23" xfId="0" applyNumberFormat="1" applyFont="1" applyFill="1" applyBorder="1" applyAlignment="1">
      <alignment horizontal="center" vertical="center"/>
    </xf>
    <xf numFmtId="167" fontId="16" fillId="0" borderId="26" xfId="141" applyNumberFormat="1" applyFont="1" applyFill="1" applyBorder="1" applyAlignment="1">
      <alignment horizontal="right" vertical="center"/>
      <protection locked="0"/>
    </xf>
    <xf numFmtId="179" fontId="57" fillId="53" borderId="23" xfId="141" applyNumberFormat="1" applyFont="1" applyFill="1" applyBorder="1" applyAlignment="1">
      <alignment vertical="center"/>
      <protection locked="0"/>
    </xf>
    <xf numFmtId="179" fontId="16" fillId="54" borderId="51" xfId="141" applyNumberFormat="1" applyFont="1" applyFill="1" applyBorder="1" applyAlignment="1">
      <alignment vertical="center"/>
      <protection locked="0"/>
    </xf>
    <xf numFmtId="167" fontId="16" fillId="54" borderId="51" xfId="141" applyNumberFormat="1" applyFont="1" applyFill="1" applyBorder="1" applyAlignment="1">
      <alignment vertical="center"/>
      <protection locked="0"/>
    </xf>
    <xf numFmtId="167" fontId="16" fillId="54" borderId="51" xfId="141" applyNumberFormat="1" applyFont="1" applyFill="1" applyBorder="1" applyAlignment="1" quotePrefix="1">
      <alignment horizontal="center" vertical="center"/>
      <protection locked="0"/>
    </xf>
    <xf numFmtId="167" fontId="16" fillId="54" borderId="17" xfId="141" applyNumberFormat="1" applyFont="1" applyFill="1" applyBorder="1" applyAlignment="1" quotePrefix="1">
      <alignment horizontal="center" vertical="center"/>
      <protection locked="0"/>
    </xf>
    <xf numFmtId="167" fontId="16" fillId="54" borderId="26" xfId="141" applyNumberFormat="1" applyFont="1" applyFill="1" applyBorder="1" applyAlignment="1">
      <alignment horizontal="right" vertical="center"/>
      <protection locked="0"/>
    </xf>
    <xf numFmtId="167" fontId="16" fillId="54" borderId="0" xfId="141" applyNumberFormat="1" applyFont="1" applyFill="1" applyBorder="1" applyAlignment="1">
      <alignment horizontal="right" vertical="center"/>
      <protection locked="0"/>
    </xf>
    <xf numFmtId="167" fontId="16" fillId="53" borderId="26" xfId="141" applyNumberFormat="1" applyFont="1" applyFill="1" applyBorder="1" applyAlignment="1">
      <alignment horizontal="right" vertical="center"/>
      <protection locked="0"/>
    </xf>
    <xf numFmtId="167" fontId="16" fillId="53" borderId="0" xfId="141" applyNumberFormat="1" applyFont="1" applyFill="1" applyBorder="1" applyAlignment="1">
      <alignment horizontal="right" vertical="center"/>
      <protection locked="0"/>
    </xf>
    <xf numFmtId="167" fontId="16" fillId="53" borderId="23" xfId="141" applyNumberFormat="1" applyFont="1" applyFill="1" applyBorder="1" applyAlignment="1">
      <alignment horizontal="right" vertical="center"/>
      <protection locked="0"/>
    </xf>
    <xf numFmtId="167" fontId="16" fillId="54" borderId="26" xfId="141" applyNumberFormat="1" applyFont="1" applyFill="1" applyBorder="1" applyAlignment="1" quotePrefix="1">
      <alignment horizontal="right" vertical="center"/>
      <protection locked="0"/>
    </xf>
    <xf numFmtId="167" fontId="16" fillId="54" borderId="0" xfId="141" applyNumberFormat="1" applyFont="1" applyFill="1" applyBorder="1" applyAlignment="1" quotePrefix="1">
      <alignment horizontal="right" vertical="center"/>
      <protection locked="0"/>
    </xf>
    <xf numFmtId="167" fontId="16" fillId="54" borderId="18" xfId="141" applyNumberFormat="1" applyFont="1" applyFill="1" applyBorder="1" applyAlignment="1">
      <alignment horizontal="right" vertical="center"/>
      <protection locked="0"/>
    </xf>
    <xf numFmtId="167" fontId="16" fillId="54" borderId="17" xfId="141" applyNumberFormat="1" applyFont="1" applyFill="1" applyBorder="1" applyAlignment="1">
      <alignment horizontal="right" vertical="center"/>
      <protection locked="0"/>
    </xf>
    <xf numFmtId="167" fontId="16" fillId="0" borderId="18" xfId="141" applyNumberFormat="1" applyFont="1" applyFill="1" applyBorder="1" applyAlignment="1">
      <alignment horizontal="right" vertical="center"/>
      <protection locked="0"/>
    </xf>
    <xf numFmtId="167" fontId="16" fillId="0" borderId="17" xfId="141" applyNumberFormat="1" applyFont="1" applyFill="1" applyBorder="1" applyAlignment="1">
      <alignment horizontal="right" vertical="center"/>
      <protection locked="0"/>
    </xf>
    <xf numFmtId="167" fontId="16" fillId="0" borderId="19" xfId="141" applyNumberFormat="1" applyFont="1" applyFill="1" applyBorder="1" applyAlignment="1">
      <alignment horizontal="right" vertical="center"/>
      <protection locked="0"/>
    </xf>
    <xf numFmtId="167" fontId="4" fillId="53" borderId="21" xfId="0" applyNumberFormat="1" applyFont="1" applyFill="1" applyBorder="1" applyAlignment="1">
      <alignment horizontal="right" vertical="center"/>
    </xf>
    <xf numFmtId="179" fontId="10" fillId="53" borderId="2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5" fillId="0" borderId="0" xfId="0" applyFont="1" applyAlignment="1" quotePrefix="1">
      <alignment horizontal="right" vertical="top"/>
    </xf>
    <xf numFmtId="0" fontId="3" fillId="0" borderId="0" xfId="0" applyFont="1" applyBorder="1" applyAlignment="1">
      <alignment horizontal="center" vertical="center"/>
    </xf>
    <xf numFmtId="167" fontId="16" fillId="0" borderId="23" xfId="141" applyNumberFormat="1" applyFont="1" applyFill="1" applyBorder="1" applyAlignment="1" quotePrefix="1">
      <alignment horizontal="center" vertical="center"/>
      <protection locked="0"/>
    </xf>
    <xf numFmtId="167" fontId="57" fillId="54" borderId="0" xfId="141" applyNumberFormat="1" applyFont="1" applyFill="1" applyBorder="1" applyAlignment="1">
      <alignment vertical="center"/>
      <protection locked="0"/>
    </xf>
    <xf numFmtId="167" fontId="16" fillId="54" borderId="23" xfId="141" applyNumberFormat="1" applyFont="1" applyFill="1" applyBorder="1" applyAlignment="1">
      <alignment horizontal="center" vertical="center"/>
      <protection locked="0"/>
    </xf>
    <xf numFmtId="167" fontId="16" fillId="54" borderId="17" xfId="141" applyNumberFormat="1" applyFont="1" applyFill="1" applyBorder="1" applyAlignment="1">
      <alignment horizontal="center" vertical="center"/>
      <protection locked="0"/>
    </xf>
    <xf numFmtId="0" fontId="4" fillId="52" borderId="0" xfId="0" applyFont="1" applyFill="1" applyBorder="1" applyAlignment="1">
      <alignment horizontal="center" vertical="center" wrapText="1"/>
    </xf>
    <xf numFmtId="169" fontId="3" fillId="0" borderId="52" xfId="0" applyNumberFormat="1" applyFont="1" applyFill="1" applyBorder="1" applyAlignment="1">
      <alignment horizontal="center" vertical="center"/>
    </xf>
    <xf numFmtId="169" fontId="3" fillId="0" borderId="52" xfId="0" applyNumberFormat="1" applyFont="1" applyFill="1" applyBorder="1" applyAlignment="1">
      <alignment horizontal="right" vertical="center"/>
    </xf>
    <xf numFmtId="169" fontId="3" fillId="0" borderId="53" xfId="0" applyNumberFormat="1" applyFont="1" applyFill="1" applyBorder="1" applyAlignment="1">
      <alignment horizontal="right" vertical="center"/>
    </xf>
    <xf numFmtId="169" fontId="3" fillId="0" borderId="5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167" fontId="4" fillId="0" borderId="47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52" borderId="23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/>
    </xf>
    <xf numFmtId="0" fontId="4" fillId="52" borderId="22" xfId="0" applyFont="1" applyFill="1" applyBorder="1" applyAlignment="1">
      <alignment horizontal="center" vertical="center" wrapText="1"/>
    </xf>
    <xf numFmtId="166" fontId="9" fillId="0" borderId="19" xfId="0" applyNumberFormat="1" applyFont="1" applyFill="1" applyBorder="1" applyAlignment="1">
      <alignment horizontal="right" vertical="center"/>
    </xf>
    <xf numFmtId="178" fontId="3" fillId="0" borderId="22" xfId="0" applyNumberFormat="1" applyFont="1" applyFill="1" applyBorder="1" applyAlignment="1">
      <alignment horizontal="right" vertical="center"/>
    </xf>
    <xf numFmtId="166" fontId="4" fillId="54" borderId="13" xfId="0" applyNumberFormat="1" applyFont="1" applyFill="1" applyBorder="1" applyAlignment="1">
      <alignment horizontal="right"/>
    </xf>
    <xf numFmtId="178" fontId="3" fillId="0" borderId="37" xfId="0" applyNumberFormat="1" applyFont="1" applyFill="1" applyBorder="1" applyAlignment="1">
      <alignment horizontal="right" vertical="center"/>
    </xf>
    <xf numFmtId="178" fontId="3" fillId="0" borderId="55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right" vertical="center"/>
    </xf>
    <xf numFmtId="178" fontId="9" fillId="54" borderId="2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4" fillId="52" borderId="0" xfId="0" applyFont="1" applyFill="1" applyBorder="1" applyAlignment="1">
      <alignment horizontal="center" vertical="center" wrapText="1"/>
    </xf>
    <xf numFmtId="0" fontId="5" fillId="0" borderId="0" xfId="0" applyFont="1" applyAlignment="1" quotePrefix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7" fontId="9" fillId="54" borderId="22" xfId="0" applyNumberFormat="1" applyFont="1" applyFill="1" applyBorder="1" applyAlignment="1">
      <alignment horizontal="right" vertical="center"/>
    </xf>
    <xf numFmtId="167" fontId="9" fillId="0" borderId="23" xfId="0" applyNumberFormat="1" applyFont="1" applyFill="1" applyBorder="1" applyAlignment="1">
      <alignment horizontal="right" vertical="center"/>
    </xf>
    <xf numFmtId="0" fontId="4" fillId="55" borderId="4" xfId="0" applyFont="1" applyFill="1" applyBorder="1" applyAlignment="1">
      <alignment horizontal="center" vertical="center"/>
    </xf>
    <xf numFmtId="166" fontId="4" fillId="54" borderId="0" xfId="0" applyNumberFormat="1" applyFont="1" applyFill="1" applyBorder="1" applyAlignment="1">
      <alignment horizontal="center" vertical="center"/>
    </xf>
    <xf numFmtId="167" fontId="4" fillId="54" borderId="21" xfId="0" applyNumberFormat="1" applyFont="1" applyFill="1" applyBorder="1" applyAlignment="1">
      <alignment horizontal="right"/>
    </xf>
    <xf numFmtId="1" fontId="4" fillId="52" borderId="15" xfId="0" applyNumberFormat="1" applyFont="1" applyFill="1" applyBorder="1" applyAlignment="1">
      <alignment horizontal="center" vertical="center" wrapText="1"/>
    </xf>
    <xf numFmtId="169" fontId="3" fillId="0" borderId="23" xfId="0" applyNumberFormat="1" applyFont="1" applyFill="1" applyBorder="1" applyAlignment="1">
      <alignment horizontal="center" vertical="center"/>
    </xf>
    <xf numFmtId="169" fontId="3" fillId="53" borderId="23" xfId="0" applyNumberFormat="1" applyFont="1" applyFill="1" applyBorder="1" applyAlignment="1">
      <alignment horizontal="center" vertical="center"/>
    </xf>
    <xf numFmtId="169" fontId="3" fillId="0" borderId="19" xfId="0" applyNumberFormat="1" applyFont="1" applyFill="1" applyBorder="1" applyAlignment="1">
      <alignment horizontal="center" vertical="center"/>
    </xf>
    <xf numFmtId="169" fontId="3" fillId="53" borderId="16" xfId="0" applyNumberFormat="1" applyFont="1" applyFill="1" applyBorder="1" applyAlignment="1">
      <alignment horizontal="center" vertical="center"/>
    </xf>
    <xf numFmtId="169" fontId="3" fillId="0" borderId="16" xfId="0" applyNumberFormat="1" applyFont="1" applyFill="1" applyBorder="1" applyAlignment="1">
      <alignment horizontal="center" vertical="center"/>
    </xf>
    <xf numFmtId="166" fontId="4" fillId="54" borderId="6" xfId="0" applyNumberFormat="1" applyFont="1" applyFill="1" applyBorder="1" applyAlignment="1">
      <alignment horizontal="center"/>
    </xf>
    <xf numFmtId="166" fontId="4" fillId="0" borderId="23" xfId="0" applyNumberFormat="1" applyFont="1" applyFill="1" applyBorder="1" applyAlignment="1">
      <alignment horizontal="center" vertical="center"/>
    </xf>
    <xf numFmtId="166" fontId="4" fillId="54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78" fontId="4" fillId="53" borderId="4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178" fontId="4" fillId="53" borderId="16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176" fontId="7" fillId="0" borderId="0" xfId="91" applyNumberFormat="1" applyFont="1" applyFill="1" applyBorder="1" applyAlignment="1">
      <alignment horizontal="center"/>
      <protection/>
    </xf>
    <xf numFmtId="178" fontId="3" fillId="0" borderId="23" xfId="0" applyNumberFormat="1" applyFont="1" applyBorder="1" applyAlignment="1">
      <alignment vertical="top" wrapText="1"/>
    </xf>
    <xf numFmtId="166" fontId="3" fillId="0" borderId="23" xfId="0" applyNumberFormat="1" applyFont="1" applyBorder="1" applyAlignment="1">
      <alignment horizontal="right" vertical="center"/>
    </xf>
    <xf numFmtId="178" fontId="3" fillId="0" borderId="23" xfId="0" applyNumberFormat="1" applyFont="1" applyBorder="1" applyAlignment="1">
      <alignment/>
    </xf>
    <xf numFmtId="178" fontId="4" fillId="53" borderId="6" xfId="0" applyNumberFormat="1" applyFont="1" applyFill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top" wrapText="1"/>
    </xf>
    <xf numFmtId="178" fontId="4" fillId="53" borderId="0" xfId="0" applyNumberFormat="1" applyFont="1" applyFill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top" wrapText="1"/>
    </xf>
    <xf numFmtId="178" fontId="9" fillId="53" borderId="23" xfId="0" applyNumberFormat="1" applyFont="1" applyFill="1" applyBorder="1" applyAlignment="1">
      <alignment horizontal="right" vertical="center"/>
    </xf>
    <xf numFmtId="178" fontId="10" fillId="53" borderId="4" xfId="0" applyNumberFormat="1" applyFont="1" applyFill="1" applyBorder="1" applyAlignment="1">
      <alignment horizontal="center" vertical="center"/>
    </xf>
    <xf numFmtId="0" fontId="13" fillId="52" borderId="6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/>
    </xf>
    <xf numFmtId="164" fontId="4" fillId="53" borderId="6" xfId="0" applyNumberFormat="1" applyFont="1" applyFill="1" applyBorder="1" applyAlignment="1">
      <alignment horizontal="center" vertical="center"/>
    </xf>
    <xf numFmtId="178" fontId="4" fillId="0" borderId="23" xfId="0" applyNumberFormat="1" applyFont="1" applyFill="1" applyBorder="1" applyAlignment="1">
      <alignment horizontal="center"/>
    </xf>
    <xf numFmtId="178" fontId="4" fillId="53" borderId="23" xfId="0" applyNumberFormat="1" applyFont="1" applyFill="1" applyBorder="1" applyAlignment="1">
      <alignment horizontal="center"/>
    </xf>
    <xf numFmtId="164" fontId="4" fillId="53" borderId="6" xfId="0" applyNumberFormat="1" applyFont="1" applyFill="1" applyBorder="1" applyAlignment="1">
      <alignment horizontal="center"/>
    </xf>
    <xf numFmtId="178" fontId="4" fillId="53" borderId="16" xfId="0" applyNumberFormat="1" applyFont="1" applyFill="1" applyBorder="1" applyAlignment="1">
      <alignment horizontal="center"/>
    </xf>
    <xf numFmtId="178" fontId="4" fillId="0" borderId="16" xfId="0" applyNumberFormat="1" applyFont="1" applyFill="1" applyBorder="1" applyAlignment="1">
      <alignment horizontal="center"/>
    </xf>
    <xf numFmtId="1" fontId="4" fillId="52" borderId="0" xfId="0" applyNumberFormat="1" applyFont="1" applyFill="1" applyBorder="1" applyAlignment="1">
      <alignment horizontal="center" vertical="center"/>
    </xf>
    <xf numFmtId="178" fontId="4" fillId="0" borderId="23" xfId="0" applyNumberFormat="1" applyFont="1" applyFill="1" applyBorder="1" applyAlignment="1">
      <alignment horizontal="center" vertical="center"/>
    </xf>
    <xf numFmtId="178" fontId="4" fillId="54" borderId="23" xfId="0" applyNumberFormat="1" applyFont="1" applyFill="1" applyBorder="1" applyAlignment="1">
      <alignment horizontal="center" vertical="center"/>
    </xf>
    <xf numFmtId="178" fontId="4" fillId="53" borderId="2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178" fontId="4" fillId="54" borderId="16" xfId="0" applyNumberFormat="1" applyFont="1" applyFill="1" applyBorder="1" applyAlignment="1">
      <alignment horizontal="center" vertical="center"/>
    </xf>
    <xf numFmtId="179" fontId="16" fillId="0" borderId="25" xfId="141" applyNumberFormat="1" applyFont="1" applyFill="1" applyBorder="1" applyAlignment="1">
      <alignment vertical="center"/>
      <protection locked="0"/>
    </xf>
    <xf numFmtId="167" fontId="16" fillId="0" borderId="25" xfId="141" applyNumberFormat="1" applyFont="1" applyFill="1" applyBorder="1" applyAlignment="1">
      <alignment vertical="center"/>
      <protection locked="0"/>
    </xf>
    <xf numFmtId="169" fontId="10" fillId="0" borderId="23" xfId="0" applyNumberFormat="1" applyFont="1" applyFill="1" applyBorder="1" applyAlignment="1">
      <alignment horizontal="center" vertical="center"/>
    </xf>
    <xf numFmtId="169" fontId="10" fillId="54" borderId="23" xfId="0" applyNumberFormat="1" applyFont="1" applyFill="1" applyBorder="1" applyAlignment="1">
      <alignment horizontal="center" vertical="center"/>
    </xf>
    <xf numFmtId="169" fontId="10" fillId="0" borderId="19" xfId="0" applyNumberFormat="1" applyFont="1" applyFill="1" applyBorder="1" applyAlignment="1">
      <alignment horizontal="center" vertical="center"/>
    </xf>
    <xf numFmtId="167" fontId="16" fillId="53" borderId="17" xfId="141" applyNumberFormat="1" applyFont="1" applyFill="1" applyBorder="1" applyAlignment="1">
      <alignment horizontal="right" vertical="center"/>
      <protection locked="0"/>
    </xf>
    <xf numFmtId="169" fontId="10" fillId="54" borderId="19" xfId="0" applyNumberFormat="1" applyFont="1" applyFill="1" applyBorder="1" applyAlignment="1">
      <alignment horizontal="center" vertical="center"/>
    </xf>
    <xf numFmtId="169" fontId="10" fillId="53" borderId="6" xfId="0" applyNumberFormat="1" applyFont="1" applyFill="1" applyBorder="1" applyAlignment="1">
      <alignment horizontal="center" vertical="center"/>
    </xf>
    <xf numFmtId="179" fontId="57" fillId="53" borderId="0" xfId="141" applyNumberFormat="1" applyFont="1" applyFill="1" applyBorder="1" applyAlignment="1">
      <alignment vertical="center"/>
      <protection locked="0"/>
    </xf>
    <xf numFmtId="167" fontId="3" fillId="0" borderId="0" xfId="0" applyNumberFormat="1" applyFont="1" applyFill="1" applyBorder="1" applyAlignment="1">
      <alignment horizontal="center" vertical="center"/>
    </xf>
    <xf numFmtId="167" fontId="3" fillId="53" borderId="0" xfId="0" applyNumberFormat="1" applyFont="1" applyFill="1" applyBorder="1" applyAlignment="1">
      <alignment horizontal="center" vertical="center"/>
    </xf>
    <xf numFmtId="167" fontId="3" fillId="53" borderId="18" xfId="0" applyNumberFormat="1" applyFont="1" applyFill="1" applyBorder="1" applyAlignment="1">
      <alignment horizontal="center" vertical="center"/>
    </xf>
    <xf numFmtId="174" fontId="4" fillId="53" borderId="21" xfId="0" applyNumberFormat="1" applyFont="1" applyFill="1" applyBorder="1" applyAlignment="1">
      <alignment horizontal="center" vertical="center"/>
    </xf>
    <xf numFmtId="0" fontId="4" fillId="52" borderId="25" xfId="0" applyFont="1" applyFill="1" applyBorder="1" applyAlignment="1">
      <alignment horizontal="center" vertical="center" wrapText="1"/>
    </xf>
    <xf numFmtId="0" fontId="4" fillId="52" borderId="0" xfId="0" applyFont="1" applyFill="1" applyBorder="1" applyAlignment="1">
      <alignment horizontal="center" vertical="center" wrapText="1"/>
    </xf>
    <xf numFmtId="0" fontId="4" fillId="52" borderId="23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67" fontId="10" fillId="53" borderId="22" xfId="0" applyNumberFormat="1" applyFont="1" applyFill="1" applyBorder="1" applyAlignment="1">
      <alignment horizontal="right" vertical="center"/>
    </xf>
    <xf numFmtId="169" fontId="10" fillId="53" borderId="15" xfId="116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167" fontId="3" fillId="0" borderId="23" xfId="0" applyNumberFormat="1" applyFont="1" applyFill="1" applyBorder="1" applyAlignment="1" quotePrefix="1">
      <alignment horizontal="center" vertical="center"/>
    </xf>
    <xf numFmtId="169" fontId="10" fillId="55" borderId="15" xfId="116" applyNumberFormat="1" applyFont="1" applyFill="1" applyBorder="1" applyAlignment="1">
      <alignment horizontal="center" vertical="center"/>
    </xf>
    <xf numFmtId="169" fontId="10" fillId="54" borderId="4" xfId="116" applyNumberFormat="1" applyFont="1" applyFill="1" applyBorder="1" applyAlignment="1">
      <alignment horizontal="center" vertical="center"/>
    </xf>
    <xf numFmtId="169" fontId="10" fillId="55" borderId="4" xfId="116" applyNumberFormat="1" applyFont="1" applyFill="1" applyBorder="1" applyAlignment="1">
      <alignment horizontal="center" vertical="center"/>
    </xf>
    <xf numFmtId="167" fontId="3" fillId="0" borderId="4" xfId="0" applyNumberFormat="1" applyFont="1" applyFill="1" applyBorder="1" applyAlignment="1" quotePrefix="1">
      <alignment horizontal="center" vertical="center"/>
    </xf>
    <xf numFmtId="167" fontId="9" fillId="54" borderId="4" xfId="0" applyNumberFormat="1" applyFont="1" applyFill="1" applyBorder="1" applyAlignment="1" quotePrefix="1">
      <alignment horizontal="center" vertical="center"/>
    </xf>
    <xf numFmtId="169" fontId="10" fillId="54" borderId="16" xfId="116" applyNumberFormat="1" applyFont="1" applyFill="1" applyBorder="1" applyAlignment="1">
      <alignment horizontal="center" vertical="center"/>
    </xf>
    <xf numFmtId="169" fontId="10" fillId="55" borderId="16" xfId="116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/>
    </xf>
    <xf numFmtId="167" fontId="9" fillId="55" borderId="4" xfId="0" applyNumberFormat="1" applyFont="1" applyFill="1" applyBorder="1" applyAlignment="1" quotePrefix="1">
      <alignment horizontal="center" vertical="center"/>
    </xf>
    <xf numFmtId="167" fontId="9" fillId="0" borderId="19" xfId="0" applyNumberFormat="1" applyFont="1" applyFill="1" applyBorder="1" applyAlignment="1">
      <alignment vertical="center"/>
    </xf>
    <xf numFmtId="166" fontId="3" fillId="0" borderId="0" xfId="0" applyNumberFormat="1" applyFont="1" applyAlignment="1">
      <alignment horizontal="center"/>
    </xf>
    <xf numFmtId="167" fontId="3" fillId="54" borderId="23" xfId="0" applyNumberFormat="1" applyFont="1" applyFill="1" applyBorder="1" applyAlignment="1" quotePrefix="1">
      <alignment horizontal="center" vertical="center"/>
    </xf>
    <xf numFmtId="169" fontId="9" fillId="55" borderId="4" xfId="116" applyNumberFormat="1" applyFont="1" applyFill="1" applyBorder="1" applyAlignment="1">
      <alignment horizontal="center" vertical="center"/>
    </xf>
    <xf numFmtId="169" fontId="9" fillId="53" borderId="4" xfId="116" applyNumberFormat="1" applyFont="1" applyFill="1" applyBorder="1" applyAlignment="1">
      <alignment horizontal="center" vertical="center"/>
    </xf>
    <xf numFmtId="169" fontId="9" fillId="53" borderId="16" xfId="116" applyNumberFormat="1" applyFont="1" applyFill="1" applyBorder="1" applyAlignment="1">
      <alignment horizontal="center" vertical="center"/>
    </xf>
    <xf numFmtId="169" fontId="9" fillId="53" borderId="23" xfId="116" applyNumberFormat="1" applyFont="1" applyFill="1" applyBorder="1" applyAlignment="1">
      <alignment horizontal="center" vertical="center"/>
    </xf>
    <xf numFmtId="169" fontId="9" fillId="55" borderId="23" xfId="116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17" xfId="0" applyFont="1" applyBorder="1" applyAlignment="1">
      <alignment/>
    </xf>
    <xf numFmtId="169" fontId="9" fillId="53" borderId="6" xfId="116" applyNumberFormat="1" applyFont="1" applyFill="1" applyBorder="1" applyAlignment="1">
      <alignment horizontal="center" vertical="center"/>
    </xf>
    <xf numFmtId="169" fontId="9" fillId="55" borderId="16" xfId="116" applyNumberFormat="1" applyFont="1" applyFill="1" applyBorder="1" applyAlignment="1">
      <alignment horizontal="center" vertical="center"/>
    </xf>
    <xf numFmtId="167" fontId="3" fillId="0" borderId="22" xfId="0" applyNumberFormat="1" applyFont="1" applyFill="1" applyBorder="1" applyAlignment="1">
      <alignment horizontal="right" vertical="center"/>
    </xf>
    <xf numFmtId="1" fontId="4" fillId="52" borderId="13" xfId="0" applyNumberFormat="1" applyFont="1" applyFill="1" applyBorder="1" applyAlignment="1">
      <alignment horizontal="center" vertical="center"/>
    </xf>
    <xf numFmtId="169" fontId="10" fillId="53" borderId="21" xfId="0" applyNumberFormat="1" applyFont="1" applyFill="1" applyBorder="1" applyAlignment="1">
      <alignment horizontal="center" vertical="center"/>
    </xf>
    <xf numFmtId="167" fontId="4" fillId="53" borderId="13" xfId="0" applyNumberFormat="1" applyFont="1" applyFill="1" applyBorder="1" applyAlignment="1">
      <alignment horizontal="right" vertical="center"/>
    </xf>
    <xf numFmtId="0" fontId="0" fillId="0" borderId="25" xfId="0" applyBorder="1" applyAlignment="1">
      <alignment/>
    </xf>
    <xf numFmtId="167" fontId="16" fillId="0" borderId="22" xfId="141" applyNumberFormat="1" applyFont="1" applyFill="1" applyBorder="1" applyAlignment="1">
      <alignment vertical="center"/>
      <protection locked="0"/>
    </xf>
    <xf numFmtId="167" fontId="10" fillId="53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top"/>
    </xf>
    <xf numFmtId="169" fontId="10" fillId="0" borderId="4" xfId="0" applyNumberFormat="1" applyFont="1" applyFill="1" applyBorder="1" applyAlignment="1">
      <alignment horizontal="center" vertical="center"/>
    </xf>
    <xf numFmtId="169" fontId="10" fillId="53" borderId="4" xfId="0" applyNumberFormat="1" applyFont="1" applyFill="1" applyBorder="1" applyAlignment="1">
      <alignment horizontal="center" vertical="center"/>
    </xf>
    <xf numFmtId="169" fontId="10" fillId="53" borderId="16" xfId="0" applyNumberFormat="1" applyFont="1" applyFill="1" applyBorder="1" applyAlignment="1">
      <alignment horizontal="center" vertical="center"/>
    </xf>
    <xf numFmtId="169" fontId="10" fillId="0" borderId="16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49" fontId="16" fillId="54" borderId="0" xfId="141" applyNumberFormat="1" applyFont="1" applyFill="1" applyBorder="1" applyAlignment="1" quotePrefix="1">
      <alignment horizontal="center" vertical="center"/>
      <protection locked="0"/>
    </xf>
    <xf numFmtId="49" fontId="16" fillId="53" borderId="26" xfId="141" applyNumberFormat="1" applyFont="1" applyFill="1" applyBorder="1" applyAlignment="1">
      <alignment horizontal="center" vertical="center"/>
      <protection locked="0"/>
    </xf>
    <xf numFmtId="49" fontId="16" fillId="53" borderId="0" xfId="141" applyNumberFormat="1" applyFont="1" applyFill="1" applyBorder="1" applyAlignment="1">
      <alignment horizontal="center" vertical="center"/>
      <protection locked="0"/>
    </xf>
    <xf numFmtId="49" fontId="16" fillId="54" borderId="0" xfId="141" applyNumberFormat="1" applyFont="1" applyFill="1" applyBorder="1" applyAlignment="1">
      <alignment horizontal="center" vertical="center"/>
      <protection locked="0"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 quotePrefix="1">
      <alignment horizontal="right" vertical="top"/>
    </xf>
    <xf numFmtId="1" fontId="4" fillId="52" borderId="22" xfId="0" applyNumberFormat="1" applyFont="1" applyFill="1" applyBorder="1" applyAlignment="1">
      <alignment horizontal="center" vertical="center"/>
    </xf>
    <xf numFmtId="175" fontId="3" fillId="53" borderId="19" xfId="0" applyNumberFormat="1" applyFont="1" applyFill="1" applyBorder="1" applyAlignment="1">
      <alignment horizontal="right" vertical="center"/>
    </xf>
    <xf numFmtId="175" fontId="4" fillId="53" borderId="13" xfId="0" applyNumberFormat="1" applyFont="1" applyFill="1" applyBorder="1" applyAlignment="1">
      <alignment horizontal="right" vertical="center"/>
    </xf>
    <xf numFmtId="175" fontId="3" fillId="54" borderId="25" xfId="0" applyNumberFormat="1" applyFont="1" applyFill="1" applyBorder="1" applyAlignment="1">
      <alignment horizontal="right" vertical="center"/>
    </xf>
    <xf numFmtId="1" fontId="4" fillId="52" borderId="25" xfId="0" applyNumberFormat="1" applyFont="1" applyFill="1" applyBorder="1" applyAlignment="1">
      <alignment horizontal="center" vertical="center"/>
    </xf>
    <xf numFmtId="166" fontId="4" fillId="54" borderId="6" xfId="0" applyNumberFormat="1" applyFont="1" applyFill="1" applyBorder="1" applyAlignment="1">
      <alignment horizontal="center" vertical="center"/>
    </xf>
    <xf numFmtId="0" fontId="4" fillId="53" borderId="15" xfId="0" applyFont="1" applyFill="1" applyBorder="1" applyAlignment="1">
      <alignment horizontal="center" vertical="center"/>
    </xf>
    <xf numFmtId="175" fontId="10" fillId="53" borderId="15" xfId="0" applyNumberFormat="1" applyFont="1" applyFill="1" applyBorder="1" applyAlignment="1">
      <alignment horizontal="right" vertical="center"/>
    </xf>
    <xf numFmtId="175" fontId="10" fillId="53" borderId="24" xfId="0" applyNumberFormat="1" applyFont="1" applyFill="1" applyBorder="1" applyAlignment="1">
      <alignment horizontal="right" vertical="center"/>
    </xf>
    <xf numFmtId="175" fontId="10" fillId="53" borderId="25" xfId="0" applyNumberFormat="1" applyFont="1" applyFill="1" applyBorder="1" applyAlignment="1">
      <alignment horizontal="right" vertical="center"/>
    </xf>
    <xf numFmtId="175" fontId="4" fillId="53" borderId="2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175" fontId="3" fillId="0" borderId="15" xfId="0" applyNumberFormat="1" applyFont="1" applyFill="1" applyBorder="1" applyAlignment="1">
      <alignment horizontal="right" vertical="center"/>
    </xf>
    <xf numFmtId="175" fontId="3" fillId="0" borderId="2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69" fontId="4" fillId="53" borderId="22" xfId="117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174" fontId="3" fillId="0" borderId="26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17" fontId="2" fillId="0" borderId="0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top"/>
    </xf>
    <xf numFmtId="0" fontId="4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5" xfId="0" applyBorder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4" fillId="0" borderId="25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52" borderId="24" xfId="0" applyFont="1" applyFill="1" applyBorder="1" applyAlignment="1">
      <alignment horizontal="center" vertical="center" wrapText="1"/>
    </xf>
    <xf numFmtId="0" fontId="4" fillId="52" borderId="25" xfId="0" applyFont="1" applyFill="1" applyBorder="1" applyAlignment="1">
      <alignment horizontal="center" vertical="center" wrapText="1"/>
    </xf>
    <xf numFmtId="0" fontId="4" fillId="52" borderId="26" xfId="0" applyFont="1" applyFill="1" applyBorder="1" applyAlignment="1">
      <alignment horizontal="center" vertical="center" wrapText="1"/>
    </xf>
    <xf numFmtId="0" fontId="4" fillId="52" borderId="0" xfId="0" applyFont="1" applyFill="1" applyBorder="1" applyAlignment="1">
      <alignment horizontal="center" vertical="center" wrapText="1"/>
    </xf>
    <xf numFmtId="0" fontId="4" fillId="52" borderId="24" xfId="0" applyFont="1" applyFill="1" applyBorder="1" applyAlignment="1">
      <alignment horizontal="center" vertical="center" wrapText="1"/>
    </xf>
    <xf numFmtId="0" fontId="4" fillId="52" borderId="25" xfId="0" applyFont="1" applyFill="1" applyBorder="1" applyAlignment="1">
      <alignment horizontal="center" vertical="center" wrapText="1"/>
    </xf>
    <xf numFmtId="0" fontId="4" fillId="52" borderId="22" xfId="0" applyFont="1" applyFill="1" applyBorder="1" applyAlignment="1">
      <alignment horizontal="center" vertical="center" wrapText="1"/>
    </xf>
    <xf numFmtId="0" fontId="4" fillId="52" borderId="26" xfId="0" applyFont="1" applyFill="1" applyBorder="1" applyAlignment="1" quotePrefix="1">
      <alignment horizontal="center" vertical="center" wrapText="1"/>
    </xf>
    <xf numFmtId="0" fontId="4" fillId="52" borderId="0" xfId="0" applyFont="1" applyFill="1" applyBorder="1" applyAlignment="1" quotePrefix="1">
      <alignment horizontal="center" vertical="center" wrapText="1"/>
    </xf>
    <xf numFmtId="0" fontId="4" fillId="52" borderId="23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5" xfId="0" applyFont="1" applyBorder="1" applyAlignment="1">
      <alignment horizontal="left" wrapText="1"/>
    </xf>
    <xf numFmtId="170" fontId="4" fillId="52" borderId="18" xfId="0" applyNumberFormat="1" applyFont="1" applyFill="1" applyBorder="1" applyAlignment="1">
      <alignment horizontal="center" vertical="center"/>
    </xf>
    <xf numFmtId="170" fontId="4" fillId="52" borderId="17" xfId="0" applyNumberFormat="1" applyFont="1" applyFill="1" applyBorder="1" applyAlignment="1">
      <alignment horizontal="center" vertical="center"/>
    </xf>
    <xf numFmtId="170" fontId="4" fillId="52" borderId="19" xfId="0" applyNumberFormat="1" applyFont="1" applyFill="1" applyBorder="1" applyAlignment="1">
      <alignment horizontal="center" vertical="center"/>
    </xf>
    <xf numFmtId="0" fontId="14" fillId="0" borderId="0" xfId="0" applyFont="1" applyAlignment="1" quotePrefix="1">
      <alignment horizontal="left"/>
    </xf>
    <xf numFmtId="0" fontId="4" fillId="52" borderId="4" xfId="0" applyFont="1" applyFill="1" applyBorder="1" applyAlignment="1">
      <alignment horizontal="center" vertical="top" wrapText="1"/>
    </xf>
    <xf numFmtId="0" fontId="4" fillId="52" borderId="16" xfId="0" applyFont="1" applyFill="1" applyBorder="1" applyAlignment="1">
      <alignment horizontal="center" vertical="top" wrapText="1"/>
    </xf>
    <xf numFmtId="0" fontId="5" fillId="0" borderId="0" xfId="0" applyFont="1" applyAlignment="1" quotePrefix="1">
      <alignment horizontal="right" vertical="top"/>
    </xf>
    <xf numFmtId="0" fontId="7" fillId="52" borderId="24" xfId="0" applyFont="1" applyFill="1" applyBorder="1" applyAlignment="1">
      <alignment horizontal="center" vertical="center" wrapText="1"/>
    </xf>
    <xf numFmtId="0" fontId="7" fillId="52" borderId="25" xfId="0" applyFont="1" applyFill="1" applyBorder="1" applyAlignment="1">
      <alignment horizontal="center" vertical="center" wrapText="1"/>
    </xf>
    <xf numFmtId="0" fontId="7" fillId="52" borderId="25" xfId="0" applyFont="1" applyFill="1" applyBorder="1" applyAlignment="1">
      <alignment horizontal="center" vertical="center" wrapText="1"/>
    </xf>
    <xf numFmtId="0" fontId="7" fillId="52" borderId="22" xfId="0" applyFont="1" applyFill="1" applyBorder="1" applyAlignment="1">
      <alignment horizontal="center" vertical="center" wrapText="1"/>
    </xf>
    <xf numFmtId="0" fontId="4" fillId="52" borderId="18" xfId="0" applyFont="1" applyFill="1" applyBorder="1" applyAlignment="1">
      <alignment horizontal="center" vertical="center" wrapText="1"/>
    </xf>
    <xf numFmtId="0" fontId="4" fillId="52" borderId="17" xfId="0" applyFont="1" applyFill="1" applyBorder="1" applyAlignment="1">
      <alignment horizontal="center" vertical="center" wrapText="1"/>
    </xf>
    <xf numFmtId="0" fontId="4" fillId="52" borderId="19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4" fillId="52" borderId="18" xfId="0" applyFont="1" applyFill="1" applyBorder="1" applyAlignment="1">
      <alignment horizontal="center" vertical="top"/>
    </xf>
    <xf numFmtId="0" fontId="4" fillId="52" borderId="27" xfId="0" applyFont="1" applyFill="1" applyBorder="1" applyAlignment="1">
      <alignment horizontal="center" vertical="top"/>
    </xf>
    <xf numFmtId="0" fontId="4" fillId="52" borderId="28" xfId="0" applyFont="1" applyFill="1" applyBorder="1" applyAlignment="1">
      <alignment horizontal="center" vertical="top" wrapText="1"/>
    </xf>
    <xf numFmtId="0" fontId="4" fillId="52" borderId="27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52" borderId="24" xfId="0" applyFont="1" applyFill="1" applyBorder="1" applyAlignment="1">
      <alignment horizontal="center" vertical="center"/>
    </xf>
    <xf numFmtId="0" fontId="4" fillId="52" borderId="25" xfId="0" applyFont="1" applyFill="1" applyBorder="1" applyAlignment="1">
      <alignment horizontal="center" vertical="center"/>
    </xf>
    <xf numFmtId="0" fontId="4" fillId="52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4" fillId="52" borderId="15" xfId="0" applyFont="1" applyFill="1" applyBorder="1" applyAlignment="1">
      <alignment horizontal="center" vertical="top" wrapText="1"/>
    </xf>
    <xf numFmtId="0" fontId="4" fillId="52" borderId="24" xfId="0" applyFont="1" applyFill="1" applyBorder="1" applyAlignment="1">
      <alignment horizontal="center" vertical="top" wrapText="1"/>
    </xf>
    <xf numFmtId="0" fontId="4" fillId="52" borderId="2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17" fontId="15" fillId="0" borderId="0" xfId="0" applyNumberFormat="1" applyFont="1" applyBorder="1" applyAlignment="1">
      <alignment horizontal="center" vertical="center"/>
    </xf>
    <xf numFmtId="17" fontId="15" fillId="0" borderId="0" xfId="0" applyNumberFormat="1" applyFont="1" applyBorder="1" applyAlignment="1" quotePrefix="1">
      <alignment horizontal="center" vertical="center"/>
    </xf>
    <xf numFmtId="0" fontId="4" fillId="52" borderId="26" xfId="0" applyFont="1" applyFill="1" applyBorder="1" applyAlignment="1">
      <alignment horizontal="center" vertical="top" wrapText="1"/>
    </xf>
    <xf numFmtId="0" fontId="4" fillId="52" borderId="23" xfId="0" applyFont="1" applyFill="1" applyBorder="1" applyAlignment="1">
      <alignment horizontal="center" vertical="top" wrapText="1"/>
    </xf>
    <xf numFmtId="0" fontId="4" fillId="52" borderId="18" xfId="0" applyFont="1" applyFill="1" applyBorder="1" applyAlignment="1">
      <alignment horizontal="center" vertical="top" wrapText="1"/>
    </xf>
    <xf numFmtId="0" fontId="4" fillId="52" borderId="19" xfId="0" applyFont="1" applyFill="1" applyBorder="1" applyAlignment="1">
      <alignment horizontal="center" vertical="top" wrapText="1"/>
    </xf>
    <xf numFmtId="0" fontId="4" fillId="55" borderId="25" xfId="0" applyFont="1" applyFill="1" applyBorder="1" applyAlignment="1">
      <alignment horizontal="left" wrapText="1"/>
    </xf>
    <xf numFmtId="0" fontId="0" fillId="55" borderId="25" xfId="0" applyFill="1" applyBorder="1" applyAlignment="1">
      <alignment horizontal="left" wrapText="1"/>
    </xf>
    <xf numFmtId="0" fontId="0" fillId="55" borderId="25" xfId="0" applyFill="1" applyBorder="1" applyAlignment="1">
      <alignment horizontal="left" wrapText="1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vertical="top"/>
    </xf>
  </cellXfs>
  <cellStyles count="139">
    <cellStyle name="Normal" xfId="0"/>
    <cellStyle name="20% - Accent1" xfId="15"/>
    <cellStyle name="20% - Accent1 2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5 2" xfId="43"/>
    <cellStyle name="Accent6" xfId="44"/>
    <cellStyle name="Accent6 2" xfId="45"/>
    <cellStyle name="Bad" xfId="46"/>
    <cellStyle name="Calculation" xfId="47"/>
    <cellStyle name="cells" xfId="48"/>
    <cellStyle name="Check Cell" xfId="49"/>
    <cellStyle name="coin" xfId="50"/>
    <cellStyle name="column field" xfId="51"/>
    <cellStyle name="Comma" xfId="52"/>
    <cellStyle name="Comma [0]" xfId="53"/>
    <cellStyle name="Comma 2" xfId="54"/>
    <cellStyle name="Comma 3" xfId="55"/>
    <cellStyle name="contenu_unite" xfId="56"/>
    <cellStyle name="Currency" xfId="57"/>
    <cellStyle name="Currency [0]" xfId="58"/>
    <cellStyle name="Detail ligne" xfId="59"/>
    <cellStyle name="donn_normal" xfId="60"/>
    <cellStyle name="donnnormal1" xfId="61"/>
    <cellStyle name="donntotal1" xfId="62"/>
    <cellStyle name="ent_col_ser" xfId="63"/>
    <cellStyle name="entete_indice" xfId="64"/>
    <cellStyle name="Explanatory Text" xfId="65"/>
    <cellStyle name="field" xfId="66"/>
    <cellStyle name="field names" xfId="67"/>
    <cellStyle name="Följde hyperlänken" xfId="68"/>
    <cellStyle name="footer" xfId="69"/>
    <cellStyle name="Good" xfId="70"/>
    <cellStyle name="heading" xfId="71"/>
    <cellStyle name="Heading 1" xfId="72"/>
    <cellStyle name="Heading 2" xfId="73"/>
    <cellStyle name="Heading 3" xfId="74"/>
    <cellStyle name="Heading 4" xfId="75"/>
    <cellStyle name="Hyperlänk 2" xfId="76"/>
    <cellStyle name="Hyperlink 2" xfId="77"/>
    <cellStyle name="Hyperlink 3" xfId="78"/>
    <cellStyle name="Identification requete" xfId="79"/>
    <cellStyle name="Input" xfId="80"/>
    <cellStyle name="Ligne détail" xfId="81"/>
    <cellStyle name="Ligne détail 2" xfId="82"/>
    <cellStyle name="ligne_titre_0" xfId="83"/>
    <cellStyle name="Linked Cell" xfId="84"/>
    <cellStyle name="MEV1" xfId="85"/>
    <cellStyle name="MEV2" xfId="86"/>
    <cellStyle name="Neutral" xfId="87"/>
    <cellStyle name="Normal 10" xfId="88"/>
    <cellStyle name="Normal 11" xfId="89"/>
    <cellStyle name="Normal 12" xfId="90"/>
    <cellStyle name="Normal 2" xfId="91"/>
    <cellStyle name="Normal 2 2" xfId="92"/>
    <cellStyle name="Normal 2 3" xfId="93"/>
    <cellStyle name="Normal 2 3 2" xfId="94"/>
    <cellStyle name="Normal 2 4" xfId="95"/>
    <cellStyle name="Normal 3" xfId="96"/>
    <cellStyle name="Normal 3 2" xfId="97"/>
    <cellStyle name="Normal 3 2 2" xfId="98"/>
    <cellStyle name="Normal 3 3" xfId="99"/>
    <cellStyle name="Normal 3 4" xfId="100"/>
    <cellStyle name="Normal 4" xfId="101"/>
    <cellStyle name="Normal 4 2" xfId="102"/>
    <cellStyle name="Normal 5" xfId="103"/>
    <cellStyle name="Normal 6" xfId="104"/>
    <cellStyle name="Normal 6 2" xfId="105"/>
    <cellStyle name="Normal 7" xfId="106"/>
    <cellStyle name="Normal 8" xfId="107"/>
    <cellStyle name="Normal 9" xfId="108"/>
    <cellStyle name="Normál_t6" xfId="109"/>
    <cellStyle name="Note" xfId="110"/>
    <cellStyle name="Note 2" xfId="111"/>
    <cellStyle name="Note 3" xfId="112"/>
    <cellStyle name="notice_theme" xfId="113"/>
    <cellStyle name="num_note" xfId="114"/>
    <cellStyle name="Output" xfId="115"/>
    <cellStyle name="Percent" xfId="116"/>
    <cellStyle name="Percent 2" xfId="117"/>
    <cellStyle name="Procent 2" xfId="118"/>
    <cellStyle name="Resultat" xfId="119"/>
    <cellStyle name="rowfield" xfId="120"/>
    <cellStyle name="source" xfId="121"/>
    <cellStyle name="source 2" xfId="122"/>
    <cellStyle name="Standard_E00seit45" xfId="123"/>
    <cellStyle name="Test" xfId="124"/>
    <cellStyle name="Title" xfId="125"/>
    <cellStyle name="Title 2" xfId="126"/>
    <cellStyle name="Titre colonne" xfId="127"/>
    <cellStyle name="Titre colonnes" xfId="128"/>
    <cellStyle name="Titre colonnes 2" xfId="129"/>
    <cellStyle name="Titre general" xfId="130"/>
    <cellStyle name="Titre général" xfId="131"/>
    <cellStyle name="Titre ligne" xfId="132"/>
    <cellStyle name="Titre ligne 2" xfId="133"/>
    <cellStyle name="Titre lignes" xfId="134"/>
    <cellStyle name="Titre lignes 2" xfId="135"/>
    <cellStyle name="Titre tableau" xfId="136"/>
    <cellStyle name="Total" xfId="137"/>
    <cellStyle name="Total 2" xfId="138"/>
    <cellStyle name="Total 3" xfId="139"/>
    <cellStyle name="Total 4" xfId="140"/>
    <cellStyle name="Total intermediaire" xfId="141"/>
    <cellStyle name="Total intermediaire 0" xfId="142"/>
    <cellStyle name="Total intermediaire 1" xfId="143"/>
    <cellStyle name="Total intermediaire 2" xfId="144"/>
    <cellStyle name="Total intermediaire 3" xfId="145"/>
    <cellStyle name="Total intermediaire 4" xfId="146"/>
    <cellStyle name="Total intermediaire 5" xfId="147"/>
    <cellStyle name="Total tableau" xfId="148"/>
    <cellStyle name="Tusental 2" xfId="149"/>
    <cellStyle name="Virgül [0]_08-01" xfId="150"/>
    <cellStyle name="Virgül_08-01" xfId="151"/>
    <cellStyle name="Warning Text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0"/>
  <sheetViews>
    <sheetView zoomScalePageLayoutView="0" workbookViewId="0" topLeftCell="A7">
      <selection activeCell="B8" sqref="B8:D8"/>
    </sheetView>
  </sheetViews>
  <sheetFormatPr defaultColWidth="9.140625" defaultRowHeight="12.75"/>
  <cols>
    <col min="1" max="1" width="0.85546875" style="104" customWidth="1"/>
    <col min="2" max="2" width="7.7109375" style="106" customWidth="1"/>
    <col min="3" max="3" width="2.00390625" style="107" customWidth="1"/>
    <col min="4" max="4" width="65.8515625" style="104" customWidth="1"/>
    <col min="5" max="16384" width="9.140625" style="104" customWidth="1"/>
  </cols>
  <sheetData>
    <row r="1" spans="2:4" ht="19.5" customHeight="1">
      <c r="B1" s="1002" t="s">
        <v>114</v>
      </c>
      <c r="C1" s="1002"/>
      <c r="D1" s="1002"/>
    </row>
    <row r="2" spans="2:4" ht="19.5" customHeight="1">
      <c r="B2" s="1003" t="s">
        <v>115</v>
      </c>
      <c r="C2" s="1003"/>
      <c r="D2" s="1003"/>
    </row>
    <row r="3" spans="2:4" ht="19.5" customHeight="1">
      <c r="B3" s="1004" t="s">
        <v>140</v>
      </c>
      <c r="C3" s="1004"/>
      <c r="D3" s="1004"/>
    </row>
    <row r="4" spans="2:4" ht="19.5" customHeight="1">
      <c r="B4" s="1005" t="s">
        <v>131</v>
      </c>
      <c r="C4" s="1005"/>
      <c r="D4" s="1005"/>
    </row>
    <row r="5" spans="2:4" ht="19.5" customHeight="1">
      <c r="B5" s="105"/>
      <c r="C5" s="105"/>
      <c r="D5" s="105"/>
    </row>
    <row r="6" ht="19.5" customHeight="1"/>
    <row r="7" spans="2:4" ht="19.5" customHeight="1">
      <c r="B7" s="1002" t="s">
        <v>141</v>
      </c>
      <c r="C7" s="1002"/>
      <c r="D7" s="1002"/>
    </row>
    <row r="8" spans="2:4" ht="19.5" customHeight="1">
      <c r="B8" s="1001" t="s">
        <v>296</v>
      </c>
      <c r="C8" s="1001"/>
      <c r="D8" s="1001"/>
    </row>
    <row r="9" spans="2:4" ht="19.5" customHeight="1">
      <c r="B9" s="108"/>
      <c r="C9" s="108"/>
      <c r="D9" s="108"/>
    </row>
    <row r="10" spans="2:4" ht="19.5" customHeight="1">
      <c r="B10" s="1006" t="s">
        <v>142</v>
      </c>
      <c r="C10" s="1006"/>
      <c r="D10" s="1006"/>
    </row>
    <row r="11" ht="19.5" customHeight="1">
      <c r="B11" s="109"/>
    </row>
    <row r="12" spans="2:4" ht="19.5" customHeight="1">
      <c r="B12" s="1000" t="s">
        <v>143</v>
      </c>
      <c r="C12" s="1000"/>
      <c r="D12" s="1000"/>
    </row>
    <row r="13" spans="2:4" ht="19.5" customHeight="1">
      <c r="B13" s="1000" t="s">
        <v>116</v>
      </c>
      <c r="C13" s="1000"/>
      <c r="D13" s="1000"/>
    </row>
    <row r="14" spans="2:4" ht="19.5" customHeight="1">
      <c r="B14" s="109"/>
      <c r="D14"/>
    </row>
    <row r="15" ht="19.5" customHeight="1">
      <c r="B15" s="109"/>
    </row>
    <row r="16" spans="2:4" ht="15" customHeight="1">
      <c r="B16" s="110" t="s">
        <v>144</v>
      </c>
      <c r="C16" s="111"/>
      <c r="D16" s="112" t="s">
        <v>145</v>
      </c>
    </row>
    <row r="17" spans="2:4" ht="15" customHeight="1">
      <c r="B17" s="110" t="s">
        <v>146</v>
      </c>
      <c r="C17" s="113"/>
      <c r="D17" s="112" t="s">
        <v>117</v>
      </c>
    </row>
    <row r="18" spans="2:4" ht="15" customHeight="1">
      <c r="B18" s="110" t="s">
        <v>147</v>
      </c>
      <c r="C18" s="113"/>
      <c r="D18" s="112" t="s">
        <v>118</v>
      </c>
    </row>
    <row r="19" spans="2:4" ht="15" customHeight="1">
      <c r="B19" s="110" t="s">
        <v>148</v>
      </c>
      <c r="C19" s="111"/>
      <c r="D19" s="114" t="s">
        <v>119</v>
      </c>
    </row>
    <row r="20" spans="2:4" ht="15" customHeight="1">
      <c r="B20" s="110" t="s">
        <v>149</v>
      </c>
      <c r="C20" s="111"/>
      <c r="D20" s="112" t="s">
        <v>120</v>
      </c>
    </row>
    <row r="21" spans="2:4" ht="15" customHeight="1">
      <c r="B21" s="110" t="s">
        <v>150</v>
      </c>
      <c r="C21" s="111"/>
      <c r="D21" s="112" t="s">
        <v>121</v>
      </c>
    </row>
    <row r="22" spans="2:4" ht="15" customHeight="1">
      <c r="B22" s="110" t="s">
        <v>151</v>
      </c>
      <c r="C22" s="115"/>
      <c r="D22" s="112" t="s">
        <v>122</v>
      </c>
    </row>
    <row r="23" spans="2:4" ht="15" customHeight="1">
      <c r="B23" s="110" t="s">
        <v>152</v>
      </c>
      <c r="C23" s="115"/>
      <c r="D23" s="112" t="s">
        <v>123</v>
      </c>
    </row>
    <row r="24" spans="2:4" ht="15" customHeight="1">
      <c r="B24" s="110" t="s">
        <v>153</v>
      </c>
      <c r="C24" s="111"/>
      <c r="D24" s="112" t="s">
        <v>124</v>
      </c>
    </row>
    <row r="25" spans="2:4" ht="15" customHeight="1">
      <c r="B25" s="110" t="s">
        <v>154</v>
      </c>
      <c r="C25" s="111"/>
      <c r="D25" s="112" t="s">
        <v>125</v>
      </c>
    </row>
    <row r="26" spans="2:4" ht="15" customHeight="1">
      <c r="B26" s="110" t="s">
        <v>155</v>
      </c>
      <c r="C26" s="116"/>
      <c r="D26" s="114" t="s">
        <v>126</v>
      </c>
    </row>
    <row r="27" spans="2:4" ht="15" customHeight="1">
      <c r="B27" s="110" t="s">
        <v>156</v>
      </c>
      <c r="C27" s="116"/>
      <c r="D27" s="114" t="s">
        <v>127</v>
      </c>
    </row>
    <row r="28" spans="2:4" ht="15" customHeight="1">
      <c r="B28" s="110" t="s">
        <v>157</v>
      </c>
      <c r="C28" s="116"/>
      <c r="D28" s="114" t="s">
        <v>128</v>
      </c>
    </row>
    <row r="29" spans="2:4" ht="15" customHeight="1">
      <c r="B29" s="110" t="s">
        <v>158</v>
      </c>
      <c r="C29" s="115"/>
      <c r="D29" s="112" t="s">
        <v>159</v>
      </c>
    </row>
    <row r="30" spans="2:4" ht="15" customHeight="1">
      <c r="B30" s="110" t="s">
        <v>160</v>
      </c>
      <c r="C30" s="115"/>
      <c r="D30" s="112" t="s">
        <v>161</v>
      </c>
    </row>
    <row r="31" spans="2:4" ht="15" customHeight="1">
      <c r="B31" s="110" t="s">
        <v>162</v>
      </c>
      <c r="C31" s="111"/>
      <c r="D31" s="112" t="s">
        <v>163</v>
      </c>
    </row>
    <row r="32" spans="2:4" ht="15" customHeight="1">
      <c r="B32" s="110" t="s">
        <v>164</v>
      </c>
      <c r="C32" s="111"/>
      <c r="D32" s="112" t="s">
        <v>129</v>
      </c>
    </row>
    <row r="33" spans="2:4" ht="15" customHeight="1">
      <c r="B33" s="110" t="s">
        <v>165</v>
      </c>
      <c r="C33" s="111"/>
      <c r="D33" s="112" t="s">
        <v>130</v>
      </c>
    </row>
    <row r="34" ht="12.75">
      <c r="B34" s="109"/>
    </row>
    <row r="35" ht="12.75">
      <c r="B35" s="109"/>
    </row>
    <row r="36" ht="12.75">
      <c r="B36" s="109"/>
    </row>
    <row r="37" ht="12.75">
      <c r="B37" s="109"/>
    </row>
    <row r="38" ht="12.75">
      <c r="B38" s="109"/>
    </row>
    <row r="40" ht="13.5">
      <c r="B40" s="117"/>
    </row>
    <row r="41" ht="12.75">
      <c r="B41" s="109"/>
    </row>
    <row r="42" ht="12.75">
      <c r="B42" s="109"/>
    </row>
    <row r="43" ht="12.75">
      <c r="B43" s="109"/>
    </row>
    <row r="50" spans="3:4" ht="12.75">
      <c r="C50" s="118"/>
      <c r="D50" s="119"/>
    </row>
    <row r="57" ht="12.75"/>
    <row r="60" spans="3:4" ht="12.75">
      <c r="C60"/>
      <c r="D60"/>
    </row>
  </sheetData>
  <sheetProtection/>
  <mergeCells count="9">
    <mergeCell ref="B12:D12"/>
    <mergeCell ref="B13:D13"/>
    <mergeCell ref="B8:D8"/>
    <mergeCell ref="B7:D7"/>
    <mergeCell ref="B1:D1"/>
    <mergeCell ref="B2:D2"/>
    <mergeCell ref="B3:D3"/>
    <mergeCell ref="B4:D4"/>
    <mergeCell ref="B10:D10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45"/>
  <sheetViews>
    <sheetView zoomScalePageLayoutView="0" workbookViewId="0" topLeftCell="A1">
      <selection activeCell="U8" sqref="U8"/>
    </sheetView>
  </sheetViews>
  <sheetFormatPr defaultColWidth="9.140625" defaultRowHeight="12.75"/>
  <cols>
    <col min="1" max="1" width="3.7109375" style="0" customWidth="1"/>
    <col min="2" max="2" width="5.28125" style="5" customWidth="1"/>
    <col min="3" max="9" width="8.7109375" style="5" customWidth="1"/>
    <col min="10" max="10" width="10.57421875" style="5" customWidth="1"/>
    <col min="11" max="15" width="8.7109375" style="5" customWidth="1"/>
    <col min="16" max="21" width="8.7109375" style="204" customWidth="1"/>
    <col min="22" max="22" width="9.140625" style="870" customWidth="1"/>
  </cols>
  <sheetData>
    <row r="1" spans="2:23" ht="14.25" customHeight="1">
      <c r="B1" s="196"/>
      <c r="C1" s="196"/>
      <c r="D1" s="196"/>
      <c r="E1" s="196"/>
      <c r="F1" s="196"/>
      <c r="J1" s="16"/>
      <c r="K1" s="16"/>
      <c r="L1" s="16"/>
      <c r="M1" s="16"/>
      <c r="N1" s="337"/>
      <c r="O1" s="362"/>
      <c r="P1" s="197"/>
      <c r="Q1" s="197"/>
      <c r="R1" s="197"/>
      <c r="W1" s="30" t="s">
        <v>153</v>
      </c>
    </row>
    <row r="2" spans="2:23" s="43" customFormat="1" ht="30" customHeight="1">
      <c r="B2" s="1048" t="s">
        <v>92</v>
      </c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8"/>
      <c r="N2" s="1048"/>
      <c r="O2" s="1048"/>
      <c r="P2" s="1048"/>
      <c r="Q2" s="1048"/>
      <c r="R2" s="1048"/>
      <c r="S2" s="1048"/>
      <c r="T2" s="1048"/>
      <c r="U2" s="1048"/>
      <c r="V2" s="1048"/>
      <c r="W2" s="1048"/>
    </row>
    <row r="3" spans="2:23" ht="15" customHeight="1">
      <c r="B3" s="1036" t="s">
        <v>259</v>
      </c>
      <c r="C3" s="1036"/>
      <c r="D3" s="1036"/>
      <c r="E3" s="1036"/>
      <c r="F3" s="1036"/>
      <c r="G3" s="1036"/>
      <c r="H3" s="1036"/>
      <c r="I3" s="1036"/>
      <c r="J3" s="1036"/>
      <c r="K3" s="1036"/>
      <c r="L3" s="1036"/>
      <c r="M3" s="1036"/>
      <c r="N3" s="1036"/>
      <c r="O3" s="1036"/>
      <c r="P3" s="1036"/>
      <c r="Q3" s="1036"/>
      <c r="R3" s="1036"/>
      <c r="S3" s="1036"/>
      <c r="T3" s="1036"/>
      <c r="U3" s="1036"/>
      <c r="V3" s="1036"/>
      <c r="W3" s="1036"/>
    </row>
    <row r="4" spans="12:21" ht="12.75" customHeight="1">
      <c r="L4" s="7"/>
      <c r="M4" s="7"/>
      <c r="N4" s="7"/>
      <c r="O4" s="7"/>
      <c r="Q4" s="198"/>
      <c r="R4" s="198"/>
      <c r="T4" s="137"/>
      <c r="U4" s="137" t="s">
        <v>3</v>
      </c>
    </row>
    <row r="5" spans="3:23" ht="34.5" customHeight="1">
      <c r="C5" s="53">
        <v>1995</v>
      </c>
      <c r="D5" s="53">
        <v>2000</v>
      </c>
      <c r="E5" s="54">
        <v>2001</v>
      </c>
      <c r="F5" s="54">
        <v>2002</v>
      </c>
      <c r="G5" s="54">
        <v>2003</v>
      </c>
      <c r="H5" s="54">
        <v>2004</v>
      </c>
      <c r="I5" s="54">
        <v>2005</v>
      </c>
      <c r="J5" s="54">
        <v>2006</v>
      </c>
      <c r="K5" s="54">
        <v>2007</v>
      </c>
      <c r="L5" s="54">
        <v>2008</v>
      </c>
      <c r="M5" s="54">
        <v>2009</v>
      </c>
      <c r="N5" s="54">
        <v>2010</v>
      </c>
      <c r="O5" s="54">
        <v>2011</v>
      </c>
      <c r="P5" s="54">
        <v>2012</v>
      </c>
      <c r="Q5" s="54">
        <v>2013</v>
      </c>
      <c r="R5" s="54">
        <v>2014</v>
      </c>
      <c r="S5" s="54">
        <v>2015</v>
      </c>
      <c r="T5" s="54">
        <v>2016</v>
      </c>
      <c r="U5" s="54">
        <v>2017</v>
      </c>
      <c r="V5" s="903" t="s">
        <v>300</v>
      </c>
      <c r="W5" s="6"/>
    </row>
    <row r="6" spans="2:23" ht="12.75" customHeight="1">
      <c r="B6" s="52" t="s">
        <v>253</v>
      </c>
      <c r="C6" s="570"/>
      <c r="D6" s="462"/>
      <c r="E6" s="462"/>
      <c r="F6" s="462"/>
      <c r="G6" s="461"/>
      <c r="H6" s="462">
        <f aca="true" t="shared" si="0" ref="H6:U6">SUM(H7:H34)</f>
        <v>1234.469794</v>
      </c>
      <c r="I6" s="461">
        <f t="shared" si="0"/>
        <v>1337.0720000000001</v>
      </c>
      <c r="J6" s="461">
        <f t="shared" si="0"/>
        <v>1470.8480000000002</v>
      </c>
      <c r="K6" s="461">
        <f t="shared" si="0"/>
        <v>1535.071</v>
      </c>
      <c r="L6" s="461">
        <f t="shared" si="0"/>
        <v>1427.5570000000002</v>
      </c>
      <c r="M6" s="461">
        <f t="shared" si="0"/>
        <v>1244.2640000000004</v>
      </c>
      <c r="N6" s="461">
        <f t="shared" si="0"/>
        <v>1078.9460000000001</v>
      </c>
      <c r="O6" s="461">
        <f t="shared" si="0"/>
        <v>936.1740000000001</v>
      </c>
      <c r="P6" s="461">
        <f t="shared" si="0"/>
        <v>833.949</v>
      </c>
      <c r="Q6" s="461">
        <f t="shared" si="0"/>
        <v>748.3160726350501</v>
      </c>
      <c r="R6" s="461">
        <f t="shared" si="0"/>
        <v>809.2414013980917</v>
      </c>
      <c r="S6" s="461">
        <f t="shared" si="0"/>
        <v>894.926</v>
      </c>
      <c r="T6" s="461">
        <f t="shared" si="0"/>
        <v>1014.9040000000001</v>
      </c>
      <c r="U6" s="461">
        <f t="shared" si="0"/>
        <v>918.7909999999999</v>
      </c>
      <c r="V6" s="905">
        <f>U6/T6*100-100</f>
        <v>-9.47015678330169</v>
      </c>
      <c r="W6" s="800" t="s">
        <v>253</v>
      </c>
    </row>
    <row r="7" spans="2:23" ht="12.75" customHeight="1">
      <c r="B7" s="9" t="s">
        <v>62</v>
      </c>
      <c r="C7" s="495"/>
      <c r="D7" s="465">
        <v>25.319</v>
      </c>
      <c r="E7" s="465">
        <v>21.229</v>
      </c>
      <c r="F7" s="465">
        <v>21.503</v>
      </c>
      <c r="G7" s="465">
        <v>22.224</v>
      </c>
      <c r="H7" s="465">
        <v>25.055</v>
      </c>
      <c r="I7" s="465">
        <v>24.955</v>
      </c>
      <c r="J7" s="465">
        <v>27.269</v>
      </c>
      <c r="K7" s="465">
        <v>30.131</v>
      </c>
      <c r="L7" s="465">
        <v>26.393</v>
      </c>
      <c r="M7" s="465">
        <v>26.423</v>
      </c>
      <c r="N7" s="465">
        <v>26.429</v>
      </c>
      <c r="O7" s="465">
        <f>25.047</f>
        <v>25.047</v>
      </c>
      <c r="P7" s="465">
        <f>23.428</f>
        <v>23.428</v>
      </c>
      <c r="Q7" s="465">
        <v>20.644</v>
      </c>
      <c r="R7" s="465">
        <v>20.681</v>
      </c>
      <c r="S7" s="465">
        <v>21.577</v>
      </c>
      <c r="T7" s="465">
        <v>23.621</v>
      </c>
      <c r="U7" s="861">
        <v>21.39</v>
      </c>
      <c r="V7" s="904">
        <f aca="true" t="shared" si="1" ref="V7:V42">U7/T7*100-100</f>
        <v>-9.444985394352472</v>
      </c>
      <c r="W7" s="402" t="s">
        <v>62</v>
      </c>
    </row>
    <row r="8" spans="2:23" ht="12.75" customHeight="1">
      <c r="B8" s="51" t="s">
        <v>45</v>
      </c>
      <c r="C8" s="468"/>
      <c r="D8" s="469">
        <f>(1117+33+4+2)/1000</f>
        <v>1.156</v>
      </c>
      <c r="E8" s="469">
        <f>(1497+24+2+3)/1000</f>
        <v>1.526</v>
      </c>
      <c r="F8" s="469">
        <f>(2227+12+1+21)/1000</f>
        <v>2.261</v>
      </c>
      <c r="G8" s="469">
        <f>(2986+13+3+2)/1000</f>
        <v>3.004</v>
      </c>
      <c r="H8" s="506">
        <f>(AVERAGE(G8,I8))/1000</f>
        <v>0.001794</v>
      </c>
      <c r="I8" s="469">
        <f>(569+13+2)/1000</f>
        <v>0.584</v>
      </c>
      <c r="J8" s="469">
        <v>0.719</v>
      </c>
      <c r="K8" s="469">
        <f>(1087+7+194)/1000</f>
        <v>1.288</v>
      </c>
      <c r="L8" s="469">
        <f>(1249+6+1+509)/1000</f>
        <v>1.765</v>
      </c>
      <c r="M8" s="469">
        <f>(884+3+326)/1000</f>
        <v>1.213</v>
      </c>
      <c r="N8" s="469">
        <f>(643+4+265)/1000</f>
        <v>0.912</v>
      </c>
      <c r="O8" s="469">
        <f>(565+2+141)/1000</f>
        <v>0.708</v>
      </c>
      <c r="P8" s="469">
        <f>(543+5+135)/1000</f>
        <v>0.683</v>
      </c>
      <c r="Q8" s="469">
        <f>(471+3+93)/1000</f>
        <v>0.567</v>
      </c>
      <c r="R8" s="469">
        <f>(505+1+5+123)/1000</f>
        <v>0.634</v>
      </c>
      <c r="S8" s="469">
        <f>(581+4+19+152)/1000</f>
        <v>0.756</v>
      </c>
      <c r="T8" s="469">
        <f>(645+5+10+100)/1000</f>
        <v>0.76</v>
      </c>
      <c r="U8" s="505">
        <f>(733+4+7+85)/1000</f>
        <v>0.829</v>
      </c>
      <c r="V8" s="899">
        <f t="shared" si="1"/>
        <v>9.078947368421055</v>
      </c>
      <c r="W8" s="51" t="s">
        <v>45</v>
      </c>
    </row>
    <row r="9" spans="1:26" ht="12.75" customHeight="1">
      <c r="A9" s="8"/>
      <c r="B9" s="10" t="s">
        <v>47</v>
      </c>
      <c r="C9" s="476">
        <v>6.876</v>
      </c>
      <c r="D9" s="474">
        <v>3.865</v>
      </c>
      <c r="E9" s="474">
        <v>5.308</v>
      </c>
      <c r="F9" s="474">
        <v>7.88</v>
      </c>
      <c r="G9" s="474">
        <v>5.959</v>
      </c>
      <c r="H9" s="474">
        <v>7.217</v>
      </c>
      <c r="I9" s="474">
        <v>7.592</v>
      </c>
      <c r="J9" s="474">
        <v>8.423</v>
      </c>
      <c r="K9" s="474">
        <v>9.985</v>
      </c>
      <c r="L9" s="474">
        <v>9.641</v>
      </c>
      <c r="M9" s="474">
        <v>7.214</v>
      </c>
      <c r="N9" s="474">
        <v>5.418</v>
      </c>
      <c r="O9" s="474">
        <v>6.056</v>
      </c>
      <c r="P9" s="474">
        <v>6.975</v>
      </c>
      <c r="Q9" s="474">
        <v>6.996072635049966</v>
      </c>
      <c r="R9" s="474">
        <v>12.441</v>
      </c>
      <c r="S9" s="474">
        <v>13.424</v>
      </c>
      <c r="T9" s="474">
        <v>14.086</v>
      </c>
      <c r="U9" s="479">
        <v>12.33</v>
      </c>
      <c r="V9" s="904">
        <f t="shared" si="1"/>
        <v>-12.466278574471119</v>
      </c>
      <c r="W9" s="10" t="s">
        <v>47</v>
      </c>
      <c r="Z9" s="82"/>
    </row>
    <row r="10" spans="1:23" ht="12.75" customHeight="1">
      <c r="A10" s="8"/>
      <c r="B10" s="51" t="s">
        <v>58</v>
      </c>
      <c r="C10" s="468">
        <v>2.288</v>
      </c>
      <c r="D10" s="469">
        <v>3.3</v>
      </c>
      <c r="E10" s="469">
        <v>2.416</v>
      </c>
      <c r="F10" s="469">
        <v>2.625</v>
      </c>
      <c r="G10" s="469">
        <v>2.824</v>
      </c>
      <c r="H10" s="469">
        <v>3.631</v>
      </c>
      <c r="I10" s="469">
        <v>5.78</v>
      </c>
      <c r="J10" s="469">
        <v>7.578</v>
      </c>
      <c r="K10" s="469">
        <v>9.777</v>
      </c>
      <c r="L10" s="469">
        <v>6.692</v>
      </c>
      <c r="M10" s="469">
        <v>5.165</v>
      </c>
      <c r="N10" s="484">
        <v>3.056</v>
      </c>
      <c r="O10" s="469">
        <f>2.032</f>
        <v>2.032</v>
      </c>
      <c r="P10" s="469">
        <v>1.984</v>
      </c>
      <c r="Q10" s="469">
        <v>1.87</v>
      </c>
      <c r="R10" s="469">
        <v>1.936</v>
      </c>
      <c r="S10" s="469">
        <v>2.417</v>
      </c>
      <c r="T10" s="469">
        <v>3.139</v>
      </c>
      <c r="U10" s="505">
        <v>2.806</v>
      </c>
      <c r="V10" s="899">
        <f t="shared" si="1"/>
        <v>-10.60847403631729</v>
      </c>
      <c r="W10" s="51" t="s">
        <v>58</v>
      </c>
    </row>
    <row r="11" spans="1:23" ht="12.75" customHeight="1">
      <c r="A11" s="8"/>
      <c r="B11" s="10" t="s">
        <v>63</v>
      </c>
      <c r="C11" s="476">
        <v>218.245</v>
      </c>
      <c r="D11" s="474">
        <v>252.616</v>
      </c>
      <c r="E11" s="474">
        <v>226.958</v>
      </c>
      <c r="F11" s="474">
        <v>204.129</v>
      </c>
      <c r="G11" s="474">
        <v>191.262</v>
      </c>
      <c r="H11" s="474">
        <v>173.524</v>
      </c>
      <c r="I11" s="474">
        <v>168.652</v>
      </c>
      <c r="J11" s="474">
        <v>165.842</v>
      </c>
      <c r="K11" s="474">
        <v>166.883</v>
      </c>
      <c r="L11" s="474">
        <v>166.281</v>
      </c>
      <c r="M11" s="474">
        <v>138.979</v>
      </c>
      <c r="N11" s="474">
        <v>122.293</v>
      </c>
      <c r="O11" s="474">
        <f>126.975</f>
        <v>126.975</v>
      </c>
      <c r="P11" s="474">
        <v>127.497</v>
      </c>
      <c r="Q11" s="474">
        <v>129.605</v>
      </c>
      <c r="R11" s="474">
        <v>141.623</v>
      </c>
      <c r="S11" s="474">
        <v>151.661</v>
      </c>
      <c r="T11" s="474">
        <v>174.624</v>
      </c>
      <c r="U11" s="479">
        <v>140.667</v>
      </c>
      <c r="V11" s="904">
        <f t="shared" si="1"/>
        <v>-19.44578064870808</v>
      </c>
      <c r="W11" s="10" t="s">
        <v>63</v>
      </c>
    </row>
    <row r="12" spans="1:23" ht="12.75" customHeight="1">
      <c r="A12" s="8"/>
      <c r="B12" s="51" t="s">
        <v>48</v>
      </c>
      <c r="C12" s="468" t="s">
        <v>82</v>
      </c>
      <c r="D12" s="469">
        <v>0.053</v>
      </c>
      <c r="E12" s="469">
        <v>0.152</v>
      </c>
      <c r="F12" s="469">
        <v>0.173</v>
      </c>
      <c r="G12" s="469">
        <v>0.185</v>
      </c>
      <c r="H12" s="469">
        <v>0.231</v>
      </c>
      <c r="I12" s="469">
        <v>0.319</v>
      </c>
      <c r="J12" s="469">
        <v>0.771</v>
      </c>
      <c r="K12" s="469">
        <v>1.254</v>
      </c>
      <c r="L12" s="469">
        <v>1.186</v>
      </c>
      <c r="M12" s="469">
        <v>0.468</v>
      </c>
      <c r="N12" s="484">
        <v>0.464</v>
      </c>
      <c r="O12" s="469">
        <f>0.299</f>
        <v>0.299</v>
      </c>
      <c r="P12" s="469">
        <f>0.364</f>
        <v>0.364</v>
      </c>
      <c r="Q12" s="469">
        <v>0.409</v>
      </c>
      <c r="R12" s="469">
        <v>0.449</v>
      </c>
      <c r="S12" s="469">
        <v>0.489</v>
      </c>
      <c r="T12" s="469">
        <v>0.609</v>
      </c>
      <c r="U12" s="505">
        <v>0.511</v>
      </c>
      <c r="V12" s="899">
        <f t="shared" si="1"/>
        <v>-16.091954022988503</v>
      </c>
      <c r="W12" s="51" t="s">
        <v>48</v>
      </c>
    </row>
    <row r="13" spans="1:23" ht="12.75" customHeight="1">
      <c r="A13" s="8"/>
      <c r="B13" s="10" t="s">
        <v>66</v>
      </c>
      <c r="C13" s="476"/>
      <c r="D13" s="474">
        <v>3.848</v>
      </c>
      <c r="E13" s="474">
        <v>4.705</v>
      </c>
      <c r="F13" s="474">
        <v>5.596</v>
      </c>
      <c r="G13" s="474">
        <v>2.853</v>
      </c>
      <c r="H13" s="474">
        <v>2.534</v>
      </c>
      <c r="I13" s="474">
        <v>2.391</v>
      </c>
      <c r="J13" s="474">
        <v>2.508</v>
      </c>
      <c r="K13" s="474">
        <v>2.882</v>
      </c>
      <c r="L13" s="474">
        <v>2.645</v>
      </c>
      <c r="M13" s="474">
        <v>1.422</v>
      </c>
      <c r="N13" s="474">
        <v>1.112</v>
      </c>
      <c r="O13" s="474">
        <f>0.831</f>
        <v>0.831</v>
      </c>
      <c r="P13" s="474">
        <f>0.663</f>
        <v>0.663</v>
      </c>
      <c r="Q13" s="474">
        <v>0.441</v>
      </c>
      <c r="R13" s="474">
        <v>0.36</v>
      </c>
      <c r="S13" s="474">
        <v>1.022</v>
      </c>
      <c r="T13" s="474">
        <v>1.47</v>
      </c>
      <c r="U13" s="479">
        <v>1.311</v>
      </c>
      <c r="V13" s="904">
        <f t="shared" si="1"/>
        <v>-10.816326530612258</v>
      </c>
      <c r="W13" s="10" t="s">
        <v>66</v>
      </c>
    </row>
    <row r="14" spans="1:23" ht="12.75" customHeight="1">
      <c r="A14" s="8"/>
      <c r="B14" s="51" t="s">
        <v>59</v>
      </c>
      <c r="C14" s="468"/>
      <c r="D14" s="469">
        <v>64.042</v>
      </c>
      <c r="E14" s="469">
        <v>66.833</v>
      </c>
      <c r="F14" s="469">
        <v>56.069</v>
      </c>
      <c r="G14" s="469">
        <v>59.137</v>
      </c>
      <c r="H14" s="469">
        <v>72.023</v>
      </c>
      <c r="I14" s="469">
        <v>83.078</v>
      </c>
      <c r="J14" s="469">
        <v>88.48</v>
      </c>
      <c r="K14" s="469">
        <v>100.458</v>
      </c>
      <c r="L14" s="469">
        <v>100.118</v>
      </c>
      <c r="M14" s="469">
        <v>69.246</v>
      </c>
      <c r="N14" s="484">
        <v>61.531</v>
      </c>
      <c r="O14" s="469">
        <f>44.7</f>
        <v>44.7</v>
      </c>
      <c r="P14" s="469">
        <v>31.805</v>
      </c>
      <c r="Q14" s="469">
        <v>28.522</v>
      </c>
      <c r="R14" s="469">
        <v>30.951</v>
      </c>
      <c r="S14" s="469">
        <v>32.468</v>
      </c>
      <c r="T14" s="469">
        <v>38.632</v>
      </c>
      <c r="U14" s="505">
        <v>27.473</v>
      </c>
      <c r="V14" s="899">
        <f t="shared" si="1"/>
        <v>-28.885379995858358</v>
      </c>
      <c r="W14" s="51" t="s">
        <v>59</v>
      </c>
    </row>
    <row r="15" spans="1:23" ht="12.75" customHeight="1">
      <c r="A15" s="8"/>
      <c r="B15" s="10" t="s">
        <v>64</v>
      </c>
      <c r="C15" s="476"/>
      <c r="D15" s="474">
        <v>72.022</v>
      </c>
      <c r="E15" s="474">
        <v>64.129</v>
      </c>
      <c r="F15" s="474">
        <v>63.365</v>
      </c>
      <c r="G15" s="474">
        <v>77.439</v>
      </c>
      <c r="H15" s="474">
        <v>123.143</v>
      </c>
      <c r="I15" s="474">
        <v>205.626</v>
      </c>
      <c r="J15" s="474">
        <v>258.355</v>
      </c>
      <c r="K15" s="474">
        <v>269.479</v>
      </c>
      <c r="L15" s="474">
        <v>209.941</v>
      </c>
      <c r="M15" s="474">
        <v>134.64</v>
      </c>
      <c r="N15" s="474">
        <v>134.297</v>
      </c>
      <c r="O15" s="474">
        <f>119.438</f>
        <v>119.438</v>
      </c>
      <c r="P15" s="474">
        <v>97.944</v>
      </c>
      <c r="Q15" s="474">
        <v>92.409</v>
      </c>
      <c r="R15" s="474">
        <v>111.463</v>
      </c>
      <c r="S15" s="474">
        <v>132.539</v>
      </c>
      <c r="T15" s="474">
        <v>155.004</v>
      </c>
      <c r="U15" s="479">
        <v>136.18</v>
      </c>
      <c r="V15" s="904">
        <f t="shared" si="1"/>
        <v>-12.144202730252118</v>
      </c>
      <c r="W15" s="10" t="s">
        <v>64</v>
      </c>
    </row>
    <row r="16" spans="1:23" ht="12.75" customHeight="1">
      <c r="A16" s="8"/>
      <c r="B16" s="51" t="s">
        <v>65</v>
      </c>
      <c r="C16" s="468"/>
      <c r="D16" s="469">
        <v>179.552</v>
      </c>
      <c r="E16" s="469">
        <v>179.59</v>
      </c>
      <c r="F16" s="469">
        <v>168.754</v>
      </c>
      <c r="G16" s="469">
        <v>176.006</v>
      </c>
      <c r="H16" s="469">
        <v>183.811</v>
      </c>
      <c r="I16" s="469">
        <v>196.618</v>
      </c>
      <c r="J16" s="469">
        <v>229.364</v>
      </c>
      <c r="K16" s="469">
        <v>238.966</v>
      </c>
      <c r="L16" s="469">
        <v>237.592</v>
      </c>
      <c r="M16" s="469">
        <v>200.017</v>
      </c>
      <c r="N16" s="484">
        <v>231.593</v>
      </c>
      <c r="O16" s="469">
        <f>185.122</f>
        <v>185.122</v>
      </c>
      <c r="P16" s="469">
        <v>169.644</v>
      </c>
      <c r="Q16" s="469">
        <v>147.915</v>
      </c>
      <c r="R16" s="469">
        <v>153.324</v>
      </c>
      <c r="S16" s="469">
        <v>153.242</v>
      </c>
      <c r="T16" s="469">
        <v>163.335</v>
      </c>
      <c r="U16" s="505">
        <v>162.808</v>
      </c>
      <c r="V16" s="899">
        <f t="shared" si="1"/>
        <v>-0.322649768879927</v>
      </c>
      <c r="W16" s="51" t="s">
        <v>65</v>
      </c>
    </row>
    <row r="17" spans="1:23" ht="12.75" customHeight="1">
      <c r="A17" s="8"/>
      <c r="B17" s="10" t="s">
        <v>76</v>
      </c>
      <c r="C17" s="476"/>
      <c r="D17" s="474"/>
      <c r="E17" s="474"/>
      <c r="F17" s="474">
        <v>4.483</v>
      </c>
      <c r="G17" s="474">
        <v>6.875</v>
      </c>
      <c r="H17" s="474">
        <v>6.662</v>
      </c>
      <c r="I17" s="474">
        <v>6.722</v>
      </c>
      <c r="J17" s="474">
        <v>7.775</v>
      </c>
      <c r="K17" s="474">
        <v>8.974</v>
      </c>
      <c r="L17" s="474">
        <v>8.811</v>
      </c>
      <c r="M17" s="474">
        <v>4.717</v>
      </c>
      <c r="N17" s="474">
        <v>2.851</v>
      </c>
      <c r="O17" s="474">
        <v>2.726</v>
      </c>
      <c r="P17" s="474">
        <v>2.397</v>
      </c>
      <c r="Q17" s="474">
        <v>2.028</v>
      </c>
      <c r="R17" s="474">
        <v>1.51</v>
      </c>
      <c r="S17" s="474">
        <v>1.511</v>
      </c>
      <c r="T17" s="474">
        <v>1.811</v>
      </c>
      <c r="U17" s="479">
        <v>2.216</v>
      </c>
      <c r="V17" s="904">
        <f t="shared" si="1"/>
        <v>22.363335173937074</v>
      </c>
      <c r="W17" s="10" t="s">
        <v>76</v>
      </c>
    </row>
    <row r="18" spans="1:23" ht="12.75" customHeight="1">
      <c r="A18" s="8"/>
      <c r="B18" s="156" t="s">
        <v>67</v>
      </c>
      <c r="C18" s="483"/>
      <c r="D18" s="484">
        <v>524.619</v>
      </c>
      <c r="E18" s="484">
        <v>420.355</v>
      </c>
      <c r="F18" s="484">
        <v>392.763</v>
      </c>
      <c r="G18" s="484">
        <v>408.617</v>
      </c>
      <c r="H18" s="484">
        <v>421.489</v>
      </c>
      <c r="I18" s="484">
        <v>420.478</v>
      </c>
      <c r="J18" s="484">
        <v>444.987</v>
      </c>
      <c r="K18" s="484">
        <v>435.959</v>
      </c>
      <c r="L18" s="484">
        <v>408.249</v>
      </c>
      <c r="M18" s="484">
        <v>445.621</v>
      </c>
      <c r="N18" s="484">
        <v>306.307</v>
      </c>
      <c r="O18" s="484">
        <f>254.906</f>
        <v>254.906</v>
      </c>
      <c r="P18" s="484">
        <f>206.303</f>
        <v>206.303</v>
      </c>
      <c r="Q18" s="484">
        <v>154.1</v>
      </c>
      <c r="R18" s="484">
        <v>156.539</v>
      </c>
      <c r="S18" s="484">
        <v>172.066</v>
      </c>
      <c r="T18" s="484">
        <v>195.405</v>
      </c>
      <c r="U18" s="516">
        <v>204.579</v>
      </c>
      <c r="V18" s="899">
        <f t="shared" si="1"/>
        <v>4.694864512167058</v>
      </c>
      <c r="W18" s="156" t="s">
        <v>67</v>
      </c>
    </row>
    <row r="19" spans="1:23" ht="12.75" customHeight="1">
      <c r="A19" s="8"/>
      <c r="B19" s="10" t="s">
        <v>46</v>
      </c>
      <c r="C19" s="476" t="s">
        <v>82</v>
      </c>
      <c r="D19" s="474"/>
      <c r="E19" s="474">
        <v>2.834</v>
      </c>
      <c r="F19" s="474">
        <v>2.145</v>
      </c>
      <c r="G19" s="474">
        <v>1.824</v>
      </c>
      <c r="H19" s="474">
        <v>2.273</v>
      </c>
      <c r="I19" s="474">
        <v>2.455</v>
      </c>
      <c r="J19" s="474">
        <v>2.925</v>
      </c>
      <c r="K19" s="474">
        <v>3.71</v>
      </c>
      <c r="L19" s="474">
        <v>4.459</v>
      </c>
      <c r="M19" s="474">
        <v>3.14</v>
      </c>
      <c r="N19" s="474">
        <v>3.06</v>
      </c>
      <c r="O19" s="474">
        <f>2.527</f>
        <v>2.527</v>
      </c>
      <c r="P19" s="474">
        <v>2.074</v>
      </c>
      <c r="Q19" s="474">
        <v>1.675</v>
      </c>
      <c r="R19" s="474">
        <v>1.901</v>
      </c>
      <c r="S19" s="474">
        <v>1.673</v>
      </c>
      <c r="T19" s="474">
        <v>1.996</v>
      </c>
      <c r="U19" s="479">
        <v>2.023</v>
      </c>
      <c r="V19" s="904">
        <f t="shared" si="1"/>
        <v>1.3527054108216419</v>
      </c>
      <c r="W19" s="10" t="s">
        <v>46</v>
      </c>
    </row>
    <row r="20" spans="1:23" ht="12.75" customHeight="1">
      <c r="A20" s="8"/>
      <c r="B20" s="156" t="s">
        <v>50</v>
      </c>
      <c r="C20" s="483" t="s">
        <v>82</v>
      </c>
      <c r="D20" s="484" t="s">
        <v>82</v>
      </c>
      <c r="E20" s="484" t="s">
        <v>82</v>
      </c>
      <c r="F20" s="484">
        <v>0.216</v>
      </c>
      <c r="G20" s="484">
        <v>0.221</v>
      </c>
      <c r="H20" s="484">
        <v>0.373</v>
      </c>
      <c r="I20" s="484">
        <v>0.4</v>
      </c>
      <c r="J20" s="484">
        <v>0.773</v>
      </c>
      <c r="K20" s="484">
        <v>1.53</v>
      </c>
      <c r="L20" s="484">
        <v>1.568</v>
      </c>
      <c r="M20" s="484">
        <v>0.348</v>
      </c>
      <c r="N20" s="484">
        <v>0.278</v>
      </c>
      <c r="O20" s="484">
        <f>0.472</f>
        <v>0.472</v>
      </c>
      <c r="P20" s="484">
        <v>0.494</v>
      </c>
      <c r="Q20" s="484">
        <v>0.477</v>
      </c>
      <c r="R20" s="484">
        <v>0.589</v>
      </c>
      <c r="S20" s="484">
        <v>0.595</v>
      </c>
      <c r="T20" s="484">
        <v>0.642</v>
      </c>
      <c r="U20" s="516">
        <v>0.624</v>
      </c>
      <c r="V20" s="899">
        <f t="shared" si="1"/>
        <v>-2.803738317757009</v>
      </c>
      <c r="W20" s="156" t="s">
        <v>50</v>
      </c>
    </row>
    <row r="21" spans="1:23" ht="12.75" customHeight="1">
      <c r="A21" s="8"/>
      <c r="B21" s="10" t="s">
        <v>51</v>
      </c>
      <c r="C21" s="476" t="s">
        <v>82</v>
      </c>
      <c r="D21" s="474">
        <v>0.377</v>
      </c>
      <c r="E21" s="474">
        <v>0.516</v>
      </c>
      <c r="F21" s="474">
        <v>0.793</v>
      </c>
      <c r="G21" s="474">
        <v>0.858</v>
      </c>
      <c r="H21" s="474">
        <v>1.101</v>
      </c>
      <c r="I21" s="474">
        <v>1.653</v>
      </c>
      <c r="J21" s="474">
        <v>2.457</v>
      </c>
      <c r="K21" s="474">
        <v>4.42</v>
      </c>
      <c r="L21" s="474">
        <v>5.622</v>
      </c>
      <c r="M21" s="474">
        <v>3.89</v>
      </c>
      <c r="N21" s="478">
        <f>0.229</f>
        <v>0.229</v>
      </c>
      <c r="O21" s="474">
        <v>0.28</v>
      </c>
      <c r="P21" s="474">
        <v>0.224</v>
      </c>
      <c r="Q21" s="474">
        <v>0.241</v>
      </c>
      <c r="R21" s="474">
        <v>0.294</v>
      </c>
      <c r="S21" s="474">
        <v>0.294</v>
      </c>
      <c r="T21" s="474">
        <v>0.39</v>
      </c>
      <c r="U21" s="479">
        <v>0.367</v>
      </c>
      <c r="V21" s="904">
        <f t="shared" si="1"/>
        <v>-5.897435897435898</v>
      </c>
      <c r="W21" s="10" t="s">
        <v>51</v>
      </c>
    </row>
    <row r="22" spans="1:23" ht="12.75" customHeight="1">
      <c r="A22" s="8"/>
      <c r="B22" s="156" t="s">
        <v>68</v>
      </c>
      <c r="C22" s="483">
        <v>0.985</v>
      </c>
      <c r="D22" s="484">
        <v>1.26</v>
      </c>
      <c r="E22" s="484">
        <v>1.139</v>
      </c>
      <c r="F22" s="484">
        <v>1.324</v>
      </c>
      <c r="G22" s="484">
        <v>1.437</v>
      </c>
      <c r="H22" s="484">
        <v>1.354</v>
      </c>
      <c r="I22" s="484">
        <v>1.265</v>
      </c>
      <c r="J22" s="484">
        <v>1.378</v>
      </c>
      <c r="K22" s="484">
        <v>1.417</v>
      </c>
      <c r="L22" s="484">
        <v>1.353</v>
      </c>
      <c r="M22" s="484">
        <v>1.553</v>
      </c>
      <c r="N22" s="484">
        <v>1.562</v>
      </c>
      <c r="O22" s="484">
        <f>1.306</f>
        <v>1.306</v>
      </c>
      <c r="P22" s="484">
        <v>1.201</v>
      </c>
      <c r="Q22" s="484">
        <v>1.566</v>
      </c>
      <c r="R22" s="484">
        <v>1.734</v>
      </c>
      <c r="S22" s="484">
        <v>1.654</v>
      </c>
      <c r="T22" s="484">
        <v>1.783</v>
      </c>
      <c r="U22" s="516">
        <v>1.838</v>
      </c>
      <c r="V22" s="899">
        <f t="shared" si="1"/>
        <v>3.0846887268648544</v>
      </c>
      <c r="W22" s="156" t="s">
        <v>68</v>
      </c>
    </row>
    <row r="23" spans="1:23" ht="12.75" customHeight="1">
      <c r="A23" s="8"/>
      <c r="B23" s="10" t="s">
        <v>49</v>
      </c>
      <c r="C23" s="476" t="s">
        <v>82</v>
      </c>
      <c r="D23" s="474" t="s">
        <v>82</v>
      </c>
      <c r="E23" s="474" t="s">
        <v>82</v>
      </c>
      <c r="F23" s="474">
        <v>7.438</v>
      </c>
      <c r="G23" s="474">
        <v>8.875</v>
      </c>
      <c r="H23" s="474">
        <v>16.152</v>
      </c>
      <c r="I23" s="474">
        <v>12.538</v>
      </c>
      <c r="J23" s="474">
        <v>12.048</v>
      </c>
      <c r="K23" s="474">
        <v>12.781</v>
      </c>
      <c r="L23" s="474">
        <v>12.285</v>
      </c>
      <c r="M23" s="474">
        <v>4.027</v>
      </c>
      <c r="N23" s="474">
        <v>3.211</v>
      </c>
      <c r="O23" s="474">
        <f>2.091</f>
        <v>2.091</v>
      </c>
      <c r="P23" s="474">
        <f>1.957</f>
        <v>1.957</v>
      </c>
      <c r="Q23" s="474">
        <v>1.989</v>
      </c>
      <c r="R23" s="474">
        <v>1.886</v>
      </c>
      <c r="S23" s="474">
        <v>2.093</v>
      </c>
      <c r="T23" s="474">
        <v>2.204</v>
      </c>
      <c r="U23" s="479">
        <v>2.274</v>
      </c>
      <c r="V23" s="904">
        <f t="shared" si="1"/>
        <v>3.176043557168782</v>
      </c>
      <c r="W23" s="10" t="s">
        <v>49</v>
      </c>
    </row>
    <row r="24" spans="1:23" ht="12.75" customHeight="1">
      <c r="A24" s="8"/>
      <c r="B24" s="156" t="s">
        <v>52</v>
      </c>
      <c r="C24" s="483" t="s">
        <v>82</v>
      </c>
      <c r="D24" s="484"/>
      <c r="E24" s="484"/>
      <c r="F24" s="484">
        <v>0.551</v>
      </c>
      <c r="G24" s="484">
        <v>0.508</v>
      </c>
      <c r="H24" s="484">
        <v>0.473</v>
      </c>
      <c r="I24" s="484">
        <v>0.408</v>
      </c>
      <c r="J24" s="484">
        <v>0.544</v>
      </c>
      <c r="K24" s="484">
        <v>0.532</v>
      </c>
      <c r="L24" s="484">
        <v>0.699</v>
      </c>
      <c r="M24" s="484">
        <v>0.608</v>
      </c>
      <c r="N24" s="484">
        <v>0.568</v>
      </c>
      <c r="O24" s="484">
        <f>0.746</f>
        <v>0.746</v>
      </c>
      <c r="P24" s="484">
        <v>0.812</v>
      </c>
      <c r="Q24" s="484">
        <v>0.873</v>
      </c>
      <c r="R24" s="484">
        <v>1.099</v>
      </c>
      <c r="S24" s="484">
        <v>1.297</v>
      </c>
      <c r="T24" s="484">
        <v>2.47</v>
      </c>
      <c r="U24" s="516">
        <v>2.216</v>
      </c>
      <c r="V24" s="899">
        <f t="shared" si="1"/>
        <v>-10.283400809716596</v>
      </c>
      <c r="W24" s="156" t="s">
        <v>52</v>
      </c>
    </row>
    <row r="25" spans="1:23" ht="12.75" customHeight="1">
      <c r="A25" s="8"/>
      <c r="B25" s="10" t="s">
        <v>60</v>
      </c>
      <c r="C25" s="476">
        <v>17.799</v>
      </c>
      <c r="D25" s="474">
        <v>19.626</v>
      </c>
      <c r="E25" s="474">
        <v>17.562</v>
      </c>
      <c r="F25" s="474">
        <v>16.845</v>
      </c>
      <c r="G25" s="474">
        <v>16.737</v>
      </c>
      <c r="H25" s="474">
        <v>17.566</v>
      </c>
      <c r="I25" s="474">
        <v>16.814</v>
      </c>
      <c r="J25" s="474">
        <v>14.79</v>
      </c>
      <c r="K25" s="474">
        <v>16.237</v>
      </c>
      <c r="L25" s="474">
        <v>16.961</v>
      </c>
      <c r="M25" s="474">
        <v>18.278</v>
      </c>
      <c r="N25" s="474">
        <v>15.24</v>
      </c>
      <c r="O25" s="474">
        <f>11.662</f>
        <v>11.662</v>
      </c>
      <c r="P25" s="474">
        <f>10.617</f>
        <v>10.617</v>
      </c>
      <c r="Q25" s="474">
        <v>9.57</v>
      </c>
      <c r="R25" s="474">
        <v>10.667</v>
      </c>
      <c r="S25" s="474">
        <v>11.673</v>
      </c>
      <c r="T25" s="474">
        <v>12.855</v>
      </c>
      <c r="U25" s="479">
        <v>13.057</v>
      </c>
      <c r="V25" s="904">
        <f t="shared" si="1"/>
        <v>1.5713730066122054</v>
      </c>
      <c r="W25" s="10" t="s">
        <v>60</v>
      </c>
    </row>
    <row r="26" spans="1:23" ht="12.75" customHeight="1">
      <c r="A26" s="8"/>
      <c r="B26" s="156" t="s">
        <v>69</v>
      </c>
      <c r="C26" s="483">
        <v>18.704</v>
      </c>
      <c r="D26" s="484">
        <v>23.775</v>
      </c>
      <c r="E26" s="484">
        <v>19.952</v>
      </c>
      <c r="F26" s="484">
        <v>16.687</v>
      </c>
      <c r="G26" s="484">
        <v>17.93</v>
      </c>
      <c r="H26" s="484">
        <v>18.748</v>
      </c>
      <c r="I26" s="484">
        <v>19.094</v>
      </c>
      <c r="J26" s="484">
        <v>18.873</v>
      </c>
      <c r="K26" s="484">
        <v>23.748</v>
      </c>
      <c r="L26" s="484">
        <v>24.48</v>
      </c>
      <c r="M26" s="484">
        <v>23.712</v>
      </c>
      <c r="N26" s="484">
        <v>21.44</v>
      </c>
      <c r="O26" s="484">
        <f>22.75</f>
        <v>22.75</v>
      </c>
      <c r="P26" s="484">
        <f>24.808</f>
        <v>24.808</v>
      </c>
      <c r="Q26" s="484">
        <v>25.996</v>
      </c>
      <c r="R26" s="484">
        <v>25.155</v>
      </c>
      <c r="S26" s="484">
        <v>24.891</v>
      </c>
      <c r="T26" s="484">
        <v>29.763</v>
      </c>
      <c r="U26" s="516">
        <v>24.893</v>
      </c>
      <c r="V26" s="899">
        <f t="shared" si="1"/>
        <v>-16.362597856398892</v>
      </c>
      <c r="W26" s="156" t="s">
        <v>69</v>
      </c>
    </row>
    <row r="27" spans="1:23" ht="12.75" customHeight="1">
      <c r="A27" s="8"/>
      <c r="B27" s="10" t="s">
        <v>53</v>
      </c>
      <c r="C27" s="476" t="s">
        <v>82</v>
      </c>
      <c r="D27" s="474" t="s">
        <v>82</v>
      </c>
      <c r="E27" s="474" t="s">
        <v>82</v>
      </c>
      <c r="F27" s="474"/>
      <c r="G27" s="474">
        <v>1.3</v>
      </c>
      <c r="H27" s="474">
        <v>1.95</v>
      </c>
      <c r="I27" s="474">
        <v>3.841</v>
      </c>
      <c r="J27" s="474">
        <v>5.115</v>
      </c>
      <c r="K27" s="474">
        <v>7.574</v>
      </c>
      <c r="L27" s="474">
        <v>10.696</v>
      </c>
      <c r="M27" s="474">
        <v>9.43</v>
      </c>
      <c r="N27" s="474">
        <v>8.724</v>
      </c>
      <c r="O27" s="474">
        <f>8.957</f>
        <v>8.957</v>
      </c>
      <c r="P27" s="474">
        <f>7.758</f>
        <v>7.758</v>
      </c>
      <c r="Q27" s="474">
        <v>7.394</v>
      </c>
      <c r="R27" s="474">
        <v>9.848</v>
      </c>
      <c r="S27" s="474">
        <v>23.865</v>
      </c>
      <c r="T27" s="474">
        <v>25.823</v>
      </c>
      <c r="U27" s="479">
        <v>15.025</v>
      </c>
      <c r="V27" s="904">
        <f t="shared" si="1"/>
        <v>-41.815435851760064</v>
      </c>
      <c r="W27" s="10" t="s">
        <v>53</v>
      </c>
    </row>
    <row r="28" spans="1:23" ht="12.75" customHeight="1">
      <c r="A28" s="8"/>
      <c r="B28" s="156" t="s">
        <v>70</v>
      </c>
      <c r="C28" s="483">
        <v>12.059</v>
      </c>
      <c r="D28" s="484">
        <v>17.716</v>
      </c>
      <c r="E28" s="484">
        <v>17.087</v>
      </c>
      <c r="F28" s="484">
        <v>14.218</v>
      </c>
      <c r="G28" s="484">
        <v>11.198</v>
      </c>
      <c r="H28" s="484">
        <v>11.562</v>
      </c>
      <c r="I28" s="484">
        <v>11.232</v>
      </c>
      <c r="J28" s="484">
        <v>11.435</v>
      </c>
      <c r="K28" s="484">
        <v>11.991</v>
      </c>
      <c r="L28" s="484">
        <v>10.762</v>
      </c>
      <c r="M28" s="484">
        <v>13.475</v>
      </c>
      <c r="N28" s="484">
        <v>18.896</v>
      </c>
      <c r="O28" s="484">
        <f>18.937</f>
        <v>18.937</v>
      </c>
      <c r="P28" s="484">
        <v>17.18</v>
      </c>
      <c r="Q28" s="484">
        <v>14.594</v>
      </c>
      <c r="R28" s="484">
        <v>15.424</v>
      </c>
      <c r="S28" s="484">
        <v>17.611</v>
      </c>
      <c r="T28" s="484">
        <v>19.76</v>
      </c>
      <c r="U28" s="516">
        <v>24.809</v>
      </c>
      <c r="V28" s="899">
        <f t="shared" si="1"/>
        <v>25.55161943319837</v>
      </c>
      <c r="W28" s="156" t="s">
        <v>70</v>
      </c>
    </row>
    <row r="29" spans="1:23" ht="12.75" customHeight="1">
      <c r="A29" s="8"/>
      <c r="B29" s="10" t="s">
        <v>54</v>
      </c>
      <c r="C29" s="476"/>
      <c r="D29" s="474"/>
      <c r="E29" s="474"/>
      <c r="F29" s="474"/>
      <c r="G29" s="474">
        <v>0.616</v>
      </c>
      <c r="H29" s="474">
        <v>0.833</v>
      </c>
      <c r="I29" s="474">
        <v>0.828</v>
      </c>
      <c r="J29" s="474">
        <v>5.083</v>
      </c>
      <c r="K29" s="474">
        <v>4.779</v>
      </c>
      <c r="L29" s="474">
        <v>6.961</v>
      </c>
      <c r="M29" s="474">
        <v>8.64</v>
      </c>
      <c r="N29" s="478">
        <v>0.558</v>
      </c>
      <c r="O29" s="474">
        <v>0.469</v>
      </c>
      <c r="P29" s="474">
        <v>0.555</v>
      </c>
      <c r="Q29" s="474">
        <v>0.521</v>
      </c>
      <c r="R29" s="474">
        <v>0.593</v>
      </c>
      <c r="S29" s="474">
        <v>0.648</v>
      </c>
      <c r="T29" s="474">
        <v>0.952</v>
      </c>
      <c r="U29" s="479">
        <v>1.115</v>
      </c>
      <c r="V29" s="904">
        <f t="shared" si="1"/>
        <v>17.121848739495803</v>
      </c>
      <c r="W29" s="10" t="s">
        <v>54</v>
      </c>
    </row>
    <row r="30" spans="1:23" ht="12.75" customHeight="1">
      <c r="A30" s="8"/>
      <c r="B30" s="156" t="s">
        <v>56</v>
      </c>
      <c r="C30" s="483" t="s">
        <v>82</v>
      </c>
      <c r="D30" s="484">
        <v>1.23</v>
      </c>
      <c r="E30" s="484">
        <v>0.965</v>
      </c>
      <c r="F30" s="484">
        <v>1.159</v>
      </c>
      <c r="G30" s="484">
        <v>1.466</v>
      </c>
      <c r="H30" s="484">
        <v>2.072</v>
      </c>
      <c r="I30" s="484">
        <v>2.535</v>
      </c>
      <c r="J30" s="484">
        <v>3.598</v>
      </c>
      <c r="K30" s="484">
        <v>5.061</v>
      </c>
      <c r="L30" s="484">
        <v>5.296</v>
      </c>
      <c r="M30" s="484">
        <v>3.795</v>
      </c>
      <c r="N30" s="484">
        <f>2.658</f>
        <v>2.658</v>
      </c>
      <c r="O30" s="484">
        <v>2.139</v>
      </c>
      <c r="P30" s="484">
        <v>2.042</v>
      </c>
      <c r="Q30" s="484">
        <v>2.38</v>
      </c>
      <c r="R30" s="484">
        <v>1.707</v>
      </c>
      <c r="S30" s="484">
        <v>1.855</v>
      </c>
      <c r="T30" s="484">
        <v>2.074</v>
      </c>
      <c r="U30" s="516">
        <v>2.269</v>
      </c>
      <c r="V30" s="899">
        <f t="shared" si="1"/>
        <v>9.402121504339462</v>
      </c>
      <c r="W30" s="156" t="s">
        <v>56</v>
      </c>
    </row>
    <row r="31" spans="1:23" ht="12.75" customHeight="1">
      <c r="A31" s="8"/>
      <c r="B31" s="10" t="s">
        <v>55</v>
      </c>
      <c r="C31" s="476" t="s">
        <v>82</v>
      </c>
      <c r="D31" s="474" t="s">
        <v>82</v>
      </c>
      <c r="E31" s="474" t="s">
        <v>82</v>
      </c>
      <c r="F31" s="474"/>
      <c r="G31" s="474"/>
      <c r="H31" s="474">
        <v>1.165</v>
      </c>
      <c r="I31" s="474">
        <v>1.165</v>
      </c>
      <c r="J31" s="474">
        <v>2.122</v>
      </c>
      <c r="K31" s="474">
        <v>3.144</v>
      </c>
      <c r="L31" s="474">
        <v>3.139</v>
      </c>
      <c r="M31" s="474">
        <v>2.331</v>
      </c>
      <c r="N31" s="474">
        <f>2.324</f>
        <v>2.324</v>
      </c>
      <c r="O31" s="474">
        <f>1.96</f>
        <v>1.96</v>
      </c>
      <c r="P31" s="474">
        <f>1.92</f>
        <v>1.92</v>
      </c>
      <c r="Q31" s="474">
        <v>2.84</v>
      </c>
      <c r="R31" s="486">
        <f>Q31*80791/74101</f>
        <v>3.0964013980917935</v>
      </c>
      <c r="S31" s="474">
        <v>5.309</v>
      </c>
      <c r="T31" s="474">
        <v>5.565</v>
      </c>
      <c r="U31" s="479">
        <v>4.923</v>
      </c>
      <c r="V31" s="904">
        <f t="shared" si="1"/>
        <v>-11.536388140161733</v>
      </c>
      <c r="W31" s="10" t="s">
        <v>55</v>
      </c>
    </row>
    <row r="32" spans="1:23" ht="12.75" customHeight="1">
      <c r="A32" s="8"/>
      <c r="B32" s="156" t="s">
        <v>71</v>
      </c>
      <c r="C32" s="483"/>
      <c r="D32" s="484">
        <v>5.167</v>
      </c>
      <c r="E32" s="484">
        <v>4.408</v>
      </c>
      <c r="F32" s="484">
        <v>4.92</v>
      </c>
      <c r="G32" s="484">
        <v>6.264</v>
      </c>
      <c r="H32" s="484">
        <v>7.835</v>
      </c>
      <c r="I32" s="484">
        <v>9.228</v>
      </c>
      <c r="J32" s="484">
        <v>11.058</v>
      </c>
      <c r="K32" s="484">
        <v>11.533</v>
      </c>
      <c r="L32" s="484">
        <v>9.065</v>
      </c>
      <c r="M32" s="484">
        <v>8.842</v>
      </c>
      <c r="N32" s="484">
        <f>9.478</f>
        <v>9.478</v>
      </c>
      <c r="O32" s="484">
        <f>5.677</f>
        <v>5.677</v>
      </c>
      <c r="P32" s="484">
        <f>4.986</f>
        <v>4.986</v>
      </c>
      <c r="Q32" s="484">
        <v>3.943</v>
      </c>
      <c r="R32" s="484">
        <v>3.467</v>
      </c>
      <c r="S32" s="484">
        <v>3.157</v>
      </c>
      <c r="T32" s="484">
        <v>3.022</v>
      </c>
      <c r="U32" s="516">
        <v>2.829</v>
      </c>
      <c r="V32" s="899">
        <f t="shared" si="1"/>
        <v>-6.386499007279937</v>
      </c>
      <c r="W32" s="156" t="s">
        <v>71</v>
      </c>
    </row>
    <row r="33" spans="1:23" ht="12.75" customHeight="1">
      <c r="A33" s="8"/>
      <c r="B33" s="10" t="s">
        <v>72</v>
      </c>
      <c r="C33" s="476"/>
      <c r="D33" s="474">
        <v>18.401</v>
      </c>
      <c r="E33" s="474">
        <v>21.074</v>
      </c>
      <c r="F33" s="474">
        <v>23.052</v>
      </c>
      <c r="G33" s="474">
        <v>23.66</v>
      </c>
      <c r="H33" s="474">
        <v>25.3</v>
      </c>
      <c r="I33" s="474">
        <v>22.763</v>
      </c>
      <c r="J33" s="474">
        <v>27.051</v>
      </c>
      <c r="K33" s="474">
        <v>30.715</v>
      </c>
      <c r="L33" s="474">
        <v>20.423</v>
      </c>
      <c r="M33" s="474">
        <v>11.839</v>
      </c>
      <c r="N33" s="474">
        <f>13.152</f>
        <v>13.152</v>
      </c>
      <c r="O33" s="474">
        <f>8.216</f>
        <v>8.216</v>
      </c>
      <c r="P33" s="474">
        <f>7.605</f>
        <v>7.605</v>
      </c>
      <c r="Q33" s="474">
        <v>7.8</v>
      </c>
      <c r="R33" s="474">
        <v>8.378</v>
      </c>
      <c r="S33" s="474">
        <v>9.422</v>
      </c>
      <c r="T33" s="474">
        <v>13.22</v>
      </c>
      <c r="U33" s="479">
        <v>9.716</v>
      </c>
      <c r="V33" s="904">
        <f t="shared" si="1"/>
        <v>-26.5052950075643</v>
      </c>
      <c r="W33" s="10" t="s">
        <v>72</v>
      </c>
    </row>
    <row r="34" spans="1:23" ht="12.75" customHeight="1">
      <c r="A34" s="8"/>
      <c r="B34" s="157" t="s">
        <v>61</v>
      </c>
      <c r="C34" s="491"/>
      <c r="D34" s="492">
        <v>121.908</v>
      </c>
      <c r="E34" s="492">
        <v>123.866</v>
      </c>
      <c r="F34" s="492">
        <v>123.391</v>
      </c>
      <c r="G34" s="492">
        <v>119.348</v>
      </c>
      <c r="H34" s="492">
        <v>106.391</v>
      </c>
      <c r="I34" s="492">
        <v>108.058</v>
      </c>
      <c r="J34" s="492">
        <v>109.527</v>
      </c>
      <c r="K34" s="492">
        <v>119.863</v>
      </c>
      <c r="L34" s="492">
        <v>114.474</v>
      </c>
      <c r="M34" s="492">
        <v>95.231</v>
      </c>
      <c r="N34" s="492">
        <f>81.305</f>
        <v>81.305</v>
      </c>
      <c r="O34" s="492">
        <v>79.145</v>
      </c>
      <c r="P34" s="492">
        <f>80.029</f>
        <v>80.029</v>
      </c>
      <c r="Q34" s="492">
        <v>80.951</v>
      </c>
      <c r="R34" s="492">
        <v>91.492</v>
      </c>
      <c r="S34" s="492">
        <v>105.717</v>
      </c>
      <c r="T34" s="492">
        <v>119.889</v>
      </c>
      <c r="U34" s="518">
        <v>97.713</v>
      </c>
      <c r="V34" s="891">
        <f t="shared" si="1"/>
        <v>-18.497109826589593</v>
      </c>
      <c r="W34" s="157" t="s">
        <v>61</v>
      </c>
    </row>
    <row r="35" spans="1:23" ht="12.75" customHeight="1">
      <c r="A35" s="8"/>
      <c r="B35" s="401" t="s">
        <v>252</v>
      </c>
      <c r="C35" s="495"/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861"/>
      <c r="V35" s="904"/>
      <c r="W35" s="401" t="s">
        <v>252</v>
      </c>
    </row>
    <row r="36" spans="1:23" ht="12.75" customHeight="1">
      <c r="A36" s="8"/>
      <c r="B36" s="156" t="s">
        <v>240</v>
      </c>
      <c r="C36" s="483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>
        <v>0.771</v>
      </c>
      <c r="P36" s="484">
        <v>0.787</v>
      </c>
      <c r="Q36" s="484">
        <f>0.06+0.265+0.185+0.052</f>
        <v>0.562</v>
      </c>
      <c r="R36" s="484">
        <f>0.562</f>
        <v>0.562</v>
      </c>
      <c r="S36" s="484">
        <v>0.714</v>
      </c>
      <c r="T36" s="484">
        <f>(65+235+323+41)/1000</f>
        <v>0.664</v>
      </c>
      <c r="U36" s="516">
        <v>0.878</v>
      </c>
      <c r="V36" s="899">
        <f t="shared" si="1"/>
        <v>32.22891566265059</v>
      </c>
      <c r="W36" s="156" t="s">
        <v>240</v>
      </c>
    </row>
    <row r="37" spans="1:23" s="398" customFormat="1" ht="12.75" customHeight="1">
      <c r="A37" s="8"/>
      <c r="B37" s="402" t="s">
        <v>1</v>
      </c>
      <c r="C37" s="474">
        <v>1.017</v>
      </c>
      <c r="D37" s="474">
        <v>0.469</v>
      </c>
      <c r="E37" s="474">
        <v>0.297</v>
      </c>
      <c r="F37" s="474"/>
      <c r="G37" s="474"/>
      <c r="H37" s="474"/>
      <c r="I37" s="474">
        <v>0.079</v>
      </c>
      <c r="J37" s="474">
        <v>2.447</v>
      </c>
      <c r="K37" s="478">
        <v>3.176</v>
      </c>
      <c r="L37" s="477">
        <v>6.429</v>
      </c>
      <c r="M37" s="474">
        <v>4.762</v>
      </c>
      <c r="N37" s="474">
        <v>3.15</v>
      </c>
      <c r="O37" s="474">
        <v>3.633</v>
      </c>
      <c r="P37" s="474">
        <v>3.393</v>
      </c>
      <c r="Q37" s="474">
        <v>2.786</v>
      </c>
      <c r="R37" s="474">
        <v>2.554</v>
      </c>
      <c r="S37" s="474">
        <v>2.391</v>
      </c>
      <c r="T37" s="474">
        <v>3.516</v>
      </c>
      <c r="U37" s="479">
        <v>5.658</v>
      </c>
      <c r="V37" s="904">
        <f t="shared" si="1"/>
        <v>60.92150170648466</v>
      </c>
      <c r="W37" s="402" t="s">
        <v>1</v>
      </c>
    </row>
    <row r="38" spans="1:23" ht="12.75" customHeight="1">
      <c r="A38" s="8"/>
      <c r="B38" s="156" t="s">
        <v>239</v>
      </c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>
        <v>8.007</v>
      </c>
      <c r="O38" s="484">
        <v>4.779</v>
      </c>
      <c r="P38" s="484">
        <v>5.109</v>
      </c>
      <c r="Q38" s="484">
        <v>4.883</v>
      </c>
      <c r="R38" s="484">
        <f>0.381+0.997+0.939+1.777</f>
        <v>4.094</v>
      </c>
      <c r="S38" s="484">
        <v>3.933</v>
      </c>
      <c r="T38" s="484">
        <v>2.681</v>
      </c>
      <c r="U38" s="516">
        <v>3.134</v>
      </c>
      <c r="V38" s="899">
        <f t="shared" si="1"/>
        <v>16.896680343155523</v>
      </c>
      <c r="W38" s="156" t="s">
        <v>239</v>
      </c>
    </row>
    <row r="39" spans="1:23" ht="12.75" customHeight="1">
      <c r="A39" s="8"/>
      <c r="B39" s="403" t="s">
        <v>57</v>
      </c>
      <c r="C39" s="496"/>
      <c r="D39" s="497"/>
      <c r="E39" s="497"/>
      <c r="F39" s="497">
        <v>12.86</v>
      </c>
      <c r="G39" s="497">
        <v>21.521</v>
      </c>
      <c r="H39" s="497">
        <v>92.187</v>
      </c>
      <c r="I39" s="497">
        <v>227.657</v>
      </c>
      <c r="J39" s="497">
        <v>389.503</v>
      </c>
      <c r="K39" s="497">
        <v>191.81</v>
      </c>
      <c r="L39" s="497">
        <v>192.534</v>
      </c>
      <c r="M39" s="497">
        <v>141.663</v>
      </c>
      <c r="N39" s="497">
        <v>135.608</v>
      </c>
      <c r="O39" s="497">
        <v>199.083</v>
      </c>
      <c r="P39" s="497">
        <v>179.226</v>
      </c>
      <c r="Q39" s="497">
        <v>184.863</v>
      </c>
      <c r="R39" s="497">
        <v>178.199</v>
      </c>
      <c r="S39" s="497">
        <v>162.795</v>
      </c>
      <c r="T39" s="497">
        <v>140.206</v>
      </c>
      <c r="U39" s="520">
        <v>139.743</v>
      </c>
      <c r="V39" s="892">
        <f t="shared" si="1"/>
        <v>-0.330228378243433</v>
      </c>
      <c r="W39" s="403" t="s">
        <v>57</v>
      </c>
    </row>
    <row r="40" spans="1:23" ht="12.75" customHeight="1">
      <c r="A40" s="8"/>
      <c r="B40" s="156" t="s">
        <v>43</v>
      </c>
      <c r="C40" s="483"/>
      <c r="D40" s="484">
        <v>0.214</v>
      </c>
      <c r="E40" s="484">
        <v>0.197</v>
      </c>
      <c r="F40" s="484">
        <v>0.138</v>
      </c>
      <c r="G40" s="484">
        <v>0.225</v>
      </c>
      <c r="H40" s="484">
        <v>0.377</v>
      </c>
      <c r="I40" s="484">
        <v>1.08</v>
      </c>
      <c r="J40" s="484"/>
      <c r="K40" s="484"/>
      <c r="L40" s="484"/>
      <c r="M40" s="484"/>
      <c r="N40" s="484"/>
      <c r="O40" s="500"/>
      <c r="P40" s="500"/>
      <c r="Q40" s="484"/>
      <c r="R40" s="484"/>
      <c r="S40" s="484"/>
      <c r="T40" s="484"/>
      <c r="U40" s="516"/>
      <c r="V40" s="899"/>
      <c r="W40" s="156" t="s">
        <v>43</v>
      </c>
    </row>
    <row r="41" spans="1:23" ht="12.75" customHeight="1">
      <c r="A41" s="8"/>
      <c r="B41" s="402" t="s">
        <v>73</v>
      </c>
      <c r="C41" s="476"/>
      <c r="D41" s="474"/>
      <c r="E41" s="474"/>
      <c r="F41" s="474">
        <v>6.062</v>
      </c>
      <c r="G41" s="474">
        <v>5.494</v>
      </c>
      <c r="H41" s="474">
        <v>5.609</v>
      </c>
      <c r="I41" s="474">
        <v>6.217</v>
      </c>
      <c r="J41" s="474">
        <v>7.764</v>
      </c>
      <c r="K41" s="474">
        <v>9.591</v>
      </c>
      <c r="L41" s="474">
        <v>10.137</v>
      </c>
      <c r="M41" s="474">
        <v>7.616</v>
      </c>
      <c r="N41" s="474">
        <v>6.98</v>
      </c>
      <c r="O41" s="474">
        <v>6.548</v>
      </c>
      <c r="P41" s="474">
        <v>6.592</v>
      </c>
      <c r="Q41" s="474">
        <v>6.527</v>
      </c>
      <c r="R41" s="474">
        <v>6.777</v>
      </c>
      <c r="S41" s="474">
        <v>6.832</v>
      </c>
      <c r="T41" s="474">
        <v>8.934</v>
      </c>
      <c r="U41" s="479">
        <v>10.187</v>
      </c>
      <c r="V41" s="904">
        <f t="shared" si="1"/>
        <v>14.025072755764498</v>
      </c>
      <c r="W41" s="402" t="s">
        <v>73</v>
      </c>
    </row>
    <row r="42" spans="1:23" ht="12.75" customHeight="1">
      <c r="A42" s="8"/>
      <c r="B42" s="157" t="s">
        <v>44</v>
      </c>
      <c r="C42" s="491"/>
      <c r="D42" s="492">
        <v>30.585</v>
      </c>
      <c r="E42" s="492">
        <v>29.52</v>
      </c>
      <c r="F42" s="492">
        <v>27.491</v>
      </c>
      <c r="G42" s="492">
        <v>40.627</v>
      </c>
      <c r="H42" s="492">
        <v>42.522</v>
      </c>
      <c r="I42" s="492">
        <v>40.238</v>
      </c>
      <c r="J42" s="492">
        <v>40.666</v>
      </c>
      <c r="K42" s="492">
        <v>43.141</v>
      </c>
      <c r="L42" s="492">
        <v>43.779</v>
      </c>
      <c r="M42" s="492">
        <v>40.403</v>
      </c>
      <c r="N42" s="492">
        <v>38.236</v>
      </c>
      <c r="O42" s="492">
        <v>42.933</v>
      </c>
      <c r="P42" s="492">
        <v>44.545</v>
      </c>
      <c r="Q42" s="492">
        <v>42.804</v>
      </c>
      <c r="R42" s="492">
        <v>43.565</v>
      </c>
      <c r="S42" s="492">
        <v>47.661</v>
      </c>
      <c r="T42" s="492">
        <v>44.663</v>
      </c>
      <c r="U42" s="518">
        <v>44.376</v>
      </c>
      <c r="V42" s="891">
        <f t="shared" si="1"/>
        <v>-0.6425900633634143</v>
      </c>
      <c r="W42" s="157" t="s">
        <v>44</v>
      </c>
    </row>
    <row r="43" spans="1:21" ht="12.75" customHeight="1">
      <c r="A43" s="8"/>
      <c r="B43" s="1031" t="s">
        <v>258</v>
      </c>
      <c r="C43" s="1031"/>
      <c r="D43" s="1031"/>
      <c r="E43" s="1031"/>
      <c r="F43" s="1031"/>
      <c r="G43" s="1031"/>
      <c r="H43" s="1031"/>
      <c r="I43" s="1031"/>
      <c r="J43" s="1031"/>
      <c r="K43" s="1031"/>
      <c r="L43" s="1031"/>
      <c r="M43" s="1031"/>
      <c r="N43" s="1031"/>
      <c r="O43" s="1031"/>
      <c r="P43" s="1031"/>
      <c r="Q43" s="1031"/>
      <c r="R43" s="1031"/>
      <c r="S43" s="1031"/>
      <c r="T43" s="811"/>
      <c r="U43" s="867"/>
    </row>
    <row r="44" spans="1:21" ht="12.75" customHeight="1">
      <c r="A44" s="8"/>
      <c r="B44" s="1031"/>
      <c r="C44" s="1031"/>
      <c r="D44" s="1031"/>
      <c r="E44" s="1031"/>
      <c r="F44" s="1031"/>
      <c r="G44" s="1031"/>
      <c r="H44" s="1031"/>
      <c r="I44" s="1031"/>
      <c r="J44" s="1031"/>
      <c r="K44" s="1031"/>
      <c r="L44" s="1031"/>
      <c r="M44" s="1031"/>
      <c r="N44" s="1031"/>
      <c r="O44" s="1031"/>
      <c r="P44" s="1031"/>
      <c r="Q44" s="1031"/>
      <c r="R44" s="1031"/>
      <c r="S44" s="1031"/>
      <c r="T44" s="811"/>
      <c r="U44" s="867"/>
    </row>
    <row r="45" spans="1:16" ht="23.25" customHeight="1">
      <c r="A45" s="8"/>
      <c r="B45" s="14"/>
      <c r="C45" s="14"/>
      <c r="D45" s="14"/>
      <c r="E45" s="14"/>
      <c r="F45" s="14"/>
      <c r="G45" s="14"/>
      <c r="H45" s="14"/>
      <c r="I45" s="14"/>
      <c r="M45" s="569"/>
      <c r="N45" s="569"/>
      <c r="O45" s="569"/>
      <c r="P45" s="569"/>
    </row>
  </sheetData>
  <sheetProtection/>
  <mergeCells count="4">
    <mergeCell ref="B44:S44"/>
    <mergeCell ref="B43:S43"/>
    <mergeCell ref="B2:W2"/>
    <mergeCell ref="B3:W3"/>
  </mergeCells>
  <printOptions horizontalCentered="1"/>
  <pageMargins left="0.6692913385826772" right="0.6692913385826772" top="0.5118110236220472" bottom="0.2755905511811024" header="0" footer="0"/>
  <pageSetup fitToHeight="0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45"/>
  <sheetViews>
    <sheetView zoomScalePageLayoutView="0" workbookViewId="0" topLeftCell="A4">
      <selection activeCell="Z36" sqref="Z36"/>
    </sheetView>
  </sheetViews>
  <sheetFormatPr defaultColWidth="9.140625" defaultRowHeight="12.75"/>
  <cols>
    <col min="1" max="1" width="3.7109375" style="0" customWidth="1"/>
    <col min="2" max="2" width="8.421875" style="5" customWidth="1"/>
    <col min="3" max="3" width="8.7109375" style="5" hidden="1" customWidth="1"/>
    <col min="4" max="15" width="8.7109375" style="5" customWidth="1"/>
    <col min="16" max="18" width="10.00390625" style="204" customWidth="1"/>
    <col min="19" max="21" width="7.8515625" style="204" customWidth="1"/>
    <col min="22" max="22" width="6.7109375" style="5" customWidth="1"/>
  </cols>
  <sheetData>
    <row r="1" spans="2:22" ht="14.25" customHeight="1">
      <c r="B1" s="196"/>
      <c r="C1" s="196"/>
      <c r="D1" s="196"/>
      <c r="E1" s="196"/>
      <c r="F1" s="196"/>
      <c r="J1" s="16"/>
      <c r="K1" s="16"/>
      <c r="L1" s="16"/>
      <c r="M1" s="16"/>
      <c r="N1" s="336"/>
      <c r="O1" s="362"/>
      <c r="P1" s="197"/>
      <c r="Q1" s="197"/>
      <c r="R1" s="197"/>
      <c r="S1" s="197"/>
      <c r="T1" s="197"/>
      <c r="U1" s="197"/>
      <c r="V1" s="16" t="s">
        <v>154</v>
      </c>
    </row>
    <row r="2" spans="2:22" s="43" customFormat="1" ht="30" customHeight="1">
      <c r="B2" s="1048" t="s">
        <v>93</v>
      </c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8"/>
      <c r="N2" s="1048"/>
      <c r="O2" s="1048"/>
      <c r="P2" s="1048"/>
      <c r="Q2" s="1048"/>
      <c r="R2" s="1048"/>
      <c r="S2" s="1048"/>
      <c r="T2" s="1048"/>
      <c r="U2" s="1048"/>
      <c r="V2" s="1048"/>
    </row>
    <row r="3" spans="2:22" ht="15" customHeight="1">
      <c r="B3" s="1049" t="s">
        <v>95</v>
      </c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</row>
    <row r="4" spans="12:21" ht="12.75" customHeight="1">
      <c r="L4" s="7"/>
      <c r="M4" s="7"/>
      <c r="N4" s="7"/>
      <c r="O4" s="7"/>
      <c r="Q4" s="7"/>
      <c r="R4" s="7"/>
      <c r="S4" s="7"/>
      <c r="T4" s="7"/>
      <c r="U4" s="7" t="s">
        <v>3</v>
      </c>
    </row>
    <row r="5" spans="3:23" ht="37.5" customHeight="1">
      <c r="C5" s="53">
        <v>1995</v>
      </c>
      <c r="D5" s="53">
        <v>2000</v>
      </c>
      <c r="E5" s="54">
        <v>2001</v>
      </c>
      <c r="F5" s="54">
        <v>2002</v>
      </c>
      <c r="G5" s="54">
        <v>2003</v>
      </c>
      <c r="H5" s="54">
        <v>2004</v>
      </c>
      <c r="I5" s="54">
        <v>2005</v>
      </c>
      <c r="J5" s="54">
        <v>2006</v>
      </c>
      <c r="K5" s="54">
        <v>2007</v>
      </c>
      <c r="L5" s="54">
        <v>2008</v>
      </c>
      <c r="M5" s="54">
        <v>2009</v>
      </c>
      <c r="N5" s="54">
        <v>2010</v>
      </c>
      <c r="O5" s="54">
        <v>2011</v>
      </c>
      <c r="P5" s="54">
        <v>2012</v>
      </c>
      <c r="Q5" s="54">
        <v>2013</v>
      </c>
      <c r="R5" s="54">
        <v>2014</v>
      </c>
      <c r="S5" s="54">
        <v>2015</v>
      </c>
      <c r="T5" s="961">
        <v>2016</v>
      </c>
      <c r="U5" s="410">
        <v>2017</v>
      </c>
      <c r="V5" s="205" t="s">
        <v>300</v>
      </c>
      <c r="W5" s="206"/>
    </row>
    <row r="6" spans="2:23" ht="12.75" customHeight="1">
      <c r="B6" s="52" t="s">
        <v>253</v>
      </c>
      <c r="C6" s="207"/>
      <c r="D6" s="461"/>
      <c r="E6" s="461"/>
      <c r="F6" s="461"/>
      <c r="G6" s="461"/>
      <c r="H6" s="461"/>
      <c r="I6" s="461"/>
      <c r="J6" s="461"/>
      <c r="K6" s="461"/>
      <c r="L6" s="461"/>
      <c r="M6" s="462">
        <f>SUM(M7:M34)</f>
        <v>759.6444189540724</v>
      </c>
      <c r="N6" s="462">
        <f>SUM(N7:N34)</f>
        <v>645.3308148443735</v>
      </c>
      <c r="O6" s="462">
        <f aca="true" t="shared" si="0" ref="O6:U6">SUM(O7:O34)</f>
        <v>588.6652083159892</v>
      </c>
      <c r="P6" s="462">
        <f t="shared" si="0"/>
        <v>493.5144551539492</v>
      </c>
      <c r="Q6" s="504">
        <f t="shared" si="0"/>
        <v>396.5900370952096</v>
      </c>
      <c r="R6" s="504">
        <f t="shared" si="0"/>
        <v>366.496159438104</v>
      </c>
      <c r="S6" s="504">
        <f t="shared" si="0"/>
        <v>345.104334969525</v>
      </c>
      <c r="T6" s="504">
        <f t="shared" si="0"/>
        <v>333.5674389945553</v>
      </c>
      <c r="U6" s="737">
        <f t="shared" si="0"/>
        <v>426.23748513026857</v>
      </c>
      <c r="V6" s="908">
        <f>U6/T6*100-100</f>
        <v>27.781502419732846</v>
      </c>
      <c r="W6" s="52" t="s">
        <v>253</v>
      </c>
    </row>
    <row r="7" spans="2:25" ht="12.75" customHeight="1">
      <c r="B7" s="9" t="s">
        <v>62</v>
      </c>
      <c r="C7" s="199">
        <v>27.582</v>
      </c>
      <c r="D7" s="465">
        <v>33.191</v>
      </c>
      <c r="E7" s="465">
        <v>30.191</v>
      </c>
      <c r="F7" s="465">
        <v>26.651</v>
      </c>
      <c r="G7" s="465">
        <v>20.581</v>
      </c>
      <c r="H7" s="465">
        <v>17.751</v>
      </c>
      <c r="I7" s="465">
        <v>17.347</v>
      </c>
      <c r="J7" s="465">
        <v>20.279</v>
      </c>
      <c r="K7" s="465">
        <v>21.434</v>
      </c>
      <c r="L7" s="465">
        <v>19.614</v>
      </c>
      <c r="M7" s="465">
        <v>17.044</v>
      </c>
      <c r="N7" s="465">
        <v>14.209</v>
      </c>
      <c r="O7" s="465">
        <f>12.125</f>
        <v>12.125</v>
      </c>
      <c r="P7" s="465">
        <v>10.386</v>
      </c>
      <c r="Q7" s="465">
        <v>8.824</v>
      </c>
      <c r="R7" s="465">
        <v>10.936</v>
      </c>
      <c r="S7" s="465">
        <v>12.384</v>
      </c>
      <c r="T7" s="793">
        <v>10.599</v>
      </c>
      <c r="U7" s="861">
        <v>18.761</v>
      </c>
      <c r="V7" s="906">
        <f aca="true" t="shared" si="1" ref="V7:V42">U7/T7*100-100</f>
        <v>77.00726483630532</v>
      </c>
      <c r="W7" s="9" t="s">
        <v>62</v>
      </c>
      <c r="Y7" s="398"/>
    </row>
    <row r="8" spans="2:25" ht="12.75" customHeight="1">
      <c r="B8" s="51" t="s">
        <v>45</v>
      </c>
      <c r="C8" s="200"/>
      <c r="D8" s="469">
        <v>2.052</v>
      </c>
      <c r="E8" s="469">
        <v>2.199</v>
      </c>
      <c r="F8" s="469">
        <v>2.412</v>
      </c>
      <c r="G8" s="469">
        <v>2.622</v>
      </c>
      <c r="H8" s="506">
        <f>AVERAGE(G8,I8)</f>
        <v>1.8435</v>
      </c>
      <c r="I8" s="469">
        <v>1.065</v>
      </c>
      <c r="J8" s="469">
        <v>1.489</v>
      </c>
      <c r="K8" s="469">
        <v>2.101</v>
      </c>
      <c r="L8" s="469">
        <v>3.965</v>
      </c>
      <c r="M8" s="469">
        <v>2.491</v>
      </c>
      <c r="N8" s="469">
        <v>2.147</v>
      </c>
      <c r="O8" s="469">
        <v>1.684</v>
      </c>
      <c r="P8" s="469">
        <v>1.727</v>
      </c>
      <c r="Q8" s="469">
        <v>1.272</v>
      </c>
      <c r="R8" s="469">
        <v>1.078</v>
      </c>
      <c r="S8" s="469">
        <v>0.807</v>
      </c>
      <c r="T8" s="469">
        <f>0.776</f>
        <v>0.776</v>
      </c>
      <c r="U8" s="505">
        <v>1.034</v>
      </c>
      <c r="V8" s="907">
        <f t="shared" si="1"/>
        <v>33.24742268041237</v>
      </c>
      <c r="W8" s="51" t="s">
        <v>45</v>
      </c>
      <c r="Y8" s="398"/>
    </row>
    <row r="9" spans="1:25" ht="12.75" customHeight="1">
      <c r="A9" s="8"/>
      <c r="B9" s="10" t="s">
        <v>47</v>
      </c>
      <c r="C9" s="201"/>
      <c r="D9" s="474"/>
      <c r="E9" s="474"/>
      <c r="F9" s="474"/>
      <c r="G9" s="474">
        <v>7.724</v>
      </c>
      <c r="H9" s="474">
        <v>6.903</v>
      </c>
      <c r="I9" s="474">
        <v>8.017</v>
      </c>
      <c r="J9" s="474">
        <v>6.079</v>
      </c>
      <c r="K9" s="474">
        <v>6.121</v>
      </c>
      <c r="L9" s="474">
        <v>5.707</v>
      </c>
      <c r="M9" s="474">
        <v>4.327</v>
      </c>
      <c r="N9" s="474">
        <v>2.853</v>
      </c>
      <c r="O9" s="474">
        <f>2.142</f>
        <v>2.142</v>
      </c>
      <c r="P9" s="474">
        <v>2.342</v>
      </c>
      <c r="Q9" s="486">
        <f>AVERAGE(P9,S9)</f>
        <v>1.923</v>
      </c>
      <c r="R9" s="474">
        <v>1.806</v>
      </c>
      <c r="S9" s="474">
        <v>1.504</v>
      </c>
      <c r="T9" s="474">
        <v>1.06</v>
      </c>
      <c r="U9" s="479">
        <v>1.417</v>
      </c>
      <c r="V9" s="906">
        <f t="shared" si="1"/>
        <v>33.67924528301887</v>
      </c>
      <c r="W9" s="10" t="s">
        <v>47</v>
      </c>
      <c r="Y9" s="398"/>
    </row>
    <row r="10" spans="1:25" ht="12.75" customHeight="1">
      <c r="A10" s="8"/>
      <c r="B10" s="51" t="s">
        <v>58</v>
      </c>
      <c r="C10" s="200">
        <v>10.818</v>
      </c>
      <c r="D10" s="469">
        <v>9.766</v>
      </c>
      <c r="E10" s="469">
        <v>6.796</v>
      </c>
      <c r="F10" s="469">
        <v>5.048</v>
      </c>
      <c r="G10" s="469">
        <v>3.758</v>
      </c>
      <c r="H10" s="469">
        <v>4.197</v>
      </c>
      <c r="I10" s="469">
        <v>4.916</v>
      </c>
      <c r="J10" s="469">
        <v>4.462</v>
      </c>
      <c r="K10" s="469">
        <v>4.518</v>
      </c>
      <c r="L10" s="469">
        <v>3.67</v>
      </c>
      <c r="M10" s="469">
        <v>17.509</v>
      </c>
      <c r="N10" s="469">
        <v>16.546</v>
      </c>
      <c r="O10" s="469">
        <v>12.114</v>
      </c>
      <c r="P10" s="469">
        <v>10.812</v>
      </c>
      <c r="Q10" s="469">
        <v>8.161</v>
      </c>
      <c r="R10" s="469">
        <v>7.609</v>
      </c>
      <c r="S10" s="469">
        <v>6.893</v>
      </c>
      <c r="T10" s="469">
        <v>5.99</v>
      </c>
      <c r="U10" s="505">
        <v>12.418</v>
      </c>
      <c r="V10" s="907">
        <f t="shared" si="1"/>
        <v>107.31218697829715</v>
      </c>
      <c r="W10" s="51" t="s">
        <v>58</v>
      </c>
      <c r="Y10" s="398"/>
    </row>
    <row r="11" spans="1:25" ht="12.75" customHeight="1">
      <c r="A11" s="8"/>
      <c r="B11" s="10" t="s">
        <v>63</v>
      </c>
      <c r="C11" s="201">
        <v>124.497</v>
      </c>
      <c r="D11" s="474">
        <v>108.671</v>
      </c>
      <c r="E11" s="474">
        <v>112.322</v>
      </c>
      <c r="F11" s="474">
        <v>94.577</v>
      </c>
      <c r="G11" s="474">
        <v>93.02</v>
      </c>
      <c r="H11" s="474">
        <v>81.28</v>
      </c>
      <c r="I11" s="474">
        <v>97.333</v>
      </c>
      <c r="J11" s="474">
        <v>109.906</v>
      </c>
      <c r="K11" s="474">
        <v>94.215</v>
      </c>
      <c r="L11" s="474">
        <v>79.56</v>
      </c>
      <c r="M11" s="474">
        <v>74.688</v>
      </c>
      <c r="N11" s="474">
        <v>64.939</v>
      </c>
      <c r="O11" s="474">
        <f>57.367</f>
        <v>57.367</v>
      </c>
      <c r="P11" s="474">
        <v>50.59</v>
      </c>
      <c r="Q11" s="474">
        <v>41.36</v>
      </c>
      <c r="R11" s="474">
        <v>34.203</v>
      </c>
      <c r="S11" s="474">
        <v>32.638</v>
      </c>
      <c r="T11" s="474">
        <v>30.11</v>
      </c>
      <c r="U11" s="479">
        <v>33.254</v>
      </c>
      <c r="V11" s="906">
        <f t="shared" si="1"/>
        <v>10.4417137163733</v>
      </c>
      <c r="W11" s="10" t="s">
        <v>63</v>
      </c>
      <c r="Y11" s="398"/>
    </row>
    <row r="12" spans="1:25" ht="12.75" customHeight="1">
      <c r="A12" s="8"/>
      <c r="B12" s="51" t="s">
        <v>48</v>
      </c>
      <c r="C12" s="200"/>
      <c r="D12" s="469"/>
      <c r="E12" s="469"/>
      <c r="F12" s="469"/>
      <c r="G12" s="469"/>
      <c r="H12" s="469">
        <v>6.903</v>
      </c>
      <c r="I12" s="469">
        <v>8.017</v>
      </c>
      <c r="J12" s="469">
        <v>6.079</v>
      </c>
      <c r="K12" s="469">
        <v>6.121</v>
      </c>
      <c r="L12" s="469">
        <v>5.707</v>
      </c>
      <c r="M12" s="481">
        <v>0.023</v>
      </c>
      <c r="N12" s="469">
        <v>0.016</v>
      </c>
      <c r="O12" s="469">
        <f>0.003</f>
        <v>0.003</v>
      </c>
      <c r="P12" s="481">
        <v>0.662</v>
      </c>
      <c r="Q12" s="469">
        <v>0.662</v>
      </c>
      <c r="R12" s="469">
        <v>0.749</v>
      </c>
      <c r="S12" s="469">
        <v>0.666</v>
      </c>
      <c r="T12" s="469">
        <v>0.603</v>
      </c>
      <c r="U12" s="505">
        <v>0.588</v>
      </c>
      <c r="V12" s="907">
        <f t="shared" si="1"/>
        <v>-2.487562189054728</v>
      </c>
      <c r="W12" s="51" t="s">
        <v>48</v>
      </c>
      <c r="Y12" s="398"/>
    </row>
    <row r="13" spans="1:25" ht="12.75" customHeight="1">
      <c r="A13" s="8"/>
      <c r="B13" s="10" t="s">
        <v>66</v>
      </c>
      <c r="C13" s="201">
        <v>0.437</v>
      </c>
      <c r="D13" s="474">
        <v>3.023</v>
      </c>
      <c r="E13" s="474">
        <v>2.214</v>
      </c>
      <c r="F13" s="474">
        <v>2.349</v>
      </c>
      <c r="G13" s="474">
        <v>2.14</v>
      </c>
      <c r="H13" s="474">
        <v>1.299</v>
      </c>
      <c r="I13" s="474">
        <v>0.849</v>
      </c>
      <c r="J13" s="474">
        <v>0.698</v>
      </c>
      <c r="K13" s="474">
        <v>0.641</v>
      </c>
      <c r="L13" s="474">
        <v>0.549</v>
      </c>
      <c r="M13" s="474">
        <v>0.447</v>
      </c>
      <c r="N13" s="474">
        <v>0.206</v>
      </c>
      <c r="O13" s="474">
        <f>0.201</f>
        <v>0.201</v>
      </c>
      <c r="P13" s="474">
        <v>0.181</v>
      </c>
      <c r="Q13" s="474">
        <v>0.169</v>
      </c>
      <c r="R13" s="474">
        <v>0.141</v>
      </c>
      <c r="S13" s="474">
        <v>0.227</v>
      </c>
      <c r="T13" s="474">
        <v>0.212</v>
      </c>
      <c r="U13" s="479">
        <v>0.158</v>
      </c>
      <c r="V13" s="906">
        <f t="shared" si="1"/>
        <v>-25.471698113207538</v>
      </c>
      <c r="W13" s="10" t="s">
        <v>66</v>
      </c>
      <c r="Y13" s="398"/>
    </row>
    <row r="14" spans="1:25" ht="12.75" customHeight="1">
      <c r="A14" s="8"/>
      <c r="B14" s="51" t="s">
        <v>59</v>
      </c>
      <c r="C14" s="200">
        <v>13.5</v>
      </c>
      <c r="D14" s="469">
        <v>19.243</v>
      </c>
      <c r="E14" s="469">
        <v>21.149</v>
      </c>
      <c r="F14" s="469">
        <v>20.221</v>
      </c>
      <c r="G14" s="469">
        <v>20.921</v>
      </c>
      <c r="H14" s="469">
        <v>21.856</v>
      </c>
      <c r="I14" s="469">
        <v>24.107</v>
      </c>
      <c r="J14" s="469">
        <v>36.295</v>
      </c>
      <c r="K14" s="469">
        <v>21.899</v>
      </c>
      <c r="L14" s="469">
        <v>25.01</v>
      </c>
      <c r="M14" s="469">
        <v>20.387</v>
      </c>
      <c r="N14" s="469">
        <v>18.858</v>
      </c>
      <c r="O14" s="469">
        <f>17.257</f>
        <v>17.257</v>
      </c>
      <c r="P14" s="469">
        <v>13.276</v>
      </c>
      <c r="Q14" s="469">
        <v>9.925</v>
      </c>
      <c r="R14" s="469">
        <v>8.201</v>
      </c>
      <c r="S14" s="469">
        <v>8.55</v>
      </c>
      <c r="T14" s="469">
        <v>6.636</v>
      </c>
      <c r="U14" s="505">
        <v>4.517</v>
      </c>
      <c r="V14" s="907">
        <f t="shared" si="1"/>
        <v>-31.931886678722122</v>
      </c>
      <c r="W14" s="51" t="s">
        <v>59</v>
      </c>
      <c r="Y14" s="398"/>
    </row>
    <row r="15" spans="1:25" ht="12.75" customHeight="1">
      <c r="A15" s="8"/>
      <c r="B15" s="10" t="s">
        <v>64</v>
      </c>
      <c r="C15" s="201">
        <v>155.23</v>
      </c>
      <c r="D15" s="474">
        <v>248.633</v>
      </c>
      <c r="E15" s="474">
        <v>176.489</v>
      </c>
      <c r="F15" s="474">
        <v>113.756</v>
      </c>
      <c r="G15" s="474">
        <v>110.421</v>
      </c>
      <c r="H15" s="474">
        <v>118.128</v>
      </c>
      <c r="I15" s="474">
        <v>115.142</v>
      </c>
      <c r="J15" s="474">
        <v>137.46</v>
      </c>
      <c r="K15" s="474">
        <v>125.862</v>
      </c>
      <c r="L15" s="474">
        <v>84.222</v>
      </c>
      <c r="M15" s="474">
        <v>43.954</v>
      </c>
      <c r="N15" s="474">
        <v>34.187</v>
      </c>
      <c r="O15" s="474">
        <f>23.26</f>
        <v>23.26</v>
      </c>
      <c r="P15" s="474">
        <v>18.711</v>
      </c>
      <c r="Q15" s="474">
        <v>15.416</v>
      </c>
      <c r="R15" s="474">
        <v>14.81</v>
      </c>
      <c r="S15" s="474">
        <v>15.956</v>
      </c>
      <c r="T15" s="474">
        <v>17.173</v>
      </c>
      <c r="U15" s="479">
        <v>21.713</v>
      </c>
      <c r="V15" s="906">
        <f t="shared" si="1"/>
        <v>26.436848541314873</v>
      </c>
      <c r="W15" s="10" t="s">
        <v>64</v>
      </c>
      <c r="Y15" s="398"/>
    </row>
    <row r="16" spans="1:25" ht="12.75" customHeight="1">
      <c r="A16" s="8"/>
      <c r="B16" s="51" t="s">
        <v>65</v>
      </c>
      <c r="C16" s="200">
        <v>218.198</v>
      </c>
      <c r="D16" s="469">
        <v>192.273</v>
      </c>
      <c r="E16" s="469">
        <v>184.666</v>
      </c>
      <c r="F16" s="469">
        <v>166.124</v>
      </c>
      <c r="G16" s="469">
        <v>166.127</v>
      </c>
      <c r="H16" s="469">
        <v>166.003</v>
      </c>
      <c r="I16" s="469">
        <v>154.922</v>
      </c>
      <c r="J16" s="469">
        <v>184.869</v>
      </c>
      <c r="K16" s="469">
        <v>209.451</v>
      </c>
      <c r="L16" s="469">
        <v>190.315</v>
      </c>
      <c r="M16" s="469">
        <v>156.963</v>
      </c>
      <c r="N16" s="469">
        <v>144.467</v>
      </c>
      <c r="O16" s="469">
        <f>146.442</f>
        <v>146.442</v>
      </c>
      <c r="P16" s="469">
        <v>127.201</v>
      </c>
      <c r="Q16" s="469">
        <v>106.054</v>
      </c>
      <c r="R16" s="469">
        <v>98.178</v>
      </c>
      <c r="S16" s="469">
        <v>89.646</v>
      </c>
      <c r="T16" s="469">
        <v>89.732</v>
      </c>
      <c r="U16" s="505">
        <v>107.322</v>
      </c>
      <c r="V16" s="907">
        <f t="shared" si="1"/>
        <v>19.602817278117058</v>
      </c>
      <c r="W16" s="51" t="s">
        <v>65</v>
      </c>
      <c r="Y16" s="398"/>
    </row>
    <row r="17" spans="1:25" ht="12.75" customHeight="1">
      <c r="A17" s="8"/>
      <c r="B17" s="10" t="s">
        <v>76</v>
      </c>
      <c r="C17" s="201"/>
      <c r="D17" s="474"/>
      <c r="E17" s="474"/>
      <c r="F17" s="474"/>
      <c r="G17" s="474"/>
      <c r="H17" s="474"/>
      <c r="I17" s="474">
        <v>13.233</v>
      </c>
      <c r="J17" s="474">
        <v>15.228</v>
      </c>
      <c r="K17" s="474">
        <v>18.159</v>
      </c>
      <c r="L17" s="474">
        <v>19.785</v>
      </c>
      <c r="M17" s="474">
        <v>10.57</v>
      </c>
      <c r="N17" s="474">
        <v>6.442</v>
      </c>
      <c r="O17" s="474">
        <f>5.352</f>
        <v>5.352</v>
      </c>
      <c r="P17" s="474">
        <v>4.05</v>
      </c>
      <c r="Q17" s="474">
        <v>3.119</v>
      </c>
      <c r="R17" s="474">
        <v>2.418</v>
      </c>
      <c r="S17" s="474">
        <v>1.812</v>
      </c>
      <c r="T17" s="474">
        <v>1.768</v>
      </c>
      <c r="U17" s="479">
        <v>1.776</v>
      </c>
      <c r="V17" s="906">
        <f t="shared" si="1"/>
        <v>0.4524886877828038</v>
      </c>
      <c r="W17" s="10" t="s">
        <v>76</v>
      </c>
      <c r="Y17" s="398"/>
    </row>
    <row r="18" spans="1:23" ht="12.75" customHeight="1">
      <c r="A18" s="8"/>
      <c r="B18" s="156" t="s">
        <v>67</v>
      </c>
      <c r="C18" s="370">
        <v>575.112</v>
      </c>
      <c r="D18" s="484">
        <v>311.836</v>
      </c>
      <c r="E18" s="484">
        <v>175.543</v>
      </c>
      <c r="F18" s="484">
        <v>166.755</v>
      </c>
      <c r="G18" s="484">
        <v>161.893</v>
      </c>
      <c r="H18" s="484">
        <v>132.367</v>
      </c>
      <c r="I18" s="484">
        <v>128.284</v>
      </c>
      <c r="J18" s="484">
        <v>109.85</v>
      </c>
      <c r="K18" s="484">
        <v>130.696</v>
      </c>
      <c r="L18" s="484">
        <v>123.11</v>
      </c>
      <c r="M18" s="484">
        <v>114.368</v>
      </c>
      <c r="N18" s="484">
        <v>90.191</v>
      </c>
      <c r="O18" s="484">
        <f>75.419</f>
        <v>75.419</v>
      </c>
      <c r="P18" s="484">
        <v>51.755</v>
      </c>
      <c r="Q18" s="484">
        <v>33.598</v>
      </c>
      <c r="R18" s="484">
        <v>28.388</v>
      </c>
      <c r="S18" s="484">
        <v>24.637</v>
      </c>
      <c r="T18" s="484">
        <v>24.593</v>
      </c>
      <c r="U18" s="516">
        <v>26.031</v>
      </c>
      <c r="V18" s="907">
        <f t="shared" si="1"/>
        <v>5.847192290489161</v>
      </c>
      <c r="W18" s="156" t="s">
        <v>67</v>
      </c>
    </row>
    <row r="19" spans="1:23" ht="12.75" customHeight="1">
      <c r="A19" s="8"/>
      <c r="B19" s="10" t="s">
        <v>46</v>
      </c>
      <c r="C19" s="201"/>
      <c r="D19" s="474"/>
      <c r="E19" s="474"/>
      <c r="F19" s="474">
        <v>2.315</v>
      </c>
      <c r="G19" s="474">
        <v>2.652</v>
      </c>
      <c r="H19" s="474">
        <v>2.412</v>
      </c>
      <c r="I19" s="474">
        <v>2.08</v>
      </c>
      <c r="J19" s="474">
        <v>1.739</v>
      </c>
      <c r="K19" s="474">
        <v>1.747</v>
      </c>
      <c r="L19" s="474">
        <v>1.731</v>
      </c>
      <c r="M19" s="474">
        <v>1.416</v>
      </c>
      <c r="N19" s="474">
        <v>0.457</v>
      </c>
      <c r="O19" s="474">
        <f>0.447</f>
        <v>0.447</v>
      </c>
      <c r="P19" s="474">
        <v>0.264</v>
      </c>
      <c r="Q19" s="474">
        <v>0.207</v>
      </c>
      <c r="R19" s="474">
        <v>0.197</v>
      </c>
      <c r="S19" s="474">
        <v>0.154</v>
      </c>
      <c r="T19" s="474">
        <v>0.192</v>
      </c>
      <c r="U19" s="479">
        <v>0.243</v>
      </c>
      <c r="V19" s="906">
        <f t="shared" si="1"/>
        <v>26.5625</v>
      </c>
      <c r="W19" s="10" t="s">
        <v>46</v>
      </c>
    </row>
    <row r="20" spans="1:23" ht="12.75" customHeight="1">
      <c r="A20" s="8"/>
      <c r="B20" s="156" t="s">
        <v>50</v>
      </c>
      <c r="C20" s="370"/>
      <c r="D20" s="484"/>
      <c r="E20" s="484"/>
      <c r="F20" s="484"/>
      <c r="G20" s="484"/>
      <c r="H20" s="484">
        <v>0.457</v>
      </c>
      <c r="I20" s="484">
        <v>0.637</v>
      </c>
      <c r="J20" s="484">
        <v>1.711</v>
      </c>
      <c r="K20" s="484">
        <v>3.464</v>
      </c>
      <c r="L20" s="484">
        <v>3.73</v>
      </c>
      <c r="M20" s="484">
        <v>0.649</v>
      </c>
      <c r="N20" s="484">
        <v>0.97</v>
      </c>
      <c r="O20" s="484">
        <f>1.343</f>
        <v>1.343</v>
      </c>
      <c r="P20" s="484">
        <v>1.654</v>
      </c>
      <c r="Q20" s="484">
        <v>1.556</v>
      </c>
      <c r="R20" s="484">
        <v>1.212</v>
      </c>
      <c r="S20" s="484">
        <v>0.999</v>
      </c>
      <c r="T20" s="484">
        <v>0.935</v>
      </c>
      <c r="U20" s="516">
        <v>1.269</v>
      </c>
      <c r="V20" s="907">
        <f t="shared" si="1"/>
        <v>35.72192513368981</v>
      </c>
      <c r="W20" s="156" t="s">
        <v>50</v>
      </c>
    </row>
    <row r="21" spans="1:23" ht="12.75" customHeight="1">
      <c r="A21" s="8"/>
      <c r="B21" s="10" t="s">
        <v>51</v>
      </c>
      <c r="C21" s="201"/>
      <c r="D21" s="474"/>
      <c r="E21" s="474"/>
      <c r="F21" s="474"/>
      <c r="G21" s="474"/>
      <c r="H21" s="474"/>
      <c r="I21" s="474"/>
      <c r="J21" s="474"/>
      <c r="K21" s="474"/>
      <c r="L21" s="474">
        <v>5.404</v>
      </c>
      <c r="M21" s="474">
        <v>3.499</v>
      </c>
      <c r="N21" s="474">
        <v>1.18</v>
      </c>
      <c r="O21" s="474">
        <f>1.319</f>
        <v>1.319</v>
      </c>
      <c r="P21" s="474">
        <v>0.969</v>
      </c>
      <c r="Q21" s="474">
        <v>0.987</v>
      </c>
      <c r="R21" s="474">
        <v>0.925</v>
      </c>
      <c r="S21" s="474">
        <v>0.73</v>
      </c>
      <c r="T21" s="474">
        <v>0.713</v>
      </c>
      <c r="U21" s="479">
        <v>0.66</v>
      </c>
      <c r="V21" s="906">
        <f t="shared" si="1"/>
        <v>-7.433380084151466</v>
      </c>
      <c r="W21" s="10" t="s">
        <v>51</v>
      </c>
    </row>
    <row r="22" spans="1:23" ht="12.75" customHeight="1">
      <c r="A22" s="8"/>
      <c r="B22" s="156" t="s">
        <v>68</v>
      </c>
      <c r="C22" s="370"/>
      <c r="D22" s="484">
        <v>0.454</v>
      </c>
      <c r="E22" s="484">
        <v>0.437</v>
      </c>
      <c r="F22" s="484">
        <v>0.483</v>
      </c>
      <c r="G22" s="484">
        <v>0.63</v>
      </c>
      <c r="H22" s="484">
        <v>0.552</v>
      </c>
      <c r="I22" s="484">
        <v>0.528</v>
      </c>
      <c r="J22" s="484">
        <v>0.657</v>
      </c>
      <c r="K22" s="484">
        <v>0.604</v>
      </c>
      <c r="L22" s="484">
        <v>0.677</v>
      </c>
      <c r="M22" s="484">
        <v>0.645</v>
      </c>
      <c r="N22" s="484">
        <v>0.703</v>
      </c>
      <c r="O22" s="484">
        <f>0.885</f>
        <v>0.885</v>
      </c>
      <c r="P22" s="484">
        <v>0.979</v>
      </c>
      <c r="Q22" s="484">
        <v>1.08</v>
      </c>
      <c r="R22" s="484">
        <v>1.008</v>
      </c>
      <c r="S22" s="484">
        <v>0.924</v>
      </c>
      <c r="T22" s="484">
        <v>0.926</v>
      </c>
      <c r="U22" s="516">
        <v>0.49</v>
      </c>
      <c r="V22" s="907">
        <f t="shared" si="1"/>
        <v>-47.084233261339094</v>
      </c>
      <c r="W22" s="156" t="s">
        <v>68</v>
      </c>
    </row>
    <row r="23" spans="1:23" ht="12.75" customHeight="1">
      <c r="A23" s="8"/>
      <c r="B23" s="10" t="s">
        <v>49</v>
      </c>
      <c r="C23" s="201"/>
      <c r="D23" s="474"/>
      <c r="E23" s="474"/>
      <c r="F23" s="474"/>
      <c r="G23" s="474"/>
      <c r="H23" s="474"/>
      <c r="I23" s="474"/>
      <c r="J23" s="474"/>
      <c r="K23" s="474"/>
      <c r="L23" s="486">
        <v>11.088659415107342</v>
      </c>
      <c r="M23" s="486">
        <v>5.4334189540724775</v>
      </c>
      <c r="N23" s="486">
        <v>3.555814844373504</v>
      </c>
      <c r="O23" s="486">
        <v>2.942208315989085</v>
      </c>
      <c r="P23" s="486">
        <v>3.1834551539491303</v>
      </c>
      <c r="Q23" s="486">
        <v>3.3980370952094967</v>
      </c>
      <c r="R23" s="486">
        <f>AVERAGE(N23:P23)</f>
        <v>3.227159438103906</v>
      </c>
      <c r="S23" s="486">
        <f>AVERAGE(N23:R23)</f>
        <v>3.2613349695250244</v>
      </c>
      <c r="T23" s="486">
        <f>AVERAGE(O23:S23)</f>
        <v>3.2024389945553287</v>
      </c>
      <c r="U23" s="865">
        <f>AVERAGE(P23:T23)</f>
        <v>3.254485130268577</v>
      </c>
      <c r="V23" s="906">
        <f t="shared" si="1"/>
        <v>1.6252030343664785</v>
      </c>
      <c r="W23" s="10" t="s">
        <v>49</v>
      </c>
    </row>
    <row r="24" spans="1:23" ht="12.75" customHeight="1">
      <c r="A24" s="8"/>
      <c r="B24" s="156" t="s">
        <v>52</v>
      </c>
      <c r="C24" s="370"/>
      <c r="D24" s="484"/>
      <c r="E24" s="484"/>
      <c r="F24" s="484"/>
      <c r="G24" s="484"/>
      <c r="H24" s="484"/>
      <c r="I24" s="484"/>
      <c r="J24" s="484"/>
      <c r="K24" s="484"/>
      <c r="L24" s="490"/>
      <c r="M24" s="490"/>
      <c r="N24" s="490"/>
      <c r="O24" s="490"/>
      <c r="P24" s="490"/>
      <c r="Q24" s="773">
        <v>0.016</v>
      </c>
      <c r="R24" s="774">
        <v>0.024</v>
      </c>
      <c r="S24" s="484">
        <v>0.036</v>
      </c>
      <c r="T24" s="484">
        <v>0.057</v>
      </c>
      <c r="U24" s="516">
        <v>0.049</v>
      </c>
      <c r="V24" s="907">
        <f t="shared" si="1"/>
        <v>-14.035087719298247</v>
      </c>
      <c r="W24" s="156" t="s">
        <v>52</v>
      </c>
    </row>
    <row r="25" spans="1:23" ht="12.75" customHeight="1">
      <c r="A25" s="8"/>
      <c r="B25" s="10" t="s">
        <v>60</v>
      </c>
      <c r="C25" s="201">
        <v>59.153</v>
      </c>
      <c r="D25" s="474">
        <v>66.941</v>
      </c>
      <c r="E25" s="474">
        <v>56.206</v>
      </c>
      <c r="F25" s="474">
        <v>53.857</v>
      </c>
      <c r="G25" s="474">
        <v>45.878</v>
      </c>
      <c r="H25" s="474">
        <v>39.131</v>
      </c>
      <c r="I25" s="474">
        <v>40.858</v>
      </c>
      <c r="J25" s="474">
        <v>48.776</v>
      </c>
      <c r="K25" s="474">
        <v>57.427</v>
      </c>
      <c r="L25" s="474">
        <v>69.594</v>
      </c>
      <c r="M25" s="474">
        <v>93.821</v>
      </c>
      <c r="N25" s="474">
        <v>90.662</v>
      </c>
      <c r="O25" s="474">
        <f>82.21</f>
        <v>82.21</v>
      </c>
      <c r="P25" s="474">
        <v>68.548</v>
      </c>
      <c r="Q25" s="474">
        <v>59.381</v>
      </c>
      <c r="R25" s="474">
        <v>62.955</v>
      </c>
      <c r="S25" s="474">
        <v>65.952</v>
      </c>
      <c r="T25" s="474">
        <f>67.842</f>
        <v>67.842</v>
      </c>
      <c r="U25" s="479">
        <v>86.826</v>
      </c>
      <c r="V25" s="906">
        <f t="shared" si="1"/>
        <v>27.982665605377193</v>
      </c>
      <c r="W25" s="10" t="s">
        <v>60</v>
      </c>
    </row>
    <row r="26" spans="1:23" ht="12.75" customHeight="1">
      <c r="A26" s="8"/>
      <c r="B26" s="156" t="s">
        <v>69</v>
      </c>
      <c r="C26" s="370">
        <v>10.742</v>
      </c>
      <c r="D26" s="484">
        <v>21.335</v>
      </c>
      <c r="E26" s="484">
        <v>20.459</v>
      </c>
      <c r="F26" s="484">
        <v>16.278</v>
      </c>
      <c r="G26" s="484">
        <v>19.914</v>
      </c>
      <c r="H26" s="484">
        <v>21.711</v>
      </c>
      <c r="I26" s="484">
        <v>27.728</v>
      </c>
      <c r="J26" s="484">
        <v>28.292</v>
      </c>
      <c r="K26" s="484">
        <v>30.933</v>
      </c>
      <c r="L26" s="484">
        <v>30.97</v>
      </c>
      <c r="M26" s="484">
        <v>26.057</v>
      </c>
      <c r="N26" s="484">
        <v>24.906</v>
      </c>
      <c r="O26" s="484">
        <f>23.916</f>
        <v>23.916</v>
      </c>
      <c r="P26" s="484">
        <v>21.095</v>
      </c>
      <c r="Q26" s="484">
        <v>16.927</v>
      </c>
      <c r="R26" s="484">
        <v>15.192</v>
      </c>
      <c r="S26" s="484">
        <v>13.76</v>
      </c>
      <c r="T26" s="484">
        <v>13.693</v>
      </c>
      <c r="U26" s="516">
        <v>15.642</v>
      </c>
      <c r="V26" s="907">
        <f t="shared" si="1"/>
        <v>14.233549989045486</v>
      </c>
      <c r="W26" s="156" t="s">
        <v>69</v>
      </c>
    </row>
    <row r="27" spans="1:23" ht="12.75" customHeight="1">
      <c r="A27" s="8"/>
      <c r="B27" s="10" t="s">
        <v>53</v>
      </c>
      <c r="C27" s="201"/>
      <c r="D27" s="474"/>
      <c r="E27" s="474"/>
      <c r="F27" s="474"/>
      <c r="G27" s="474"/>
      <c r="H27" s="474"/>
      <c r="I27" s="474">
        <v>23.309</v>
      </c>
      <c r="J27" s="474">
        <v>43.57</v>
      </c>
      <c r="K27" s="474">
        <v>91.913</v>
      </c>
      <c r="L27" s="474">
        <v>135.994</v>
      </c>
      <c r="M27" s="474">
        <v>94.031</v>
      </c>
      <c r="N27" s="474">
        <v>72.186</v>
      </c>
      <c r="O27" s="474">
        <f>69.26</f>
        <v>69.26</v>
      </c>
      <c r="P27" s="474">
        <v>59.991</v>
      </c>
      <c r="Q27" s="474">
        <v>48.749</v>
      </c>
      <c r="R27" s="474">
        <v>40.715</v>
      </c>
      <c r="S27" s="474">
        <v>30.431</v>
      </c>
      <c r="T27" s="474">
        <v>23.908</v>
      </c>
      <c r="U27" s="479">
        <v>29.633</v>
      </c>
      <c r="V27" s="906">
        <f t="shared" si="1"/>
        <v>23.945959511460586</v>
      </c>
      <c r="W27" s="10" t="s">
        <v>53</v>
      </c>
    </row>
    <row r="28" spans="1:23" ht="12.75" customHeight="1">
      <c r="A28" s="8"/>
      <c r="B28" s="156" t="s">
        <v>70</v>
      </c>
      <c r="C28" s="370">
        <v>42</v>
      </c>
      <c r="D28" s="484">
        <v>14.969</v>
      </c>
      <c r="E28" s="484">
        <v>7.636</v>
      </c>
      <c r="F28" s="484"/>
      <c r="G28" s="484"/>
      <c r="H28" s="484"/>
      <c r="I28" s="484"/>
      <c r="J28" s="484">
        <v>1.982</v>
      </c>
      <c r="K28" s="484">
        <v>7.886</v>
      </c>
      <c r="L28" s="484">
        <v>7.236</v>
      </c>
      <c r="M28" s="484">
        <v>5.693</v>
      </c>
      <c r="N28" s="484">
        <v>4.646</v>
      </c>
      <c r="O28" s="484">
        <f>3.791</f>
        <v>3.791</v>
      </c>
      <c r="P28" s="484">
        <v>3.233</v>
      </c>
      <c r="Q28" s="484">
        <v>2.451</v>
      </c>
      <c r="R28" s="484">
        <v>2.317</v>
      </c>
      <c r="S28" s="484">
        <v>2.594</v>
      </c>
      <c r="T28" s="484">
        <v>2.615</v>
      </c>
      <c r="U28" s="516">
        <v>3.091</v>
      </c>
      <c r="V28" s="907">
        <f t="shared" si="1"/>
        <v>18.20267686424475</v>
      </c>
      <c r="W28" s="156" t="s">
        <v>70</v>
      </c>
    </row>
    <row r="29" spans="1:23" ht="12.75" customHeight="1">
      <c r="A29" s="8"/>
      <c r="B29" s="10" t="s">
        <v>54</v>
      </c>
      <c r="C29" s="201"/>
      <c r="D29" s="474"/>
      <c r="E29" s="474"/>
      <c r="F29" s="474"/>
      <c r="G29" s="474"/>
      <c r="H29" s="474"/>
      <c r="I29" s="474"/>
      <c r="J29" s="474"/>
      <c r="K29" s="474"/>
      <c r="L29" s="486"/>
      <c r="M29" s="486"/>
      <c r="N29" s="486"/>
      <c r="O29" s="474">
        <v>2.523</v>
      </c>
      <c r="P29" s="474">
        <v>2.976</v>
      </c>
      <c r="Q29" s="474">
        <v>1.524</v>
      </c>
      <c r="R29" s="474">
        <v>0.7</v>
      </c>
      <c r="S29" s="474">
        <v>0.661</v>
      </c>
      <c r="T29" s="474">
        <v>0.727</v>
      </c>
      <c r="U29" s="479">
        <v>0.312</v>
      </c>
      <c r="V29" s="906">
        <f t="shared" si="1"/>
        <v>-57.08390646492435</v>
      </c>
      <c r="W29" s="10" t="s">
        <v>54</v>
      </c>
    </row>
    <row r="30" spans="1:23" ht="12.75" customHeight="1">
      <c r="A30" s="8"/>
      <c r="B30" s="156" t="s">
        <v>56</v>
      </c>
      <c r="C30" s="370"/>
      <c r="D30" s="484"/>
      <c r="E30" s="484"/>
      <c r="F30" s="484">
        <v>1.741</v>
      </c>
      <c r="G30" s="484">
        <v>1.398</v>
      </c>
      <c r="H30" s="484">
        <v>2.215</v>
      </c>
      <c r="I30" s="484">
        <v>3.121</v>
      </c>
      <c r="J30" s="484">
        <v>4.689</v>
      </c>
      <c r="K30" s="484">
        <v>5.735</v>
      </c>
      <c r="L30" s="484">
        <v>5.86</v>
      </c>
      <c r="M30" s="484">
        <v>4.566</v>
      </c>
      <c r="N30" s="484">
        <v>3.453</v>
      </c>
      <c r="O30" s="484">
        <f>3.433</f>
        <v>3.433</v>
      </c>
      <c r="P30" s="484">
        <v>2.672</v>
      </c>
      <c r="Q30" s="484">
        <v>1.935</v>
      </c>
      <c r="R30" s="469">
        <v>2.233</v>
      </c>
      <c r="S30" s="484">
        <v>2.296</v>
      </c>
      <c r="T30" s="489">
        <v>2.531</v>
      </c>
      <c r="U30" s="516">
        <v>18.589</v>
      </c>
      <c r="V30" s="907" t="s">
        <v>309</v>
      </c>
      <c r="W30" s="156" t="s">
        <v>56</v>
      </c>
    </row>
    <row r="31" spans="1:23" ht="12.75" customHeight="1">
      <c r="A31" s="8"/>
      <c r="B31" s="10" t="s">
        <v>55</v>
      </c>
      <c r="C31" s="201"/>
      <c r="D31" s="474"/>
      <c r="E31" s="474"/>
      <c r="F31" s="474"/>
      <c r="G31" s="474"/>
      <c r="H31" s="474">
        <v>1.763</v>
      </c>
      <c r="I31" s="474">
        <v>2.037</v>
      </c>
      <c r="J31" s="474">
        <v>2.577</v>
      </c>
      <c r="K31" s="474">
        <v>3.017</v>
      </c>
      <c r="L31" s="474">
        <v>2.616</v>
      </c>
      <c r="M31" s="474">
        <v>2.076</v>
      </c>
      <c r="N31" s="474">
        <v>1.832</v>
      </c>
      <c r="O31" s="474">
        <f>1.612</f>
        <v>1.612</v>
      </c>
      <c r="P31" s="474">
        <v>1.512</v>
      </c>
      <c r="Q31" s="474">
        <v>0.99</v>
      </c>
      <c r="R31" s="474">
        <v>0.726</v>
      </c>
      <c r="S31" s="474">
        <v>0.552</v>
      </c>
      <c r="T31" s="474">
        <v>0.479</v>
      </c>
      <c r="U31" s="479">
        <v>0.385</v>
      </c>
      <c r="V31" s="906">
        <f t="shared" si="1"/>
        <v>-19.624217118997905</v>
      </c>
      <c r="W31" s="10" t="s">
        <v>55</v>
      </c>
    </row>
    <row r="32" spans="1:23" ht="12.75" customHeight="1">
      <c r="A32" s="8"/>
      <c r="B32" s="156" t="s">
        <v>71</v>
      </c>
      <c r="C32" s="370"/>
      <c r="D32" s="484">
        <v>6.423</v>
      </c>
      <c r="E32" s="484">
        <v>6.705</v>
      </c>
      <c r="F32" s="484">
        <v>8.835</v>
      </c>
      <c r="G32" s="484">
        <v>12.751</v>
      </c>
      <c r="H32" s="484">
        <v>17.808</v>
      </c>
      <c r="I32" s="484">
        <v>20.895</v>
      </c>
      <c r="J32" s="484">
        <v>25.693</v>
      </c>
      <c r="K32" s="484">
        <v>27.448</v>
      </c>
      <c r="L32" s="484">
        <v>25.255</v>
      </c>
      <c r="M32" s="484">
        <v>21.1</v>
      </c>
      <c r="N32" s="484">
        <v>17.936</v>
      </c>
      <c r="O32" s="484">
        <f>17.25</f>
        <v>17.25</v>
      </c>
      <c r="P32" s="484">
        <v>12.547</v>
      </c>
      <c r="Q32" s="484">
        <v>8.26</v>
      </c>
      <c r="R32" s="484">
        <v>7.238</v>
      </c>
      <c r="S32" s="484">
        <v>7.004</v>
      </c>
      <c r="T32" s="484">
        <v>5.166</v>
      </c>
      <c r="U32" s="516">
        <v>6.893</v>
      </c>
      <c r="V32" s="907">
        <f t="shared" si="1"/>
        <v>33.43012001548587</v>
      </c>
      <c r="W32" s="156" t="s">
        <v>71</v>
      </c>
    </row>
    <row r="33" spans="1:24" ht="12.75" customHeight="1">
      <c r="A33" s="8"/>
      <c r="B33" s="10" t="s">
        <v>72</v>
      </c>
      <c r="C33" s="201">
        <v>5.7</v>
      </c>
      <c r="D33" s="474">
        <v>9.977</v>
      </c>
      <c r="E33" s="474">
        <v>10.01</v>
      </c>
      <c r="F33" s="474">
        <v>21.297</v>
      </c>
      <c r="G33" s="474">
        <v>19.846</v>
      </c>
      <c r="H33" s="474">
        <v>13.608</v>
      </c>
      <c r="I33" s="474">
        <v>15.365</v>
      </c>
      <c r="J33" s="474">
        <v>14.995</v>
      </c>
      <c r="K33" s="474">
        <v>31.852</v>
      </c>
      <c r="L33" s="474">
        <v>31.148</v>
      </c>
      <c r="M33" s="474">
        <v>21.443</v>
      </c>
      <c r="N33" s="474">
        <v>13.253</v>
      </c>
      <c r="O33" s="474">
        <v>9.902</v>
      </c>
      <c r="P33" s="474">
        <v>8.776</v>
      </c>
      <c r="Q33" s="474">
        <v>7.916</v>
      </c>
      <c r="R33" s="474">
        <v>8.682</v>
      </c>
      <c r="S33" s="474">
        <v>10.628</v>
      </c>
      <c r="T33" s="474">
        <v>12.581</v>
      </c>
      <c r="U33" s="479">
        <v>22.16</v>
      </c>
      <c r="V33" s="906">
        <f t="shared" si="1"/>
        <v>76.13862173118196</v>
      </c>
      <c r="W33" s="402" t="s">
        <v>72</v>
      </c>
      <c r="X33" s="1"/>
    </row>
    <row r="34" spans="1:24" ht="12.75" customHeight="1">
      <c r="A34" s="8"/>
      <c r="B34" s="157" t="s">
        <v>61</v>
      </c>
      <c r="C34" s="371">
        <v>6.292</v>
      </c>
      <c r="D34" s="492">
        <v>48.164</v>
      </c>
      <c r="E34" s="492">
        <v>45.374</v>
      </c>
      <c r="F34" s="492">
        <v>36.271</v>
      </c>
      <c r="G34" s="492">
        <v>36.345</v>
      </c>
      <c r="H34" s="492">
        <v>27.547</v>
      </c>
      <c r="I34" s="492">
        <v>24.745</v>
      </c>
      <c r="J34" s="492">
        <v>23.55</v>
      </c>
      <c r="K34" s="492">
        <v>24.562</v>
      </c>
      <c r="L34" s="492">
        <v>24.953</v>
      </c>
      <c r="M34" s="492">
        <v>16.444</v>
      </c>
      <c r="N34" s="492">
        <v>14.53</v>
      </c>
      <c r="O34" s="492">
        <f>14.466</f>
        <v>14.466</v>
      </c>
      <c r="P34" s="492">
        <v>13.422</v>
      </c>
      <c r="Q34" s="492">
        <v>10.73</v>
      </c>
      <c r="R34" s="492">
        <v>10.628</v>
      </c>
      <c r="S34" s="492">
        <v>9.402</v>
      </c>
      <c r="T34" s="492">
        <v>8.748</v>
      </c>
      <c r="U34" s="518">
        <v>7.752</v>
      </c>
      <c r="V34" s="909">
        <f t="shared" si="1"/>
        <v>-11.385459533607673</v>
      </c>
      <c r="W34" s="157" t="s">
        <v>61</v>
      </c>
      <c r="X34" s="998"/>
    </row>
    <row r="35" spans="1:24" ht="12.75" customHeight="1">
      <c r="A35" s="8"/>
      <c r="B35" s="401" t="s">
        <v>252</v>
      </c>
      <c r="C35" s="199"/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793"/>
      <c r="U35" s="861"/>
      <c r="V35" s="906"/>
      <c r="W35" s="401" t="s">
        <v>252</v>
      </c>
      <c r="X35" s="398"/>
    </row>
    <row r="36" spans="1:27" ht="12.75" customHeight="1">
      <c r="A36" s="8"/>
      <c r="B36" s="156" t="s">
        <v>240</v>
      </c>
      <c r="C36" s="370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84"/>
      <c r="T36" s="484"/>
      <c r="U36" s="516"/>
      <c r="V36" s="907"/>
      <c r="W36" s="156" t="s">
        <v>240</v>
      </c>
      <c r="Y36" s="1"/>
      <c r="Z36" s="1"/>
      <c r="AA36" s="1"/>
    </row>
    <row r="37" spans="1:24" s="398" customFormat="1" ht="12.75" customHeight="1">
      <c r="A37" s="8"/>
      <c r="B37" s="402" t="s">
        <v>1</v>
      </c>
      <c r="C37" s="201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9"/>
      <c r="V37" s="906"/>
      <c r="W37" s="402" t="s">
        <v>1</v>
      </c>
      <c r="X37"/>
    </row>
    <row r="38" spans="1:23" ht="12.75" customHeight="1">
      <c r="A38" s="8"/>
      <c r="B38" s="156" t="s">
        <v>239</v>
      </c>
      <c r="C38" s="370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>
        <v>8.783</v>
      </c>
      <c r="O38" s="484">
        <v>6.25</v>
      </c>
      <c r="P38" s="484">
        <v>6.622</v>
      </c>
      <c r="Q38" s="484">
        <v>5.655</v>
      </c>
      <c r="R38" s="484">
        <f>0.532+1.338+1.134+1.935</f>
        <v>4.939</v>
      </c>
      <c r="S38" s="484">
        <v>2.422</v>
      </c>
      <c r="T38" s="484">
        <v>1.302</v>
      </c>
      <c r="U38" s="516">
        <v>1.678</v>
      </c>
      <c r="V38" s="907">
        <f t="shared" si="1"/>
        <v>28.878648233486928</v>
      </c>
      <c r="W38" s="156" t="s">
        <v>239</v>
      </c>
    </row>
    <row r="39" spans="1:23" ht="12.75" customHeight="1">
      <c r="A39" s="8"/>
      <c r="B39" s="403" t="s">
        <v>57</v>
      </c>
      <c r="C39" s="203"/>
      <c r="D39" s="497"/>
      <c r="E39" s="497"/>
      <c r="F39" s="497"/>
      <c r="G39" s="497"/>
      <c r="H39" s="497"/>
      <c r="I39" s="497"/>
      <c r="J39" s="497"/>
      <c r="K39" s="497"/>
      <c r="L39" s="497"/>
      <c r="M39" s="497">
        <v>2.441</v>
      </c>
      <c r="N39" s="497">
        <v>1.507</v>
      </c>
      <c r="O39" s="497">
        <f>1.537</f>
        <v>1.537</v>
      </c>
      <c r="P39" s="497">
        <v>0.624</v>
      </c>
      <c r="Q39" s="497">
        <v>0.644</v>
      </c>
      <c r="R39" s="497">
        <v>1.811</v>
      </c>
      <c r="S39" s="497">
        <v>2.332</v>
      </c>
      <c r="T39" s="497">
        <v>3.472</v>
      </c>
      <c r="U39" s="520">
        <v>18.036</v>
      </c>
      <c r="V39" s="910">
        <f t="shared" si="1"/>
        <v>419.47004608294935</v>
      </c>
      <c r="W39" s="403" t="s">
        <v>57</v>
      </c>
    </row>
    <row r="40" spans="1:23" ht="12.75" customHeight="1">
      <c r="A40" s="8"/>
      <c r="B40" s="155" t="s">
        <v>43</v>
      </c>
      <c r="C40" s="521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484"/>
      <c r="R40" s="484"/>
      <c r="S40" s="484"/>
      <c r="T40" s="794"/>
      <c r="U40" s="516"/>
      <c r="V40" s="907"/>
      <c r="W40" s="155" t="s">
        <v>43</v>
      </c>
    </row>
    <row r="41" spans="1:23" ht="12.75" customHeight="1">
      <c r="A41" s="8"/>
      <c r="B41" s="402" t="s">
        <v>73</v>
      </c>
      <c r="C41" s="201"/>
      <c r="D41" s="474"/>
      <c r="E41" s="474"/>
      <c r="F41" s="474">
        <v>13.64</v>
      </c>
      <c r="G41" s="474">
        <v>15.009</v>
      </c>
      <c r="H41" s="474">
        <v>16.37</v>
      </c>
      <c r="I41" s="474">
        <v>11.857</v>
      </c>
      <c r="J41" s="474">
        <v>11.02</v>
      </c>
      <c r="K41" s="474">
        <v>10.534</v>
      </c>
      <c r="L41" s="474">
        <v>11.438</v>
      </c>
      <c r="M41" s="474">
        <v>9.033</v>
      </c>
      <c r="N41" s="474">
        <v>8.058</v>
      </c>
      <c r="O41" s="474">
        <f>8.453</f>
        <v>8.453</v>
      </c>
      <c r="P41" s="474">
        <v>8.99</v>
      </c>
      <c r="Q41" s="474">
        <v>7.541</v>
      </c>
      <c r="R41" s="474">
        <v>7.383</v>
      </c>
      <c r="S41" s="474">
        <v>7.355</v>
      </c>
      <c r="T41" s="474">
        <v>5.946</v>
      </c>
      <c r="U41" s="479">
        <v>5.258</v>
      </c>
      <c r="V41" s="906">
        <f t="shared" si="1"/>
        <v>-11.57080390178271</v>
      </c>
      <c r="W41" s="402" t="s">
        <v>73</v>
      </c>
    </row>
    <row r="42" spans="1:23" ht="12.75" customHeight="1">
      <c r="A42" s="8"/>
      <c r="B42" s="157" t="s">
        <v>44</v>
      </c>
      <c r="C42" s="371"/>
      <c r="D42" s="492">
        <v>19.358</v>
      </c>
      <c r="E42" s="492">
        <v>19.43</v>
      </c>
      <c r="F42" s="492">
        <v>18.425</v>
      </c>
      <c r="G42" s="492">
        <v>6.642</v>
      </c>
      <c r="H42" s="492">
        <v>3.434</v>
      </c>
      <c r="I42" s="492">
        <v>3.086</v>
      </c>
      <c r="J42" s="492">
        <v>3.014</v>
      </c>
      <c r="K42" s="492">
        <v>2.738</v>
      </c>
      <c r="L42" s="492">
        <v>3.127</v>
      </c>
      <c r="M42" s="492">
        <v>2.863</v>
      </c>
      <c r="N42" s="492">
        <v>3.099</v>
      </c>
      <c r="O42" s="492">
        <v>2.308</v>
      </c>
      <c r="P42" s="492">
        <v>1.874</v>
      </c>
      <c r="Q42" s="492">
        <v>1.13</v>
      </c>
      <c r="R42" s="492">
        <v>0.865</v>
      </c>
      <c r="S42" s="492">
        <v>0.83</v>
      </c>
      <c r="T42" s="492">
        <v>0.749</v>
      </c>
      <c r="U42" s="518">
        <v>0.67</v>
      </c>
      <c r="V42" s="907">
        <f t="shared" si="1"/>
        <v>-10.547396528704937</v>
      </c>
      <c r="W42" s="157" t="s">
        <v>44</v>
      </c>
    </row>
    <row r="43" spans="1:22" ht="12.75" customHeight="1">
      <c r="A43" s="8"/>
      <c r="B43" s="1015" t="s">
        <v>260</v>
      </c>
      <c r="C43" s="1015"/>
      <c r="D43" s="1015"/>
      <c r="E43" s="1015"/>
      <c r="F43" s="1015"/>
      <c r="G43" s="1015"/>
      <c r="H43" s="1015"/>
      <c r="I43" s="1015"/>
      <c r="J43" s="1015"/>
      <c r="K43" s="1015"/>
      <c r="L43" s="1015"/>
      <c r="M43" s="1015"/>
      <c r="N43" s="1015"/>
      <c r="O43" s="1015"/>
      <c r="P43" s="1015"/>
      <c r="Q43" s="1015"/>
      <c r="R43" s="1015"/>
      <c r="S43" s="1015"/>
      <c r="T43" s="1015"/>
      <c r="U43" s="1020"/>
      <c r="V43" s="1015"/>
    </row>
    <row r="44" spans="1:2" ht="12.75" customHeight="1">
      <c r="A44" s="8"/>
      <c r="B44" s="399" t="s">
        <v>81</v>
      </c>
    </row>
    <row r="45" spans="2:20" ht="13.5" customHeight="1">
      <c r="B45" s="1050" t="s">
        <v>312</v>
      </c>
      <c r="C45" s="1050"/>
      <c r="D45" s="1050"/>
      <c r="E45" s="1050"/>
      <c r="F45" s="1050"/>
      <c r="G45" s="1050"/>
      <c r="H45" s="1050"/>
      <c r="I45" s="1050"/>
      <c r="J45" s="1050"/>
      <c r="K45" s="1050"/>
      <c r="L45" s="1050"/>
      <c r="M45" s="1050"/>
      <c r="N45" s="1050"/>
      <c r="O45" s="1050"/>
      <c r="P45" s="1050"/>
      <c r="Q45" s="1050"/>
      <c r="R45" s="1050"/>
      <c r="S45" s="1050"/>
      <c r="T45" s="1050"/>
    </row>
  </sheetData>
  <sheetProtection/>
  <mergeCells count="4">
    <mergeCell ref="B2:V2"/>
    <mergeCell ref="B3:V3"/>
    <mergeCell ref="B43:V43"/>
    <mergeCell ref="B45:T45"/>
  </mergeCells>
  <printOptions horizontalCentered="1"/>
  <pageMargins left="0.6692913385826772" right="0.28" top="0.5118110236220472" bottom="0.2755905511811024" header="0" footer="0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O51"/>
  <sheetViews>
    <sheetView zoomScalePageLayoutView="0" workbookViewId="0" topLeftCell="A16">
      <selection activeCell="N42" sqref="N42"/>
    </sheetView>
  </sheetViews>
  <sheetFormatPr defaultColWidth="9.140625" defaultRowHeight="12.75"/>
  <cols>
    <col min="1" max="1" width="3.7109375" style="21" customWidth="1"/>
    <col min="2" max="2" width="4.140625" style="3" customWidth="1"/>
    <col min="3" max="3" width="10.8515625" style="3" bestFit="1" customWidth="1"/>
    <col min="4" max="4" width="10.00390625" style="3" customWidth="1"/>
    <col min="5" max="10" width="8.7109375" style="3" customWidth="1"/>
    <col min="11" max="11" width="4.57421875" style="3" customWidth="1"/>
    <col min="12" max="12" width="4.57421875" style="766" customWidth="1"/>
    <col min="13" max="16384" width="9.140625" style="3" customWidth="1"/>
  </cols>
  <sheetData>
    <row r="1" spans="1:12" ht="14.25" customHeight="1">
      <c r="A1" s="27"/>
      <c r="B1" s="28"/>
      <c r="C1" s="28"/>
      <c r="D1" s="28"/>
      <c r="E1" s="28"/>
      <c r="F1" s="28"/>
      <c r="G1" s="28"/>
      <c r="H1" s="28"/>
      <c r="I1" s="28"/>
      <c r="K1" s="16" t="s">
        <v>155</v>
      </c>
      <c r="L1" s="842"/>
    </row>
    <row r="2" spans="1:12" s="56" customFormat="1" ht="30" customHeight="1">
      <c r="A2" s="88"/>
      <c r="B2" s="1009" t="s">
        <v>19</v>
      </c>
      <c r="C2" s="1009"/>
      <c r="D2" s="1009"/>
      <c r="E2" s="1009"/>
      <c r="F2" s="1009"/>
      <c r="G2" s="1009"/>
      <c r="H2" s="1009"/>
      <c r="I2" s="1009"/>
      <c r="J2" s="1009"/>
      <c r="K2" s="1009"/>
      <c r="L2" s="840"/>
    </row>
    <row r="3" spans="1:12" s="14" customFormat="1" ht="15" customHeight="1">
      <c r="A3" s="33"/>
      <c r="B3" s="1014" t="s">
        <v>294</v>
      </c>
      <c r="C3" s="1014"/>
      <c r="D3" s="1014"/>
      <c r="E3" s="1014"/>
      <c r="F3" s="1014"/>
      <c r="G3" s="1014"/>
      <c r="H3" s="1014"/>
      <c r="I3" s="1014"/>
      <c r="J3" s="1014"/>
      <c r="K3" s="1014"/>
      <c r="L3" s="841"/>
    </row>
    <row r="4" spans="1:12" s="14" customFormat="1" ht="12.75" customHeight="1">
      <c r="A4" s="33"/>
      <c r="B4" s="1051" t="s">
        <v>298</v>
      </c>
      <c r="C4" s="1051"/>
      <c r="D4" s="1051"/>
      <c r="E4" s="1051"/>
      <c r="F4" s="1051"/>
      <c r="G4" s="1051"/>
      <c r="H4" s="1051"/>
      <c r="I4" s="1051"/>
      <c r="J4" s="1051"/>
      <c r="K4" s="1051"/>
      <c r="L4" s="843"/>
    </row>
    <row r="5" spans="3:12" ht="30" customHeight="1">
      <c r="C5" s="1042" t="s">
        <v>20</v>
      </c>
      <c r="D5" s="1044"/>
      <c r="E5" s="1042" t="s">
        <v>232</v>
      </c>
      <c r="F5" s="1044"/>
      <c r="G5" s="1042" t="s">
        <v>234</v>
      </c>
      <c r="H5" s="1044"/>
      <c r="I5" s="1042" t="s">
        <v>237</v>
      </c>
      <c r="J5" s="1044"/>
      <c r="K5" s="58"/>
      <c r="L5" s="58"/>
    </row>
    <row r="6" spans="1:12" ht="15" customHeight="1">
      <c r="A6" s="3"/>
      <c r="B6" s="4"/>
      <c r="C6" s="59" t="s">
        <v>21</v>
      </c>
      <c r="D6" s="208" t="s">
        <v>22</v>
      </c>
      <c r="E6" s="59" t="s">
        <v>21</v>
      </c>
      <c r="F6" s="208" t="s">
        <v>22</v>
      </c>
      <c r="G6" s="59" t="s">
        <v>21</v>
      </c>
      <c r="H6" s="208" t="s">
        <v>22</v>
      </c>
      <c r="I6" s="59" t="s">
        <v>21</v>
      </c>
      <c r="J6" s="209" t="s">
        <v>22</v>
      </c>
      <c r="K6" s="210"/>
      <c r="L6" s="411"/>
    </row>
    <row r="7" spans="1:15" ht="12.75" customHeight="1">
      <c r="A7" s="3"/>
      <c r="B7" s="50" t="s">
        <v>253</v>
      </c>
      <c r="C7" s="441">
        <f aca="true" t="shared" si="0" ref="C7:H7">SUM(C8:C35)</f>
        <v>13321</v>
      </c>
      <c r="D7" s="211">
        <f t="shared" si="0"/>
        <v>673.1129999999998</v>
      </c>
      <c r="E7" s="441">
        <f t="shared" si="0"/>
        <v>3106</v>
      </c>
      <c r="F7" s="211">
        <f t="shared" si="0"/>
        <v>136.221</v>
      </c>
      <c r="G7" s="441">
        <f t="shared" si="0"/>
        <v>10158</v>
      </c>
      <c r="H7" s="211">
        <f t="shared" si="0"/>
        <v>531.418</v>
      </c>
      <c r="I7" s="341"/>
      <c r="J7" s="342"/>
      <c r="K7" s="50" t="s">
        <v>253</v>
      </c>
      <c r="L7" s="411"/>
      <c r="O7" s="766"/>
    </row>
    <row r="8" spans="1:12" ht="12.75" customHeight="1">
      <c r="A8" s="8"/>
      <c r="B8" s="213" t="s">
        <v>62</v>
      </c>
      <c r="C8" s="672">
        <v>222</v>
      </c>
      <c r="D8" s="217">
        <v>21.557</v>
      </c>
      <c r="E8" s="672">
        <v>71</v>
      </c>
      <c r="F8" s="217">
        <v>7.854</v>
      </c>
      <c r="G8" s="672">
        <v>151</v>
      </c>
      <c r="H8" s="217">
        <v>13.703</v>
      </c>
      <c r="I8" s="221">
        <f aca="true" t="shared" si="1" ref="I8:J23">G8/C8</f>
        <v>0.6801801801801802</v>
      </c>
      <c r="J8" s="224">
        <f t="shared" si="1"/>
        <v>0.6356635895532774</v>
      </c>
      <c r="K8" s="213" t="s">
        <v>62</v>
      </c>
      <c r="L8" s="411"/>
    </row>
    <row r="9" spans="1:15" ht="12.75" customHeight="1">
      <c r="A9" s="8"/>
      <c r="B9" s="214" t="s">
        <v>45</v>
      </c>
      <c r="C9" s="673">
        <v>76</v>
      </c>
      <c r="D9" s="218">
        <v>1.59</v>
      </c>
      <c r="E9" s="673">
        <v>12</v>
      </c>
      <c r="F9" s="218">
        <v>0.085</v>
      </c>
      <c r="G9" s="673">
        <v>64</v>
      </c>
      <c r="H9" s="218">
        <v>1.505</v>
      </c>
      <c r="I9" s="222">
        <f t="shared" si="1"/>
        <v>0.8421052631578947</v>
      </c>
      <c r="J9" s="225">
        <f t="shared" si="1"/>
        <v>0.9465408805031446</v>
      </c>
      <c r="K9" s="214" t="s">
        <v>45</v>
      </c>
      <c r="L9" s="411"/>
      <c r="O9" s="766"/>
    </row>
    <row r="10" spans="1:15" ht="12.75" customHeight="1">
      <c r="A10" s="8"/>
      <c r="B10" s="215" t="s">
        <v>47</v>
      </c>
      <c r="C10" s="674" t="s">
        <v>75</v>
      </c>
      <c r="D10" s="219" t="s">
        <v>75</v>
      </c>
      <c r="E10" s="674" t="s">
        <v>75</v>
      </c>
      <c r="F10" s="219" t="s">
        <v>75</v>
      </c>
      <c r="G10" s="674" t="s">
        <v>75</v>
      </c>
      <c r="H10" s="219" t="s">
        <v>75</v>
      </c>
      <c r="I10" s="340" t="s">
        <v>75</v>
      </c>
      <c r="J10" s="226" t="s">
        <v>75</v>
      </c>
      <c r="K10" s="215" t="s">
        <v>47</v>
      </c>
      <c r="L10" s="411"/>
      <c r="N10" s="755"/>
      <c r="O10" s="755"/>
    </row>
    <row r="11" spans="1:15" ht="12.75" customHeight="1">
      <c r="A11" s="8"/>
      <c r="B11" s="214" t="s">
        <v>58</v>
      </c>
      <c r="C11" s="673">
        <v>906</v>
      </c>
      <c r="D11" s="218">
        <v>43.358</v>
      </c>
      <c r="E11" s="673">
        <v>330</v>
      </c>
      <c r="F11" s="218">
        <v>16.917</v>
      </c>
      <c r="G11" s="673">
        <v>576</v>
      </c>
      <c r="H11" s="218">
        <v>26.441</v>
      </c>
      <c r="I11" s="222">
        <f t="shared" si="1"/>
        <v>0.6357615894039735</v>
      </c>
      <c r="J11" s="225">
        <f t="shared" si="1"/>
        <v>0.6098297891969187</v>
      </c>
      <c r="K11" s="214" t="s">
        <v>58</v>
      </c>
      <c r="L11" s="411"/>
      <c r="N11" s="755"/>
      <c r="O11" s="755"/>
    </row>
    <row r="12" spans="1:15" ht="12.75" customHeight="1">
      <c r="A12" s="8"/>
      <c r="B12" s="215" t="s">
        <v>63</v>
      </c>
      <c r="C12" s="674">
        <v>2941</v>
      </c>
      <c r="D12" s="219">
        <v>105.703</v>
      </c>
      <c r="E12" s="674">
        <v>189</v>
      </c>
      <c r="F12" s="219">
        <v>8.414</v>
      </c>
      <c r="G12" s="674">
        <v>2752</v>
      </c>
      <c r="H12" s="219">
        <v>97.289</v>
      </c>
      <c r="I12" s="223">
        <f t="shared" si="1"/>
        <v>0.9357361441686501</v>
      </c>
      <c r="J12" s="226">
        <f t="shared" si="1"/>
        <v>0.9203996102286596</v>
      </c>
      <c r="K12" s="215" t="s">
        <v>63</v>
      </c>
      <c r="L12" s="411"/>
      <c r="N12" s="755"/>
      <c r="O12" s="755"/>
    </row>
    <row r="13" spans="1:15" ht="12.75" customHeight="1">
      <c r="A13" s="8"/>
      <c r="B13" s="214" t="s">
        <v>48</v>
      </c>
      <c r="C13" s="673">
        <v>80</v>
      </c>
      <c r="D13" s="218">
        <v>0.342</v>
      </c>
      <c r="E13" s="673">
        <v>10</v>
      </c>
      <c r="F13" s="218">
        <v>0.018</v>
      </c>
      <c r="G13" s="673">
        <v>70</v>
      </c>
      <c r="H13" s="218">
        <v>0.324</v>
      </c>
      <c r="I13" s="222">
        <f t="shared" si="1"/>
        <v>0.875</v>
      </c>
      <c r="J13" s="225">
        <f t="shared" si="1"/>
        <v>0.9473684210526315</v>
      </c>
      <c r="K13" s="214" t="s">
        <v>48</v>
      </c>
      <c r="L13" s="411"/>
      <c r="N13" s="755"/>
      <c r="O13" s="755"/>
    </row>
    <row r="14" spans="1:15" ht="12.75" customHeight="1">
      <c r="A14" s="8"/>
      <c r="B14" s="215" t="s">
        <v>66</v>
      </c>
      <c r="C14" s="674">
        <v>95</v>
      </c>
      <c r="D14" s="219">
        <v>1.715</v>
      </c>
      <c r="E14" s="674">
        <v>31</v>
      </c>
      <c r="F14" s="219">
        <v>0.273</v>
      </c>
      <c r="G14" s="674">
        <v>64</v>
      </c>
      <c r="H14" s="219">
        <v>1.426</v>
      </c>
      <c r="I14" s="223">
        <f t="shared" si="1"/>
        <v>0.6736842105263158</v>
      </c>
      <c r="J14" s="226">
        <f t="shared" si="1"/>
        <v>0.8314868804664722</v>
      </c>
      <c r="K14" s="215" t="s">
        <v>66</v>
      </c>
      <c r="L14" s="411"/>
      <c r="N14" s="755"/>
      <c r="O14" s="755"/>
    </row>
    <row r="15" spans="1:15" ht="12.75" customHeight="1">
      <c r="A15" s="8"/>
      <c r="B15" s="214" t="s">
        <v>59</v>
      </c>
      <c r="C15" s="673">
        <v>4727</v>
      </c>
      <c r="D15" s="218">
        <v>365.36</v>
      </c>
      <c r="E15" s="673">
        <v>712</v>
      </c>
      <c r="F15" s="218">
        <v>68.743</v>
      </c>
      <c r="G15" s="673">
        <v>4015</v>
      </c>
      <c r="H15" s="218">
        <v>296.617</v>
      </c>
      <c r="I15" s="222">
        <f t="shared" si="1"/>
        <v>0.8493759255341654</v>
      </c>
      <c r="J15" s="225">
        <f t="shared" si="1"/>
        <v>0.8118485876943289</v>
      </c>
      <c r="K15" s="214" t="s">
        <v>59</v>
      </c>
      <c r="L15" s="411"/>
      <c r="N15" s="755"/>
      <c r="O15" s="755"/>
    </row>
    <row r="16" spans="1:15" ht="12.75" customHeight="1">
      <c r="A16" s="8"/>
      <c r="B16" s="215" t="s">
        <v>64</v>
      </c>
      <c r="C16" s="674">
        <v>194</v>
      </c>
      <c r="D16" s="219">
        <v>2.563</v>
      </c>
      <c r="E16" s="674">
        <v>92</v>
      </c>
      <c r="F16" s="219">
        <v>0.537</v>
      </c>
      <c r="G16" s="674">
        <v>102</v>
      </c>
      <c r="H16" s="219">
        <v>2.026</v>
      </c>
      <c r="I16" s="223">
        <f t="shared" si="1"/>
        <v>0.5257731958762887</v>
      </c>
      <c r="J16" s="226">
        <f t="shared" si="1"/>
        <v>0.7904799063597345</v>
      </c>
      <c r="K16" s="215" t="s">
        <v>64</v>
      </c>
      <c r="L16" s="411"/>
      <c r="N16" s="755"/>
      <c r="O16" s="755"/>
    </row>
    <row r="17" spans="1:15" ht="12.75" customHeight="1">
      <c r="A17" s="8"/>
      <c r="B17" s="214" t="s">
        <v>65</v>
      </c>
      <c r="C17" s="673">
        <v>298</v>
      </c>
      <c r="D17" s="218">
        <v>14.842</v>
      </c>
      <c r="E17" s="673">
        <v>108</v>
      </c>
      <c r="F17" s="218">
        <v>3.117</v>
      </c>
      <c r="G17" s="673">
        <v>190</v>
      </c>
      <c r="H17" s="218">
        <v>11.725</v>
      </c>
      <c r="I17" s="222">
        <f t="shared" si="1"/>
        <v>0.6375838926174496</v>
      </c>
      <c r="J17" s="225">
        <f t="shared" si="1"/>
        <v>0.7899878722544131</v>
      </c>
      <c r="K17" s="214" t="s">
        <v>65</v>
      </c>
      <c r="L17" s="411"/>
      <c r="N17" s="755"/>
      <c r="O17" s="755"/>
    </row>
    <row r="18" spans="1:15" ht="12.75" customHeight="1">
      <c r="A18" s="8"/>
      <c r="B18" s="376" t="s">
        <v>76</v>
      </c>
      <c r="C18" s="675">
        <v>85</v>
      </c>
      <c r="D18" s="377">
        <v>2.462</v>
      </c>
      <c r="E18" s="675">
        <v>59</v>
      </c>
      <c r="F18" s="377">
        <v>1.758</v>
      </c>
      <c r="G18" s="675">
        <v>26</v>
      </c>
      <c r="H18" s="377">
        <v>0.704</v>
      </c>
      <c r="I18" s="378">
        <f>G18/C18</f>
        <v>0.3058823529411765</v>
      </c>
      <c r="J18" s="379">
        <f>H18/D18</f>
        <v>0.28594638505280257</v>
      </c>
      <c r="K18" s="376" t="s">
        <v>76</v>
      </c>
      <c r="L18" s="411"/>
      <c r="N18" s="755"/>
      <c r="O18" s="755"/>
    </row>
    <row r="19" spans="1:15" ht="12.75" customHeight="1">
      <c r="A19" s="8"/>
      <c r="B19" s="214" t="s">
        <v>67</v>
      </c>
      <c r="C19" s="673">
        <v>1127</v>
      </c>
      <c r="D19" s="218">
        <v>50.617</v>
      </c>
      <c r="E19" s="673">
        <v>473</v>
      </c>
      <c r="F19" s="218">
        <v>13.9</v>
      </c>
      <c r="G19" s="673">
        <v>597</v>
      </c>
      <c r="H19" s="218">
        <v>31.257</v>
      </c>
      <c r="I19" s="222">
        <f t="shared" si="1"/>
        <v>0.5297249334516415</v>
      </c>
      <c r="J19" s="225">
        <f t="shared" si="1"/>
        <v>0.6175198055989095</v>
      </c>
      <c r="K19" s="214" t="s">
        <v>67</v>
      </c>
      <c r="L19" s="411"/>
      <c r="N19" s="755"/>
      <c r="O19" s="755"/>
    </row>
    <row r="20" spans="1:15" ht="12.75" customHeight="1">
      <c r="A20" s="8"/>
      <c r="B20" s="376" t="s">
        <v>46</v>
      </c>
      <c r="C20" s="675">
        <v>160</v>
      </c>
      <c r="D20" s="377">
        <v>5.728</v>
      </c>
      <c r="E20" s="675">
        <v>51</v>
      </c>
      <c r="F20" s="377">
        <v>1.614</v>
      </c>
      <c r="G20" s="675">
        <v>109</v>
      </c>
      <c r="H20" s="377">
        <v>4.114</v>
      </c>
      <c r="I20" s="378">
        <f t="shared" si="1"/>
        <v>0.68125</v>
      </c>
      <c r="J20" s="379">
        <f t="shared" si="1"/>
        <v>0.7182262569832403</v>
      </c>
      <c r="K20" s="376" t="s">
        <v>46</v>
      </c>
      <c r="L20" s="411"/>
      <c r="N20" s="755"/>
      <c r="O20" s="755"/>
    </row>
    <row r="21" spans="1:15" ht="12.75" customHeight="1">
      <c r="A21" s="8"/>
      <c r="B21" s="214" t="s">
        <v>50</v>
      </c>
      <c r="C21" s="673">
        <v>39</v>
      </c>
      <c r="D21" s="218">
        <v>0.194</v>
      </c>
      <c r="E21" s="673">
        <v>10</v>
      </c>
      <c r="F21" s="218">
        <v>0.033</v>
      </c>
      <c r="G21" s="673">
        <v>29</v>
      </c>
      <c r="H21" s="218">
        <v>0.162</v>
      </c>
      <c r="I21" s="222">
        <f t="shared" si="1"/>
        <v>0.7435897435897436</v>
      </c>
      <c r="J21" s="225">
        <f t="shared" si="1"/>
        <v>0.8350515463917526</v>
      </c>
      <c r="K21" s="214" t="s">
        <v>50</v>
      </c>
      <c r="L21" s="411"/>
      <c r="N21" s="755"/>
      <c r="O21" s="755"/>
    </row>
    <row r="22" spans="1:15" ht="12.75" customHeight="1">
      <c r="A22" s="8"/>
      <c r="B22" s="376" t="s">
        <v>51</v>
      </c>
      <c r="C22" s="675">
        <v>48</v>
      </c>
      <c r="D22" s="377">
        <v>0.206</v>
      </c>
      <c r="E22" s="675">
        <v>15</v>
      </c>
      <c r="F22" s="377">
        <v>0.086</v>
      </c>
      <c r="G22" s="675">
        <v>33</v>
      </c>
      <c r="H22" s="377">
        <v>0.12</v>
      </c>
      <c r="I22" s="378">
        <f t="shared" si="1"/>
        <v>0.6875</v>
      </c>
      <c r="J22" s="379">
        <f t="shared" si="1"/>
        <v>0.5825242718446602</v>
      </c>
      <c r="K22" s="376" t="s">
        <v>51</v>
      </c>
      <c r="L22" s="411"/>
      <c r="N22" s="755"/>
      <c r="O22" s="755"/>
    </row>
    <row r="23" spans="1:15" ht="12.75" customHeight="1">
      <c r="A23" s="8"/>
      <c r="B23" s="214" t="s">
        <v>68</v>
      </c>
      <c r="C23" s="673">
        <v>9</v>
      </c>
      <c r="D23" s="218">
        <v>0.759</v>
      </c>
      <c r="E23" s="673" t="s">
        <v>75</v>
      </c>
      <c r="F23" s="372" t="s">
        <v>75</v>
      </c>
      <c r="G23" s="673">
        <v>9</v>
      </c>
      <c r="H23" s="218">
        <v>0.759</v>
      </c>
      <c r="I23" s="373">
        <f t="shared" si="1"/>
        <v>1</v>
      </c>
      <c r="J23" s="225">
        <f t="shared" si="1"/>
        <v>1</v>
      </c>
      <c r="K23" s="214" t="s">
        <v>68</v>
      </c>
      <c r="L23" s="411"/>
      <c r="N23" s="755"/>
      <c r="O23" s="755"/>
    </row>
    <row r="24" spans="1:15" ht="12.75" customHeight="1">
      <c r="A24" s="8"/>
      <c r="B24" s="376" t="s">
        <v>49</v>
      </c>
      <c r="C24" s="675" t="s">
        <v>75</v>
      </c>
      <c r="D24" s="377" t="s">
        <v>75</v>
      </c>
      <c r="E24" s="675" t="s">
        <v>75</v>
      </c>
      <c r="F24" s="377" t="s">
        <v>75</v>
      </c>
      <c r="G24" s="675" t="s">
        <v>75</v>
      </c>
      <c r="H24" s="377" t="s">
        <v>75</v>
      </c>
      <c r="I24" s="378" t="s">
        <v>75</v>
      </c>
      <c r="J24" s="379" t="s">
        <v>75</v>
      </c>
      <c r="K24" s="376" t="s">
        <v>49</v>
      </c>
      <c r="L24" s="411"/>
      <c r="N24" s="755"/>
      <c r="O24" s="755"/>
    </row>
    <row r="25" spans="1:15" ht="12.75" customHeight="1">
      <c r="A25" s="8"/>
      <c r="B25" s="214" t="s">
        <v>52</v>
      </c>
      <c r="C25" s="673">
        <v>47</v>
      </c>
      <c r="D25" s="218">
        <v>0.826</v>
      </c>
      <c r="E25" s="673">
        <v>32</v>
      </c>
      <c r="F25" s="218">
        <v>0.296</v>
      </c>
      <c r="G25" s="673">
        <v>15</v>
      </c>
      <c r="H25" s="218">
        <v>0.531</v>
      </c>
      <c r="I25" s="222">
        <f aca="true" t="shared" si="2" ref="I25:J42">G25/C25</f>
        <v>0.3191489361702128</v>
      </c>
      <c r="J25" s="225">
        <f t="shared" si="2"/>
        <v>0.6428571428571429</v>
      </c>
      <c r="K25" s="214" t="s">
        <v>52</v>
      </c>
      <c r="L25" s="411"/>
      <c r="N25" s="755"/>
      <c r="O25" s="755"/>
    </row>
    <row r="26" spans="1:15" ht="12.75" customHeight="1">
      <c r="A26" s="8"/>
      <c r="B26" s="376" t="s">
        <v>60</v>
      </c>
      <c r="C26" s="675">
        <v>907</v>
      </c>
      <c r="D26" s="377">
        <v>12.511</v>
      </c>
      <c r="E26" s="675">
        <v>564</v>
      </c>
      <c r="F26" s="377">
        <v>4.787</v>
      </c>
      <c r="G26" s="675">
        <v>343</v>
      </c>
      <c r="H26" s="377">
        <v>7.724</v>
      </c>
      <c r="I26" s="378">
        <f t="shared" si="2"/>
        <v>0.37816979051819183</v>
      </c>
      <c r="J26" s="379">
        <f t="shared" si="2"/>
        <v>0.6173767084965232</v>
      </c>
      <c r="K26" s="376" t="s">
        <v>60</v>
      </c>
      <c r="L26" s="411"/>
      <c r="N26" s="755"/>
      <c r="O26" s="755"/>
    </row>
    <row r="27" spans="1:15" ht="12.75" customHeight="1">
      <c r="A27" s="8"/>
      <c r="B27" s="214" t="s">
        <v>69</v>
      </c>
      <c r="C27" s="673">
        <v>5</v>
      </c>
      <c r="D27" s="218">
        <v>0.039</v>
      </c>
      <c r="E27" s="673" t="s">
        <v>75</v>
      </c>
      <c r="F27" s="218" t="s">
        <v>75</v>
      </c>
      <c r="G27" s="673">
        <v>5</v>
      </c>
      <c r="H27" s="218">
        <v>0.039</v>
      </c>
      <c r="I27" s="222">
        <f t="shared" si="2"/>
        <v>1</v>
      </c>
      <c r="J27" s="225">
        <f t="shared" si="2"/>
        <v>1</v>
      </c>
      <c r="K27" s="214" t="s">
        <v>69</v>
      </c>
      <c r="L27" s="411"/>
      <c r="N27" s="755"/>
      <c r="O27" s="755"/>
    </row>
    <row r="28" spans="1:15" ht="12.75" customHeight="1">
      <c r="A28" s="8"/>
      <c r="B28" s="376" t="s">
        <v>53</v>
      </c>
      <c r="C28" s="675">
        <v>108</v>
      </c>
      <c r="D28" s="377">
        <v>2.376</v>
      </c>
      <c r="E28" s="675">
        <v>8</v>
      </c>
      <c r="F28" s="377">
        <v>0.028</v>
      </c>
      <c r="G28" s="675">
        <v>100</v>
      </c>
      <c r="H28" s="377">
        <v>2.348</v>
      </c>
      <c r="I28" s="378">
        <f t="shared" si="2"/>
        <v>0.9259259259259259</v>
      </c>
      <c r="J28" s="379">
        <f t="shared" si="2"/>
        <v>0.9882154882154882</v>
      </c>
      <c r="K28" s="376" t="s">
        <v>53</v>
      </c>
      <c r="L28" s="411"/>
      <c r="N28" s="755"/>
      <c r="O28" s="755"/>
    </row>
    <row r="29" spans="1:15" ht="12.75" customHeight="1">
      <c r="A29" s="8"/>
      <c r="B29" s="214" t="s">
        <v>70</v>
      </c>
      <c r="C29" s="673">
        <v>35</v>
      </c>
      <c r="D29" s="218">
        <v>0.923</v>
      </c>
      <c r="E29" s="673">
        <v>15</v>
      </c>
      <c r="F29" s="218">
        <v>0.065</v>
      </c>
      <c r="G29" s="673">
        <v>20</v>
      </c>
      <c r="H29" s="218">
        <v>0.858</v>
      </c>
      <c r="I29" s="222">
        <f t="shared" si="2"/>
        <v>0.5714285714285714</v>
      </c>
      <c r="J29" s="225">
        <f t="shared" si="2"/>
        <v>0.9295774647887324</v>
      </c>
      <c r="K29" s="214" t="s">
        <v>70</v>
      </c>
      <c r="L29" s="411"/>
      <c r="N29" s="755"/>
      <c r="O29" s="755"/>
    </row>
    <row r="30" spans="1:15" ht="12.75" customHeight="1">
      <c r="A30" s="8"/>
      <c r="B30" s="376" t="s">
        <v>54</v>
      </c>
      <c r="C30" s="675">
        <v>82</v>
      </c>
      <c r="D30" s="377">
        <v>0.867</v>
      </c>
      <c r="E30" s="675">
        <v>2</v>
      </c>
      <c r="F30" s="377">
        <v>0.024</v>
      </c>
      <c r="G30" s="675">
        <v>80</v>
      </c>
      <c r="H30" s="377">
        <v>0.843</v>
      </c>
      <c r="I30" s="378">
        <f t="shared" si="2"/>
        <v>0.975609756097561</v>
      </c>
      <c r="J30" s="379">
        <f t="shared" si="2"/>
        <v>0.972318339100346</v>
      </c>
      <c r="K30" s="376" t="s">
        <v>54</v>
      </c>
      <c r="L30" s="411"/>
      <c r="N30" s="755"/>
      <c r="O30" s="755"/>
    </row>
    <row r="31" spans="1:15" ht="12.75" customHeight="1">
      <c r="A31" s="8"/>
      <c r="B31" s="214" t="s">
        <v>56</v>
      </c>
      <c r="C31" s="673">
        <v>5</v>
      </c>
      <c r="D31" s="218">
        <f>0.018</f>
        <v>0.018</v>
      </c>
      <c r="E31" s="678" t="s">
        <v>75</v>
      </c>
      <c r="F31" s="218" t="s">
        <v>75</v>
      </c>
      <c r="G31" s="673">
        <v>5</v>
      </c>
      <c r="H31" s="218">
        <v>0.018</v>
      </c>
      <c r="I31" s="222">
        <f t="shared" si="2"/>
        <v>1</v>
      </c>
      <c r="J31" s="225">
        <f t="shared" si="2"/>
        <v>1</v>
      </c>
      <c r="K31" s="214" t="s">
        <v>56</v>
      </c>
      <c r="L31" s="411"/>
      <c r="N31" s="755"/>
      <c r="O31" s="755"/>
    </row>
    <row r="32" spans="1:15" ht="12.75" customHeight="1">
      <c r="A32" s="8"/>
      <c r="B32" s="376" t="s">
        <v>55</v>
      </c>
      <c r="C32" s="675" t="s">
        <v>75</v>
      </c>
      <c r="D32" s="377" t="s">
        <v>75</v>
      </c>
      <c r="E32" s="675" t="s">
        <v>75</v>
      </c>
      <c r="F32" s="377" t="s">
        <v>75</v>
      </c>
      <c r="G32" s="675" t="s">
        <v>75</v>
      </c>
      <c r="H32" s="377" t="s">
        <v>75</v>
      </c>
      <c r="I32" s="378" t="s">
        <v>75</v>
      </c>
      <c r="J32" s="379" t="s">
        <v>75</v>
      </c>
      <c r="K32" s="376" t="s">
        <v>55</v>
      </c>
      <c r="L32" s="411"/>
      <c r="N32" s="755"/>
      <c r="O32" s="755"/>
    </row>
    <row r="33" spans="1:15" ht="12.75" customHeight="1">
      <c r="A33" s="8"/>
      <c r="B33" s="214" t="s">
        <v>71</v>
      </c>
      <c r="C33" s="673">
        <v>97</v>
      </c>
      <c r="D33" s="218">
        <v>1.692</v>
      </c>
      <c r="E33" s="673">
        <v>62</v>
      </c>
      <c r="F33" s="218">
        <v>0.622</v>
      </c>
      <c r="G33" s="673">
        <v>35</v>
      </c>
      <c r="H33" s="218">
        <v>1.07</v>
      </c>
      <c r="I33" s="222">
        <f t="shared" si="2"/>
        <v>0.36082474226804123</v>
      </c>
      <c r="J33" s="225">
        <f t="shared" si="2"/>
        <v>0.632387706855792</v>
      </c>
      <c r="K33" s="214" t="s">
        <v>71</v>
      </c>
      <c r="L33" s="411"/>
      <c r="N33" s="755"/>
      <c r="O33" s="755"/>
    </row>
    <row r="34" spans="1:15" ht="12.75" customHeight="1">
      <c r="A34" s="8"/>
      <c r="B34" s="376" t="s">
        <v>72</v>
      </c>
      <c r="C34" s="675">
        <v>301</v>
      </c>
      <c r="D34" s="377">
        <v>6.579</v>
      </c>
      <c r="E34" s="675">
        <v>66</v>
      </c>
      <c r="F34" s="377">
        <v>0.803</v>
      </c>
      <c r="G34" s="675">
        <v>235</v>
      </c>
      <c r="H34" s="377">
        <v>5.776</v>
      </c>
      <c r="I34" s="378">
        <f t="shared" si="2"/>
        <v>0.7807308970099668</v>
      </c>
      <c r="J34" s="379">
        <f t="shared" si="2"/>
        <v>0.8779449764401884</v>
      </c>
      <c r="K34" s="376" t="s">
        <v>72</v>
      </c>
      <c r="L34" s="411"/>
      <c r="N34" s="755"/>
      <c r="O34" s="755"/>
    </row>
    <row r="35" spans="1:15" ht="12.75" customHeight="1">
      <c r="A35" s="8"/>
      <c r="B35" s="216" t="s">
        <v>61</v>
      </c>
      <c r="C35" s="676">
        <v>727</v>
      </c>
      <c r="D35" s="220">
        <v>30.286</v>
      </c>
      <c r="E35" s="676">
        <v>194</v>
      </c>
      <c r="F35" s="220">
        <v>6.247</v>
      </c>
      <c r="G35" s="676">
        <v>533</v>
      </c>
      <c r="H35" s="220">
        <v>24.039</v>
      </c>
      <c r="I35" s="374">
        <f t="shared" si="2"/>
        <v>0.7331499312242091</v>
      </c>
      <c r="J35" s="227">
        <f t="shared" si="2"/>
        <v>0.7937330779898303</v>
      </c>
      <c r="K35" s="216" t="s">
        <v>61</v>
      </c>
      <c r="L35" s="411"/>
      <c r="N35" s="755"/>
      <c r="O35" s="755"/>
    </row>
    <row r="36" spans="1:15" ht="12.75" customHeight="1">
      <c r="A36" s="8"/>
      <c r="B36" s="376" t="s">
        <v>252</v>
      </c>
      <c r="C36" s="675">
        <v>28</v>
      </c>
      <c r="D36" s="377">
        <v>0.097</v>
      </c>
      <c r="E36" s="675">
        <v>12</v>
      </c>
      <c r="F36" s="377">
        <v>0.029</v>
      </c>
      <c r="G36" s="675">
        <v>16</v>
      </c>
      <c r="H36" s="377">
        <v>0.068</v>
      </c>
      <c r="I36" s="378">
        <f>G36/C36</f>
        <v>0.5714285714285714</v>
      </c>
      <c r="J36" s="379">
        <f>H36/D36</f>
        <v>0.7010309278350516</v>
      </c>
      <c r="K36" s="376" t="s">
        <v>252</v>
      </c>
      <c r="L36" s="411"/>
      <c r="N36" s="755"/>
      <c r="O36" s="755"/>
    </row>
    <row r="37" spans="1:15" ht="12.75" customHeight="1">
      <c r="A37" s="8"/>
      <c r="B37" s="214" t="s">
        <v>240</v>
      </c>
      <c r="C37" s="673">
        <v>4</v>
      </c>
      <c r="D37" s="218">
        <v>0.14</v>
      </c>
      <c r="E37" s="673">
        <v>4</v>
      </c>
      <c r="F37" s="218">
        <v>0.14</v>
      </c>
      <c r="G37" s="673" t="s">
        <v>75</v>
      </c>
      <c r="H37" s="218" t="s">
        <v>75</v>
      </c>
      <c r="I37" s="222">
        <v>0</v>
      </c>
      <c r="J37" s="225">
        <v>0</v>
      </c>
      <c r="K37" s="214" t="s">
        <v>240</v>
      </c>
      <c r="L37" s="411"/>
      <c r="N37" s="755"/>
      <c r="O37" s="755"/>
    </row>
    <row r="38" spans="1:15" ht="12.75" customHeight="1">
      <c r="A38" s="8"/>
      <c r="B38" s="376" t="s">
        <v>1</v>
      </c>
      <c r="C38" s="746" t="s">
        <v>75</v>
      </c>
      <c r="D38" s="747" t="s">
        <v>75</v>
      </c>
      <c r="E38" s="746" t="s">
        <v>75</v>
      </c>
      <c r="F38" s="748" t="s">
        <v>75</v>
      </c>
      <c r="G38" s="749" t="s">
        <v>75</v>
      </c>
      <c r="H38" s="748" t="s">
        <v>75</v>
      </c>
      <c r="I38" s="750" t="s">
        <v>75</v>
      </c>
      <c r="J38" s="748" t="s">
        <v>75</v>
      </c>
      <c r="K38" s="376" t="s">
        <v>1</v>
      </c>
      <c r="L38" s="411"/>
      <c r="N38" s="755"/>
      <c r="O38" s="755"/>
    </row>
    <row r="39" spans="1:15" ht="12.75" customHeight="1">
      <c r="A39" s="8"/>
      <c r="B39" s="214" t="s">
        <v>239</v>
      </c>
      <c r="C39" s="673" t="s">
        <v>75</v>
      </c>
      <c r="D39" s="218" t="s">
        <v>75</v>
      </c>
      <c r="E39" s="673" t="s">
        <v>75</v>
      </c>
      <c r="F39" s="218" t="s">
        <v>75</v>
      </c>
      <c r="G39" s="673" t="s">
        <v>75</v>
      </c>
      <c r="H39" s="218" t="s">
        <v>75</v>
      </c>
      <c r="I39" s="222" t="s">
        <v>75</v>
      </c>
      <c r="J39" s="225" t="s">
        <v>75</v>
      </c>
      <c r="K39" s="214" t="s">
        <v>239</v>
      </c>
      <c r="L39" s="411"/>
      <c r="N39" s="755"/>
      <c r="O39" s="755"/>
    </row>
    <row r="40" spans="1:15" ht="12.75" customHeight="1">
      <c r="A40" s="8"/>
      <c r="B40" s="668" t="s">
        <v>57</v>
      </c>
      <c r="C40" s="677">
        <v>1486</v>
      </c>
      <c r="D40" s="669">
        <v>28.118</v>
      </c>
      <c r="E40" s="677">
        <v>466</v>
      </c>
      <c r="F40" s="669">
        <v>7.028</v>
      </c>
      <c r="G40" s="677">
        <v>1020</v>
      </c>
      <c r="H40" s="669">
        <v>21.09</v>
      </c>
      <c r="I40" s="670">
        <f t="shared" si="2"/>
        <v>0.6864064602960969</v>
      </c>
      <c r="J40" s="671">
        <f t="shared" si="2"/>
        <v>0.750053346610712</v>
      </c>
      <c r="K40" s="668" t="s">
        <v>57</v>
      </c>
      <c r="L40" s="411"/>
      <c r="N40" s="755"/>
      <c r="O40" s="755"/>
    </row>
    <row r="41" spans="1:15" ht="12.75" customHeight="1">
      <c r="A41" s="8"/>
      <c r="B41" s="214" t="s">
        <v>43</v>
      </c>
      <c r="C41" s="673">
        <v>17</v>
      </c>
      <c r="D41" s="218">
        <v>0.104</v>
      </c>
      <c r="E41" s="673">
        <v>2</v>
      </c>
      <c r="F41" s="218">
        <v>0.001</v>
      </c>
      <c r="G41" s="673">
        <v>15</v>
      </c>
      <c r="H41" s="218">
        <v>0.104</v>
      </c>
      <c r="I41" s="222">
        <f t="shared" si="2"/>
        <v>0.8823529411764706</v>
      </c>
      <c r="J41" s="225">
        <f t="shared" si="2"/>
        <v>1</v>
      </c>
      <c r="K41" s="214" t="s">
        <v>43</v>
      </c>
      <c r="L41" s="411"/>
      <c r="N41" s="755"/>
      <c r="O41" s="755"/>
    </row>
    <row r="42" spans="1:15" ht="12.75" customHeight="1">
      <c r="A42" s="8"/>
      <c r="B42" s="376" t="s">
        <v>73</v>
      </c>
      <c r="C42" s="675">
        <v>1711</v>
      </c>
      <c r="D42" s="377">
        <v>74.613</v>
      </c>
      <c r="E42" s="675">
        <v>533</v>
      </c>
      <c r="F42" s="377">
        <v>16.79</v>
      </c>
      <c r="G42" s="675">
        <v>1178</v>
      </c>
      <c r="H42" s="377">
        <v>57.823</v>
      </c>
      <c r="I42" s="378">
        <f t="shared" si="2"/>
        <v>0.6884862653419053</v>
      </c>
      <c r="J42" s="379">
        <f t="shared" si="2"/>
        <v>0.774972189832871</v>
      </c>
      <c r="K42" s="376" t="s">
        <v>73</v>
      </c>
      <c r="L42" s="411"/>
      <c r="N42" s="755"/>
      <c r="O42" s="755"/>
    </row>
    <row r="43" spans="1:15" ht="12.75" customHeight="1">
      <c r="A43" s="8"/>
      <c r="B43" s="216" t="s">
        <v>44</v>
      </c>
      <c r="C43" s="676">
        <v>200</v>
      </c>
      <c r="D43" s="220">
        <v>8.751</v>
      </c>
      <c r="E43" s="676">
        <v>30</v>
      </c>
      <c r="F43" s="220">
        <v>1.224</v>
      </c>
      <c r="G43" s="676">
        <v>170</v>
      </c>
      <c r="H43" s="220">
        <v>7.526</v>
      </c>
      <c r="I43" s="374">
        <f>G43/C43</f>
        <v>0.85</v>
      </c>
      <c r="J43" s="227">
        <f>H43/D43</f>
        <v>0.8600159981716375</v>
      </c>
      <c r="K43" s="216" t="s">
        <v>44</v>
      </c>
      <c r="L43" s="411"/>
      <c r="N43" s="755"/>
      <c r="O43" s="755"/>
    </row>
    <row r="44" spans="1:15" ht="12.75" customHeight="1">
      <c r="A44" s="8"/>
      <c r="B44" s="1022" t="s">
        <v>274</v>
      </c>
      <c r="C44" s="1022"/>
      <c r="D44" s="1022"/>
      <c r="E44" s="1022"/>
      <c r="F44" s="1022"/>
      <c r="G44" s="1022"/>
      <c r="H44" s="1022"/>
      <c r="I44" s="1022"/>
      <c r="J44" s="1022"/>
      <c r="K44" s="47"/>
      <c r="L44" s="411"/>
      <c r="N44" s="755"/>
      <c r="O44" s="755"/>
    </row>
    <row r="45" spans="1:15" ht="12.75" customHeight="1">
      <c r="A45" s="8"/>
      <c r="B45" s="1033" t="s">
        <v>0</v>
      </c>
      <c r="C45" s="1033"/>
      <c r="D45" s="212"/>
      <c r="E45" s="212"/>
      <c r="F45" s="212"/>
      <c r="G45" s="212"/>
      <c r="H45" s="212"/>
      <c r="I45" s="212"/>
      <c r="J45" s="212"/>
      <c r="K45" s="212"/>
      <c r="L45" s="411"/>
      <c r="N45" s="755"/>
      <c r="O45" s="755"/>
    </row>
    <row r="46" spans="2:12" ht="13.5" customHeight="1">
      <c r="B46" s="1052" t="s">
        <v>233</v>
      </c>
      <c r="C46" s="1052"/>
      <c r="D46" s="1052"/>
      <c r="E46" s="1052"/>
      <c r="F46" s="1052"/>
      <c r="G46" s="1052"/>
      <c r="H46" s="1052"/>
      <c r="I46" s="1052"/>
      <c r="J46" s="1052"/>
      <c r="K46" s="1052"/>
      <c r="L46" s="411"/>
    </row>
    <row r="47" ht="10.5" customHeight="1"/>
    <row r="48" ht="24.75" customHeight="1"/>
    <row r="51" ht="11.25">
      <c r="C51" s="228"/>
    </row>
  </sheetData>
  <sheetProtection/>
  <mergeCells count="10">
    <mergeCell ref="B2:K2"/>
    <mergeCell ref="B3:K3"/>
    <mergeCell ref="B4:K4"/>
    <mergeCell ref="B46:K46"/>
    <mergeCell ref="B44:J44"/>
    <mergeCell ref="C5:D5"/>
    <mergeCell ref="E5:F5"/>
    <mergeCell ref="G5:H5"/>
    <mergeCell ref="I5:J5"/>
    <mergeCell ref="B45:C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X25"/>
  <sheetViews>
    <sheetView zoomScalePageLayoutView="0" workbookViewId="0" topLeftCell="A1">
      <selection activeCell="V13" sqref="V13"/>
    </sheetView>
  </sheetViews>
  <sheetFormatPr defaultColWidth="9.140625" defaultRowHeight="12.75"/>
  <cols>
    <col min="1" max="1" width="1.8515625" style="0" customWidth="1"/>
    <col min="2" max="2" width="17.140625" style="0" customWidth="1"/>
    <col min="3" max="4" width="9.7109375" style="0" customWidth="1"/>
    <col min="5" max="8" width="9.7109375" style="0" hidden="1" customWidth="1"/>
    <col min="9" max="9" width="9.7109375" style="0" customWidth="1"/>
    <col min="10" max="11" width="9.7109375" style="0" hidden="1" customWidth="1"/>
    <col min="12" max="12" width="9.7109375" style="0" customWidth="1"/>
    <col min="14" max="15" width="9.140625" style="0" customWidth="1"/>
    <col min="16" max="16" width="9.28125" style="0" customWidth="1"/>
    <col min="17" max="18" width="9.28125" style="398" customWidth="1"/>
    <col min="19" max="19" width="10.421875" style="724" customWidth="1"/>
    <col min="20" max="22" width="8.7109375" style="763" customWidth="1"/>
    <col min="23" max="23" width="2.00390625" style="0" customWidth="1"/>
  </cols>
  <sheetData>
    <row r="1" spans="2:23" ht="14.25" customHeight="1">
      <c r="B1" s="1061"/>
      <c r="C1" s="1061"/>
      <c r="L1" s="16"/>
      <c r="M1" s="1064" t="s">
        <v>156</v>
      </c>
      <c r="N1" s="1064"/>
      <c r="O1" s="1064"/>
      <c r="P1" s="1064"/>
      <c r="Q1" s="1064"/>
      <c r="R1" s="1064"/>
      <c r="S1" s="1064"/>
      <c r="T1" s="1064"/>
      <c r="U1" s="1064"/>
      <c r="V1" s="1064"/>
      <c r="W1" s="1064"/>
    </row>
    <row r="2" spans="2:22" s="43" customFormat="1" ht="30" customHeight="1">
      <c r="B2" s="1072" t="s">
        <v>23</v>
      </c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  <c r="R2" s="1072"/>
      <c r="S2" s="1072"/>
      <c r="T2" s="1072"/>
      <c r="U2" s="1072"/>
      <c r="V2" s="1072"/>
    </row>
    <row r="3" spans="2:23" ht="19.5" customHeight="1">
      <c r="B3" s="1065" t="s">
        <v>97</v>
      </c>
      <c r="C3" s="1066"/>
      <c r="D3" s="1066"/>
      <c r="E3" s="1066"/>
      <c r="F3" s="1066"/>
      <c r="G3" s="1066"/>
      <c r="H3" s="1066"/>
      <c r="I3" s="1066"/>
      <c r="J3" s="1066"/>
      <c r="K3" s="1066"/>
      <c r="L3" s="1066"/>
      <c r="M3" s="1066"/>
      <c r="N3" s="1066"/>
      <c r="O3" s="1066"/>
      <c r="P3" s="1066"/>
      <c r="Q3" s="1067"/>
      <c r="R3" s="1067"/>
      <c r="S3" s="1067"/>
      <c r="T3" s="1067"/>
      <c r="U3" s="1067"/>
      <c r="V3" s="1067"/>
      <c r="W3" s="1068"/>
    </row>
    <row r="4" spans="2:23" ht="9.75" customHeight="1">
      <c r="B4" s="1062" t="s">
        <v>98</v>
      </c>
      <c r="C4" s="229" t="s">
        <v>96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369"/>
      <c r="P4" s="339"/>
      <c r="Q4" s="601"/>
      <c r="R4" s="601"/>
      <c r="S4" s="736"/>
      <c r="T4" s="770"/>
      <c r="U4" s="871"/>
      <c r="V4" s="848"/>
      <c r="W4" s="192"/>
    </row>
    <row r="5" spans="2:23" ht="15" customHeight="1">
      <c r="B5" s="1062"/>
      <c r="C5" s="230">
        <v>1995</v>
      </c>
      <c r="D5" s="231">
        <v>2000</v>
      </c>
      <c r="E5" s="231">
        <v>2001</v>
      </c>
      <c r="F5" s="231">
        <v>2002</v>
      </c>
      <c r="G5" s="231">
        <v>2003</v>
      </c>
      <c r="H5" s="231">
        <v>2004</v>
      </c>
      <c r="I5" s="231">
        <v>2005</v>
      </c>
      <c r="J5" s="231">
        <v>2006</v>
      </c>
      <c r="K5" s="231">
        <v>2007</v>
      </c>
      <c r="L5" s="231">
        <v>2008</v>
      </c>
      <c r="M5" s="231">
        <v>2009</v>
      </c>
      <c r="N5" s="231">
        <v>2010</v>
      </c>
      <c r="O5" s="231">
        <v>2011</v>
      </c>
      <c r="P5" s="231">
        <v>2012</v>
      </c>
      <c r="Q5" s="231">
        <v>2013</v>
      </c>
      <c r="R5" s="231">
        <v>2014</v>
      </c>
      <c r="S5" s="231">
        <v>2015</v>
      </c>
      <c r="T5" s="231">
        <v>2016</v>
      </c>
      <c r="U5" s="231">
        <v>2017</v>
      </c>
      <c r="V5" s="231">
        <v>2018</v>
      </c>
      <c r="W5" s="232"/>
    </row>
    <row r="6" spans="2:23" ht="15" customHeight="1">
      <c r="B6" s="1063"/>
      <c r="C6" s="1069" t="s">
        <v>182</v>
      </c>
      <c r="D6" s="1070"/>
      <c r="E6" s="1070"/>
      <c r="F6" s="1070"/>
      <c r="G6" s="1070"/>
      <c r="H6" s="1070"/>
      <c r="I6" s="1070"/>
      <c r="J6" s="1070"/>
      <c r="K6" s="1070"/>
      <c r="L6" s="1070"/>
      <c r="M6" s="1070"/>
      <c r="N6" s="1070"/>
      <c r="O6" s="1070"/>
      <c r="P6" s="1070"/>
      <c r="Q6" s="1070"/>
      <c r="R6" s="1070"/>
      <c r="S6" s="1070"/>
      <c r="T6" s="1070"/>
      <c r="U6" s="1070"/>
      <c r="V6" s="1070"/>
      <c r="W6" s="1071"/>
    </row>
    <row r="7" spans="2:23" ht="19.5" customHeight="1">
      <c r="B7" s="234" t="s">
        <v>24</v>
      </c>
      <c r="C7" s="235">
        <v>311.246</v>
      </c>
      <c r="D7" s="236">
        <v>350.136</v>
      </c>
      <c r="E7" s="236">
        <v>361.422</v>
      </c>
      <c r="F7" s="236">
        <v>372.28</v>
      </c>
      <c r="G7" s="236">
        <v>371.672</v>
      </c>
      <c r="H7" s="236">
        <v>383.181</v>
      </c>
      <c r="I7" s="236">
        <v>400.947</v>
      </c>
      <c r="J7" s="236">
        <v>420.624</v>
      </c>
      <c r="K7" s="236">
        <v>465.147</v>
      </c>
      <c r="L7" s="236">
        <v>480.869</v>
      </c>
      <c r="M7" s="236">
        <v>507.666</v>
      </c>
      <c r="N7" s="236">
        <f>501.075+17.201</f>
        <v>518.276</v>
      </c>
      <c r="O7" s="236">
        <f>533.31+19.66</f>
        <v>552.9699999999999</v>
      </c>
      <c r="P7" s="236">
        <f>578.437+22.572</f>
        <v>601.009</v>
      </c>
      <c r="Q7" s="679">
        <f>639.537+30.327</f>
        <v>669.864</v>
      </c>
      <c r="R7" s="679">
        <f>665.973+30.427</f>
        <v>696.4</v>
      </c>
      <c r="S7" s="679">
        <f>711.802+27.298</f>
        <v>739.1</v>
      </c>
      <c r="T7" s="679">
        <f>744.708+28.827</f>
        <v>773.535</v>
      </c>
      <c r="U7" s="679">
        <f>779.103+28.286</f>
        <v>807.3889999999999</v>
      </c>
      <c r="V7" s="679">
        <f>(372438+102279+74613+51050+45565+31432+29578+22329+15572+11966+7751+6684+6535+5192+3473+2894+2435+2409+1783+1666+1615+1461+1209+902+833+759+393+211+210+140+104+97+39+24+8)/1000</f>
        <v>805.649</v>
      </c>
      <c r="W7" s="237"/>
    </row>
    <row r="8" spans="2:23" ht="19.5" customHeight="1">
      <c r="B8" s="238" t="s">
        <v>254</v>
      </c>
      <c r="C8" s="239">
        <v>223.56400000000002</v>
      </c>
      <c r="D8" s="240">
        <v>257.975</v>
      </c>
      <c r="E8" s="240">
        <v>266.347</v>
      </c>
      <c r="F8" s="240">
        <v>274.612</v>
      </c>
      <c r="G8" s="240">
        <v>277.386</v>
      </c>
      <c r="H8" s="240">
        <v>292.79100000000005</v>
      </c>
      <c r="I8" s="240">
        <v>316.85</v>
      </c>
      <c r="J8" s="240">
        <v>332.11</v>
      </c>
      <c r="K8" s="240">
        <v>368.486</v>
      </c>
      <c r="L8" s="240">
        <v>392.052</v>
      </c>
      <c r="M8" s="240">
        <v>417.895</v>
      </c>
      <c r="N8" s="240">
        <v>432.246</v>
      </c>
      <c r="O8" s="240">
        <v>460.399</v>
      </c>
      <c r="P8" s="380">
        <v>508.581</v>
      </c>
      <c r="Q8" s="240">
        <v>545.012</v>
      </c>
      <c r="R8" s="240">
        <v>575.031</v>
      </c>
      <c r="S8" s="240">
        <v>600.143</v>
      </c>
      <c r="T8" s="240">
        <v>625.7110000000001</v>
      </c>
      <c r="U8" s="240">
        <v>645.42</v>
      </c>
      <c r="V8" s="240">
        <v>673.1129999999998</v>
      </c>
      <c r="W8" s="241"/>
    </row>
    <row r="9" spans="2:23" ht="19.5" customHeight="1">
      <c r="B9" s="242" t="s">
        <v>25</v>
      </c>
      <c r="C9" s="243">
        <v>51.024</v>
      </c>
      <c r="D9" s="244">
        <v>49.413</v>
      </c>
      <c r="E9" s="244">
        <v>45.368</v>
      </c>
      <c r="F9" s="244">
        <v>42.62</v>
      </c>
      <c r="G9" s="244">
        <v>45.818</v>
      </c>
      <c r="H9" s="244">
        <v>49.67</v>
      </c>
      <c r="I9" s="244">
        <v>45.414</v>
      </c>
      <c r="J9" s="244">
        <v>51.569</v>
      </c>
      <c r="K9" s="244">
        <v>49.342</v>
      </c>
      <c r="L9" s="244">
        <v>49.689</v>
      </c>
      <c r="M9" s="244">
        <v>52.244</v>
      </c>
      <c r="N9" s="245">
        <f>34.867+15.672</f>
        <v>50.539</v>
      </c>
      <c r="O9" s="245">
        <f>39.166+16.867</f>
        <v>56.033</v>
      </c>
      <c r="P9" s="245">
        <f>44.471+18.502</f>
        <v>62.973</v>
      </c>
      <c r="Q9" s="245">
        <v>69.064</v>
      </c>
      <c r="R9" s="245">
        <v>70.211</v>
      </c>
      <c r="S9" s="245">
        <f>56.145+26.736</f>
        <v>82.881</v>
      </c>
      <c r="T9" s="245">
        <f>60.983+30.436</f>
        <v>91.419</v>
      </c>
      <c r="U9" s="245">
        <f>67.476+30.161</f>
        <v>97.637</v>
      </c>
      <c r="V9" s="245">
        <f>56.532+31.696</f>
        <v>88.228</v>
      </c>
      <c r="W9" s="246"/>
    </row>
    <row r="10" spans="2:23" ht="19.5" customHeight="1">
      <c r="B10" s="242" t="s">
        <v>26</v>
      </c>
      <c r="C10" s="243">
        <v>18.691</v>
      </c>
      <c r="D10" s="244">
        <v>15.679</v>
      </c>
      <c r="E10" s="244">
        <v>14.335</v>
      </c>
      <c r="F10" s="244">
        <v>15.473</v>
      </c>
      <c r="G10" s="244">
        <v>14.599</v>
      </c>
      <c r="H10" s="244">
        <v>12.605</v>
      </c>
      <c r="I10" s="244">
        <v>14.422</v>
      </c>
      <c r="J10" s="244">
        <v>12.314</v>
      </c>
      <c r="K10" s="244">
        <v>12.398</v>
      </c>
      <c r="L10" s="244">
        <v>13.47</v>
      </c>
      <c r="M10" s="244">
        <v>13.99</v>
      </c>
      <c r="N10" s="244">
        <f>81.406-N9</f>
        <v>30.867000000000004</v>
      </c>
      <c r="O10" s="244">
        <f>103.088-O9</f>
        <v>47.05499999999999</v>
      </c>
      <c r="P10" s="244">
        <f>110.521-P9</f>
        <v>47.548</v>
      </c>
      <c r="Q10" s="244">
        <v>22.651</v>
      </c>
      <c r="R10" s="244">
        <v>31.838</v>
      </c>
      <c r="S10" s="244">
        <f>112.489-82.881</f>
        <v>29.608000000000004</v>
      </c>
      <c r="T10" s="244">
        <f>118.14-T9</f>
        <v>26.721000000000004</v>
      </c>
      <c r="U10" s="244">
        <f>123.891-U9</f>
        <v>26.254000000000005</v>
      </c>
      <c r="V10" s="244">
        <f>114.343-V9</f>
        <v>26.11500000000001</v>
      </c>
      <c r="W10" s="246"/>
    </row>
    <row r="11" spans="2:23" ht="19.5" customHeight="1">
      <c r="B11" s="242" t="s">
        <v>27</v>
      </c>
      <c r="C11" s="243">
        <v>246.722</v>
      </c>
      <c r="D11" s="244">
        <v>292.722</v>
      </c>
      <c r="E11" s="244">
        <v>301.207</v>
      </c>
      <c r="F11" s="244">
        <v>304.7</v>
      </c>
      <c r="G11" s="244">
        <v>313.808</v>
      </c>
      <c r="H11" s="244">
        <v>329.485</v>
      </c>
      <c r="I11" s="244">
        <v>361.311</v>
      </c>
      <c r="J11" s="244">
        <v>399.419</v>
      </c>
      <c r="K11" s="244">
        <v>423.425</v>
      </c>
      <c r="L11" s="244">
        <v>462.661</v>
      </c>
      <c r="M11" s="244">
        <v>497.788</v>
      </c>
      <c r="N11" s="244">
        <f>548.037-17.201+1.61</f>
        <v>532.446</v>
      </c>
      <c r="O11" s="244">
        <f>1.658+578.392-19.66</f>
        <v>560.3900000000001</v>
      </c>
      <c r="P11" s="244">
        <f>628.822-22.572+1.225</f>
        <v>607.475</v>
      </c>
      <c r="Q11" s="244">
        <f>778.693-30.327</f>
        <v>748.366</v>
      </c>
      <c r="R11" s="244">
        <f>811.253-30.427</f>
        <v>780.826</v>
      </c>
      <c r="S11" s="244">
        <f>828.396-27.298+4.496</f>
        <v>805.5939999999999</v>
      </c>
      <c r="T11" s="244">
        <f>844.603-28.827+3.936</f>
        <v>819.712</v>
      </c>
      <c r="U11" s="244">
        <f>878.384-28.286+5.211</f>
        <v>855.309</v>
      </c>
      <c r="V11" s="244">
        <f>910.124+5.844-28.118</f>
        <v>887.85</v>
      </c>
      <c r="W11" s="246"/>
    </row>
    <row r="12" spans="2:23" ht="19.5" customHeight="1">
      <c r="B12" s="242" t="s">
        <v>28</v>
      </c>
      <c r="C12" s="243">
        <v>6.742</v>
      </c>
      <c r="D12" s="244">
        <v>7.121</v>
      </c>
      <c r="E12" s="244">
        <v>5.439</v>
      </c>
      <c r="F12" s="244">
        <v>5.123</v>
      </c>
      <c r="G12" s="244">
        <v>4.831</v>
      </c>
      <c r="H12" s="244">
        <v>4.727</v>
      </c>
      <c r="I12" s="244">
        <v>5.142</v>
      </c>
      <c r="J12" s="244">
        <v>5.039</v>
      </c>
      <c r="K12" s="244">
        <v>5.016</v>
      </c>
      <c r="L12" s="244">
        <v>5.07</v>
      </c>
      <c r="M12" s="244">
        <v>5.04</v>
      </c>
      <c r="N12" s="244">
        <f>6.981</f>
        <v>6.981</v>
      </c>
      <c r="O12" s="244">
        <v>7.586</v>
      </c>
      <c r="P12" s="244">
        <v>8.818</v>
      </c>
      <c r="Q12" s="244">
        <v>12.753</v>
      </c>
      <c r="R12" s="244">
        <v>13.64</v>
      </c>
      <c r="S12" s="244">
        <v>13.451</v>
      </c>
      <c r="T12" s="244">
        <v>13.689</v>
      </c>
      <c r="U12" s="244">
        <v>14.683</v>
      </c>
      <c r="V12" s="244">
        <v>15.183</v>
      </c>
      <c r="W12" s="246"/>
    </row>
    <row r="13" spans="2:23" ht="19.5" customHeight="1">
      <c r="B13" s="242" t="s">
        <v>29</v>
      </c>
      <c r="C13" s="247">
        <v>37.956</v>
      </c>
      <c r="D13" s="244">
        <v>38.115</v>
      </c>
      <c r="E13" s="244">
        <v>42.412</v>
      </c>
      <c r="F13" s="244">
        <v>51.14900000000005</v>
      </c>
      <c r="G13" s="244">
        <v>57.487</v>
      </c>
      <c r="H13" s="244">
        <v>52.56</v>
      </c>
      <c r="I13" s="244">
        <v>52.687</v>
      </c>
      <c r="J13" s="244">
        <v>47.4</v>
      </c>
      <c r="K13" s="244">
        <v>45.79</v>
      </c>
      <c r="L13" s="244">
        <v>59.274</v>
      </c>
      <c r="M13" s="244">
        <v>67.647</v>
      </c>
      <c r="N13" s="244">
        <v>86.555</v>
      </c>
      <c r="O13" s="244">
        <v>116.621</v>
      </c>
      <c r="P13" s="244">
        <v>126.018</v>
      </c>
      <c r="Q13" s="244">
        <v>8.178</v>
      </c>
      <c r="R13" s="244">
        <v>3.007</v>
      </c>
      <c r="S13" s="244">
        <v>4.561</v>
      </c>
      <c r="T13" s="244">
        <v>7.385</v>
      </c>
      <c r="U13" s="244">
        <v>4.786</v>
      </c>
      <c r="V13" s="244">
        <v>3.025</v>
      </c>
      <c r="W13" s="246"/>
    </row>
    <row r="14" spans="2:24" ht="19.5" customHeight="1">
      <c r="B14" s="248" t="s">
        <v>78</v>
      </c>
      <c r="C14" s="681">
        <v>672.381</v>
      </c>
      <c r="D14" s="682">
        <v>753.226</v>
      </c>
      <c r="E14" s="682">
        <v>770.183</v>
      </c>
      <c r="F14" s="682">
        <v>791.345</v>
      </c>
      <c r="G14" s="682">
        <v>808.215</v>
      </c>
      <c r="H14" s="682">
        <v>832.228</v>
      </c>
      <c r="I14" s="682">
        <f>827.237+52.686</f>
        <v>879.923</v>
      </c>
      <c r="J14" s="682">
        <v>936.363</v>
      </c>
      <c r="K14" s="682">
        <v>1001.118</v>
      </c>
      <c r="L14" s="682">
        <v>1071.033</v>
      </c>
      <c r="M14" s="682">
        <v>1144.375</v>
      </c>
      <c r="N14" s="682">
        <f>1225.665</f>
        <v>1225.665</v>
      </c>
      <c r="O14" s="682">
        <f>1340.655</f>
        <v>1340.655</v>
      </c>
      <c r="P14" s="682">
        <v>1453.842</v>
      </c>
      <c r="Q14" s="682">
        <f>Q9+Q10+Q11+Q12+Q13+Q7</f>
        <v>1530.8760000000002</v>
      </c>
      <c r="R14" s="682">
        <f>R9+R10+R11+R12+R13+R7</f>
        <v>1595.922</v>
      </c>
      <c r="S14" s="682">
        <v>1652.479</v>
      </c>
      <c r="T14" s="682">
        <v>1707.066</v>
      </c>
      <c r="U14" s="682">
        <v>1763.694</v>
      </c>
      <c r="V14" s="682">
        <v>1824.734</v>
      </c>
      <c r="W14" s="249"/>
      <c r="X14" s="257"/>
    </row>
    <row r="15" spans="2:23" ht="19.5" customHeight="1">
      <c r="B15" s="250"/>
      <c r="C15" s="1058" t="s">
        <v>99</v>
      </c>
      <c r="D15" s="1059"/>
      <c r="E15" s="1059"/>
      <c r="F15" s="1059"/>
      <c r="G15" s="1059"/>
      <c r="H15" s="1059"/>
      <c r="I15" s="1059"/>
      <c r="J15" s="1059"/>
      <c r="K15" s="1059"/>
      <c r="L15" s="1059"/>
      <c r="M15" s="1059"/>
      <c r="N15" s="1059"/>
      <c r="O15" s="1059"/>
      <c r="P15" s="1059"/>
      <c r="Q15" s="1059"/>
      <c r="R15" s="1059"/>
      <c r="S15" s="1059"/>
      <c r="T15" s="1059"/>
      <c r="U15" s="1059"/>
      <c r="V15" s="1059"/>
      <c r="W15" s="1060"/>
    </row>
    <row r="16" spans="2:23" ht="19.5" customHeight="1">
      <c r="B16" s="48" t="s">
        <v>255</v>
      </c>
      <c r="C16" s="251">
        <f aca="true" t="shared" si="0" ref="C16:O16">C8/C14</f>
        <v>0.3324960104464582</v>
      </c>
      <c r="D16" s="252">
        <f t="shared" si="0"/>
        <v>0.34249348801023866</v>
      </c>
      <c r="E16" s="252">
        <f t="shared" si="0"/>
        <v>0.3458230057012424</v>
      </c>
      <c r="F16" s="252">
        <f t="shared" si="0"/>
        <v>0.34701931521649854</v>
      </c>
      <c r="G16" s="252">
        <f t="shared" si="0"/>
        <v>0.3432081809914441</v>
      </c>
      <c r="H16" s="252">
        <f t="shared" si="0"/>
        <v>0.35181584854150555</v>
      </c>
      <c r="I16" s="252">
        <f t="shared" si="0"/>
        <v>0.36008832591033535</v>
      </c>
      <c r="J16" s="252">
        <f t="shared" si="0"/>
        <v>0.35468082356949177</v>
      </c>
      <c r="K16" s="252">
        <f t="shared" si="0"/>
        <v>0.3680744927171422</v>
      </c>
      <c r="L16" s="252">
        <f t="shared" si="0"/>
        <v>0.3660503457876649</v>
      </c>
      <c r="M16" s="253">
        <f t="shared" si="0"/>
        <v>0.3651731294374658</v>
      </c>
      <c r="N16" s="253">
        <f t="shared" si="0"/>
        <v>0.3526624322306666</v>
      </c>
      <c r="O16" s="253">
        <f t="shared" si="0"/>
        <v>0.3434134807239745</v>
      </c>
      <c r="P16" s="381">
        <v>0.3498186185293863</v>
      </c>
      <c r="Q16" s="680">
        <f aca="true" t="shared" si="1" ref="Q16:V16">Q8/Q14</f>
        <v>0.35601315847919746</v>
      </c>
      <c r="R16" s="680">
        <f t="shared" si="1"/>
        <v>0.3603127220503257</v>
      </c>
      <c r="S16" s="680">
        <f t="shared" si="1"/>
        <v>0.363177383797313</v>
      </c>
      <c r="T16" s="680">
        <f t="shared" si="1"/>
        <v>0.36654177401459587</v>
      </c>
      <c r="U16" s="680">
        <f t="shared" si="1"/>
        <v>0.3659478344882956</v>
      </c>
      <c r="V16" s="680">
        <f t="shared" si="1"/>
        <v>0.368882807028312</v>
      </c>
      <c r="W16" s="254"/>
    </row>
    <row r="17" spans="2:23" ht="19.5" customHeight="1">
      <c r="B17" s="49" t="s">
        <v>256</v>
      </c>
      <c r="C17" s="255">
        <v>0.565</v>
      </c>
      <c r="D17" s="256">
        <v>0.681</v>
      </c>
      <c r="E17" s="256">
        <v>0.664</v>
      </c>
      <c r="F17" s="256">
        <v>0.668</v>
      </c>
      <c r="G17" s="256">
        <v>0.678</v>
      </c>
      <c r="H17" s="256">
        <v>0.678</v>
      </c>
      <c r="I17" s="849">
        <v>0.678</v>
      </c>
      <c r="J17" s="849">
        <v>0.677</v>
      </c>
      <c r="K17" s="849">
        <v>0.693</v>
      </c>
      <c r="L17" s="849">
        <v>0.686</v>
      </c>
      <c r="M17" s="850">
        <v>0.694</v>
      </c>
      <c r="N17" s="850">
        <v>0.694</v>
      </c>
      <c r="O17" s="850">
        <v>0.6910853411931825</v>
      </c>
      <c r="P17" s="851">
        <v>0.7058462663764475</v>
      </c>
      <c r="Q17" s="850"/>
      <c r="R17" s="850">
        <v>0.7401988063273004</v>
      </c>
      <c r="S17" s="850">
        <v>0.7549200773815574</v>
      </c>
      <c r="T17" s="850">
        <v>0.7773013419933482</v>
      </c>
      <c r="U17" s="850">
        <v>0.7847742555235349</v>
      </c>
      <c r="V17" s="850">
        <v>0.7894929974610506</v>
      </c>
      <c r="W17" s="852"/>
    </row>
    <row r="18" spans="2:22" ht="21.75" customHeight="1">
      <c r="B18" s="1057" t="s">
        <v>265</v>
      </c>
      <c r="C18" s="1057"/>
      <c r="D18" s="1057"/>
      <c r="E18" s="1057"/>
      <c r="F18" s="1057"/>
      <c r="G18" s="1057"/>
      <c r="H18" s="1057"/>
      <c r="I18" s="1057"/>
      <c r="J18" s="1057"/>
      <c r="K18" s="1057"/>
      <c r="L18" s="1057"/>
      <c r="M18" s="1057"/>
      <c r="N18" s="1057"/>
      <c r="O18" s="1057"/>
      <c r="P18" s="1057"/>
      <c r="Q18" s="1057"/>
      <c r="R18" s="1057"/>
      <c r="S18" s="1057"/>
      <c r="T18" s="1057"/>
      <c r="U18" s="1057"/>
      <c r="V18" s="1057"/>
    </row>
    <row r="19" spans="2:22" ht="15" customHeight="1">
      <c r="B19" s="1053" t="s">
        <v>183</v>
      </c>
      <c r="C19" s="1053"/>
      <c r="D19" s="1053"/>
      <c r="E19" s="1053"/>
      <c r="F19" s="1053"/>
      <c r="G19" s="1053"/>
      <c r="H19" s="1053"/>
      <c r="I19" s="1053"/>
      <c r="J19" s="1053"/>
      <c r="K19" s="1013"/>
      <c r="L19" s="1013"/>
      <c r="M19" s="398"/>
      <c r="N19" s="398"/>
      <c r="O19" s="398"/>
      <c r="P19" s="398"/>
      <c r="T19" s="257"/>
      <c r="U19" s="257"/>
      <c r="V19" s="257"/>
    </row>
    <row r="20" spans="2:22" ht="13.5" customHeight="1">
      <c r="B20" s="1054" t="s">
        <v>167</v>
      </c>
      <c r="C20" s="1054"/>
      <c r="D20" s="1054"/>
      <c r="E20" s="1054"/>
      <c r="F20" s="1054"/>
      <c r="G20" s="1054"/>
      <c r="H20" s="1054"/>
      <c r="I20" s="1054"/>
      <c r="J20" s="1054"/>
      <c r="K20" s="1055"/>
      <c r="L20" s="1055"/>
      <c r="M20" s="257"/>
      <c r="N20" s="257"/>
      <c r="O20" s="257"/>
      <c r="P20" s="257"/>
      <c r="Q20" s="257"/>
      <c r="R20" s="257"/>
      <c r="S20" s="257"/>
      <c r="T20" s="257"/>
      <c r="U20" s="257"/>
      <c r="V20" s="257"/>
    </row>
    <row r="21" spans="2:22" ht="12" customHeight="1">
      <c r="B21" s="1056" t="s">
        <v>249</v>
      </c>
      <c r="C21" s="1056"/>
      <c r="D21" s="1056"/>
      <c r="E21" s="1056"/>
      <c r="F21" s="1056"/>
      <c r="G21" s="1056"/>
      <c r="H21" s="1056"/>
      <c r="I21" s="1056"/>
      <c r="J21" s="1056"/>
      <c r="K21" s="1056"/>
      <c r="L21" s="1056"/>
      <c r="M21" s="1056"/>
      <c r="N21" s="1056"/>
      <c r="O21" s="1056"/>
      <c r="P21" s="1056"/>
      <c r="Q21" s="1056"/>
      <c r="R21" s="1056"/>
      <c r="S21" s="1056"/>
      <c r="T21" s="1056"/>
      <c r="U21" s="1056"/>
      <c r="V21" s="1056"/>
    </row>
    <row r="22" spans="1:16" ht="15" customHeight="1">
      <c r="A22" s="1"/>
      <c r="B22" s="602" t="s">
        <v>257</v>
      </c>
      <c r="C22" s="602"/>
      <c r="D22" s="602"/>
      <c r="E22" s="602"/>
      <c r="F22" s="602"/>
      <c r="G22" s="602"/>
      <c r="H22" s="602"/>
      <c r="I22" s="602"/>
      <c r="J22" s="602"/>
      <c r="K22" s="602"/>
      <c r="L22" s="600"/>
      <c r="M22" s="257"/>
      <c r="N22" s="398"/>
      <c r="O22" s="398"/>
      <c r="P22" s="398"/>
    </row>
    <row r="23" spans="1:16" ht="24.75" customHeight="1">
      <c r="A23" s="1"/>
      <c r="B23" s="1056" t="s">
        <v>250</v>
      </c>
      <c r="C23" s="1056"/>
      <c r="D23" s="1056"/>
      <c r="E23" s="1056"/>
      <c r="F23" s="1056"/>
      <c r="G23" s="1056"/>
      <c r="H23" s="1056"/>
      <c r="I23" s="1056"/>
      <c r="J23" s="1056"/>
      <c r="K23" s="1013"/>
      <c r="L23" s="1013"/>
      <c r="M23" s="398"/>
      <c r="N23" s="398"/>
      <c r="O23" s="398"/>
      <c r="P23" s="398"/>
    </row>
    <row r="24" spans="1:2" ht="15.75" customHeight="1">
      <c r="A24" s="1"/>
      <c r="B24" s="3"/>
    </row>
    <row r="25" ht="14.25" customHeight="1">
      <c r="A25" s="1"/>
    </row>
    <row r="26" ht="22.5" customHeight="1"/>
  </sheetData>
  <sheetProtection/>
  <mergeCells count="12">
    <mergeCell ref="C15:W15"/>
    <mergeCell ref="B1:C1"/>
    <mergeCell ref="B4:B6"/>
    <mergeCell ref="M1:W1"/>
    <mergeCell ref="B3:W3"/>
    <mergeCell ref="C6:W6"/>
    <mergeCell ref="B2:V2"/>
    <mergeCell ref="B19:L19"/>
    <mergeCell ref="B20:L20"/>
    <mergeCell ref="B23:L23"/>
    <mergeCell ref="B18:V18"/>
    <mergeCell ref="B21:V21"/>
  </mergeCells>
  <printOptions horizontalCentered="1"/>
  <pageMargins left="0.6692913385826772" right="0.6692913385826772" top="0.5118110236220472" bottom="0.2755905511811024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B1:N47"/>
  <sheetViews>
    <sheetView zoomScale="85" zoomScaleNormal="85" zoomScalePageLayoutView="0" workbookViewId="0" topLeftCell="A10">
      <selection activeCell="P16" sqref="P16"/>
    </sheetView>
  </sheetViews>
  <sheetFormatPr defaultColWidth="9.140625" defaultRowHeight="12.75"/>
  <cols>
    <col min="1" max="1" width="1.8515625" style="0" customWidth="1"/>
    <col min="2" max="2" width="22.7109375" style="0" customWidth="1"/>
    <col min="3" max="3" width="8.00390625" style="0" customWidth="1"/>
    <col min="4" max="4" width="1.7109375" style="0" customWidth="1"/>
    <col min="5" max="5" width="6.7109375" style="0" customWidth="1"/>
    <col min="6" max="6" width="1.7109375" style="0" customWidth="1"/>
    <col min="7" max="7" width="5.7109375" style="0" customWidth="1"/>
    <col min="8" max="8" width="12.421875" style="0" customWidth="1"/>
    <col min="9" max="9" width="1.7109375" style="0" customWidth="1"/>
    <col min="10" max="10" width="9.7109375" style="0" customWidth="1"/>
    <col min="11" max="11" width="1.7109375" style="0" customWidth="1"/>
    <col min="12" max="12" width="7.28125" style="0" customWidth="1"/>
    <col min="13" max="13" width="2.57421875" style="0" customWidth="1"/>
  </cols>
  <sheetData>
    <row r="1" spans="2:13" ht="14.25" customHeight="1">
      <c r="B1" s="1061"/>
      <c r="C1" s="1061"/>
      <c r="D1" s="97"/>
      <c r="E1" s="63"/>
      <c r="M1" s="16" t="s">
        <v>157</v>
      </c>
    </row>
    <row r="2" spans="2:12" s="43" customFormat="1" ht="30" customHeight="1">
      <c r="B2" s="1035" t="s">
        <v>23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</row>
    <row r="3" spans="2:12" s="83" customFormat="1" ht="30" customHeight="1">
      <c r="B3" s="1081" t="s">
        <v>133</v>
      </c>
      <c r="C3" s="1081"/>
      <c r="D3" s="1081"/>
      <c r="E3" s="1081"/>
      <c r="F3" s="1081"/>
      <c r="G3" s="1081"/>
      <c r="H3" s="1081"/>
      <c r="I3" s="1081"/>
      <c r="J3" s="1081"/>
      <c r="K3" s="1081"/>
      <c r="L3" s="1081"/>
    </row>
    <row r="4" spans="2:12" ht="19.5" customHeight="1">
      <c r="B4" s="258" t="s">
        <v>298</v>
      </c>
      <c r="C4" s="1042" t="s">
        <v>21</v>
      </c>
      <c r="D4" s="1043"/>
      <c r="E4" s="1043"/>
      <c r="F4" s="1043"/>
      <c r="G4" s="1044"/>
      <c r="H4" s="1042" t="s">
        <v>293</v>
      </c>
      <c r="I4" s="1043"/>
      <c r="J4" s="1043"/>
      <c r="K4" s="1043"/>
      <c r="L4" s="1044"/>
    </row>
    <row r="5" spans="2:12" ht="19.5" customHeight="1">
      <c r="B5" s="233" t="s">
        <v>295</v>
      </c>
      <c r="C5" s="1076" t="s">
        <v>77</v>
      </c>
      <c r="D5" s="1077"/>
      <c r="E5" s="1078" t="s">
        <v>253</v>
      </c>
      <c r="F5" s="1079"/>
      <c r="G5" s="259" t="s">
        <v>104</v>
      </c>
      <c r="H5" s="1076" t="s">
        <v>77</v>
      </c>
      <c r="I5" s="1077"/>
      <c r="J5" s="1078" t="s">
        <v>253</v>
      </c>
      <c r="K5" s="1079"/>
      <c r="L5" s="259" t="s">
        <v>104</v>
      </c>
    </row>
    <row r="6" spans="2:14" ht="30" customHeight="1">
      <c r="B6" s="260" t="s">
        <v>110</v>
      </c>
      <c r="C6" s="683">
        <v>43121</v>
      </c>
      <c r="D6" s="684"/>
      <c r="E6" s="685">
        <v>13321</v>
      </c>
      <c r="F6" s="261"/>
      <c r="G6" s="262">
        <f>E6/C6</f>
        <v>0.30892140720298694</v>
      </c>
      <c r="H6" s="683">
        <v>1824734</v>
      </c>
      <c r="I6" s="701"/>
      <c r="J6" s="683">
        <v>673113</v>
      </c>
      <c r="K6" s="685"/>
      <c r="L6" s="262">
        <f>J6/H6</f>
        <v>0.36888280702831205</v>
      </c>
      <c r="N6" s="41"/>
    </row>
    <row r="7" spans="2:14" ht="24.75" customHeight="1">
      <c r="B7" s="263" t="s">
        <v>134</v>
      </c>
      <c r="C7" s="686">
        <f>C9+C10+C11</f>
        <v>12234</v>
      </c>
      <c r="D7" s="687"/>
      <c r="E7" s="688">
        <f>E9+E10+E11</f>
        <v>3689</v>
      </c>
      <c r="F7" s="189"/>
      <c r="G7" s="264">
        <f aca="true" t="shared" si="0" ref="G7:G23">E7/C7</f>
        <v>0.30153670099722085</v>
      </c>
      <c r="H7" s="686">
        <f>H9+H10+H11</f>
        <v>665163</v>
      </c>
      <c r="I7" s="702"/>
      <c r="J7" s="688">
        <f>J9+J10+J11</f>
        <v>243494.52531610057</v>
      </c>
      <c r="K7" s="688"/>
      <c r="L7" s="265">
        <f aca="true" t="shared" si="1" ref="L7:L23">J7/H7</f>
        <v>0.36606745311465094</v>
      </c>
      <c r="N7" s="41"/>
    </row>
    <row r="8" spans="2:14" ht="10.5" customHeight="1">
      <c r="B8" s="266" t="s">
        <v>84</v>
      </c>
      <c r="C8" s="689"/>
      <c r="D8" s="690"/>
      <c r="E8" s="691"/>
      <c r="F8" s="61"/>
      <c r="G8" s="267"/>
      <c r="H8" s="689"/>
      <c r="I8" s="690"/>
      <c r="J8" s="703"/>
      <c r="K8" s="703"/>
      <c r="L8" s="269"/>
      <c r="N8" s="41"/>
    </row>
    <row r="9" spans="2:14" ht="22.5" customHeight="1">
      <c r="B9" s="270" t="s">
        <v>266</v>
      </c>
      <c r="C9" s="689">
        <v>5608</v>
      </c>
      <c r="D9" s="690"/>
      <c r="E9" s="691">
        <v>1537</v>
      </c>
      <c r="F9" s="61"/>
      <c r="G9" s="267">
        <f t="shared" si="0"/>
        <v>0.2740727532097004</v>
      </c>
      <c r="H9" s="689">
        <v>488208</v>
      </c>
      <c r="I9" s="690"/>
      <c r="J9" s="703">
        <v>179496</v>
      </c>
      <c r="K9" s="703"/>
      <c r="L9" s="269">
        <f t="shared" si="1"/>
        <v>0.36766296332710646</v>
      </c>
      <c r="N9" s="41"/>
    </row>
    <row r="10" spans="2:14" ht="15" customHeight="1">
      <c r="B10" s="270" t="s">
        <v>267</v>
      </c>
      <c r="C10" s="689">
        <v>4918</v>
      </c>
      <c r="D10" s="690"/>
      <c r="E10" s="691">
        <v>1659</v>
      </c>
      <c r="F10" s="61"/>
      <c r="G10" s="267">
        <f t="shared" si="0"/>
        <v>0.3373322488816592</v>
      </c>
      <c r="H10" s="689">
        <v>112678</v>
      </c>
      <c r="I10" s="690"/>
      <c r="J10" s="703">
        <v>47889</v>
      </c>
      <c r="K10" s="704"/>
      <c r="L10" s="269">
        <f t="shared" si="1"/>
        <v>0.42500754361987253</v>
      </c>
      <c r="N10" s="41"/>
    </row>
    <row r="11" spans="2:14" ht="15" customHeight="1">
      <c r="B11" s="270" t="s">
        <v>87</v>
      </c>
      <c r="C11" s="689">
        <v>1708</v>
      </c>
      <c r="D11" s="690"/>
      <c r="E11" s="691">
        <v>493</v>
      </c>
      <c r="F11" s="61"/>
      <c r="G11" s="267">
        <f t="shared" si="0"/>
        <v>0.2886416861826698</v>
      </c>
      <c r="H11" s="703">
        <v>64277</v>
      </c>
      <c r="I11" s="690"/>
      <c r="J11" s="703">
        <f>26799*64277/106928</f>
        <v>16109.525316100553</v>
      </c>
      <c r="K11" s="704"/>
      <c r="L11" s="269">
        <f t="shared" si="1"/>
        <v>0.2506265898548556</v>
      </c>
      <c r="N11" s="41"/>
    </row>
    <row r="12" spans="2:14" ht="24.75" customHeight="1">
      <c r="B12" s="271" t="s">
        <v>31</v>
      </c>
      <c r="C12" s="692">
        <v>10928</v>
      </c>
      <c r="D12" s="693"/>
      <c r="E12" s="694">
        <v>3196</v>
      </c>
      <c r="F12" s="272"/>
      <c r="G12" s="262">
        <f t="shared" si="0"/>
        <v>0.2924597364568082</v>
      </c>
      <c r="H12" s="692">
        <v>790851</v>
      </c>
      <c r="I12" s="693"/>
      <c r="J12" s="705">
        <v>249501</v>
      </c>
      <c r="K12" s="706"/>
      <c r="L12" s="274">
        <f t="shared" si="1"/>
        <v>0.31548420625376966</v>
      </c>
      <c r="N12" s="41"/>
    </row>
    <row r="13" spans="2:14" ht="9.75" customHeight="1" hidden="1">
      <c r="B13" s="266" t="s">
        <v>84</v>
      </c>
      <c r="C13" s="689"/>
      <c r="D13" s="690"/>
      <c r="E13" s="691"/>
      <c r="F13" s="61"/>
      <c r="G13" s="262" t="e">
        <f t="shared" si="0"/>
        <v>#DIV/0!</v>
      </c>
      <c r="H13" s="689"/>
      <c r="I13" s="690"/>
      <c r="J13" s="703"/>
      <c r="K13" s="703"/>
      <c r="L13" s="269" t="e">
        <f t="shared" si="1"/>
        <v>#DIV/0!</v>
      </c>
      <c r="N13" s="41"/>
    </row>
    <row r="14" spans="2:14" ht="15" customHeight="1" hidden="1">
      <c r="B14" s="275" t="s">
        <v>88</v>
      </c>
      <c r="C14" s="695"/>
      <c r="D14" s="696"/>
      <c r="E14" s="697"/>
      <c r="F14" s="60"/>
      <c r="G14" s="262" t="e">
        <f t="shared" si="0"/>
        <v>#DIV/0!</v>
      </c>
      <c r="H14" s="695"/>
      <c r="I14" s="696"/>
      <c r="J14" s="707"/>
      <c r="K14" s="707"/>
      <c r="L14" s="277" t="e">
        <f t="shared" si="1"/>
        <v>#DIV/0!</v>
      </c>
      <c r="N14" s="41"/>
    </row>
    <row r="15" spans="2:14" ht="24.75" customHeight="1">
      <c r="B15" s="260" t="s">
        <v>89</v>
      </c>
      <c r="C15" s="683">
        <v>5120</v>
      </c>
      <c r="D15" s="698"/>
      <c r="E15" s="699">
        <v>2626</v>
      </c>
      <c r="F15" s="278"/>
      <c r="G15" s="262">
        <f t="shared" si="0"/>
        <v>0.512890625</v>
      </c>
      <c r="H15" s="683">
        <v>251381</v>
      </c>
      <c r="I15" s="698"/>
      <c r="J15" s="685">
        <v>144388</v>
      </c>
      <c r="K15" s="708"/>
      <c r="L15" s="279">
        <f t="shared" si="1"/>
        <v>0.5743791296876056</v>
      </c>
      <c r="N15" s="41"/>
    </row>
    <row r="16" spans="2:14" ht="24.75" customHeight="1">
      <c r="B16" s="263" t="s">
        <v>32</v>
      </c>
      <c r="C16" s="686">
        <v>12389</v>
      </c>
      <c r="D16" s="700"/>
      <c r="E16" s="688">
        <v>3002</v>
      </c>
      <c r="F16" s="62"/>
      <c r="G16" s="264">
        <f t="shared" si="0"/>
        <v>0.2423117281459359</v>
      </c>
      <c r="H16" s="686">
        <v>108862</v>
      </c>
      <c r="I16" s="700"/>
      <c r="J16" s="688">
        <v>30372</v>
      </c>
      <c r="K16" s="709"/>
      <c r="L16" s="280">
        <f t="shared" si="1"/>
        <v>0.27899542540096633</v>
      </c>
      <c r="N16" s="41"/>
    </row>
    <row r="17" spans="2:14" ht="10.5" customHeight="1">
      <c r="B17" s="266" t="s">
        <v>84</v>
      </c>
      <c r="C17" s="689"/>
      <c r="D17" s="690"/>
      <c r="E17" s="691"/>
      <c r="F17" s="61"/>
      <c r="G17" s="267"/>
      <c r="H17" s="689"/>
      <c r="I17" s="690"/>
      <c r="J17" s="703"/>
      <c r="K17" s="703"/>
      <c r="L17" s="269"/>
      <c r="N17" s="41"/>
    </row>
    <row r="18" spans="2:14" ht="15" customHeight="1">
      <c r="B18" s="270" t="s">
        <v>268</v>
      </c>
      <c r="C18" s="689">
        <v>8607</v>
      </c>
      <c r="D18" s="690"/>
      <c r="E18" s="691">
        <v>1936</v>
      </c>
      <c r="F18" s="61"/>
      <c r="G18" s="267">
        <f t="shared" si="0"/>
        <v>0.22493319391193214</v>
      </c>
      <c r="H18" s="689">
        <v>46835</v>
      </c>
      <c r="I18" s="690"/>
      <c r="J18" s="703">
        <v>12290</v>
      </c>
      <c r="K18" s="703"/>
      <c r="L18" s="269">
        <f t="shared" si="1"/>
        <v>0.26241059037044945</v>
      </c>
      <c r="M18" s="63"/>
      <c r="N18" s="41"/>
    </row>
    <row r="19" spans="2:14" ht="15" customHeight="1">
      <c r="B19" s="270" t="s">
        <v>269</v>
      </c>
      <c r="C19" s="689">
        <v>1443</v>
      </c>
      <c r="D19" s="690"/>
      <c r="E19" s="691">
        <v>524</v>
      </c>
      <c r="F19" s="61"/>
      <c r="G19" s="267">
        <f t="shared" si="0"/>
        <v>0.36313236313236313</v>
      </c>
      <c r="H19" s="689">
        <v>38410</v>
      </c>
      <c r="I19" s="690"/>
      <c r="J19" s="703">
        <v>11411</v>
      </c>
      <c r="K19" s="703"/>
      <c r="L19" s="269">
        <f t="shared" si="1"/>
        <v>0.29708409268419683</v>
      </c>
      <c r="N19" s="41"/>
    </row>
    <row r="20" spans="2:14" ht="15" customHeight="1">
      <c r="B20" s="270" t="s">
        <v>270</v>
      </c>
      <c r="C20" s="689">
        <v>777</v>
      </c>
      <c r="D20" s="690"/>
      <c r="E20" s="691">
        <v>98</v>
      </c>
      <c r="F20" s="61"/>
      <c r="G20" s="267">
        <f t="shared" si="0"/>
        <v>0.12612612612612611</v>
      </c>
      <c r="H20" s="689">
        <v>12422</v>
      </c>
      <c r="I20" s="690"/>
      <c r="J20" s="703">
        <v>1436</v>
      </c>
      <c r="K20" s="703"/>
      <c r="L20" s="269">
        <f t="shared" si="1"/>
        <v>0.11560135243922073</v>
      </c>
      <c r="M20" s="63"/>
      <c r="N20" s="41"/>
    </row>
    <row r="21" spans="2:14" ht="15" customHeight="1">
      <c r="B21" s="270" t="s">
        <v>85</v>
      </c>
      <c r="C21" s="689">
        <v>658</v>
      </c>
      <c r="D21" s="690"/>
      <c r="E21" s="691">
        <v>168</v>
      </c>
      <c r="F21" s="61"/>
      <c r="G21" s="267">
        <f t="shared" si="0"/>
        <v>0.2553191489361702</v>
      </c>
      <c r="H21" s="689">
        <v>4084</v>
      </c>
      <c r="I21" s="690"/>
      <c r="J21" s="703">
        <v>1548</v>
      </c>
      <c r="K21" s="703"/>
      <c r="L21" s="269">
        <f t="shared" si="1"/>
        <v>0.37904015670910873</v>
      </c>
      <c r="N21" s="41"/>
    </row>
    <row r="22" spans="2:14" ht="15" customHeight="1">
      <c r="B22" s="281" t="s">
        <v>271</v>
      </c>
      <c r="C22" s="695">
        <v>904</v>
      </c>
      <c r="D22" s="696"/>
      <c r="E22" s="697">
        <v>276</v>
      </c>
      <c r="F22" s="60"/>
      <c r="G22" s="267">
        <f t="shared" si="0"/>
        <v>0.3053097345132743</v>
      </c>
      <c r="H22" s="695">
        <v>7112</v>
      </c>
      <c r="I22" s="696"/>
      <c r="J22" s="697">
        <v>3687</v>
      </c>
      <c r="K22" s="707"/>
      <c r="L22" s="277">
        <f t="shared" si="1"/>
        <v>0.5184195725534309</v>
      </c>
      <c r="N22" s="41"/>
    </row>
    <row r="23" spans="2:14" ht="24.75" customHeight="1">
      <c r="B23" s="260" t="s">
        <v>135</v>
      </c>
      <c r="C23" s="683">
        <v>2309</v>
      </c>
      <c r="D23" s="698"/>
      <c r="E23" s="699">
        <v>747</v>
      </c>
      <c r="F23" s="278"/>
      <c r="G23" s="262">
        <f t="shared" si="0"/>
        <v>0.3235166738847986</v>
      </c>
      <c r="H23" s="683">
        <v>6393</v>
      </c>
      <c r="I23" s="698"/>
      <c r="J23" s="685">
        <v>2655</v>
      </c>
      <c r="K23" s="708"/>
      <c r="L23" s="279">
        <f t="shared" si="1"/>
        <v>0.41529798216799624</v>
      </c>
      <c r="N23" s="121"/>
    </row>
    <row r="24" spans="2:14" ht="15" customHeight="1">
      <c r="B24" s="282"/>
      <c r="C24" s="283"/>
      <c r="D24" s="61"/>
      <c r="E24" s="283"/>
      <c r="F24" s="61"/>
      <c r="G24" s="61"/>
      <c r="H24" s="283"/>
      <c r="I24" s="202"/>
      <c r="J24" s="283"/>
      <c r="K24" s="268"/>
      <c r="L24" s="268"/>
      <c r="N24" s="121"/>
    </row>
    <row r="25" spans="2:14" s="43" customFormat="1" ht="30" customHeight="1">
      <c r="B25" s="1080" t="s">
        <v>168</v>
      </c>
      <c r="C25" s="1080"/>
      <c r="D25" s="1080"/>
      <c r="E25" s="1080"/>
      <c r="F25" s="1080"/>
      <c r="G25" s="1080"/>
      <c r="H25" s="1080"/>
      <c r="I25" s="1080"/>
      <c r="J25" s="1080"/>
      <c r="K25" s="1080"/>
      <c r="L25" s="1080"/>
      <c r="N25" s="122"/>
    </row>
    <row r="26" spans="2:12" ht="19.5" customHeight="1">
      <c r="B26" s="258" t="s">
        <v>298</v>
      </c>
      <c r="C26" s="1042" t="s">
        <v>21</v>
      </c>
      <c r="D26" s="1043"/>
      <c r="E26" s="1043"/>
      <c r="F26" s="1043"/>
      <c r="G26" s="1044"/>
      <c r="H26" s="1042" t="s">
        <v>184</v>
      </c>
      <c r="I26" s="1043"/>
      <c r="J26" s="1043"/>
      <c r="K26" s="1043"/>
      <c r="L26" s="1044"/>
    </row>
    <row r="27" spans="2:12" ht="19.5" customHeight="1">
      <c r="B27" s="233" t="s">
        <v>30</v>
      </c>
      <c r="C27" s="1076" t="s">
        <v>77</v>
      </c>
      <c r="D27" s="1077"/>
      <c r="E27" s="1078" t="s">
        <v>253</v>
      </c>
      <c r="F27" s="1079"/>
      <c r="G27" s="259" t="s">
        <v>104</v>
      </c>
      <c r="H27" s="1076" t="s">
        <v>77</v>
      </c>
      <c r="I27" s="1077"/>
      <c r="J27" s="1078" t="s">
        <v>253</v>
      </c>
      <c r="K27" s="1079"/>
      <c r="L27" s="259" t="s">
        <v>104</v>
      </c>
    </row>
    <row r="28" spans="2:12" ht="30" customHeight="1">
      <c r="B28" s="271" t="s">
        <v>78</v>
      </c>
      <c r="C28" s="555">
        <v>4627</v>
      </c>
      <c r="D28" s="710"/>
      <c r="E28" s="523">
        <v>1350</v>
      </c>
      <c r="F28" s="62"/>
      <c r="G28" s="264">
        <f>E28/C28</f>
        <v>0.2917657229306246</v>
      </c>
      <c r="H28" s="555">
        <v>40003</v>
      </c>
      <c r="I28" s="710"/>
      <c r="J28" s="523">
        <v>16850</v>
      </c>
      <c r="K28" s="273"/>
      <c r="L28" s="274">
        <f>J28/H28</f>
        <v>0.42121840861935356</v>
      </c>
    </row>
    <row r="29" spans="2:12" ht="24.75" customHeight="1">
      <c r="B29" s="284" t="s">
        <v>136</v>
      </c>
      <c r="C29" s="557">
        <v>2772</v>
      </c>
      <c r="D29" s="711"/>
      <c r="E29" s="712">
        <v>879</v>
      </c>
      <c r="F29" s="61"/>
      <c r="G29" s="267">
        <f>E29/C29</f>
        <v>0.3170995670995671</v>
      </c>
      <c r="H29" s="557">
        <v>17498</v>
      </c>
      <c r="I29" s="442"/>
      <c r="J29" s="442">
        <v>9398</v>
      </c>
      <c r="K29" s="268"/>
      <c r="L29" s="269">
        <f>J29/H29</f>
        <v>0.5370899531375014</v>
      </c>
    </row>
    <row r="30" spans="2:12" ht="24.75" customHeight="1">
      <c r="B30" s="275" t="s">
        <v>187</v>
      </c>
      <c r="C30" s="628">
        <v>1855</v>
      </c>
      <c r="D30" s="713"/>
      <c r="E30" s="714">
        <v>471</v>
      </c>
      <c r="F30" s="60"/>
      <c r="G30" s="285">
        <f>E30/C30</f>
        <v>0.25390835579514826</v>
      </c>
      <c r="H30" s="628">
        <v>22505</v>
      </c>
      <c r="I30" s="456"/>
      <c r="J30" s="456">
        <v>7452</v>
      </c>
      <c r="K30" s="276"/>
      <c r="L30" s="269">
        <f>J30/H30</f>
        <v>0.3311264163519218</v>
      </c>
    </row>
    <row r="31" spans="2:12" ht="15" customHeight="1">
      <c r="B31" s="286"/>
      <c r="C31" s="287"/>
      <c r="D31" s="287"/>
      <c r="E31" s="287"/>
      <c r="F31" s="287"/>
      <c r="G31" s="288"/>
      <c r="H31" s="287"/>
      <c r="I31" s="289"/>
      <c r="J31" s="287"/>
      <c r="K31" s="289"/>
      <c r="L31" s="290"/>
    </row>
    <row r="32" spans="2:14" s="43" customFormat="1" ht="30" customHeight="1">
      <c r="B32" s="1075" t="s">
        <v>169</v>
      </c>
      <c r="C32" s="1075"/>
      <c r="D32" s="1075"/>
      <c r="E32" s="1075"/>
      <c r="F32" s="1075"/>
      <c r="G32" s="1075"/>
      <c r="H32" s="1075"/>
      <c r="I32" s="1075"/>
      <c r="J32" s="1075"/>
      <c r="K32" s="1075"/>
      <c r="L32" s="1075"/>
      <c r="N32" s="122"/>
    </row>
    <row r="33" spans="2:12" ht="19.5" customHeight="1">
      <c r="B33" s="258" t="s">
        <v>303</v>
      </c>
      <c r="C33" s="1042" t="s">
        <v>21</v>
      </c>
      <c r="D33" s="1043"/>
      <c r="E33" s="1043"/>
      <c r="F33" s="1043"/>
      <c r="G33" s="1044"/>
      <c r="H33" s="1042" t="s">
        <v>184</v>
      </c>
      <c r="I33" s="1043"/>
      <c r="J33" s="1043"/>
      <c r="K33" s="1043"/>
      <c r="L33" s="1044"/>
    </row>
    <row r="34" spans="2:12" ht="19.5" customHeight="1">
      <c r="B34" s="233" t="s">
        <v>33</v>
      </c>
      <c r="C34" s="1076" t="s">
        <v>77</v>
      </c>
      <c r="D34" s="1077"/>
      <c r="E34" s="1078" t="s">
        <v>253</v>
      </c>
      <c r="F34" s="1079"/>
      <c r="G34" s="259" t="s">
        <v>104</v>
      </c>
      <c r="H34" s="1076" t="s">
        <v>77</v>
      </c>
      <c r="I34" s="1077"/>
      <c r="J34" s="1078" t="s">
        <v>253</v>
      </c>
      <c r="K34" s="1079"/>
      <c r="L34" s="259" t="s">
        <v>104</v>
      </c>
    </row>
    <row r="35" spans="2:12" ht="30" customHeight="1">
      <c r="B35" s="281"/>
      <c r="C35" s="291">
        <v>307</v>
      </c>
      <c r="D35" s="292"/>
      <c r="E35" s="293">
        <f>42+27+15+10+4+1+2+1</f>
        <v>102</v>
      </c>
      <c r="F35" s="60"/>
      <c r="G35" s="285">
        <f>E35/C35</f>
        <v>0.3322475570032573</v>
      </c>
      <c r="H35" s="775">
        <v>20827</v>
      </c>
      <c r="I35" s="853"/>
      <c r="J35" s="854">
        <f>2782+2248+1004+958+42+35+20+3</f>
        <v>7092</v>
      </c>
      <c r="K35" s="276"/>
      <c r="L35" s="277">
        <f>J35/H35</f>
        <v>0.34051951793345175</v>
      </c>
    </row>
    <row r="36" spans="2:11" ht="15.75" customHeight="1">
      <c r="B36" s="1033" t="s">
        <v>185</v>
      </c>
      <c r="C36" s="1033"/>
      <c r="D36" s="1033"/>
      <c r="E36" s="1033"/>
      <c r="F36" s="1033"/>
      <c r="G36" s="1033"/>
      <c r="H36" s="1033"/>
      <c r="I36" s="1033"/>
      <c r="J36" s="1033"/>
      <c r="K36" s="47"/>
    </row>
    <row r="37" spans="2:11" ht="15" customHeight="1">
      <c r="B37" s="294" t="s">
        <v>0</v>
      </c>
      <c r="C37" s="295"/>
      <c r="D37" s="295"/>
      <c r="E37" s="295"/>
      <c r="F37" s="295"/>
      <c r="G37" s="295"/>
      <c r="H37" s="295"/>
      <c r="I37" s="295"/>
      <c r="J37" s="295"/>
      <c r="K37" s="295"/>
    </row>
    <row r="38" spans="2:11" s="724" customFormat="1" ht="15" customHeight="1">
      <c r="B38" s="56" t="s">
        <v>272</v>
      </c>
      <c r="C38" s="295"/>
      <c r="D38" s="295"/>
      <c r="E38" s="295"/>
      <c r="F38" s="295"/>
      <c r="G38" s="295"/>
      <c r="H38" s="295"/>
      <c r="I38" s="295"/>
      <c r="J38" s="295"/>
      <c r="K38" s="295"/>
    </row>
    <row r="39" spans="2:13" ht="13.5" customHeight="1">
      <c r="B39" s="1073" t="s">
        <v>275</v>
      </c>
      <c r="C39" s="1074"/>
      <c r="D39" s="1074"/>
      <c r="E39" s="1074"/>
      <c r="F39" s="1074"/>
      <c r="G39" s="1074"/>
      <c r="H39" s="1074"/>
      <c r="I39" s="1074"/>
      <c r="J39" s="1074"/>
      <c r="K39" s="1074"/>
      <c r="L39" s="1074"/>
      <c r="M39" s="1074"/>
    </row>
    <row r="40" spans="2:4" ht="12.75" customHeight="1">
      <c r="B40" s="56" t="s">
        <v>86</v>
      </c>
      <c r="C40" s="63"/>
      <c r="D40" s="63"/>
    </row>
    <row r="41" ht="12.75" customHeight="1">
      <c r="B41" s="56" t="s">
        <v>90</v>
      </c>
    </row>
    <row r="42" ht="12.75" customHeight="1"/>
    <row r="43" ht="12.75">
      <c r="B43" s="3"/>
    </row>
    <row r="45" ht="12.75">
      <c r="B45" s="296"/>
    </row>
    <row r="47" ht="12.75">
      <c r="B47" s="296"/>
    </row>
  </sheetData>
  <sheetProtection/>
  <mergeCells count="25">
    <mergeCell ref="C5:D5"/>
    <mergeCell ref="E5:F5"/>
    <mergeCell ref="H5:I5"/>
    <mergeCell ref="J5:K5"/>
    <mergeCell ref="B1:C1"/>
    <mergeCell ref="B2:L2"/>
    <mergeCell ref="B3:L3"/>
    <mergeCell ref="C4:G4"/>
    <mergeCell ref="H4:L4"/>
    <mergeCell ref="B25:L25"/>
    <mergeCell ref="C26:G26"/>
    <mergeCell ref="H26:L26"/>
    <mergeCell ref="C27:D27"/>
    <mergeCell ref="E27:F27"/>
    <mergeCell ref="H27:I27"/>
    <mergeCell ref="J27:K27"/>
    <mergeCell ref="B39:M39"/>
    <mergeCell ref="B36:J36"/>
    <mergeCell ref="B32:L32"/>
    <mergeCell ref="C33:G33"/>
    <mergeCell ref="H33:L33"/>
    <mergeCell ref="C34:D34"/>
    <mergeCell ref="E34:F34"/>
    <mergeCell ref="H34:I34"/>
    <mergeCell ref="J34:K34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N48"/>
  <sheetViews>
    <sheetView zoomScale="85" zoomScaleNormal="85" zoomScalePageLayoutView="0" workbookViewId="0" topLeftCell="A10">
      <selection activeCell="N7" sqref="N7"/>
    </sheetView>
  </sheetViews>
  <sheetFormatPr defaultColWidth="9.140625" defaultRowHeight="12.75"/>
  <cols>
    <col min="1" max="1" width="3.7109375" style="3" customWidth="1"/>
    <col min="2" max="2" width="4.57421875" style="23" customWidth="1"/>
    <col min="3" max="7" width="8.7109375" style="23" customWidth="1"/>
    <col min="8" max="8" width="1.7109375" style="23" customWidth="1"/>
    <col min="9" max="9" width="4.8515625" style="23" customWidth="1"/>
    <col min="10" max="10" width="4.7109375" style="3" customWidth="1"/>
    <col min="11" max="16384" width="9.140625" style="3" customWidth="1"/>
  </cols>
  <sheetData>
    <row r="1" spans="2:9" ht="14.25" customHeight="1">
      <c r="B1" s="22"/>
      <c r="C1" s="22"/>
      <c r="D1" s="22"/>
      <c r="E1" s="22"/>
      <c r="F1" s="22"/>
      <c r="I1" s="297" t="s">
        <v>158</v>
      </c>
    </row>
    <row r="2" spans="2:9" s="56" customFormat="1" ht="30" customHeight="1">
      <c r="B2" s="1082" t="s">
        <v>170</v>
      </c>
      <c r="C2" s="1082"/>
      <c r="D2" s="1082"/>
      <c r="E2" s="1082"/>
      <c r="F2" s="1082"/>
      <c r="G2" s="1082"/>
      <c r="H2" s="1082"/>
      <c r="I2" s="1082"/>
    </row>
    <row r="3" spans="2:10" ht="15" customHeight="1">
      <c r="B3" s="1083" t="s">
        <v>94</v>
      </c>
      <c r="C3" s="1083"/>
      <c r="D3" s="1083"/>
      <c r="E3" s="1083"/>
      <c r="F3" s="1083"/>
      <c r="G3" s="1083"/>
      <c r="H3" s="1083"/>
      <c r="I3" s="1083"/>
      <c r="J3" s="2"/>
    </row>
    <row r="4" spans="2:10" ht="12.75" customHeight="1">
      <c r="B4" s="1084" t="s">
        <v>304</v>
      </c>
      <c r="C4" s="1085"/>
      <c r="D4" s="1085"/>
      <c r="E4" s="1085"/>
      <c r="F4" s="1085"/>
      <c r="G4" s="1085"/>
      <c r="H4" s="1085"/>
      <c r="I4" s="1085"/>
      <c r="J4" s="2"/>
    </row>
    <row r="5" spans="3:8" ht="15" customHeight="1">
      <c r="C5" s="1087" t="s">
        <v>34</v>
      </c>
      <c r="D5" s="1088"/>
      <c r="E5" s="1088"/>
      <c r="F5" s="1088"/>
      <c r="G5" s="1088"/>
      <c r="H5" s="1089"/>
    </row>
    <row r="6" spans="3:10" ht="33" customHeight="1">
      <c r="C6" s="298" t="s">
        <v>35</v>
      </c>
      <c r="D6" s="299" t="s">
        <v>36</v>
      </c>
      <c r="E6" s="299" t="s">
        <v>37</v>
      </c>
      <c r="F6" s="300" t="s">
        <v>38</v>
      </c>
      <c r="G6" s="1069" t="s">
        <v>78</v>
      </c>
      <c r="H6" s="1071"/>
      <c r="I6" s="22"/>
      <c r="J6" s="2"/>
    </row>
    <row r="7" spans="2:14" ht="15" customHeight="1">
      <c r="B7" s="52" t="s">
        <v>253</v>
      </c>
      <c r="C7" s="555">
        <f>SUM(C8:C35)</f>
        <v>251</v>
      </c>
      <c r="D7" s="523">
        <f>SUM(D8:D35)</f>
        <v>1234</v>
      </c>
      <c r="E7" s="523">
        <f>SUM(E8:E35)</f>
        <v>2459</v>
      </c>
      <c r="F7" s="556">
        <f>SUM(F8:F35)</f>
        <v>676</v>
      </c>
      <c r="G7" s="801">
        <f>SUM(G8:G35)</f>
        <v>4620</v>
      </c>
      <c r="H7" s="930"/>
      <c r="I7" s="800" t="s">
        <v>253</v>
      </c>
      <c r="J7" s="999"/>
      <c r="N7" s="957"/>
    </row>
    <row r="8" spans="2:10" ht="12.75" customHeight="1">
      <c r="B8" s="9" t="s">
        <v>62</v>
      </c>
      <c r="C8" s="603"/>
      <c r="D8" s="455">
        <v>36</v>
      </c>
      <c r="E8" s="455">
        <v>30</v>
      </c>
      <c r="F8" s="604">
        <v>18</v>
      </c>
      <c r="G8" s="927">
        <f>SUM(C8:F8)</f>
        <v>84</v>
      </c>
      <c r="H8" s="304"/>
      <c r="I8" s="9" t="s">
        <v>62</v>
      </c>
      <c r="J8" s="35"/>
    </row>
    <row r="9" spans="2:10" ht="12.75" customHeight="1">
      <c r="B9" s="51" t="s">
        <v>45</v>
      </c>
      <c r="C9" s="558">
        <v>6</v>
      </c>
      <c r="D9" s="559">
        <v>14</v>
      </c>
      <c r="E9" s="559">
        <v>20</v>
      </c>
      <c r="F9" s="605"/>
      <c r="G9" s="928">
        <f aca="true" t="shared" si="0" ref="G9:G43">SUM(C9:F9)</f>
        <v>40</v>
      </c>
      <c r="H9" s="303"/>
      <c r="I9" s="51" t="s">
        <v>45</v>
      </c>
      <c r="J9" s="35"/>
    </row>
    <row r="10" spans="1:13" ht="12.75" customHeight="1">
      <c r="A10" s="8"/>
      <c r="B10" s="10" t="s">
        <v>47</v>
      </c>
      <c r="C10" s="557">
        <v>6</v>
      </c>
      <c r="D10" s="442">
        <v>16</v>
      </c>
      <c r="E10" s="442">
        <v>21</v>
      </c>
      <c r="F10" s="450">
        <v>1</v>
      </c>
      <c r="G10" s="927">
        <f t="shared" si="0"/>
        <v>44</v>
      </c>
      <c r="H10" s="304"/>
      <c r="I10" s="10" t="s">
        <v>47</v>
      </c>
      <c r="J10" s="19"/>
      <c r="M10" s="2"/>
    </row>
    <row r="11" spans="1:13" ht="12.75" customHeight="1">
      <c r="A11" s="8"/>
      <c r="B11" s="51" t="s">
        <v>58</v>
      </c>
      <c r="C11" s="558">
        <v>22</v>
      </c>
      <c r="D11" s="559">
        <v>12</v>
      </c>
      <c r="E11" s="559">
        <v>20</v>
      </c>
      <c r="F11" s="605">
        <v>6</v>
      </c>
      <c r="G11" s="928">
        <f t="shared" si="0"/>
        <v>60</v>
      </c>
      <c r="H11" s="303"/>
      <c r="I11" s="51" t="s">
        <v>58</v>
      </c>
      <c r="J11" s="19"/>
      <c r="K11" s="2"/>
      <c r="L11" s="2"/>
      <c r="M11" s="2"/>
    </row>
    <row r="12" spans="1:10" ht="12.75" customHeight="1">
      <c r="A12" s="8"/>
      <c r="B12" s="10" t="s">
        <v>63</v>
      </c>
      <c r="C12" s="557">
        <v>12</v>
      </c>
      <c r="D12" s="442">
        <v>164</v>
      </c>
      <c r="E12" s="442">
        <v>288</v>
      </c>
      <c r="F12" s="450">
        <v>118</v>
      </c>
      <c r="G12" s="927">
        <f t="shared" si="0"/>
        <v>582</v>
      </c>
      <c r="H12" s="304"/>
      <c r="I12" s="10" t="s">
        <v>63</v>
      </c>
      <c r="J12" s="19"/>
    </row>
    <row r="13" spans="1:10" ht="12.75" customHeight="1">
      <c r="A13" s="8"/>
      <c r="B13" s="51" t="s">
        <v>48</v>
      </c>
      <c r="C13" s="558">
        <v>2</v>
      </c>
      <c r="D13" s="559">
        <v>12</v>
      </c>
      <c r="E13" s="559">
        <v>6</v>
      </c>
      <c r="F13" s="605"/>
      <c r="G13" s="928">
        <f t="shared" si="0"/>
        <v>20</v>
      </c>
      <c r="H13" s="303"/>
      <c r="I13" s="51" t="s">
        <v>48</v>
      </c>
      <c r="J13" s="19"/>
    </row>
    <row r="14" spans="1:10" ht="12.75" customHeight="1">
      <c r="A14" s="8"/>
      <c r="B14" s="10" t="s">
        <v>66</v>
      </c>
      <c r="C14" s="557">
        <v>1</v>
      </c>
      <c r="D14" s="442">
        <v>28</v>
      </c>
      <c r="E14" s="442">
        <v>555</v>
      </c>
      <c r="F14" s="450">
        <v>14</v>
      </c>
      <c r="G14" s="927">
        <f t="shared" si="0"/>
        <v>598</v>
      </c>
      <c r="H14" s="304"/>
      <c r="I14" s="10" t="s">
        <v>66</v>
      </c>
      <c r="J14" s="19"/>
    </row>
    <row r="15" spans="1:10" ht="12.75" customHeight="1">
      <c r="A15" s="8"/>
      <c r="B15" s="51" t="s">
        <v>59</v>
      </c>
      <c r="C15" s="558">
        <v>16</v>
      </c>
      <c r="D15" s="559">
        <v>21</v>
      </c>
      <c r="E15" s="559">
        <v>55</v>
      </c>
      <c r="F15" s="605"/>
      <c r="G15" s="928">
        <f t="shared" si="0"/>
        <v>92</v>
      </c>
      <c r="H15" s="303"/>
      <c r="I15" s="51" t="s">
        <v>59</v>
      </c>
      <c r="J15" s="19"/>
    </row>
    <row r="16" spans="1:10" ht="12.75" customHeight="1">
      <c r="A16" s="8"/>
      <c r="B16" s="10" t="s">
        <v>64</v>
      </c>
      <c r="C16" s="557">
        <v>8</v>
      </c>
      <c r="D16" s="442">
        <v>133</v>
      </c>
      <c r="E16" s="442">
        <v>195</v>
      </c>
      <c r="F16" s="450">
        <v>73</v>
      </c>
      <c r="G16" s="927">
        <f t="shared" si="0"/>
        <v>409</v>
      </c>
      <c r="H16" s="304"/>
      <c r="I16" s="10" t="s">
        <v>64</v>
      </c>
      <c r="J16" s="19"/>
    </row>
    <row r="17" spans="1:13" ht="12.75" customHeight="1">
      <c r="A17" s="8"/>
      <c r="B17" s="51" t="s">
        <v>65</v>
      </c>
      <c r="C17" s="558">
        <v>48</v>
      </c>
      <c r="D17" s="559">
        <v>124</v>
      </c>
      <c r="E17" s="559">
        <v>120</v>
      </c>
      <c r="F17" s="605">
        <v>106</v>
      </c>
      <c r="G17" s="928">
        <f t="shared" si="0"/>
        <v>398</v>
      </c>
      <c r="H17" s="303"/>
      <c r="I17" s="51" t="s">
        <v>65</v>
      </c>
      <c r="J17" s="19"/>
      <c r="M17" s="2"/>
    </row>
    <row r="18" spans="1:10" ht="12.75" customHeight="1">
      <c r="A18" s="8"/>
      <c r="B18" s="10" t="s">
        <v>76</v>
      </c>
      <c r="C18" s="557"/>
      <c r="D18" s="442">
        <v>11</v>
      </c>
      <c r="E18" s="442">
        <v>3</v>
      </c>
      <c r="F18" s="450"/>
      <c r="G18" s="927">
        <f t="shared" si="0"/>
        <v>14</v>
      </c>
      <c r="H18" s="304"/>
      <c r="I18" s="10" t="s">
        <v>76</v>
      </c>
      <c r="J18" s="19"/>
    </row>
    <row r="19" spans="1:10" ht="12.75" customHeight="1">
      <c r="A19" s="8"/>
      <c r="B19" s="156" t="s">
        <v>67</v>
      </c>
      <c r="C19" s="561"/>
      <c r="D19" s="443">
        <v>59</v>
      </c>
      <c r="E19" s="443">
        <v>67</v>
      </c>
      <c r="F19" s="449">
        <v>41</v>
      </c>
      <c r="G19" s="928">
        <f t="shared" si="0"/>
        <v>167</v>
      </c>
      <c r="H19" s="383"/>
      <c r="I19" s="156" t="s">
        <v>67</v>
      </c>
      <c r="J19" s="19"/>
    </row>
    <row r="20" spans="1:10" ht="12.75" customHeight="1">
      <c r="A20" s="8"/>
      <c r="B20" s="10" t="s">
        <v>46</v>
      </c>
      <c r="C20" s="557"/>
      <c r="D20" s="442">
        <v>5</v>
      </c>
      <c r="E20" s="442"/>
      <c r="F20" s="450"/>
      <c r="G20" s="927">
        <f t="shared" si="0"/>
        <v>5</v>
      </c>
      <c r="H20" s="304"/>
      <c r="I20" s="10" t="s">
        <v>46</v>
      </c>
      <c r="J20" s="19"/>
    </row>
    <row r="21" spans="1:10" ht="12.75" customHeight="1">
      <c r="A21" s="8"/>
      <c r="B21" s="156" t="s">
        <v>50</v>
      </c>
      <c r="C21" s="561">
        <v>1</v>
      </c>
      <c r="D21" s="443">
        <v>34</v>
      </c>
      <c r="E21" s="443">
        <v>7</v>
      </c>
      <c r="F21" s="449"/>
      <c r="G21" s="928">
        <f t="shared" si="0"/>
        <v>42</v>
      </c>
      <c r="H21" s="383"/>
      <c r="I21" s="156" t="s">
        <v>50</v>
      </c>
      <c r="J21" s="19"/>
    </row>
    <row r="22" spans="1:10" ht="12.75" customHeight="1">
      <c r="A22" s="8"/>
      <c r="B22" s="10" t="s">
        <v>51</v>
      </c>
      <c r="C22" s="557">
        <v>4</v>
      </c>
      <c r="D22" s="442">
        <v>2</v>
      </c>
      <c r="E22" s="442">
        <v>9</v>
      </c>
      <c r="F22" s="450"/>
      <c r="G22" s="927">
        <f t="shared" si="0"/>
        <v>15</v>
      </c>
      <c r="H22" s="304"/>
      <c r="I22" s="10" t="s">
        <v>51</v>
      </c>
      <c r="J22" s="19"/>
    </row>
    <row r="23" spans="1:10" ht="12.75" customHeight="1">
      <c r="A23" s="8"/>
      <c r="B23" s="156" t="s">
        <v>68</v>
      </c>
      <c r="C23" s="561"/>
      <c r="D23" s="443">
        <v>14</v>
      </c>
      <c r="E23" s="443">
        <v>4</v>
      </c>
      <c r="F23" s="449"/>
      <c r="G23" s="928">
        <f t="shared" si="0"/>
        <v>18</v>
      </c>
      <c r="H23" s="383"/>
      <c r="I23" s="156" t="s">
        <v>68</v>
      </c>
      <c r="J23" s="19"/>
    </row>
    <row r="24" spans="1:10" ht="12.75" customHeight="1">
      <c r="A24" s="8"/>
      <c r="B24" s="10" t="s">
        <v>49</v>
      </c>
      <c r="C24" s="557">
        <v>3</v>
      </c>
      <c r="D24" s="442"/>
      <c r="E24" s="442">
        <v>98</v>
      </c>
      <c r="F24" s="450"/>
      <c r="G24" s="927">
        <f t="shared" si="0"/>
        <v>101</v>
      </c>
      <c r="H24" s="304"/>
      <c r="I24" s="10" t="s">
        <v>49</v>
      </c>
      <c r="J24" s="19"/>
    </row>
    <row r="25" spans="1:10" ht="12.75" customHeight="1">
      <c r="A25" s="8"/>
      <c r="B25" s="156" t="s">
        <v>52</v>
      </c>
      <c r="C25" s="561">
        <v>5</v>
      </c>
      <c r="D25" s="443">
        <v>2</v>
      </c>
      <c r="E25" s="443">
        <v>13</v>
      </c>
      <c r="F25" s="449">
        <v>2</v>
      </c>
      <c r="G25" s="928">
        <f t="shared" si="0"/>
        <v>22</v>
      </c>
      <c r="H25" s="383"/>
      <c r="I25" s="156" t="s">
        <v>52</v>
      </c>
      <c r="J25" s="19"/>
    </row>
    <row r="26" spans="1:10" ht="12.75" customHeight="1">
      <c r="A26" s="8"/>
      <c r="B26" s="10" t="s">
        <v>60</v>
      </c>
      <c r="C26" s="557">
        <v>9</v>
      </c>
      <c r="D26" s="442">
        <v>74</v>
      </c>
      <c r="E26" s="442">
        <v>78</v>
      </c>
      <c r="F26" s="450">
        <v>63</v>
      </c>
      <c r="G26" s="927">
        <f t="shared" si="0"/>
        <v>224</v>
      </c>
      <c r="H26" s="304"/>
      <c r="I26" s="10" t="s">
        <v>60</v>
      </c>
      <c r="J26" s="19"/>
    </row>
    <row r="27" spans="1:10" ht="12.75" customHeight="1">
      <c r="A27" s="8"/>
      <c r="B27" s="156" t="s">
        <v>69</v>
      </c>
      <c r="C27" s="561"/>
      <c r="D27" s="443">
        <v>51</v>
      </c>
      <c r="E27" s="443">
        <v>188</v>
      </c>
      <c r="F27" s="449">
        <v>6</v>
      </c>
      <c r="G27" s="928">
        <f t="shared" si="0"/>
        <v>245</v>
      </c>
      <c r="H27" s="383"/>
      <c r="I27" s="156" t="s">
        <v>69</v>
      </c>
      <c r="J27" s="19"/>
    </row>
    <row r="28" spans="1:10" ht="12.75" customHeight="1">
      <c r="A28" s="8"/>
      <c r="B28" s="10" t="s">
        <v>53</v>
      </c>
      <c r="C28" s="557">
        <v>6</v>
      </c>
      <c r="D28" s="442">
        <v>45</v>
      </c>
      <c r="E28" s="442">
        <v>51</v>
      </c>
      <c r="F28" s="450">
        <v>9</v>
      </c>
      <c r="G28" s="927">
        <f t="shared" si="0"/>
        <v>111</v>
      </c>
      <c r="H28" s="304"/>
      <c r="I28" s="10" t="s">
        <v>53</v>
      </c>
      <c r="J28" s="19"/>
    </row>
    <row r="29" spans="1:10" ht="12.75" customHeight="1">
      <c r="A29" s="8"/>
      <c r="B29" s="156" t="s">
        <v>70</v>
      </c>
      <c r="C29" s="561">
        <v>6</v>
      </c>
      <c r="D29" s="443">
        <v>46</v>
      </c>
      <c r="E29" s="443">
        <v>36</v>
      </c>
      <c r="F29" s="449">
        <v>31</v>
      </c>
      <c r="G29" s="928">
        <f t="shared" si="0"/>
        <v>119</v>
      </c>
      <c r="H29" s="383"/>
      <c r="I29" s="156" t="s">
        <v>70</v>
      </c>
      <c r="J29" s="19"/>
    </row>
    <row r="30" spans="1:10" ht="12.75" customHeight="1">
      <c r="A30" s="8"/>
      <c r="B30" s="10" t="s">
        <v>54</v>
      </c>
      <c r="C30" s="557">
        <v>7</v>
      </c>
      <c r="D30" s="442">
        <v>29</v>
      </c>
      <c r="E30" s="442">
        <v>19</v>
      </c>
      <c r="F30" s="450"/>
      <c r="G30" s="927">
        <f t="shared" si="0"/>
        <v>55</v>
      </c>
      <c r="H30" s="304"/>
      <c r="I30" s="10" t="s">
        <v>54</v>
      </c>
      <c r="J30" s="19"/>
    </row>
    <row r="31" spans="1:10" ht="12.75" customHeight="1">
      <c r="A31" s="8"/>
      <c r="B31" s="156" t="s">
        <v>56</v>
      </c>
      <c r="C31" s="561">
        <v>9</v>
      </c>
      <c r="D31" s="443">
        <v>11</v>
      </c>
      <c r="E31" s="443"/>
      <c r="F31" s="449"/>
      <c r="G31" s="928">
        <f t="shared" si="0"/>
        <v>20</v>
      </c>
      <c r="H31" s="383"/>
      <c r="I31" s="156" t="s">
        <v>56</v>
      </c>
      <c r="J31" s="19"/>
    </row>
    <row r="32" spans="1:10" ht="12.75" customHeight="1">
      <c r="A32" s="8"/>
      <c r="B32" s="10" t="s">
        <v>55</v>
      </c>
      <c r="C32" s="557"/>
      <c r="D32" s="442"/>
      <c r="E32" s="442">
        <v>5</v>
      </c>
      <c r="F32" s="450"/>
      <c r="G32" s="927">
        <f t="shared" si="0"/>
        <v>5</v>
      </c>
      <c r="H32" s="304"/>
      <c r="I32" s="10" t="s">
        <v>55</v>
      </c>
      <c r="J32" s="19"/>
    </row>
    <row r="33" spans="1:10" ht="12.75" customHeight="1">
      <c r="A33" s="8"/>
      <c r="B33" s="156" t="s">
        <v>71</v>
      </c>
      <c r="C33" s="561"/>
      <c r="D33" s="443">
        <v>33</v>
      </c>
      <c r="E33" s="443">
        <v>30</v>
      </c>
      <c r="F33" s="449">
        <v>20</v>
      </c>
      <c r="G33" s="928">
        <f t="shared" si="0"/>
        <v>83</v>
      </c>
      <c r="H33" s="383"/>
      <c r="I33" s="156" t="s">
        <v>71</v>
      </c>
      <c r="J33" s="19"/>
    </row>
    <row r="34" spans="1:10" ht="12.75" customHeight="1">
      <c r="A34" s="8"/>
      <c r="B34" s="10" t="s">
        <v>72</v>
      </c>
      <c r="C34" s="557">
        <v>8</v>
      </c>
      <c r="D34" s="442">
        <v>98</v>
      </c>
      <c r="E34" s="442">
        <v>79</v>
      </c>
      <c r="F34" s="450">
        <v>8</v>
      </c>
      <c r="G34" s="927">
        <f t="shared" si="0"/>
        <v>193</v>
      </c>
      <c r="H34" s="304"/>
      <c r="I34" s="10" t="s">
        <v>72</v>
      </c>
      <c r="J34" s="19"/>
    </row>
    <row r="35" spans="1:10" ht="12.75" customHeight="1">
      <c r="A35" s="8"/>
      <c r="B35" s="157" t="s">
        <v>61</v>
      </c>
      <c r="C35" s="562">
        <v>72</v>
      </c>
      <c r="D35" s="453">
        <v>160</v>
      </c>
      <c r="E35" s="453">
        <v>462</v>
      </c>
      <c r="F35" s="454">
        <v>160</v>
      </c>
      <c r="G35" s="929">
        <f t="shared" si="0"/>
        <v>854</v>
      </c>
      <c r="H35" s="385"/>
      <c r="I35" s="157" t="s">
        <v>61</v>
      </c>
      <c r="J35" s="19"/>
    </row>
    <row r="36" spans="1:10" ht="12.75" customHeight="1">
      <c r="A36" s="8"/>
      <c r="B36" s="402" t="s">
        <v>252</v>
      </c>
      <c r="C36" s="557"/>
      <c r="D36" s="442"/>
      <c r="E36" s="442"/>
      <c r="F36" s="450"/>
      <c r="G36" s="927"/>
      <c r="H36" s="304"/>
      <c r="I36" s="402" t="s">
        <v>252</v>
      </c>
      <c r="J36" s="19"/>
    </row>
    <row r="37" spans="1:10" ht="12.75" customHeight="1">
      <c r="A37" s="8"/>
      <c r="B37" s="156" t="s">
        <v>240</v>
      </c>
      <c r="C37" s="561"/>
      <c r="D37" s="443"/>
      <c r="E37" s="443"/>
      <c r="F37" s="449"/>
      <c r="G37" s="928"/>
      <c r="H37" s="383"/>
      <c r="I37" s="156" t="s">
        <v>240</v>
      </c>
      <c r="J37" s="19"/>
    </row>
    <row r="38" spans="1:10" s="725" customFormat="1" ht="12.75" customHeight="1">
      <c r="A38" s="8"/>
      <c r="B38" s="402" t="s">
        <v>1</v>
      </c>
      <c r="C38" s="557"/>
      <c r="D38" s="442"/>
      <c r="E38" s="442"/>
      <c r="F38" s="450"/>
      <c r="G38" s="927"/>
      <c r="H38" s="304"/>
      <c r="I38" s="402" t="s">
        <v>1</v>
      </c>
      <c r="J38" s="19"/>
    </row>
    <row r="39" spans="1:10" ht="12.75" customHeight="1">
      <c r="A39" s="8"/>
      <c r="B39" s="156" t="s">
        <v>239</v>
      </c>
      <c r="C39" s="561"/>
      <c r="D39" s="443"/>
      <c r="E39" s="443"/>
      <c r="F39" s="449"/>
      <c r="G39" s="928"/>
      <c r="H39" s="383"/>
      <c r="I39" s="156" t="s">
        <v>239</v>
      </c>
      <c r="J39" s="19"/>
    </row>
    <row r="40" spans="1:10" ht="12.75" customHeight="1">
      <c r="A40" s="8"/>
      <c r="B40" s="403" t="s">
        <v>57</v>
      </c>
      <c r="C40" s="628"/>
      <c r="D40" s="456">
        <v>8</v>
      </c>
      <c r="E40" s="456">
        <v>371</v>
      </c>
      <c r="F40" s="457">
        <v>82</v>
      </c>
      <c r="G40" s="739">
        <f t="shared" si="0"/>
        <v>461</v>
      </c>
      <c r="H40" s="738"/>
      <c r="I40" s="403" t="s">
        <v>57</v>
      </c>
      <c r="J40" s="19"/>
    </row>
    <row r="41" spans="1:10" ht="12.75" customHeight="1">
      <c r="A41" s="8"/>
      <c r="B41" s="155" t="s">
        <v>43</v>
      </c>
      <c r="C41" s="561">
        <v>11</v>
      </c>
      <c r="D41" s="443">
        <v>3</v>
      </c>
      <c r="E41" s="443">
        <v>41</v>
      </c>
      <c r="F41" s="449">
        <v>5</v>
      </c>
      <c r="G41" s="928">
        <f t="shared" si="0"/>
        <v>60</v>
      </c>
      <c r="H41" s="383"/>
      <c r="I41" s="155" t="s">
        <v>43</v>
      </c>
      <c r="J41" s="19"/>
    </row>
    <row r="42" spans="1:10" ht="12.75" customHeight="1">
      <c r="A42" s="8"/>
      <c r="B42" s="402" t="s">
        <v>73</v>
      </c>
      <c r="C42" s="557">
        <v>33</v>
      </c>
      <c r="D42" s="442">
        <v>14</v>
      </c>
      <c r="E42" s="442">
        <v>55</v>
      </c>
      <c r="F42" s="450">
        <v>21</v>
      </c>
      <c r="G42" s="927">
        <f t="shared" si="0"/>
        <v>123</v>
      </c>
      <c r="H42" s="304"/>
      <c r="I42" s="402" t="s">
        <v>73</v>
      </c>
      <c r="J42" s="19"/>
    </row>
    <row r="43" spans="1:10" ht="12.75" customHeight="1">
      <c r="A43" s="8"/>
      <c r="B43" s="156" t="s">
        <v>44</v>
      </c>
      <c r="C43" s="561">
        <v>13</v>
      </c>
      <c r="D43" s="443">
        <v>48</v>
      </c>
      <c r="E43" s="443">
        <v>84</v>
      </c>
      <c r="F43" s="449">
        <v>16</v>
      </c>
      <c r="G43" s="928">
        <f t="shared" si="0"/>
        <v>161</v>
      </c>
      <c r="H43" s="383"/>
      <c r="I43" s="156" t="s">
        <v>44</v>
      </c>
      <c r="J43" s="19"/>
    </row>
    <row r="44" spans="1:10" ht="12.75" customHeight="1">
      <c r="A44" s="8"/>
      <c r="B44" s="403" t="s">
        <v>83</v>
      </c>
      <c r="C44" s="739"/>
      <c r="D44" s="740"/>
      <c r="E44" s="740"/>
      <c r="F44" s="741"/>
      <c r="G44" s="927"/>
      <c r="H44" s="738"/>
      <c r="I44" s="403" t="s">
        <v>83</v>
      </c>
      <c r="J44" s="19"/>
    </row>
    <row r="45" spans="1:10" ht="12.75" customHeight="1">
      <c r="A45" s="8"/>
      <c r="B45" s="1090" t="s">
        <v>292</v>
      </c>
      <c r="C45" s="1090"/>
      <c r="D45" s="1090"/>
      <c r="E45" s="1090"/>
      <c r="F45" s="1090"/>
      <c r="G45" s="1090"/>
      <c r="H45" s="1090"/>
      <c r="I45" s="1090"/>
      <c r="J45" s="19"/>
    </row>
    <row r="46" spans="2:10" ht="15.75" customHeight="1">
      <c r="B46" s="1091" t="s">
        <v>81</v>
      </c>
      <c r="C46" s="1091"/>
      <c r="J46" s="15"/>
    </row>
    <row r="47" spans="2:10" ht="11.25" customHeight="1">
      <c r="B47" s="1086" t="s">
        <v>79</v>
      </c>
      <c r="C47" s="1086"/>
      <c r="D47" s="1086"/>
      <c r="E47" s="1086"/>
      <c r="F47" s="1086"/>
      <c r="G47" s="1086"/>
      <c r="H47" s="305"/>
      <c r="J47" s="12"/>
    </row>
    <row r="48" spans="2:8" ht="12.75" customHeight="1">
      <c r="B48" s="306" t="s">
        <v>113</v>
      </c>
      <c r="C48" s="306"/>
      <c r="D48" s="306"/>
      <c r="E48" s="306"/>
      <c r="F48" s="306"/>
      <c r="G48" s="306"/>
      <c r="H48" s="306"/>
    </row>
    <row r="49" ht="12.75" customHeight="1"/>
  </sheetData>
  <sheetProtection/>
  <mergeCells count="8">
    <mergeCell ref="B2:I2"/>
    <mergeCell ref="B3:I3"/>
    <mergeCell ref="B4:I4"/>
    <mergeCell ref="B47:G47"/>
    <mergeCell ref="C5:H5"/>
    <mergeCell ref="G6:H6"/>
    <mergeCell ref="B45:I45"/>
    <mergeCell ref="B46:C4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R50"/>
  <sheetViews>
    <sheetView zoomScalePageLayoutView="0" workbookViewId="0" topLeftCell="B16">
      <selection activeCell="P43" sqref="P43"/>
    </sheetView>
  </sheetViews>
  <sheetFormatPr defaultColWidth="9.140625" defaultRowHeight="12.75"/>
  <cols>
    <col min="1" max="1" width="3.7109375" style="3" customWidth="1"/>
    <col min="2" max="2" width="5.421875" style="3" customWidth="1"/>
    <col min="3" max="7" width="10.7109375" style="3" customWidth="1"/>
    <col min="8" max="8" width="1.7109375" style="3" customWidth="1"/>
    <col min="9" max="9" width="5.140625" style="3" customWidth="1"/>
    <col min="10" max="10" width="4.7109375" style="3" customWidth="1"/>
    <col min="11" max="16384" width="9.140625" style="3" customWidth="1"/>
  </cols>
  <sheetData>
    <row r="1" spans="2:9" ht="15.75">
      <c r="B1" s="2"/>
      <c r="C1" s="2"/>
      <c r="D1" s="2"/>
      <c r="E1" s="2"/>
      <c r="F1" s="2"/>
      <c r="I1" s="17" t="s">
        <v>160</v>
      </c>
    </row>
    <row r="2" spans="2:9" s="56" customFormat="1" ht="15.75">
      <c r="B2" s="1026" t="s">
        <v>171</v>
      </c>
      <c r="C2" s="1026"/>
      <c r="D2" s="1026"/>
      <c r="E2" s="1026"/>
      <c r="F2" s="1026"/>
      <c r="G2" s="1026"/>
      <c r="H2" s="1026"/>
      <c r="I2" s="1026"/>
    </row>
    <row r="3" spans="2:9" s="82" customFormat="1" ht="12.75">
      <c r="B3" s="1027" t="s">
        <v>94</v>
      </c>
      <c r="C3" s="1027"/>
      <c r="D3" s="1027"/>
      <c r="E3" s="1027"/>
      <c r="F3" s="1027"/>
      <c r="G3" s="1027"/>
      <c r="H3" s="1027"/>
      <c r="I3" s="1027"/>
    </row>
    <row r="4" spans="2:9" ht="12">
      <c r="B4" s="1097" t="s">
        <v>304</v>
      </c>
      <c r="C4" s="1098"/>
      <c r="D4" s="1098"/>
      <c r="E4" s="1098"/>
      <c r="F4" s="1098"/>
      <c r="G4" s="1098"/>
      <c r="H4" s="1098"/>
      <c r="I4" s="1098"/>
    </row>
    <row r="5" spans="2:9" ht="33.75">
      <c r="B5" s="23"/>
      <c r="C5" s="1094" t="s">
        <v>39</v>
      </c>
      <c r="D5" s="1095"/>
      <c r="E5" s="307" t="s">
        <v>40</v>
      </c>
      <c r="F5" s="1093" t="s">
        <v>41</v>
      </c>
      <c r="G5" s="1094" t="s">
        <v>42</v>
      </c>
      <c r="H5" s="1095"/>
      <c r="I5" s="23"/>
    </row>
    <row r="6" spans="2:9" ht="32.25" customHeight="1">
      <c r="B6" s="23"/>
      <c r="C6" s="96" t="s">
        <v>262</v>
      </c>
      <c r="D6" s="94" t="s">
        <v>263</v>
      </c>
      <c r="E6" s="95" t="s">
        <v>106</v>
      </c>
      <c r="F6" s="1062"/>
      <c r="G6" s="1099"/>
      <c r="H6" s="1100"/>
      <c r="I6" s="22"/>
    </row>
    <row r="7" spans="2:9" ht="11.25">
      <c r="B7" s="23"/>
      <c r="C7" s="90" t="s">
        <v>107</v>
      </c>
      <c r="D7" s="91" t="s">
        <v>107</v>
      </c>
      <c r="E7" s="92" t="s">
        <v>108</v>
      </c>
      <c r="F7" s="259"/>
      <c r="G7" s="1101"/>
      <c r="H7" s="1102"/>
      <c r="I7" s="22"/>
    </row>
    <row r="8" spans="2:9" ht="13.5" customHeight="1">
      <c r="B8" s="52" t="s">
        <v>253</v>
      </c>
      <c r="C8" s="523">
        <f>SUM(C9:C36)</f>
        <v>135</v>
      </c>
      <c r="D8" s="556">
        <f>SUM(D9:D36)</f>
        <v>251</v>
      </c>
      <c r="E8" s="606">
        <f>SUM(E9:E36)</f>
        <v>23</v>
      </c>
      <c r="F8" s="556">
        <f>SUM(F9:F36)</f>
        <v>208</v>
      </c>
      <c r="G8" s="555">
        <f>SUM(G9:G36)</f>
        <v>2059</v>
      </c>
      <c r="H8" s="301"/>
      <c r="I8" s="52" t="s">
        <v>253</v>
      </c>
    </row>
    <row r="9" spans="2:10" ht="11.25">
      <c r="B9" s="9" t="s">
        <v>62</v>
      </c>
      <c r="C9" s="455"/>
      <c r="D9" s="604">
        <v>35</v>
      </c>
      <c r="E9" s="607"/>
      <c r="F9" s="607"/>
      <c r="G9" s="603">
        <v>56</v>
      </c>
      <c r="H9" s="302"/>
      <c r="I9" s="9" t="s">
        <v>62</v>
      </c>
      <c r="J9" s="35"/>
    </row>
    <row r="10" spans="2:10" ht="11.25">
      <c r="B10" s="51" t="s">
        <v>45</v>
      </c>
      <c r="C10" s="558">
        <v>1</v>
      </c>
      <c r="D10" s="605">
        <v>7</v>
      </c>
      <c r="E10" s="608"/>
      <c r="F10" s="608"/>
      <c r="G10" s="558">
        <v>13</v>
      </c>
      <c r="H10" s="89"/>
      <c r="I10" s="51" t="s">
        <v>45</v>
      </c>
      <c r="J10" s="35"/>
    </row>
    <row r="11" spans="1:9" ht="11.25">
      <c r="A11" s="8"/>
      <c r="B11" s="10" t="s">
        <v>47</v>
      </c>
      <c r="C11" s="442"/>
      <c r="D11" s="450"/>
      <c r="E11" s="158"/>
      <c r="F11" s="158">
        <v>1</v>
      </c>
      <c r="G11" s="557">
        <v>59</v>
      </c>
      <c r="H11" s="123"/>
      <c r="I11" s="10" t="s">
        <v>47</v>
      </c>
    </row>
    <row r="12" spans="1:10" ht="11.25">
      <c r="A12" s="8"/>
      <c r="B12" s="51" t="s">
        <v>58</v>
      </c>
      <c r="C12" s="559">
        <v>2</v>
      </c>
      <c r="D12" s="605">
        <v>14</v>
      </c>
      <c r="E12" s="608">
        <v>7</v>
      </c>
      <c r="F12" s="608">
        <v>4</v>
      </c>
      <c r="G12" s="558">
        <v>67</v>
      </c>
      <c r="H12" s="89"/>
      <c r="I12" s="51" t="s">
        <v>58</v>
      </c>
      <c r="J12" s="2"/>
    </row>
    <row r="13" spans="1:9" ht="11.25">
      <c r="A13" s="8"/>
      <c r="B13" s="10" t="s">
        <v>63</v>
      </c>
      <c r="C13" s="442">
        <v>1</v>
      </c>
      <c r="D13" s="450">
        <v>63</v>
      </c>
      <c r="E13" s="158"/>
      <c r="F13" s="158">
        <v>31</v>
      </c>
      <c r="G13" s="557">
        <v>434</v>
      </c>
      <c r="H13" s="123"/>
      <c r="I13" s="10" t="s">
        <v>63</v>
      </c>
    </row>
    <row r="14" spans="1:9" ht="11.25">
      <c r="A14" s="8"/>
      <c r="B14" s="51" t="s">
        <v>48</v>
      </c>
      <c r="C14" s="559">
        <v>10</v>
      </c>
      <c r="D14" s="605"/>
      <c r="E14" s="608"/>
      <c r="F14" s="608"/>
      <c r="G14" s="558">
        <v>10</v>
      </c>
      <c r="H14" s="89"/>
      <c r="I14" s="51" t="s">
        <v>48</v>
      </c>
    </row>
    <row r="15" spans="1:9" ht="11.25">
      <c r="A15" s="8"/>
      <c r="B15" s="10" t="s">
        <v>66</v>
      </c>
      <c r="C15" s="442">
        <v>23</v>
      </c>
      <c r="D15" s="450">
        <v>12</v>
      </c>
      <c r="E15" s="158"/>
      <c r="F15" s="158">
        <v>3</v>
      </c>
      <c r="G15" s="557">
        <v>31</v>
      </c>
      <c r="H15" s="123"/>
      <c r="I15" s="10" t="s">
        <v>66</v>
      </c>
    </row>
    <row r="16" spans="1:9" ht="11.25">
      <c r="A16" s="8"/>
      <c r="B16" s="51" t="s">
        <v>59</v>
      </c>
      <c r="C16" s="559">
        <v>5</v>
      </c>
      <c r="D16" s="605"/>
      <c r="E16" s="608"/>
      <c r="F16" s="608">
        <v>19</v>
      </c>
      <c r="G16" s="558">
        <v>18</v>
      </c>
      <c r="H16" s="89"/>
      <c r="I16" s="51" t="s">
        <v>59</v>
      </c>
    </row>
    <row r="17" spans="1:9" ht="11.25">
      <c r="A17" s="8"/>
      <c r="B17" s="10" t="s">
        <v>64</v>
      </c>
      <c r="C17" s="442">
        <v>31</v>
      </c>
      <c r="D17" s="450">
        <v>9</v>
      </c>
      <c r="E17" s="158">
        <v>4</v>
      </c>
      <c r="F17" s="158">
        <v>37</v>
      </c>
      <c r="G17" s="557">
        <v>67</v>
      </c>
      <c r="H17" s="123"/>
      <c r="I17" s="10" t="s">
        <v>64</v>
      </c>
    </row>
    <row r="18" spans="1:9" ht="11.25">
      <c r="A18" s="8"/>
      <c r="B18" s="51" t="s">
        <v>65</v>
      </c>
      <c r="C18" s="559"/>
      <c r="D18" s="605">
        <v>14</v>
      </c>
      <c r="E18" s="608">
        <v>3</v>
      </c>
      <c r="F18" s="608">
        <v>27</v>
      </c>
      <c r="G18" s="558">
        <v>132</v>
      </c>
      <c r="H18" s="89"/>
      <c r="I18" s="51" t="s">
        <v>65</v>
      </c>
    </row>
    <row r="19" spans="1:9" ht="11.25">
      <c r="A19" s="8"/>
      <c r="B19" s="10" t="s">
        <v>76</v>
      </c>
      <c r="C19" s="442"/>
      <c r="D19" s="450"/>
      <c r="E19" s="158"/>
      <c r="F19" s="158">
        <v>6</v>
      </c>
      <c r="G19" s="557">
        <v>6</v>
      </c>
      <c r="H19" s="123"/>
      <c r="I19" s="10" t="s">
        <v>76</v>
      </c>
    </row>
    <row r="20" spans="1:9" ht="11.25">
      <c r="A20" s="8"/>
      <c r="B20" s="156" t="s">
        <v>67</v>
      </c>
      <c r="C20" s="443">
        <v>3</v>
      </c>
      <c r="D20" s="449">
        <v>7</v>
      </c>
      <c r="E20" s="159">
        <v>1</v>
      </c>
      <c r="F20" s="159">
        <v>29</v>
      </c>
      <c r="G20" s="561">
        <v>79</v>
      </c>
      <c r="H20" s="382"/>
      <c r="I20" s="156" t="s">
        <v>67</v>
      </c>
    </row>
    <row r="21" spans="1:9" ht="11.25">
      <c r="A21" s="8"/>
      <c r="B21" s="10" t="s">
        <v>46</v>
      </c>
      <c r="C21" s="442"/>
      <c r="D21" s="450"/>
      <c r="E21" s="158"/>
      <c r="F21" s="158"/>
      <c r="G21" s="557">
        <v>9</v>
      </c>
      <c r="H21" s="123"/>
      <c r="I21" s="10" t="s">
        <v>46</v>
      </c>
    </row>
    <row r="22" spans="1:9" ht="11.25">
      <c r="A22" s="8"/>
      <c r="B22" s="156" t="s">
        <v>50</v>
      </c>
      <c r="C22" s="443">
        <v>5</v>
      </c>
      <c r="D22" s="449"/>
      <c r="E22" s="159">
        <v>1</v>
      </c>
      <c r="F22" s="159"/>
      <c r="G22" s="561">
        <v>3</v>
      </c>
      <c r="H22" s="382"/>
      <c r="I22" s="156" t="s">
        <v>50</v>
      </c>
    </row>
    <row r="23" spans="1:9" ht="11.25">
      <c r="A23" s="8"/>
      <c r="B23" s="10" t="s">
        <v>51</v>
      </c>
      <c r="C23" s="442">
        <v>2</v>
      </c>
      <c r="D23" s="450"/>
      <c r="E23" s="158"/>
      <c r="F23" s="158">
        <v>1</v>
      </c>
      <c r="G23" s="557">
        <v>9</v>
      </c>
      <c r="H23" s="123"/>
      <c r="I23" s="10" t="s">
        <v>51</v>
      </c>
    </row>
    <row r="24" spans="1:9" ht="11.25">
      <c r="A24" s="8"/>
      <c r="B24" s="156" t="s">
        <v>68</v>
      </c>
      <c r="C24" s="443"/>
      <c r="D24" s="449">
        <v>23</v>
      </c>
      <c r="E24" s="159"/>
      <c r="F24" s="159">
        <v>6</v>
      </c>
      <c r="G24" s="561">
        <v>80</v>
      </c>
      <c r="H24" s="382"/>
      <c r="I24" s="156" t="s">
        <v>68</v>
      </c>
    </row>
    <row r="25" spans="1:9" ht="11.25">
      <c r="A25" s="8"/>
      <c r="B25" s="10" t="s">
        <v>49</v>
      </c>
      <c r="C25" s="442">
        <v>3</v>
      </c>
      <c r="D25" s="450">
        <v>2</v>
      </c>
      <c r="E25" s="158">
        <v>1</v>
      </c>
      <c r="F25" s="158">
        <v>1</v>
      </c>
      <c r="G25" s="557">
        <v>12</v>
      </c>
      <c r="H25" s="123"/>
      <c r="I25" s="10" t="s">
        <v>49</v>
      </c>
    </row>
    <row r="26" spans="1:9" ht="11.25">
      <c r="A26" s="8"/>
      <c r="B26" s="156" t="s">
        <v>52</v>
      </c>
      <c r="C26" s="443"/>
      <c r="D26" s="449"/>
      <c r="E26" s="159">
        <v>2</v>
      </c>
      <c r="F26" s="159"/>
      <c r="G26" s="561">
        <v>178</v>
      </c>
      <c r="H26" s="382"/>
      <c r="I26" s="156" t="s">
        <v>52</v>
      </c>
    </row>
    <row r="27" spans="1:9" ht="11.25">
      <c r="A27" s="8"/>
      <c r="B27" s="10" t="s">
        <v>60</v>
      </c>
      <c r="C27" s="442"/>
      <c r="D27" s="450">
        <v>4</v>
      </c>
      <c r="E27" s="158"/>
      <c r="F27" s="158">
        <v>2</v>
      </c>
      <c r="G27" s="557">
        <v>30</v>
      </c>
      <c r="H27" s="123"/>
      <c r="I27" s="10" t="s">
        <v>60</v>
      </c>
    </row>
    <row r="28" spans="1:9" ht="11.25">
      <c r="A28" s="8"/>
      <c r="B28" s="156" t="s">
        <v>69</v>
      </c>
      <c r="C28" s="443"/>
      <c r="D28" s="449"/>
      <c r="E28" s="159"/>
      <c r="F28" s="159">
        <v>6</v>
      </c>
      <c r="G28" s="561">
        <v>203</v>
      </c>
      <c r="H28" s="382"/>
      <c r="I28" s="156" t="s">
        <v>69</v>
      </c>
    </row>
    <row r="29" spans="1:9" ht="11.25">
      <c r="A29" s="8"/>
      <c r="B29" s="10" t="s">
        <v>53</v>
      </c>
      <c r="C29" s="442">
        <v>13</v>
      </c>
      <c r="D29" s="450">
        <v>1</v>
      </c>
      <c r="E29" s="158">
        <v>2</v>
      </c>
      <c r="F29" s="158">
        <v>10</v>
      </c>
      <c r="G29" s="557">
        <v>33</v>
      </c>
      <c r="H29" s="123"/>
      <c r="I29" s="10" t="s">
        <v>53</v>
      </c>
    </row>
    <row r="30" spans="1:9" ht="11.25">
      <c r="A30" s="8"/>
      <c r="B30" s="156" t="s">
        <v>70</v>
      </c>
      <c r="C30" s="443"/>
      <c r="D30" s="449"/>
      <c r="E30" s="159"/>
      <c r="F30" s="159">
        <v>11</v>
      </c>
      <c r="G30" s="561">
        <v>116</v>
      </c>
      <c r="H30" s="382"/>
      <c r="I30" s="156" t="s">
        <v>70</v>
      </c>
    </row>
    <row r="31" spans="1:9" ht="11.25">
      <c r="A31" s="8"/>
      <c r="B31" s="10" t="s">
        <v>54</v>
      </c>
      <c r="C31" s="557"/>
      <c r="D31" s="450"/>
      <c r="E31" s="158"/>
      <c r="F31" s="158">
        <v>1</v>
      </c>
      <c r="G31" s="557">
        <v>8</v>
      </c>
      <c r="H31" s="123"/>
      <c r="I31" s="10" t="s">
        <v>54</v>
      </c>
    </row>
    <row r="32" spans="1:9" ht="11.25">
      <c r="A32" s="8"/>
      <c r="B32" s="156" t="s">
        <v>56</v>
      </c>
      <c r="C32" s="443"/>
      <c r="D32" s="449">
        <v>2</v>
      </c>
      <c r="E32" s="159"/>
      <c r="F32" s="159"/>
      <c r="G32" s="561">
        <v>16</v>
      </c>
      <c r="H32" s="382"/>
      <c r="I32" s="156" t="s">
        <v>56</v>
      </c>
    </row>
    <row r="33" spans="1:10" ht="11.25">
      <c r="A33" s="8"/>
      <c r="B33" s="10" t="s">
        <v>55</v>
      </c>
      <c r="C33" s="442"/>
      <c r="D33" s="450">
        <v>2</v>
      </c>
      <c r="E33" s="158"/>
      <c r="F33" s="158"/>
      <c r="G33" s="557">
        <v>12</v>
      </c>
      <c r="H33" s="123"/>
      <c r="I33" s="10" t="s">
        <v>55</v>
      </c>
      <c r="J33" s="2"/>
    </row>
    <row r="34" spans="1:9" ht="11.25">
      <c r="A34" s="8"/>
      <c r="B34" s="156" t="s">
        <v>71</v>
      </c>
      <c r="C34" s="443"/>
      <c r="D34" s="449"/>
      <c r="E34" s="159"/>
      <c r="F34" s="159">
        <v>3</v>
      </c>
      <c r="G34" s="561">
        <v>8</v>
      </c>
      <c r="H34" s="382"/>
      <c r="I34" s="156" t="s">
        <v>71</v>
      </c>
    </row>
    <row r="35" spans="1:9" ht="11.25">
      <c r="A35" s="8"/>
      <c r="B35" s="10" t="s">
        <v>72</v>
      </c>
      <c r="C35" s="442">
        <v>30</v>
      </c>
      <c r="D35" s="450">
        <v>1</v>
      </c>
      <c r="E35" s="158"/>
      <c r="F35" s="158">
        <v>4</v>
      </c>
      <c r="G35" s="557">
        <v>31</v>
      </c>
      <c r="H35" s="123"/>
      <c r="I35" s="10" t="s">
        <v>72</v>
      </c>
    </row>
    <row r="36" spans="1:9" ht="11.25">
      <c r="A36" s="8"/>
      <c r="B36" s="157" t="s">
        <v>61</v>
      </c>
      <c r="C36" s="562">
        <v>6</v>
      </c>
      <c r="D36" s="454">
        <v>55</v>
      </c>
      <c r="E36" s="160">
        <v>2</v>
      </c>
      <c r="F36" s="160">
        <v>6</v>
      </c>
      <c r="G36" s="562">
        <v>339</v>
      </c>
      <c r="H36" s="384"/>
      <c r="I36" s="157" t="s">
        <v>61</v>
      </c>
    </row>
    <row r="37" spans="1:9" ht="11.25">
      <c r="A37" s="8"/>
      <c r="B37" s="402" t="s">
        <v>252</v>
      </c>
      <c r="C37" s="557"/>
      <c r="D37" s="450"/>
      <c r="E37" s="158"/>
      <c r="F37" s="158"/>
      <c r="G37" s="557"/>
      <c r="H37" s="123"/>
      <c r="I37" s="402" t="s">
        <v>252</v>
      </c>
    </row>
    <row r="38" spans="1:18" ht="11.25">
      <c r="A38" s="8"/>
      <c r="B38" s="156" t="s">
        <v>240</v>
      </c>
      <c r="C38" s="561"/>
      <c r="D38" s="449"/>
      <c r="E38" s="159"/>
      <c r="F38" s="159"/>
      <c r="G38" s="561"/>
      <c r="H38" s="382"/>
      <c r="I38" s="156" t="s">
        <v>240</v>
      </c>
      <c r="J38" s="2"/>
      <c r="K38" s="725"/>
      <c r="L38" s="725"/>
      <c r="M38" s="725"/>
      <c r="N38" s="725"/>
      <c r="O38" s="725"/>
      <c r="P38" s="725"/>
      <c r="Q38" s="725"/>
      <c r="R38" s="725"/>
    </row>
    <row r="39" spans="1:18" s="725" customFormat="1" ht="11.25">
      <c r="A39" s="8"/>
      <c r="B39" s="402" t="s">
        <v>1</v>
      </c>
      <c r="C39" s="557"/>
      <c r="D39" s="450"/>
      <c r="E39" s="158"/>
      <c r="F39" s="158"/>
      <c r="G39" s="557"/>
      <c r="H39" s="123"/>
      <c r="I39" s="402" t="s">
        <v>1</v>
      </c>
      <c r="J39" s="2"/>
      <c r="K39" s="3"/>
      <c r="L39" s="3"/>
      <c r="M39" s="3"/>
      <c r="N39" s="3"/>
      <c r="O39" s="3"/>
      <c r="P39" s="3"/>
      <c r="Q39" s="3"/>
      <c r="R39" s="3"/>
    </row>
    <row r="40" spans="1:10" ht="11.25">
      <c r="A40" s="8"/>
      <c r="B40" s="156" t="s">
        <v>239</v>
      </c>
      <c r="C40" s="561"/>
      <c r="D40" s="449"/>
      <c r="E40" s="159"/>
      <c r="F40" s="159"/>
      <c r="G40" s="561"/>
      <c r="H40" s="382"/>
      <c r="I40" s="156" t="s">
        <v>239</v>
      </c>
      <c r="J40" s="2"/>
    </row>
    <row r="41" spans="1:10" ht="11.25">
      <c r="A41" s="8"/>
      <c r="B41" s="403" t="s">
        <v>57</v>
      </c>
      <c r="C41" s="628"/>
      <c r="D41" s="457">
        <v>26</v>
      </c>
      <c r="E41" s="433"/>
      <c r="F41" s="433">
        <v>29</v>
      </c>
      <c r="G41" s="628">
        <v>90</v>
      </c>
      <c r="H41" s="742"/>
      <c r="I41" s="403" t="s">
        <v>57</v>
      </c>
      <c r="J41" s="2"/>
    </row>
    <row r="42" spans="1:10" ht="11.25">
      <c r="A42" s="8"/>
      <c r="B42" s="155" t="s">
        <v>43</v>
      </c>
      <c r="C42" s="561"/>
      <c r="D42" s="449">
        <v>12</v>
      </c>
      <c r="E42" s="159"/>
      <c r="F42" s="159">
        <v>1</v>
      </c>
      <c r="G42" s="561"/>
      <c r="H42" s="382"/>
      <c r="I42" s="155" t="s">
        <v>43</v>
      </c>
      <c r="J42" s="2"/>
    </row>
    <row r="43" spans="1:10" ht="11.25">
      <c r="A43" s="8"/>
      <c r="B43" s="402" t="s">
        <v>73</v>
      </c>
      <c r="C43" s="557"/>
      <c r="D43" s="450"/>
      <c r="E43" s="158"/>
      <c r="F43" s="158"/>
      <c r="G43" s="557">
        <v>12</v>
      </c>
      <c r="H43" s="123"/>
      <c r="I43" s="402" t="s">
        <v>73</v>
      </c>
      <c r="J43" s="2"/>
    </row>
    <row r="44" spans="1:10" ht="11.25">
      <c r="A44" s="8"/>
      <c r="B44" s="156" t="s">
        <v>44</v>
      </c>
      <c r="C44" s="561">
        <v>2</v>
      </c>
      <c r="D44" s="449"/>
      <c r="E44" s="159"/>
      <c r="F44" s="159">
        <v>5</v>
      </c>
      <c r="G44" s="561">
        <v>141</v>
      </c>
      <c r="H44" s="382"/>
      <c r="I44" s="156" t="s">
        <v>44</v>
      </c>
      <c r="J44" s="2"/>
    </row>
    <row r="45" spans="1:10" ht="11.25">
      <c r="A45" s="8"/>
      <c r="B45" s="403" t="s">
        <v>83</v>
      </c>
      <c r="C45" s="628"/>
      <c r="D45" s="457"/>
      <c r="E45" s="433"/>
      <c r="F45" s="433"/>
      <c r="G45" s="628">
        <v>3</v>
      </c>
      <c r="H45" s="742"/>
      <c r="I45" s="403" t="s">
        <v>83</v>
      </c>
      <c r="J45" s="2"/>
    </row>
    <row r="46" spans="1:10" ht="11.25">
      <c r="A46" s="8"/>
      <c r="B46" s="308" t="s">
        <v>292</v>
      </c>
      <c r="C46" s="36"/>
      <c r="D46" s="36"/>
      <c r="E46" s="36"/>
      <c r="F46" s="2"/>
      <c r="G46" s="2"/>
      <c r="H46" s="2"/>
      <c r="I46" s="36"/>
      <c r="J46" s="2"/>
    </row>
    <row r="47" spans="1:10" ht="11.25">
      <c r="A47" s="8"/>
      <c r="B47" s="1096" t="s">
        <v>0</v>
      </c>
      <c r="C47" s="1096"/>
      <c r="D47" s="1096"/>
      <c r="E47" s="1096"/>
      <c r="F47" s="1096"/>
      <c r="G47" s="1096"/>
      <c r="H47" s="294"/>
      <c r="I47" s="309"/>
      <c r="J47" s="2"/>
    </row>
    <row r="48" spans="2:10" ht="21.75" customHeight="1">
      <c r="B48" s="1092" t="s">
        <v>186</v>
      </c>
      <c r="C48" s="1086"/>
      <c r="D48" s="1086"/>
      <c r="E48" s="1086"/>
      <c r="F48" s="1086"/>
      <c r="G48" s="1086"/>
      <c r="H48" s="1086"/>
      <c r="I48" s="1086"/>
      <c r="J48" s="15"/>
    </row>
    <row r="49" spans="2:10" ht="11.25">
      <c r="B49" s="310" t="s">
        <v>109</v>
      </c>
      <c r="J49" s="12"/>
    </row>
    <row r="50" spans="2:10" ht="11.25">
      <c r="B50" s="56" t="s">
        <v>113</v>
      </c>
      <c r="J50" s="12"/>
    </row>
  </sheetData>
  <sheetProtection/>
  <mergeCells count="9">
    <mergeCell ref="B48:I48"/>
    <mergeCell ref="F5:F6"/>
    <mergeCell ref="C5:D5"/>
    <mergeCell ref="B47:G47"/>
    <mergeCell ref="B2:I2"/>
    <mergeCell ref="B3:I3"/>
    <mergeCell ref="B4:I4"/>
    <mergeCell ref="G5:H6"/>
    <mergeCell ref="G7:H7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AI81"/>
  <sheetViews>
    <sheetView zoomScalePageLayoutView="0" workbookViewId="0" topLeftCell="L10">
      <selection activeCell="S44" sqref="S44:T45"/>
    </sheetView>
  </sheetViews>
  <sheetFormatPr defaultColWidth="9.140625" defaultRowHeight="12.75"/>
  <cols>
    <col min="1" max="1" width="4.57421875" style="3" customWidth="1"/>
    <col min="2" max="2" width="6.7109375" style="3" customWidth="1"/>
    <col min="3" max="19" width="9.140625" style="3" customWidth="1"/>
    <col min="20" max="20" width="9.140625" style="725" customWidth="1"/>
    <col min="21" max="23" width="9.140625" style="766" customWidth="1"/>
    <col min="24" max="24" width="9.140625" style="3" customWidth="1"/>
    <col min="25" max="25" width="2.7109375" style="3" customWidth="1"/>
    <col min="26" max="26" width="9.140625" style="8" customWidth="1"/>
    <col min="27" max="16384" width="9.140625" style="3" customWidth="1"/>
  </cols>
  <sheetData>
    <row r="1" spans="1:26" ht="14.25" customHeight="1">
      <c r="A1" s="398"/>
      <c r="B1" s="406"/>
      <c r="C1" s="404"/>
      <c r="D1" s="404"/>
      <c r="E1" s="414"/>
      <c r="F1" s="414"/>
      <c r="G1" s="404"/>
      <c r="H1" s="398"/>
      <c r="I1" s="398"/>
      <c r="J1" s="398"/>
      <c r="K1" s="407"/>
      <c r="L1" s="407"/>
      <c r="M1" s="407"/>
      <c r="N1" s="407"/>
      <c r="O1" s="407"/>
      <c r="P1" s="407"/>
      <c r="Q1" s="323"/>
      <c r="R1" s="407"/>
      <c r="S1" s="407"/>
      <c r="T1" s="407"/>
      <c r="U1" s="407"/>
      <c r="V1" s="407"/>
      <c r="W1" s="407"/>
      <c r="X1" s="407" t="s">
        <v>162</v>
      </c>
      <c r="Y1" s="398"/>
      <c r="Z1" s="5"/>
    </row>
    <row r="2" spans="1:26" s="56" customFormat="1" ht="30" customHeight="1">
      <c r="A2" s="412"/>
      <c r="B2" s="1035" t="s">
        <v>16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1035"/>
      <c r="R2" s="1035"/>
      <c r="S2" s="1035"/>
      <c r="T2" s="1035"/>
      <c r="U2" s="1035"/>
      <c r="V2" s="1035"/>
      <c r="W2" s="1035"/>
      <c r="X2" s="1035"/>
      <c r="Y2" s="411"/>
      <c r="Z2" s="412"/>
    </row>
    <row r="3" spans="1:26" ht="18" customHeight="1">
      <c r="A3" s="398"/>
      <c r="B3" s="1014" t="s">
        <v>12</v>
      </c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398"/>
      <c r="Z3" s="5"/>
    </row>
    <row r="4" spans="1:26" ht="24.75" customHeight="1">
      <c r="A4" s="398"/>
      <c r="B4" s="413"/>
      <c r="C4" s="418">
        <v>1970</v>
      </c>
      <c r="D4" s="419">
        <v>1980</v>
      </c>
      <c r="E4" s="419">
        <v>1990</v>
      </c>
      <c r="F4" s="419">
        <v>2000</v>
      </c>
      <c r="G4" s="419">
        <v>2001</v>
      </c>
      <c r="H4" s="419">
        <v>2002</v>
      </c>
      <c r="I4" s="419">
        <v>2003</v>
      </c>
      <c r="J4" s="419">
        <v>2004</v>
      </c>
      <c r="K4" s="419">
        <v>2005</v>
      </c>
      <c r="L4" s="419">
        <v>2006</v>
      </c>
      <c r="M4" s="419">
        <v>2007</v>
      </c>
      <c r="N4" s="419">
        <v>2008</v>
      </c>
      <c r="O4" s="419">
        <v>2009</v>
      </c>
      <c r="P4" s="419">
        <v>2010</v>
      </c>
      <c r="Q4" s="419">
        <v>2011</v>
      </c>
      <c r="R4" s="54">
        <v>2012</v>
      </c>
      <c r="S4" s="54">
        <v>2013</v>
      </c>
      <c r="T4" s="776">
        <v>2014</v>
      </c>
      <c r="U4" s="54">
        <v>2015</v>
      </c>
      <c r="V4" s="776">
        <v>2016</v>
      </c>
      <c r="W4" s="751">
        <v>2017</v>
      </c>
      <c r="X4" s="400"/>
      <c r="Y4" s="398"/>
      <c r="Z4" s="20" t="s">
        <v>306</v>
      </c>
    </row>
    <row r="5" spans="1:26" ht="12.75" customHeight="1">
      <c r="A5" s="398"/>
      <c r="B5" s="800" t="s">
        <v>253</v>
      </c>
      <c r="C5" s="801"/>
      <c r="D5" s="802"/>
      <c r="E5" s="803"/>
      <c r="F5" s="802"/>
      <c r="G5" s="802"/>
      <c r="H5" s="802">
        <f>SUM(H6:H33)</f>
        <v>54327</v>
      </c>
      <c r="I5" s="802">
        <f aca="true" t="shared" si="0" ref="I5:V5">SUM(I6:I33)</f>
        <v>52959</v>
      </c>
      <c r="J5" s="802">
        <f t="shared" si="0"/>
        <v>50630</v>
      </c>
      <c r="K5" s="802">
        <f t="shared" si="0"/>
        <v>49551</v>
      </c>
      <c r="L5" s="804">
        <f t="shared" si="0"/>
        <v>49303</v>
      </c>
      <c r="M5" s="802">
        <f t="shared" si="0"/>
        <v>63119</v>
      </c>
      <c r="N5" s="802">
        <f t="shared" si="0"/>
        <v>63251</v>
      </c>
      <c r="O5" s="804">
        <f t="shared" si="0"/>
        <v>64226</v>
      </c>
      <c r="P5" s="809">
        <f t="shared" si="0"/>
        <v>64015</v>
      </c>
      <c r="Q5" s="802">
        <f t="shared" si="0"/>
        <v>64216</v>
      </c>
      <c r="R5" s="803">
        <f t="shared" si="0"/>
        <v>63705</v>
      </c>
      <c r="S5" s="803">
        <f t="shared" si="0"/>
        <v>64165</v>
      </c>
      <c r="T5" s="803">
        <f t="shared" si="0"/>
        <v>65877</v>
      </c>
      <c r="U5" s="803">
        <f t="shared" si="0"/>
        <v>64828</v>
      </c>
      <c r="V5" s="966">
        <f t="shared" si="0"/>
        <v>65536</v>
      </c>
      <c r="W5" s="805">
        <f>SUM(W6:W33)</f>
        <v>63537</v>
      </c>
      <c r="X5" s="806" t="s">
        <v>253</v>
      </c>
      <c r="Y5" s="398"/>
      <c r="Z5" s="936">
        <f>W5/V5-1</f>
        <v>-0.0305023193359375</v>
      </c>
    </row>
    <row r="6" spans="1:26" ht="12.75" customHeight="1">
      <c r="A6" s="398"/>
      <c r="B6" s="402" t="s">
        <v>62</v>
      </c>
      <c r="C6" s="563">
        <v>1536</v>
      </c>
      <c r="D6" s="564">
        <v>1740</v>
      </c>
      <c r="E6" s="564">
        <v>1727</v>
      </c>
      <c r="F6" s="564">
        <v>1670</v>
      </c>
      <c r="G6" s="564">
        <v>1706</v>
      </c>
      <c r="H6" s="564">
        <v>1678</v>
      </c>
      <c r="I6" s="564">
        <v>1522</v>
      </c>
      <c r="J6" s="564">
        <v>1528</v>
      </c>
      <c r="K6" s="564">
        <v>1518</v>
      </c>
      <c r="L6" s="564">
        <v>1469</v>
      </c>
      <c r="M6" s="564">
        <v>1449</v>
      </c>
      <c r="N6" s="564">
        <v>1403</v>
      </c>
      <c r="O6" s="564">
        <v>1341</v>
      </c>
      <c r="P6" s="564">
        <v>1341</v>
      </c>
      <c r="Q6" s="564">
        <v>1266</v>
      </c>
      <c r="R6" s="610">
        <v>1266</v>
      </c>
      <c r="S6" s="564">
        <f>66+310+95+717</f>
        <v>1188</v>
      </c>
      <c r="T6" s="610">
        <f>66+310+95+717</f>
        <v>1188</v>
      </c>
      <c r="U6" s="610">
        <f>66+310+95+717</f>
        <v>1188</v>
      </c>
      <c r="V6" s="641">
        <f>66+310+95+717</f>
        <v>1188</v>
      </c>
      <c r="W6" s="658">
        <v>1188</v>
      </c>
      <c r="X6" s="67" t="s">
        <v>62</v>
      </c>
      <c r="Y6" s="398"/>
      <c r="Z6" s="939">
        <f aca="true" t="shared" si="1" ref="Z6:Z41">W6/V6-1</f>
        <v>0</v>
      </c>
    </row>
    <row r="7" spans="1:26" ht="12.75" customHeight="1">
      <c r="A7" s="398"/>
      <c r="B7" s="408" t="s">
        <v>45</v>
      </c>
      <c r="C7" s="611">
        <v>1005</v>
      </c>
      <c r="D7" s="612">
        <v>1009</v>
      </c>
      <c r="E7" s="612">
        <v>1119</v>
      </c>
      <c r="F7" s="612">
        <v>762</v>
      </c>
      <c r="G7" s="612">
        <v>753</v>
      </c>
      <c r="H7" s="612">
        <v>680</v>
      </c>
      <c r="I7" s="612">
        <v>671</v>
      </c>
      <c r="J7" s="612">
        <v>657</v>
      </c>
      <c r="K7" s="612">
        <v>669</v>
      </c>
      <c r="L7" s="612">
        <v>687</v>
      </c>
      <c r="M7" s="612">
        <v>699</v>
      </c>
      <c r="N7" s="612">
        <v>713</v>
      </c>
      <c r="O7" s="612">
        <v>712</v>
      </c>
      <c r="P7" s="612">
        <v>624</v>
      </c>
      <c r="Q7" s="612">
        <v>474</v>
      </c>
      <c r="R7" s="612">
        <v>451</v>
      </c>
      <c r="S7" s="612">
        <f>117+90+79+119+1+55+9+20+9+5</f>
        <v>504</v>
      </c>
      <c r="T7" s="612">
        <f>79+11+119+23+26+55</f>
        <v>313</v>
      </c>
      <c r="U7" s="612">
        <f>71+81+12+71+125+24+1+55</f>
        <v>440</v>
      </c>
      <c r="V7" s="612">
        <v>466</v>
      </c>
      <c r="W7" s="631">
        <v>461</v>
      </c>
      <c r="X7" s="65" t="s">
        <v>45</v>
      </c>
      <c r="Y7" s="398"/>
      <c r="Z7" s="940">
        <f t="shared" si="1"/>
        <v>-0.010729613733905574</v>
      </c>
    </row>
    <row r="8" spans="1:26" ht="12.75" customHeight="1">
      <c r="A8" s="398"/>
      <c r="B8" s="402" t="s">
        <v>47</v>
      </c>
      <c r="C8" s="613"/>
      <c r="D8" s="614"/>
      <c r="E8" s="614"/>
      <c r="F8" s="564">
        <v>3596</v>
      </c>
      <c r="G8" s="564">
        <v>3481</v>
      </c>
      <c r="H8" s="564">
        <v>3301</v>
      </c>
      <c r="I8" s="564">
        <v>3280</v>
      </c>
      <c r="J8" s="564">
        <v>3258</v>
      </c>
      <c r="K8" s="564">
        <v>3163</v>
      </c>
      <c r="L8" s="564">
        <v>3037</v>
      </c>
      <c r="M8" s="564">
        <v>2921</v>
      </c>
      <c r="N8" s="564">
        <v>2758</v>
      </c>
      <c r="O8" s="564">
        <v>2746</v>
      </c>
      <c r="P8" s="615">
        <v>2258</v>
      </c>
      <c r="Q8" s="564">
        <v>2408</v>
      </c>
      <c r="R8" s="564">
        <v>2124</v>
      </c>
      <c r="S8" s="564">
        <f>787+733+464+290</f>
        <v>2274</v>
      </c>
      <c r="T8" s="564">
        <f>775+721+463+303</f>
        <v>2262</v>
      </c>
      <c r="U8" s="564">
        <f>756+764+455+310</f>
        <v>2285</v>
      </c>
      <c r="V8" s="564">
        <f>332+454+742+762</f>
        <v>2290</v>
      </c>
      <c r="W8" s="632">
        <f>724+762+437+319</f>
        <v>2242</v>
      </c>
      <c r="X8" s="67" t="s">
        <v>47</v>
      </c>
      <c r="Y8" s="398"/>
      <c r="Z8" s="941">
        <f t="shared" si="1"/>
        <v>-0.020960698689956314</v>
      </c>
    </row>
    <row r="9" spans="1:26" ht="12.75" customHeight="1">
      <c r="A9" s="398"/>
      <c r="B9" s="408" t="s">
        <v>58</v>
      </c>
      <c r="C9" s="611">
        <v>480</v>
      </c>
      <c r="D9" s="612">
        <v>461</v>
      </c>
      <c r="E9" s="612">
        <v>524</v>
      </c>
      <c r="F9" s="612">
        <v>415</v>
      </c>
      <c r="G9" s="612">
        <v>495</v>
      </c>
      <c r="H9" s="612">
        <v>566</v>
      </c>
      <c r="I9" s="612">
        <v>458</v>
      </c>
      <c r="J9" s="612">
        <v>458</v>
      </c>
      <c r="K9" s="612">
        <v>464</v>
      </c>
      <c r="L9" s="612">
        <v>447</v>
      </c>
      <c r="M9" s="612">
        <v>447</v>
      </c>
      <c r="N9" s="612">
        <v>448</v>
      </c>
      <c r="O9" s="612">
        <v>538</v>
      </c>
      <c r="P9" s="612">
        <v>495</v>
      </c>
      <c r="Q9" s="612">
        <f>332+210</f>
        <v>542</v>
      </c>
      <c r="R9" s="612">
        <f>347+214</f>
        <v>561</v>
      </c>
      <c r="S9" s="612">
        <f>47+6+264+214</f>
        <v>531</v>
      </c>
      <c r="T9" s="612">
        <f>48+6+287+214</f>
        <v>555</v>
      </c>
      <c r="U9" s="612">
        <f>48+6+269+214</f>
        <v>537</v>
      </c>
      <c r="V9" s="612">
        <f>47+5+227+214</f>
        <v>493</v>
      </c>
      <c r="W9" s="633">
        <v>493</v>
      </c>
      <c r="X9" s="65" t="s">
        <v>58</v>
      </c>
      <c r="Y9" s="398"/>
      <c r="Z9" s="940">
        <f t="shared" si="1"/>
        <v>0</v>
      </c>
    </row>
    <row r="10" spans="1:26" ht="12.75" customHeight="1">
      <c r="A10" s="398"/>
      <c r="B10" s="402" t="s">
        <v>63</v>
      </c>
      <c r="C10" s="616">
        <v>11439</v>
      </c>
      <c r="D10" s="564">
        <v>12694</v>
      </c>
      <c r="E10" s="564">
        <v>14437</v>
      </c>
      <c r="F10" s="564">
        <v>9656</v>
      </c>
      <c r="G10" s="564">
        <v>9998</v>
      </c>
      <c r="H10" s="564">
        <v>9036</v>
      </c>
      <c r="I10" s="564">
        <v>10363</v>
      </c>
      <c r="J10" s="564">
        <v>8293</v>
      </c>
      <c r="K10" s="564">
        <v>7742</v>
      </c>
      <c r="L10" s="617">
        <v>8817</v>
      </c>
      <c r="M10" s="564">
        <v>13890</v>
      </c>
      <c r="N10" s="564">
        <v>14565</v>
      </c>
      <c r="O10" s="564">
        <v>15337</v>
      </c>
      <c r="P10" s="564">
        <v>15613</v>
      </c>
      <c r="Q10" s="564">
        <v>15492</v>
      </c>
      <c r="R10" s="564">
        <v>15103</v>
      </c>
      <c r="S10" s="564">
        <f>345+1978+2560+2980+8024</f>
        <v>15887</v>
      </c>
      <c r="T10" s="564">
        <f>1817+2468+3270+9138</f>
        <v>16693</v>
      </c>
      <c r="U10" s="564">
        <f>1795+2502+3299+9017</f>
        <v>16613</v>
      </c>
      <c r="V10" s="564">
        <f>1694+3288+9430+2480</f>
        <v>16892</v>
      </c>
      <c r="W10" s="632">
        <v>16049</v>
      </c>
      <c r="X10" s="67" t="s">
        <v>63</v>
      </c>
      <c r="Y10" s="398"/>
      <c r="Z10" s="941">
        <f t="shared" si="1"/>
        <v>-0.04990528060620414</v>
      </c>
    </row>
    <row r="11" spans="1:26" ht="12.75" customHeight="1">
      <c r="A11" s="398"/>
      <c r="B11" s="408" t="s">
        <v>48</v>
      </c>
      <c r="C11" s="611"/>
      <c r="D11" s="612"/>
      <c r="E11" s="618">
        <v>300</v>
      </c>
      <c r="F11" s="752">
        <v>196</v>
      </c>
      <c r="G11" s="612">
        <v>194</v>
      </c>
      <c r="H11" s="612">
        <v>236</v>
      </c>
      <c r="I11" s="612">
        <v>241</v>
      </c>
      <c r="J11" s="612">
        <v>360</v>
      </c>
      <c r="K11" s="612">
        <v>344</v>
      </c>
      <c r="L11" s="612">
        <v>409</v>
      </c>
      <c r="M11" s="612">
        <v>461</v>
      </c>
      <c r="N11" s="612">
        <v>368</v>
      </c>
      <c r="O11" s="612">
        <v>361</v>
      </c>
      <c r="P11" s="612">
        <v>374</v>
      </c>
      <c r="Q11" s="612">
        <v>359</v>
      </c>
      <c r="R11" s="612">
        <v>347</v>
      </c>
      <c r="S11" s="612">
        <v>359</v>
      </c>
      <c r="T11" s="612">
        <v>368</v>
      </c>
      <c r="U11" s="612">
        <v>358</v>
      </c>
      <c r="V11" s="612">
        <v>358</v>
      </c>
      <c r="W11" s="631">
        <v>359</v>
      </c>
      <c r="X11" s="65" t="s">
        <v>48</v>
      </c>
      <c r="Y11" s="398"/>
      <c r="Z11" s="940">
        <f t="shared" si="1"/>
        <v>0.0027932960893854997</v>
      </c>
    </row>
    <row r="12" spans="1:26" ht="12.75" customHeight="1">
      <c r="A12" s="398"/>
      <c r="B12" s="402" t="s">
        <v>66</v>
      </c>
      <c r="C12" s="563">
        <v>307</v>
      </c>
      <c r="D12" s="564">
        <v>192</v>
      </c>
      <c r="E12" s="564">
        <v>166</v>
      </c>
      <c r="F12" s="564">
        <v>224</v>
      </c>
      <c r="G12" s="564">
        <v>224</v>
      </c>
      <c r="H12" s="564">
        <v>225</v>
      </c>
      <c r="I12" s="564">
        <v>268</v>
      </c>
      <c r="J12" s="619">
        <v>306</v>
      </c>
      <c r="K12" s="619">
        <v>412</v>
      </c>
      <c r="L12" s="619">
        <v>428</v>
      </c>
      <c r="M12" s="619">
        <v>428</v>
      </c>
      <c r="N12" s="619">
        <v>549</v>
      </c>
      <c r="O12" s="619">
        <v>572</v>
      </c>
      <c r="P12" s="620">
        <v>572</v>
      </c>
      <c r="Q12" s="619">
        <v>374</v>
      </c>
      <c r="R12" s="808">
        <v>482</v>
      </c>
      <c r="S12" s="619">
        <v>482</v>
      </c>
      <c r="T12" s="619">
        <v>482</v>
      </c>
      <c r="U12" s="619">
        <v>482</v>
      </c>
      <c r="V12" s="619">
        <v>482</v>
      </c>
      <c r="W12" s="634">
        <v>482</v>
      </c>
      <c r="X12" s="67" t="s">
        <v>66</v>
      </c>
      <c r="Y12" s="398"/>
      <c r="Z12" s="941">
        <f t="shared" si="1"/>
        <v>0</v>
      </c>
    </row>
    <row r="13" spans="1:26" ht="12.75" customHeight="1">
      <c r="A13" s="398"/>
      <c r="B13" s="408" t="s">
        <v>59</v>
      </c>
      <c r="C13" s="611">
        <v>514</v>
      </c>
      <c r="D13" s="612">
        <v>313</v>
      </c>
      <c r="E13" s="612">
        <v>400</v>
      </c>
      <c r="F13" s="612">
        <v>244</v>
      </c>
      <c r="G13" s="612">
        <v>290</v>
      </c>
      <c r="H13" s="612">
        <v>278</v>
      </c>
      <c r="I13" s="612">
        <v>237</v>
      </c>
      <c r="J13" s="612">
        <v>269</v>
      </c>
      <c r="K13" s="612">
        <v>289</v>
      </c>
      <c r="L13" s="612">
        <v>284</v>
      </c>
      <c r="M13" s="612">
        <v>295</v>
      </c>
      <c r="N13" s="612">
        <v>301</v>
      </c>
      <c r="O13" s="612">
        <v>301</v>
      </c>
      <c r="P13" s="752">
        <v>306</v>
      </c>
      <c r="Q13" s="612">
        <v>306</v>
      </c>
      <c r="R13" s="612">
        <v>306</v>
      </c>
      <c r="S13" s="612">
        <v>308</v>
      </c>
      <c r="T13" s="618">
        <v>308</v>
      </c>
      <c r="U13" s="618">
        <v>308</v>
      </c>
      <c r="V13" s="618">
        <v>308</v>
      </c>
      <c r="W13" s="633">
        <v>308</v>
      </c>
      <c r="X13" s="65" t="s">
        <v>59</v>
      </c>
      <c r="Y13" s="398"/>
      <c r="Z13" s="940">
        <f t="shared" si="1"/>
        <v>0</v>
      </c>
    </row>
    <row r="14" spans="1:26" ht="12.75" customHeight="1">
      <c r="A14" s="398"/>
      <c r="B14" s="402" t="s">
        <v>64</v>
      </c>
      <c r="C14" s="563">
        <v>1928</v>
      </c>
      <c r="D14" s="564">
        <v>1791</v>
      </c>
      <c r="E14" s="564">
        <v>1922</v>
      </c>
      <c r="F14" s="564">
        <v>1693</v>
      </c>
      <c r="G14" s="564">
        <v>1951</v>
      </c>
      <c r="H14" s="564">
        <v>1931</v>
      </c>
      <c r="I14" s="564">
        <v>1911</v>
      </c>
      <c r="J14" s="564">
        <v>1928</v>
      </c>
      <c r="K14" s="564">
        <v>1946</v>
      </c>
      <c r="L14" s="619">
        <v>1745</v>
      </c>
      <c r="M14" s="564">
        <v>1918</v>
      </c>
      <c r="N14" s="564">
        <v>1983</v>
      </c>
      <c r="O14" s="564">
        <v>1670</v>
      </c>
      <c r="P14" s="564">
        <v>1732</v>
      </c>
      <c r="Q14" s="564">
        <v>2052</v>
      </c>
      <c r="R14" s="564">
        <v>1785</v>
      </c>
      <c r="S14" s="564">
        <f>12+1+53+10+11+1+174+285+203+1032</f>
        <v>1782</v>
      </c>
      <c r="T14" s="564">
        <f>12+189+1+279+209+236+1033</f>
        <v>1959</v>
      </c>
      <c r="U14" s="564">
        <v>1634</v>
      </c>
      <c r="V14" s="564">
        <v>1512</v>
      </c>
      <c r="W14" s="632">
        <v>1502</v>
      </c>
      <c r="X14" s="67" t="s">
        <v>64</v>
      </c>
      <c r="Y14" s="398"/>
      <c r="Z14" s="941">
        <f t="shared" si="1"/>
        <v>-0.006613756613756627</v>
      </c>
    </row>
    <row r="15" spans="1:26" ht="12.75" customHeight="1">
      <c r="A15" s="398"/>
      <c r="B15" s="408" t="s">
        <v>65</v>
      </c>
      <c r="C15" s="611">
        <v>6261</v>
      </c>
      <c r="D15" s="612">
        <v>6204</v>
      </c>
      <c r="E15" s="612">
        <v>7422</v>
      </c>
      <c r="F15" s="612">
        <v>7158</v>
      </c>
      <c r="G15" s="612">
        <v>7240</v>
      </c>
      <c r="H15" s="612">
        <v>7341</v>
      </c>
      <c r="I15" s="612">
        <v>7240</v>
      </c>
      <c r="J15" s="612">
        <v>7149</v>
      </c>
      <c r="K15" s="612">
        <v>6948</v>
      </c>
      <c r="L15" s="612">
        <v>5585</v>
      </c>
      <c r="M15" s="612">
        <v>5880</v>
      </c>
      <c r="N15" s="612">
        <v>6227</v>
      </c>
      <c r="O15" s="612">
        <v>6548</v>
      </c>
      <c r="P15" s="612">
        <v>6849</v>
      </c>
      <c r="Q15" s="612">
        <v>7028</v>
      </c>
      <c r="R15" s="612">
        <v>7240</v>
      </c>
      <c r="S15" s="612">
        <v>7326</v>
      </c>
      <c r="T15" s="612">
        <v>7424</v>
      </c>
      <c r="U15" s="612">
        <v>7614</v>
      </c>
      <c r="V15" s="612">
        <v>7701</v>
      </c>
      <c r="W15" s="631">
        <v>7661</v>
      </c>
      <c r="X15" s="65" t="s">
        <v>65</v>
      </c>
      <c r="Y15" s="398"/>
      <c r="Z15" s="940">
        <f t="shared" si="1"/>
        <v>-0.005194130632385385</v>
      </c>
    </row>
    <row r="16" spans="1:26" ht="12.75" customHeight="1">
      <c r="A16" s="398"/>
      <c r="B16" s="402" t="s">
        <v>76</v>
      </c>
      <c r="C16" s="563">
        <v>588</v>
      </c>
      <c r="D16" s="564">
        <v>565</v>
      </c>
      <c r="E16" s="564">
        <v>563</v>
      </c>
      <c r="F16" s="564">
        <v>480</v>
      </c>
      <c r="G16" s="564">
        <v>397</v>
      </c>
      <c r="H16" s="564">
        <v>396</v>
      </c>
      <c r="I16" s="564">
        <v>393</v>
      </c>
      <c r="J16" s="564">
        <v>388</v>
      </c>
      <c r="K16" s="564">
        <v>377</v>
      </c>
      <c r="L16" s="564">
        <v>374</v>
      </c>
      <c r="M16" s="564">
        <v>339</v>
      </c>
      <c r="N16" s="564">
        <v>345</v>
      </c>
      <c r="O16" s="564">
        <v>347</v>
      </c>
      <c r="P16" s="564">
        <v>284</v>
      </c>
      <c r="Q16" s="564">
        <v>296</v>
      </c>
      <c r="R16" s="610">
        <v>296</v>
      </c>
      <c r="S16" s="564">
        <f>121+66+38+41+35</f>
        <v>301</v>
      </c>
      <c r="T16" s="564">
        <f>121+38+66+41+35</f>
        <v>301</v>
      </c>
      <c r="U16" s="564">
        <f>121+35+66+41+35</f>
        <v>298</v>
      </c>
      <c r="V16" s="564">
        <f>66+41+35+121+35</f>
        <v>298</v>
      </c>
      <c r="W16" s="632">
        <v>298</v>
      </c>
      <c r="X16" s="67" t="s">
        <v>76</v>
      </c>
      <c r="Y16" s="398"/>
      <c r="Z16" s="941">
        <f t="shared" si="1"/>
        <v>0</v>
      </c>
    </row>
    <row r="17" spans="2:26" ht="12.75" customHeight="1">
      <c r="B17" s="156" t="s">
        <v>67</v>
      </c>
      <c r="C17" s="565">
        <v>4715</v>
      </c>
      <c r="D17" s="566">
        <v>4916</v>
      </c>
      <c r="E17" s="566">
        <v>4818</v>
      </c>
      <c r="F17" s="566">
        <v>4697</v>
      </c>
      <c r="G17" s="566">
        <v>4650</v>
      </c>
      <c r="H17" s="566">
        <v>5205</v>
      </c>
      <c r="I17" s="566">
        <v>4937</v>
      </c>
      <c r="J17" s="566">
        <v>4901</v>
      </c>
      <c r="K17" s="566">
        <v>4674</v>
      </c>
      <c r="L17" s="566">
        <v>5008</v>
      </c>
      <c r="M17" s="566">
        <v>4683</v>
      </c>
      <c r="N17" s="566">
        <v>4621</v>
      </c>
      <c r="O17" s="566">
        <v>4691</v>
      </c>
      <c r="P17" s="566">
        <v>4494</v>
      </c>
      <c r="Q17" s="566">
        <v>3862</v>
      </c>
      <c r="R17" s="566">
        <v>3650</v>
      </c>
      <c r="S17" s="566">
        <f>843+1506+546+348</f>
        <v>3243</v>
      </c>
      <c r="T17" s="566">
        <f>785+1650+510+340</f>
        <v>3285</v>
      </c>
      <c r="U17" s="566">
        <v>2631</v>
      </c>
      <c r="V17" s="566">
        <f>1464+266+469+792</f>
        <v>2991</v>
      </c>
      <c r="W17" s="635">
        <v>1869</v>
      </c>
      <c r="X17" s="359" t="s">
        <v>67</v>
      </c>
      <c r="Y17" s="398"/>
      <c r="Z17" s="940">
        <f t="shared" si="1"/>
        <v>-0.37512537612838515</v>
      </c>
    </row>
    <row r="18" spans="2:26" ht="12.75" customHeight="1">
      <c r="B18" s="402" t="s">
        <v>46</v>
      </c>
      <c r="C18" s="613" t="s">
        <v>75</v>
      </c>
      <c r="D18" s="614" t="s">
        <v>75</v>
      </c>
      <c r="E18" s="614" t="s">
        <v>75</v>
      </c>
      <c r="F18" s="614" t="s">
        <v>75</v>
      </c>
      <c r="G18" s="614" t="s">
        <v>75</v>
      </c>
      <c r="H18" s="614" t="s">
        <v>75</v>
      </c>
      <c r="I18" s="614" t="s">
        <v>75</v>
      </c>
      <c r="J18" s="614" t="s">
        <v>75</v>
      </c>
      <c r="K18" s="614" t="s">
        <v>75</v>
      </c>
      <c r="L18" s="614" t="s">
        <v>75</v>
      </c>
      <c r="M18" s="614" t="s">
        <v>75</v>
      </c>
      <c r="N18" s="614" t="s">
        <v>75</v>
      </c>
      <c r="O18" s="614" t="s">
        <v>75</v>
      </c>
      <c r="P18" s="614" t="s">
        <v>75</v>
      </c>
      <c r="Q18" s="614" t="s">
        <v>75</v>
      </c>
      <c r="R18" s="614" t="s">
        <v>75</v>
      </c>
      <c r="S18" s="614" t="s">
        <v>75</v>
      </c>
      <c r="T18" s="614" t="s">
        <v>75</v>
      </c>
      <c r="U18" s="614" t="s">
        <v>75</v>
      </c>
      <c r="V18" s="614" t="s">
        <v>75</v>
      </c>
      <c r="W18" s="643" t="s">
        <v>75</v>
      </c>
      <c r="X18" s="67" t="s">
        <v>46</v>
      </c>
      <c r="Y18" s="398"/>
      <c r="Z18" s="942" t="s">
        <v>75</v>
      </c>
    </row>
    <row r="19" spans="2:29" ht="12.75" customHeight="1">
      <c r="B19" s="156" t="s">
        <v>50</v>
      </c>
      <c r="C19" s="565"/>
      <c r="D19" s="566"/>
      <c r="E19" s="566">
        <v>739</v>
      </c>
      <c r="F19" s="566">
        <v>433</v>
      </c>
      <c r="G19" s="566">
        <v>403</v>
      </c>
      <c r="H19" s="566">
        <v>392</v>
      </c>
      <c r="I19" s="566">
        <v>386</v>
      </c>
      <c r="J19" s="566">
        <v>376</v>
      </c>
      <c r="K19" s="621">
        <v>358</v>
      </c>
      <c r="L19" s="566">
        <v>348</v>
      </c>
      <c r="M19" s="566">
        <v>346</v>
      </c>
      <c r="N19" s="566">
        <v>197</v>
      </c>
      <c r="O19" s="566">
        <v>196</v>
      </c>
      <c r="P19" s="566">
        <v>196</v>
      </c>
      <c r="Q19" s="566">
        <v>202</v>
      </c>
      <c r="R19" s="566">
        <v>205</v>
      </c>
      <c r="S19" s="566">
        <f>202+3</f>
        <v>205</v>
      </c>
      <c r="T19" s="566">
        <f>202+3</f>
        <v>205</v>
      </c>
      <c r="U19" s="566">
        <v>204</v>
      </c>
      <c r="V19" s="566">
        <f>2+200</f>
        <v>202</v>
      </c>
      <c r="W19" s="635">
        <v>196</v>
      </c>
      <c r="X19" s="359" t="s">
        <v>50</v>
      </c>
      <c r="Y19" s="398"/>
      <c r="Z19" s="940">
        <f t="shared" si="1"/>
        <v>-0.02970297029702973</v>
      </c>
      <c r="AC19" s="946"/>
    </row>
    <row r="20" spans="2:26" ht="12.75" customHeight="1">
      <c r="B20" s="402" t="s">
        <v>51</v>
      </c>
      <c r="C20" s="563"/>
      <c r="D20" s="564"/>
      <c r="E20" s="610">
        <v>389</v>
      </c>
      <c r="F20" s="564">
        <v>419</v>
      </c>
      <c r="G20" s="564">
        <v>406</v>
      </c>
      <c r="H20" s="564">
        <v>390</v>
      </c>
      <c r="I20" s="564">
        <v>371</v>
      </c>
      <c r="J20" s="564">
        <v>367</v>
      </c>
      <c r="K20" s="564">
        <v>365</v>
      </c>
      <c r="L20" s="564">
        <v>368</v>
      </c>
      <c r="M20" s="564">
        <v>368</v>
      </c>
      <c r="N20" s="564">
        <v>356</v>
      </c>
      <c r="O20" s="564">
        <v>317</v>
      </c>
      <c r="P20" s="564">
        <v>275</v>
      </c>
      <c r="Q20" s="564">
        <v>290</v>
      </c>
      <c r="R20" s="564">
        <v>262</v>
      </c>
      <c r="S20" s="564">
        <f>264+13</f>
        <v>277</v>
      </c>
      <c r="T20" s="564">
        <f>237+13</f>
        <v>250</v>
      </c>
      <c r="U20" s="564">
        <f>227+13</f>
        <v>240</v>
      </c>
      <c r="V20" s="564">
        <f>13+228</f>
        <v>241</v>
      </c>
      <c r="W20" s="632">
        <v>227</v>
      </c>
      <c r="X20" s="67" t="s">
        <v>51</v>
      </c>
      <c r="Y20" s="398"/>
      <c r="Z20" s="941">
        <f t="shared" si="1"/>
        <v>-0.05809128630705396</v>
      </c>
    </row>
    <row r="21" spans="2:26" ht="12.75" customHeight="1">
      <c r="B21" s="156" t="s">
        <v>68</v>
      </c>
      <c r="C21" s="565">
        <v>95</v>
      </c>
      <c r="D21" s="566">
        <v>85</v>
      </c>
      <c r="E21" s="566">
        <v>97</v>
      </c>
      <c r="F21" s="566">
        <v>124</v>
      </c>
      <c r="G21" s="566">
        <v>132</v>
      </c>
      <c r="H21" s="566">
        <v>131</v>
      </c>
      <c r="I21" s="566">
        <v>141</v>
      </c>
      <c r="J21" s="566">
        <v>141</v>
      </c>
      <c r="K21" s="566">
        <v>145</v>
      </c>
      <c r="L21" s="566">
        <v>128</v>
      </c>
      <c r="M21" s="566">
        <v>99</v>
      </c>
      <c r="N21" s="566">
        <v>96</v>
      </c>
      <c r="O21" s="566">
        <v>99</v>
      </c>
      <c r="P21" s="566">
        <v>91</v>
      </c>
      <c r="Q21" s="566">
        <v>89</v>
      </c>
      <c r="R21" s="566">
        <v>98</v>
      </c>
      <c r="S21" s="566">
        <v>92</v>
      </c>
      <c r="T21" s="566">
        <v>89</v>
      </c>
      <c r="U21" s="622">
        <v>89</v>
      </c>
      <c r="V21" s="566">
        <f>39+52</f>
        <v>91</v>
      </c>
      <c r="W21" s="644">
        <v>91</v>
      </c>
      <c r="X21" s="359" t="s">
        <v>68</v>
      </c>
      <c r="Y21" s="398"/>
      <c r="Z21" s="940">
        <f t="shared" si="1"/>
        <v>0</v>
      </c>
    </row>
    <row r="22" spans="2:26" ht="12.75" customHeight="1">
      <c r="B22" s="402" t="s">
        <v>49</v>
      </c>
      <c r="C22" s="563"/>
      <c r="D22" s="564"/>
      <c r="E22" s="564">
        <v>2040</v>
      </c>
      <c r="F22" s="564">
        <v>1453</v>
      </c>
      <c r="G22" s="564">
        <v>1442</v>
      </c>
      <c r="H22" s="564">
        <v>1363</v>
      </c>
      <c r="I22" s="564">
        <v>1458</v>
      </c>
      <c r="J22" s="564">
        <v>1328</v>
      </c>
      <c r="K22" s="617">
        <v>1385</v>
      </c>
      <c r="L22" s="564">
        <v>1400</v>
      </c>
      <c r="M22" s="564">
        <v>1413</v>
      </c>
      <c r="N22" s="564">
        <v>1428</v>
      </c>
      <c r="O22" s="564">
        <v>1458</v>
      </c>
      <c r="P22" s="564">
        <v>1275</v>
      </c>
      <c r="Q22" s="564">
        <v>1282</v>
      </c>
      <c r="R22" s="564">
        <v>1286</v>
      </c>
      <c r="S22" s="564">
        <f>6+4+22+26+443+484+240</f>
        <v>1225</v>
      </c>
      <c r="T22" s="564">
        <f>4+20+436+24+483+15+240+7</f>
        <v>1229</v>
      </c>
      <c r="U22" s="564">
        <f>4+20+434+1+19+482+15+240+10</f>
        <v>1225</v>
      </c>
      <c r="V22" s="564">
        <f>2+19+10+476+12+240+4+19+422</f>
        <v>1204</v>
      </c>
      <c r="W22" s="632">
        <v>1180</v>
      </c>
      <c r="X22" s="67" t="s">
        <v>49</v>
      </c>
      <c r="Y22" s="398"/>
      <c r="Z22" s="941">
        <f t="shared" si="1"/>
        <v>-0.019933554817275767</v>
      </c>
    </row>
    <row r="23" spans="2:26" ht="12.75" customHeight="1">
      <c r="B23" s="156" t="s">
        <v>52</v>
      </c>
      <c r="C23" s="623" t="s">
        <v>75</v>
      </c>
      <c r="D23" s="624" t="s">
        <v>75</v>
      </c>
      <c r="E23" s="753" t="s">
        <v>75</v>
      </c>
      <c r="F23" s="753" t="s">
        <v>75</v>
      </c>
      <c r="G23" s="753" t="s">
        <v>75</v>
      </c>
      <c r="H23" s="753" t="s">
        <v>75</v>
      </c>
      <c r="I23" s="753" t="s">
        <v>75</v>
      </c>
      <c r="J23" s="753" t="s">
        <v>75</v>
      </c>
      <c r="K23" s="753" t="s">
        <v>75</v>
      </c>
      <c r="L23" s="753" t="s">
        <v>75</v>
      </c>
      <c r="M23" s="753" t="s">
        <v>75</v>
      </c>
      <c r="N23" s="753" t="s">
        <v>75</v>
      </c>
      <c r="O23" s="753" t="s">
        <v>75</v>
      </c>
      <c r="P23" s="753" t="s">
        <v>75</v>
      </c>
      <c r="Q23" s="753" t="s">
        <v>75</v>
      </c>
      <c r="R23" s="753" t="s">
        <v>75</v>
      </c>
      <c r="S23" s="753" t="s">
        <v>75</v>
      </c>
      <c r="T23" s="753" t="s">
        <v>75</v>
      </c>
      <c r="U23" s="753" t="s">
        <v>75</v>
      </c>
      <c r="V23" s="753" t="s">
        <v>75</v>
      </c>
      <c r="W23" s="754" t="s">
        <v>75</v>
      </c>
      <c r="X23" s="359" t="s">
        <v>52</v>
      </c>
      <c r="Y23" s="398"/>
      <c r="Z23" s="943" t="s">
        <v>75</v>
      </c>
    </row>
    <row r="24" spans="2:26" ht="12.75" customHeight="1">
      <c r="B24" s="402" t="s">
        <v>60</v>
      </c>
      <c r="C24" s="563">
        <v>2140</v>
      </c>
      <c r="D24" s="564">
        <v>2174</v>
      </c>
      <c r="E24" s="564">
        <v>2372</v>
      </c>
      <c r="F24" s="564">
        <v>1965</v>
      </c>
      <c r="G24" s="564">
        <v>2128</v>
      </c>
      <c r="H24" s="564">
        <v>2029</v>
      </c>
      <c r="I24" s="564">
        <v>2118</v>
      </c>
      <c r="J24" s="564">
        <v>2076</v>
      </c>
      <c r="K24" s="564">
        <v>2078</v>
      </c>
      <c r="L24" s="564">
        <v>2025</v>
      </c>
      <c r="M24" s="564">
        <v>2033</v>
      </c>
      <c r="N24" s="564">
        <v>2079</v>
      </c>
      <c r="O24" s="564">
        <v>2027</v>
      </c>
      <c r="P24" s="564">
        <v>2411</v>
      </c>
      <c r="Q24" s="564">
        <v>2427</v>
      </c>
      <c r="R24" s="564">
        <v>2443</v>
      </c>
      <c r="S24" s="564">
        <f>43+32+2341</f>
        <v>2416</v>
      </c>
      <c r="T24" s="564">
        <f>46+44+2761</f>
        <v>2851</v>
      </c>
      <c r="U24" s="564">
        <f>51+44+2685</f>
        <v>2780</v>
      </c>
      <c r="V24" s="564">
        <f>51+2993+44</f>
        <v>3088</v>
      </c>
      <c r="W24" s="632">
        <v>3193</v>
      </c>
      <c r="X24" s="67" t="s">
        <v>60</v>
      </c>
      <c r="Y24" s="398"/>
      <c r="Z24" s="941">
        <f t="shared" si="1"/>
        <v>0.03400259067357503</v>
      </c>
    </row>
    <row r="25" spans="2:26" ht="12.75" customHeight="1">
      <c r="B25" s="156" t="s">
        <v>69</v>
      </c>
      <c r="C25" s="565">
        <v>1423</v>
      </c>
      <c r="D25" s="566">
        <v>1428</v>
      </c>
      <c r="E25" s="566">
        <v>1543</v>
      </c>
      <c r="F25" s="566">
        <v>1530</v>
      </c>
      <c r="G25" s="566">
        <v>1606</v>
      </c>
      <c r="H25" s="566">
        <v>1555</v>
      </c>
      <c r="I25" s="566">
        <v>1556</v>
      </c>
      <c r="J25" s="566">
        <v>1610</v>
      </c>
      <c r="K25" s="566">
        <v>1500</v>
      </c>
      <c r="L25" s="566">
        <v>1639</v>
      </c>
      <c r="M25" s="566">
        <v>1725</v>
      </c>
      <c r="N25" s="566">
        <v>1668</v>
      </c>
      <c r="O25" s="566">
        <v>1660</v>
      </c>
      <c r="P25" s="777">
        <v>2081</v>
      </c>
      <c r="Q25" s="566">
        <v>2068</v>
      </c>
      <c r="R25" s="566">
        <v>2114</v>
      </c>
      <c r="S25" s="566">
        <v>2023</v>
      </c>
      <c r="T25" s="566">
        <v>2033</v>
      </c>
      <c r="U25" s="566">
        <v>1972</v>
      </c>
      <c r="V25" s="566">
        <v>1973</v>
      </c>
      <c r="W25" s="635">
        <v>1994</v>
      </c>
      <c r="X25" s="359" t="s">
        <v>69</v>
      </c>
      <c r="Y25" s="398"/>
      <c r="Z25" s="940">
        <f t="shared" si="1"/>
        <v>0.010643689812468216</v>
      </c>
    </row>
    <row r="26" spans="2:26" ht="12.75" customHeight="1">
      <c r="B26" s="402" t="s">
        <v>53</v>
      </c>
      <c r="C26" s="563"/>
      <c r="D26" s="564"/>
      <c r="E26" s="564">
        <v>5483</v>
      </c>
      <c r="F26" s="564">
        <v>5293</v>
      </c>
      <c r="G26" s="564">
        <v>5286</v>
      </c>
      <c r="H26" s="564">
        <v>5386</v>
      </c>
      <c r="I26" s="564">
        <v>5479</v>
      </c>
      <c r="J26" s="564">
        <v>5623</v>
      </c>
      <c r="K26" s="564">
        <v>5828</v>
      </c>
      <c r="L26" s="564">
        <v>5579</v>
      </c>
      <c r="M26" s="564">
        <v>5744</v>
      </c>
      <c r="N26" s="564">
        <v>5821</v>
      </c>
      <c r="O26" s="564">
        <v>5770</v>
      </c>
      <c r="P26" s="564">
        <v>5657</v>
      </c>
      <c r="Q26" s="564">
        <v>5637</v>
      </c>
      <c r="R26" s="564">
        <v>5548</v>
      </c>
      <c r="S26" s="564">
        <v>5521</v>
      </c>
      <c r="T26" s="564">
        <v>5615</v>
      </c>
      <c r="U26" s="564">
        <v>5526</v>
      </c>
      <c r="V26" s="564">
        <v>5384</v>
      </c>
      <c r="W26" s="632">
        <v>5270</v>
      </c>
      <c r="X26" s="67" t="s">
        <v>53</v>
      </c>
      <c r="Y26" s="398"/>
      <c r="Z26" s="941">
        <f t="shared" si="1"/>
        <v>-0.02117384843982173</v>
      </c>
    </row>
    <row r="27" spans="2:26" ht="12.75" customHeight="1">
      <c r="B27" s="156" t="s">
        <v>70</v>
      </c>
      <c r="C27" s="565">
        <v>626</v>
      </c>
      <c r="D27" s="566">
        <v>583</v>
      </c>
      <c r="E27" s="566">
        <v>530</v>
      </c>
      <c r="F27" s="566">
        <v>589</v>
      </c>
      <c r="G27" s="566">
        <v>536</v>
      </c>
      <c r="H27" s="566">
        <v>515</v>
      </c>
      <c r="I27" s="566">
        <v>506</v>
      </c>
      <c r="J27" s="566">
        <v>463</v>
      </c>
      <c r="K27" s="566">
        <v>439</v>
      </c>
      <c r="L27" s="566">
        <v>429</v>
      </c>
      <c r="M27" s="566">
        <v>433</v>
      </c>
      <c r="N27" s="566">
        <v>431</v>
      </c>
      <c r="O27" s="566">
        <v>436</v>
      </c>
      <c r="P27" s="566">
        <v>275</v>
      </c>
      <c r="Q27" s="566">
        <v>433</v>
      </c>
      <c r="R27" s="566">
        <f>199+202</f>
        <v>401</v>
      </c>
      <c r="S27" s="566">
        <f>43+53+42+201+44+34</f>
        <v>417</v>
      </c>
      <c r="T27" s="566">
        <f>43+54+11+201</f>
        <v>309</v>
      </c>
      <c r="U27" s="566">
        <f>13+25+5+188+46</f>
        <v>277</v>
      </c>
      <c r="V27" s="566">
        <v>231</v>
      </c>
      <c r="W27" s="644">
        <f>45+188</f>
        <v>233</v>
      </c>
      <c r="X27" s="359" t="s">
        <v>70</v>
      </c>
      <c r="Y27" s="398"/>
      <c r="Z27" s="940">
        <f t="shared" si="1"/>
        <v>0.008658008658008587</v>
      </c>
    </row>
    <row r="28" spans="2:26" ht="12.75" customHeight="1">
      <c r="B28" s="402" t="s">
        <v>54</v>
      </c>
      <c r="C28" s="563"/>
      <c r="D28" s="564">
        <v>4564</v>
      </c>
      <c r="E28" s="564">
        <v>4515</v>
      </c>
      <c r="F28" s="564">
        <v>3440</v>
      </c>
      <c r="G28" s="564">
        <v>3341</v>
      </c>
      <c r="H28" s="564">
        <v>3594</v>
      </c>
      <c r="I28" s="564">
        <v>2173</v>
      </c>
      <c r="J28" s="564">
        <v>2071</v>
      </c>
      <c r="K28" s="564">
        <v>2186</v>
      </c>
      <c r="L28" s="564">
        <v>2220</v>
      </c>
      <c r="M28" s="564">
        <v>2262</v>
      </c>
      <c r="N28" s="564">
        <v>2290</v>
      </c>
      <c r="O28" s="564">
        <v>2649</v>
      </c>
      <c r="P28" s="564">
        <v>2229</v>
      </c>
      <c r="Q28" s="564">
        <v>2117</v>
      </c>
      <c r="R28" s="564">
        <v>2280</v>
      </c>
      <c r="S28" s="564">
        <f>441+363+269+34+553+315+104+75+35+22</f>
        <v>2211</v>
      </c>
      <c r="T28" s="564">
        <f>424+553+16+121+4+358+315+10+94+10+99+264+34</f>
        <v>2302</v>
      </c>
      <c r="U28" s="564">
        <f>1157+805+333+34</f>
        <v>2329</v>
      </c>
      <c r="V28" s="564">
        <v>2296</v>
      </c>
      <c r="W28" s="564">
        <v>2288</v>
      </c>
      <c r="X28" s="67" t="s">
        <v>54</v>
      </c>
      <c r="Y28" s="398"/>
      <c r="Z28" s="941">
        <f t="shared" si="1"/>
        <v>-0.0034843205574912606</v>
      </c>
    </row>
    <row r="29" spans="2:26" ht="12.75" customHeight="1">
      <c r="B29" s="156" t="s">
        <v>56</v>
      </c>
      <c r="C29" s="565"/>
      <c r="D29" s="566"/>
      <c r="E29" s="566">
        <v>358</v>
      </c>
      <c r="F29" s="566">
        <v>300</v>
      </c>
      <c r="G29" s="566">
        <v>304</v>
      </c>
      <c r="H29" s="566">
        <v>310</v>
      </c>
      <c r="I29" s="566">
        <v>273</v>
      </c>
      <c r="J29" s="566">
        <v>273</v>
      </c>
      <c r="K29" s="566">
        <v>261</v>
      </c>
      <c r="L29" s="566">
        <v>271</v>
      </c>
      <c r="M29" s="566">
        <v>273</v>
      </c>
      <c r="N29" s="566">
        <v>267</v>
      </c>
      <c r="O29" s="566">
        <v>269</v>
      </c>
      <c r="P29" s="566">
        <v>267</v>
      </c>
      <c r="Q29" s="566">
        <v>405</v>
      </c>
      <c r="R29" s="566">
        <v>405</v>
      </c>
      <c r="S29" s="566">
        <f>74+78+140+113</f>
        <v>405</v>
      </c>
      <c r="T29" s="566">
        <f>74+78+140+113</f>
        <v>405</v>
      </c>
      <c r="U29" s="566">
        <v>401</v>
      </c>
      <c r="V29" s="566">
        <f>140+74+109+78</f>
        <v>401</v>
      </c>
      <c r="W29" s="635">
        <v>400</v>
      </c>
      <c r="X29" s="359" t="s">
        <v>56</v>
      </c>
      <c r="Y29" s="398"/>
      <c r="Z29" s="940">
        <f t="shared" si="1"/>
        <v>-0.0024937655860348684</v>
      </c>
    </row>
    <row r="30" spans="2:26" ht="12.75" customHeight="1">
      <c r="B30" s="402" t="s">
        <v>55</v>
      </c>
      <c r="C30" s="613"/>
      <c r="D30" s="614"/>
      <c r="E30" s="614"/>
      <c r="F30" s="564">
        <v>1570</v>
      </c>
      <c r="G30" s="564">
        <v>1512</v>
      </c>
      <c r="H30" s="564">
        <v>1450</v>
      </c>
      <c r="I30" s="564">
        <v>1441</v>
      </c>
      <c r="J30" s="564">
        <v>1334</v>
      </c>
      <c r="K30" s="610">
        <v>1204</v>
      </c>
      <c r="L30" s="564">
        <v>1176</v>
      </c>
      <c r="M30" s="564">
        <v>1258</v>
      </c>
      <c r="N30" s="564">
        <v>1216</v>
      </c>
      <c r="O30" s="564">
        <v>1155</v>
      </c>
      <c r="P30" s="564">
        <v>1035</v>
      </c>
      <c r="Q30" s="564">
        <v>1101</v>
      </c>
      <c r="R30" s="564">
        <v>1033</v>
      </c>
      <c r="S30" s="564">
        <f>84+165+132+1+309+338</f>
        <v>1029</v>
      </c>
      <c r="T30" s="564">
        <f>86+338+162+299+143+1</f>
        <v>1029</v>
      </c>
      <c r="U30" s="564">
        <v>978</v>
      </c>
      <c r="V30" s="564">
        <f>161+281+86+292+93+1</f>
        <v>914</v>
      </c>
      <c r="W30" s="632">
        <v>851</v>
      </c>
      <c r="X30" s="67" t="s">
        <v>55</v>
      </c>
      <c r="Y30" s="398"/>
      <c r="Z30" s="941">
        <f t="shared" si="1"/>
        <v>-0.06892778993435444</v>
      </c>
    </row>
    <row r="31" spans="2:26" ht="12.75" customHeight="1">
      <c r="B31" s="156" t="s">
        <v>71</v>
      </c>
      <c r="C31" s="565">
        <v>877</v>
      </c>
      <c r="D31" s="566">
        <v>752</v>
      </c>
      <c r="E31" s="566">
        <v>669</v>
      </c>
      <c r="F31" s="566">
        <v>735</v>
      </c>
      <c r="G31" s="566">
        <v>724</v>
      </c>
      <c r="H31" s="566">
        <v>731</v>
      </c>
      <c r="I31" s="566">
        <v>731</v>
      </c>
      <c r="J31" s="566">
        <v>737</v>
      </c>
      <c r="K31" s="566">
        <v>702</v>
      </c>
      <c r="L31" s="566">
        <v>697</v>
      </c>
      <c r="M31" s="566">
        <v>694</v>
      </c>
      <c r="N31" s="566">
        <v>662</v>
      </c>
      <c r="O31" s="566">
        <v>641</v>
      </c>
      <c r="P31" s="566">
        <v>644</v>
      </c>
      <c r="Q31" s="566">
        <v>643</v>
      </c>
      <c r="R31" s="566">
        <v>652</v>
      </c>
      <c r="S31" s="566">
        <f>310+155+16+171</f>
        <v>652</v>
      </c>
      <c r="T31" s="566">
        <f>310+155+16+178</f>
        <v>659</v>
      </c>
      <c r="U31" s="566">
        <v>650</v>
      </c>
      <c r="V31" s="566">
        <v>647</v>
      </c>
      <c r="W31" s="635">
        <v>676</v>
      </c>
      <c r="X31" s="359" t="s">
        <v>71</v>
      </c>
      <c r="Y31" s="398"/>
      <c r="Z31" s="940">
        <f t="shared" si="1"/>
        <v>0.04482225656877903</v>
      </c>
    </row>
    <row r="32" spans="2:26" ht="12.75" customHeight="1">
      <c r="B32" s="402" t="s">
        <v>72</v>
      </c>
      <c r="C32" s="563">
        <v>1408</v>
      </c>
      <c r="D32" s="564">
        <v>1576</v>
      </c>
      <c r="E32" s="564">
        <v>1234</v>
      </c>
      <c r="F32" s="564">
        <v>1032</v>
      </c>
      <c r="G32" s="564">
        <v>1121</v>
      </c>
      <c r="H32" s="564">
        <v>1178</v>
      </c>
      <c r="I32" s="564">
        <v>1217</v>
      </c>
      <c r="J32" s="564">
        <v>1231</v>
      </c>
      <c r="K32" s="564">
        <v>1377</v>
      </c>
      <c r="L32" s="564">
        <v>1462</v>
      </c>
      <c r="M32" s="564">
        <v>1694</v>
      </c>
      <c r="N32" s="564">
        <v>1820</v>
      </c>
      <c r="O32" s="564">
        <v>1823</v>
      </c>
      <c r="P32" s="564">
        <v>1927</v>
      </c>
      <c r="Q32" s="564">
        <v>2027</v>
      </c>
      <c r="R32" s="564">
        <v>2285</v>
      </c>
      <c r="S32" s="564">
        <v>2331</v>
      </c>
      <c r="T32" s="564">
        <v>2416</v>
      </c>
      <c r="U32" s="564">
        <v>2422</v>
      </c>
      <c r="V32" s="564">
        <v>2538</v>
      </c>
      <c r="W32" s="632">
        <v>2679</v>
      </c>
      <c r="X32" s="67" t="s">
        <v>72</v>
      </c>
      <c r="Y32" s="398"/>
      <c r="Z32" s="941">
        <f t="shared" si="1"/>
        <v>0.05555555555555558</v>
      </c>
    </row>
    <row r="33" spans="2:26" ht="12.75" customHeight="1">
      <c r="B33" s="157" t="s">
        <v>61</v>
      </c>
      <c r="C33" s="625">
        <v>9510</v>
      </c>
      <c r="D33" s="626">
        <v>5452</v>
      </c>
      <c r="E33" s="626">
        <v>5610</v>
      </c>
      <c r="F33" s="626" t="s">
        <v>74</v>
      </c>
      <c r="G33" s="626" t="s">
        <v>74</v>
      </c>
      <c r="H33" s="626">
        <v>4430</v>
      </c>
      <c r="I33" s="626">
        <v>3588</v>
      </c>
      <c r="J33" s="626">
        <v>3505</v>
      </c>
      <c r="K33" s="626">
        <v>3177</v>
      </c>
      <c r="L33" s="627">
        <v>3271</v>
      </c>
      <c r="M33" s="626">
        <v>11367</v>
      </c>
      <c r="N33" s="626">
        <v>10639</v>
      </c>
      <c r="O33" s="626">
        <v>10562</v>
      </c>
      <c r="P33" s="626">
        <v>10710</v>
      </c>
      <c r="Q33" s="626">
        <v>11036</v>
      </c>
      <c r="R33" s="626">
        <v>11082</v>
      </c>
      <c r="S33" s="626">
        <f>199+5+45+39+2786+8102</f>
        <v>11176</v>
      </c>
      <c r="T33" s="626">
        <f>199+5+45+2786+129+8183</f>
        <v>11347</v>
      </c>
      <c r="U33" s="650">
        <f>199+5+45+2786+129+8183</f>
        <v>11347</v>
      </c>
      <c r="V33" s="650">
        <f>199+5+45+2786+129+8183</f>
        <v>11347</v>
      </c>
      <c r="W33" s="778">
        <v>11347</v>
      </c>
      <c r="X33" s="360" t="s">
        <v>61</v>
      </c>
      <c r="Y33" s="398"/>
      <c r="Z33" s="944">
        <f t="shared" si="1"/>
        <v>0</v>
      </c>
    </row>
    <row r="34" spans="2:26" ht="12.75" customHeight="1">
      <c r="B34" s="402" t="s">
        <v>252</v>
      </c>
      <c r="C34" s="563"/>
      <c r="D34" s="564"/>
      <c r="E34" s="564"/>
      <c r="F34" s="564"/>
      <c r="G34" s="564"/>
      <c r="H34" s="564"/>
      <c r="I34" s="564"/>
      <c r="J34" s="564"/>
      <c r="K34" s="564"/>
      <c r="L34" s="564"/>
      <c r="M34" s="564"/>
      <c r="N34" s="564"/>
      <c r="O34" s="564"/>
      <c r="P34" s="564"/>
      <c r="Q34" s="564"/>
      <c r="R34" s="564"/>
      <c r="S34" s="564"/>
      <c r="T34" s="564"/>
      <c r="U34" s="564"/>
      <c r="V34" s="564"/>
      <c r="W34" s="632"/>
      <c r="X34" s="67" t="s">
        <v>252</v>
      </c>
      <c r="Y34" s="398"/>
      <c r="Z34" s="947"/>
    </row>
    <row r="35" spans="2:26" ht="12.75" customHeight="1">
      <c r="B35" s="156" t="s">
        <v>240</v>
      </c>
      <c r="C35" s="565">
        <v>588</v>
      </c>
      <c r="D35" s="566">
        <v>565</v>
      </c>
      <c r="E35" s="443" t="s">
        <v>75</v>
      </c>
      <c r="F35" s="443" t="s">
        <v>75</v>
      </c>
      <c r="G35" s="443" t="s">
        <v>75</v>
      </c>
      <c r="H35" s="443" t="s">
        <v>75</v>
      </c>
      <c r="I35" s="443" t="s">
        <v>75</v>
      </c>
      <c r="J35" s="443" t="s">
        <v>75</v>
      </c>
      <c r="K35" s="443" t="s">
        <v>75</v>
      </c>
      <c r="L35" s="443" t="s">
        <v>75</v>
      </c>
      <c r="M35" s="443" t="s">
        <v>75</v>
      </c>
      <c r="N35" s="443" t="s">
        <v>75</v>
      </c>
      <c r="O35" s="443" t="s">
        <v>75</v>
      </c>
      <c r="P35" s="443" t="s">
        <v>75</v>
      </c>
      <c r="Q35" s="443" t="s">
        <v>75</v>
      </c>
      <c r="R35" s="443" t="s">
        <v>75</v>
      </c>
      <c r="S35" s="443" t="s">
        <v>75</v>
      </c>
      <c r="T35" s="443" t="s">
        <v>75</v>
      </c>
      <c r="U35" s="443" t="s">
        <v>75</v>
      </c>
      <c r="V35" s="443" t="s">
        <v>75</v>
      </c>
      <c r="W35" s="754" t="s">
        <v>75</v>
      </c>
      <c r="X35" s="359" t="s">
        <v>240</v>
      </c>
      <c r="Y35" s="398"/>
      <c r="Z35" s="943" t="s">
        <v>75</v>
      </c>
    </row>
    <row r="36" spans="2:26" ht="12.75" customHeight="1">
      <c r="B36" s="402" t="s">
        <v>1</v>
      </c>
      <c r="C36" s="563"/>
      <c r="D36" s="564">
        <v>91</v>
      </c>
      <c r="E36" s="564">
        <v>92</v>
      </c>
      <c r="F36" s="564">
        <v>101</v>
      </c>
      <c r="G36" s="564">
        <v>71</v>
      </c>
      <c r="H36" s="564">
        <v>71</v>
      </c>
      <c r="I36" s="564">
        <v>74</v>
      </c>
      <c r="J36" s="564">
        <v>73</v>
      </c>
      <c r="K36" s="564">
        <v>73</v>
      </c>
      <c r="L36" s="564">
        <v>72</v>
      </c>
      <c r="M36" s="564">
        <v>72</v>
      </c>
      <c r="N36" s="564">
        <v>72</v>
      </c>
      <c r="O36" s="564">
        <v>67</v>
      </c>
      <c r="P36" s="564">
        <v>63</v>
      </c>
      <c r="Q36" s="564">
        <v>63</v>
      </c>
      <c r="R36" s="564">
        <v>69</v>
      </c>
      <c r="S36" s="610">
        <f>27+16+6+4</f>
        <v>53</v>
      </c>
      <c r="T36" s="610">
        <f>27+16+6+4</f>
        <v>53</v>
      </c>
      <c r="U36" s="564">
        <v>53</v>
      </c>
      <c r="V36" s="564">
        <v>52</v>
      </c>
      <c r="W36" s="632">
        <v>58</v>
      </c>
      <c r="X36" s="67" t="s">
        <v>1</v>
      </c>
      <c r="Y36" s="398"/>
      <c r="Z36" s="941">
        <f t="shared" si="1"/>
        <v>0.11538461538461542</v>
      </c>
    </row>
    <row r="37" spans="2:26" ht="12.75" customHeight="1">
      <c r="B37" s="156" t="s">
        <v>239</v>
      </c>
      <c r="C37" s="565"/>
      <c r="D37" s="566"/>
      <c r="E37" s="566"/>
      <c r="F37" s="566"/>
      <c r="G37" s="566"/>
      <c r="H37" s="566"/>
      <c r="I37" s="566"/>
      <c r="J37" s="566"/>
      <c r="K37" s="566"/>
      <c r="L37" s="566"/>
      <c r="M37" s="566"/>
      <c r="N37" s="566"/>
      <c r="O37" s="566"/>
      <c r="P37" s="566"/>
      <c r="Q37" s="566">
        <v>466</v>
      </c>
      <c r="R37" s="566">
        <v>485</v>
      </c>
      <c r="S37" s="566">
        <f>193+143+74+77</f>
        <v>487</v>
      </c>
      <c r="T37" s="566">
        <f>191+143+74+77</f>
        <v>485</v>
      </c>
      <c r="U37" s="566">
        <v>335</v>
      </c>
      <c r="V37" s="566">
        <f>95+38+160+10+59+87</f>
        <v>449</v>
      </c>
      <c r="W37" s="635">
        <v>368</v>
      </c>
      <c r="X37" s="359" t="s">
        <v>239</v>
      </c>
      <c r="Y37" s="398"/>
      <c r="Z37" s="940">
        <f t="shared" si="1"/>
        <v>-0.1804008908685969</v>
      </c>
    </row>
    <row r="38" spans="2:26" ht="12.75" customHeight="1">
      <c r="B38" s="403" t="s">
        <v>57</v>
      </c>
      <c r="C38" s="628">
        <v>1055</v>
      </c>
      <c r="D38" s="456">
        <v>1101</v>
      </c>
      <c r="E38" s="456">
        <v>897</v>
      </c>
      <c r="F38" s="568">
        <v>849</v>
      </c>
      <c r="G38" s="568">
        <v>838</v>
      </c>
      <c r="H38" s="568">
        <v>819</v>
      </c>
      <c r="I38" s="568">
        <v>755</v>
      </c>
      <c r="J38" s="568">
        <v>734</v>
      </c>
      <c r="K38" s="568">
        <v>735</v>
      </c>
      <c r="L38" s="568">
        <v>732</v>
      </c>
      <c r="M38" s="568">
        <v>724</v>
      </c>
      <c r="N38" s="568">
        <v>613</v>
      </c>
      <c r="O38" s="568">
        <v>660</v>
      </c>
      <c r="P38" s="568">
        <v>673</v>
      </c>
      <c r="Q38" s="568">
        <v>744</v>
      </c>
      <c r="R38" s="568">
        <v>783</v>
      </c>
      <c r="S38" s="568">
        <f>537+53+77+113</f>
        <v>780</v>
      </c>
      <c r="T38" s="568">
        <f>540+117+80+80</f>
        <v>817</v>
      </c>
      <c r="U38" s="568">
        <v>851</v>
      </c>
      <c r="V38" s="568">
        <f>80+118+125+543</f>
        <v>866</v>
      </c>
      <c r="W38" s="637">
        <v>889</v>
      </c>
      <c r="X38" s="68" t="s">
        <v>57</v>
      </c>
      <c r="Y38" s="398"/>
      <c r="Z38" s="945">
        <f t="shared" si="1"/>
        <v>0.02655889145496526</v>
      </c>
    </row>
    <row r="39" spans="2:26" ht="12.75" customHeight="1">
      <c r="B39" s="156" t="s">
        <v>43</v>
      </c>
      <c r="C39" s="623" t="s">
        <v>75</v>
      </c>
      <c r="D39" s="624" t="s">
        <v>75</v>
      </c>
      <c r="E39" s="624" t="s">
        <v>75</v>
      </c>
      <c r="F39" s="624" t="s">
        <v>75</v>
      </c>
      <c r="G39" s="624" t="s">
        <v>75</v>
      </c>
      <c r="H39" s="624" t="s">
        <v>75</v>
      </c>
      <c r="I39" s="624" t="s">
        <v>75</v>
      </c>
      <c r="J39" s="624" t="s">
        <v>75</v>
      </c>
      <c r="K39" s="624" t="s">
        <v>75</v>
      </c>
      <c r="L39" s="624" t="s">
        <v>75</v>
      </c>
      <c r="M39" s="624" t="s">
        <v>75</v>
      </c>
      <c r="N39" s="624" t="s">
        <v>75</v>
      </c>
      <c r="O39" s="624" t="s">
        <v>75</v>
      </c>
      <c r="P39" s="624" t="s">
        <v>75</v>
      </c>
      <c r="Q39" s="624" t="s">
        <v>75</v>
      </c>
      <c r="R39" s="624" t="s">
        <v>75</v>
      </c>
      <c r="S39" s="624" t="s">
        <v>75</v>
      </c>
      <c r="T39" s="624" t="s">
        <v>75</v>
      </c>
      <c r="U39" s="624" t="s">
        <v>75</v>
      </c>
      <c r="V39" s="624" t="s">
        <v>75</v>
      </c>
      <c r="W39" s="754" t="s">
        <v>75</v>
      </c>
      <c r="X39" s="359" t="s">
        <v>43</v>
      </c>
      <c r="Y39" s="398"/>
      <c r="Z39" s="943" t="s">
        <v>75</v>
      </c>
    </row>
    <row r="40" spans="2:26" ht="12.75" customHeight="1">
      <c r="B40" s="402" t="s">
        <v>73</v>
      </c>
      <c r="C40" s="563">
        <v>439</v>
      </c>
      <c r="D40" s="564">
        <v>430</v>
      </c>
      <c r="E40" s="564">
        <v>502</v>
      </c>
      <c r="F40" s="564">
        <v>299</v>
      </c>
      <c r="G40" s="564">
        <v>303</v>
      </c>
      <c r="H40" s="564">
        <v>269</v>
      </c>
      <c r="I40" s="564">
        <v>266</v>
      </c>
      <c r="J40" s="564">
        <v>208</v>
      </c>
      <c r="K40" s="564">
        <v>289</v>
      </c>
      <c r="L40" s="564">
        <v>223</v>
      </c>
      <c r="M40" s="564">
        <v>223</v>
      </c>
      <c r="N40" s="564">
        <v>223</v>
      </c>
      <c r="O40" s="564">
        <v>207</v>
      </c>
      <c r="P40" s="615">
        <v>544</v>
      </c>
      <c r="Q40" s="564">
        <v>593</v>
      </c>
      <c r="R40" s="564">
        <v>629</v>
      </c>
      <c r="S40" s="564">
        <f>5+28+58+725</f>
        <v>816</v>
      </c>
      <c r="T40" s="564">
        <f>11+28+31+200+398+44</f>
        <v>712</v>
      </c>
      <c r="U40" s="615">
        <f>31+205+22+12</f>
        <v>270</v>
      </c>
      <c r="V40" s="564">
        <f>29+209+22+12</f>
        <v>272</v>
      </c>
      <c r="W40" s="632">
        <v>279</v>
      </c>
      <c r="X40" s="67" t="s">
        <v>73</v>
      </c>
      <c r="Y40" s="398"/>
      <c r="Z40" s="941">
        <f t="shared" si="1"/>
        <v>0.025735294117646967</v>
      </c>
    </row>
    <row r="41" spans="2:26" ht="12.75" customHeight="1">
      <c r="B41" s="157" t="s">
        <v>44</v>
      </c>
      <c r="C41" s="562">
        <v>1116</v>
      </c>
      <c r="D41" s="453">
        <v>1205</v>
      </c>
      <c r="E41" s="626">
        <v>1254</v>
      </c>
      <c r="F41" s="626">
        <v>1528</v>
      </c>
      <c r="G41" s="626">
        <v>2011</v>
      </c>
      <c r="H41" s="626">
        <v>2008</v>
      </c>
      <c r="I41" s="626">
        <v>2164</v>
      </c>
      <c r="J41" s="626">
        <v>2224</v>
      </c>
      <c r="K41" s="626">
        <v>2198</v>
      </c>
      <c r="L41" s="626">
        <v>2167</v>
      </c>
      <c r="M41" s="626">
        <v>2272</v>
      </c>
      <c r="N41" s="626">
        <v>2278</v>
      </c>
      <c r="O41" s="626">
        <v>2265</v>
      </c>
      <c r="P41" s="626">
        <v>1745</v>
      </c>
      <c r="Q41" s="626">
        <v>1752</v>
      </c>
      <c r="R41" s="626">
        <v>1680</v>
      </c>
      <c r="S41" s="626">
        <f>3+93+120+64+415+786+164</f>
        <v>1645</v>
      </c>
      <c r="T41" s="626">
        <f>3+423+785+93+64+123+141</f>
        <v>1632</v>
      </c>
      <c r="U41" s="626">
        <v>1694</v>
      </c>
      <c r="V41" s="626">
        <f>123+47+121+91+30+46+765+4+406</f>
        <v>1633</v>
      </c>
      <c r="W41" s="636">
        <v>1678</v>
      </c>
      <c r="X41" s="360" t="s">
        <v>44</v>
      </c>
      <c r="Y41" s="398"/>
      <c r="Z41" s="944">
        <f t="shared" si="1"/>
        <v>0.027556644213104775</v>
      </c>
    </row>
    <row r="42" spans="2:26" ht="14.25" customHeight="1">
      <c r="B42" s="1103" t="s">
        <v>305</v>
      </c>
      <c r="C42" s="1103"/>
      <c r="D42" s="1103"/>
      <c r="E42" s="1103"/>
      <c r="F42" s="1103"/>
      <c r="G42" s="1103"/>
      <c r="H42" s="1103"/>
      <c r="I42" s="1103"/>
      <c r="J42" s="1104"/>
      <c r="K42" s="1104"/>
      <c r="L42" s="1104"/>
      <c r="M42" s="1104"/>
      <c r="N42" s="1104"/>
      <c r="O42" s="1104"/>
      <c r="P42" s="1104"/>
      <c r="Q42" s="1104"/>
      <c r="R42" s="1104"/>
      <c r="S42" s="1105"/>
      <c r="T42" s="1105"/>
      <c r="U42" s="1105"/>
      <c r="V42" s="1105"/>
      <c r="W42" s="1105"/>
      <c r="X42" s="1104"/>
      <c r="Y42" s="398"/>
      <c r="Z42" s="5"/>
    </row>
    <row r="43" spans="2:26" ht="15" customHeight="1">
      <c r="B43" s="415" t="s">
        <v>0</v>
      </c>
      <c r="C43" s="420"/>
      <c r="D43" s="420"/>
      <c r="E43" s="420"/>
      <c r="F43" s="423"/>
      <c r="G43" s="421"/>
      <c r="H43" s="420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398"/>
      <c r="Z43" s="5"/>
    </row>
    <row r="44" spans="2:26" ht="11.25" customHeight="1">
      <c r="B44" s="422" t="s">
        <v>285</v>
      </c>
      <c r="C44" s="420"/>
      <c r="D44" s="420"/>
      <c r="E44" s="420"/>
      <c r="F44" s="423"/>
      <c r="G44" s="421"/>
      <c r="H44" s="420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398"/>
      <c r="X44" s="5"/>
      <c r="Z44" s="3"/>
    </row>
    <row r="45" spans="2:26" ht="12.75">
      <c r="B45" s="399" t="s">
        <v>279</v>
      </c>
      <c r="C45" s="398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771"/>
      <c r="T45" s="797"/>
      <c r="U45" s="873"/>
      <c r="V45" s="417"/>
      <c r="W45" s="398"/>
      <c r="X45" s="5"/>
      <c r="Z45" s="3"/>
    </row>
    <row r="46" spans="2:26" ht="12.75">
      <c r="B46" s="399" t="s">
        <v>280</v>
      </c>
      <c r="C46" s="398"/>
      <c r="D46" s="417"/>
      <c r="E46" s="417"/>
      <c r="F46" s="417"/>
      <c r="G46" s="417"/>
      <c r="H46" s="417"/>
      <c r="I46" s="417"/>
      <c r="J46" s="417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398"/>
      <c r="Z46" s="5"/>
    </row>
    <row r="47" ht="12.75">
      <c r="Y47" s="398"/>
    </row>
    <row r="48" ht="12.75">
      <c r="Y48" s="398"/>
    </row>
    <row r="49" spans="20:21" ht="11.25">
      <c r="T49" s="3"/>
      <c r="U49" s="3"/>
    </row>
    <row r="50" spans="20:21" ht="11.25">
      <c r="T50" s="3"/>
      <c r="U50" s="3"/>
    </row>
    <row r="51" spans="20:21" ht="11.25">
      <c r="T51" s="3"/>
      <c r="U51" s="3"/>
    </row>
    <row r="52" spans="20:35" ht="11.25">
      <c r="T52" s="3"/>
      <c r="U52" s="3"/>
      <c r="X52" s="328"/>
      <c r="Y52" s="328"/>
      <c r="Z52" s="937"/>
      <c r="AA52" s="328"/>
      <c r="AB52" s="328"/>
      <c r="AC52" s="328"/>
      <c r="AD52" s="328"/>
      <c r="AE52" s="328"/>
      <c r="AF52" s="328"/>
      <c r="AG52" s="328"/>
      <c r="AH52" s="328"/>
      <c r="AI52" s="328"/>
    </row>
    <row r="53" spans="3:21" ht="11.25"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T53" s="3"/>
      <c r="U53" s="3"/>
    </row>
    <row r="54" spans="20:21" ht="11.25">
      <c r="T54" s="3"/>
      <c r="U54" s="3"/>
    </row>
    <row r="55" spans="20:21" ht="11.25">
      <c r="T55" s="3"/>
      <c r="U55" s="3"/>
    </row>
    <row r="56" spans="20:21" ht="11.25">
      <c r="T56" s="3"/>
      <c r="U56" s="3"/>
    </row>
    <row r="57" spans="20:21" ht="11.25">
      <c r="T57" s="3"/>
      <c r="U57" s="3"/>
    </row>
    <row r="58" spans="20:21" ht="11.25">
      <c r="T58" s="3"/>
      <c r="U58" s="3"/>
    </row>
    <row r="59" spans="4:21" ht="12.75">
      <c r="D59" s="807"/>
      <c r="E59"/>
      <c r="F59"/>
      <c r="G59"/>
      <c r="H59"/>
      <c r="I59"/>
      <c r="J59"/>
      <c r="T59" s="3"/>
      <c r="U59" s="3"/>
    </row>
    <row r="60" spans="4:21" ht="12.75">
      <c r="D60" s="807"/>
      <c r="E60" s="807"/>
      <c r="F60" s="807"/>
      <c r="G60" s="807"/>
      <c r="H60" s="807"/>
      <c r="I60" s="807"/>
      <c r="J60" s="807"/>
      <c r="T60" s="3"/>
      <c r="U60" s="3"/>
    </row>
    <row r="61" spans="4:21" ht="12.75">
      <c r="D61" s="807"/>
      <c r="E61" s="807"/>
      <c r="F61" s="807"/>
      <c r="G61" s="807"/>
      <c r="H61" s="807"/>
      <c r="I61" s="807"/>
      <c r="J61" s="807"/>
      <c r="T61" s="3"/>
      <c r="U61" s="3"/>
    </row>
    <row r="62" spans="4:21" ht="12.75">
      <c r="D62" s="807"/>
      <c r="E62" s="807"/>
      <c r="F62" s="807"/>
      <c r="G62" s="807"/>
      <c r="H62" s="807"/>
      <c r="I62" s="807"/>
      <c r="J62" s="807"/>
      <c r="T62" s="3"/>
      <c r="U62" s="3"/>
    </row>
    <row r="63" spans="4:21" ht="12.75">
      <c r="D63" s="807"/>
      <c r="E63" s="807"/>
      <c r="F63" s="807"/>
      <c r="G63" s="807"/>
      <c r="H63" s="807"/>
      <c r="I63" s="807"/>
      <c r="J63" s="807"/>
      <c r="T63" s="3"/>
      <c r="U63" s="3"/>
    </row>
    <row r="64" spans="4:21" ht="12.75">
      <c r="D64" s="807"/>
      <c r="E64" s="807"/>
      <c r="F64" s="807"/>
      <c r="G64" s="807"/>
      <c r="H64" s="807"/>
      <c r="I64" s="807"/>
      <c r="J64" s="807"/>
      <c r="T64" s="3"/>
      <c r="U64" s="3"/>
    </row>
    <row r="65" spans="4:21" ht="12.75">
      <c r="D65" s="807"/>
      <c r="E65" s="807"/>
      <c r="F65" s="807"/>
      <c r="G65" s="807"/>
      <c r="H65" s="807"/>
      <c r="I65" s="807"/>
      <c r="J65" s="807"/>
      <c r="T65" s="3"/>
      <c r="U65" s="3"/>
    </row>
    <row r="66" spans="4:21" ht="12.75">
      <c r="D66" s="807"/>
      <c r="E66" s="807"/>
      <c r="F66" s="807"/>
      <c r="G66" s="807"/>
      <c r="H66" s="807"/>
      <c r="I66" s="807"/>
      <c r="J66" s="807"/>
      <c r="T66" s="3"/>
      <c r="U66" s="3"/>
    </row>
    <row r="67" spans="4:21" ht="12.75">
      <c r="D67" s="807"/>
      <c r="E67" s="807"/>
      <c r="F67" s="807"/>
      <c r="G67" s="807"/>
      <c r="H67" s="807"/>
      <c r="I67" s="807"/>
      <c r="J67" s="807"/>
      <c r="T67" s="3"/>
      <c r="U67" s="3"/>
    </row>
    <row r="68" spans="4:21" ht="12.75">
      <c r="D68" s="807"/>
      <c r="E68" s="807"/>
      <c r="F68" s="807"/>
      <c r="G68" s="807"/>
      <c r="H68" s="807"/>
      <c r="I68" s="807"/>
      <c r="J68" s="807"/>
      <c r="T68" s="3"/>
      <c r="U68" s="3"/>
    </row>
    <row r="69" spans="4:21" ht="12.75">
      <c r="D69" s="807"/>
      <c r="E69" s="807"/>
      <c r="F69" s="807"/>
      <c r="G69" s="807"/>
      <c r="H69" s="807"/>
      <c r="I69" s="807"/>
      <c r="J69" s="807"/>
      <c r="T69" s="3"/>
      <c r="U69" s="3"/>
    </row>
    <row r="70" spans="4:21" ht="12.75">
      <c r="D70" s="807"/>
      <c r="E70" s="807"/>
      <c r="F70" s="807"/>
      <c r="G70" s="807"/>
      <c r="H70" s="807"/>
      <c r="I70" s="807"/>
      <c r="J70" s="807"/>
      <c r="T70" s="3"/>
      <c r="U70" s="3"/>
    </row>
    <row r="71" spans="4:21" ht="12.75">
      <c r="D71" s="807"/>
      <c r="E71" s="807"/>
      <c r="F71" s="807"/>
      <c r="G71" s="807"/>
      <c r="H71" s="807"/>
      <c r="I71" s="807"/>
      <c r="J71" s="807"/>
      <c r="T71" s="3"/>
      <c r="U71" s="3"/>
    </row>
    <row r="72" spans="4:21" ht="12.75">
      <c r="D72" s="807"/>
      <c r="E72" s="807"/>
      <c r="F72" s="807"/>
      <c r="G72" s="807"/>
      <c r="H72" s="807"/>
      <c r="I72" s="807"/>
      <c r="J72" s="807"/>
      <c r="T72" s="3"/>
      <c r="U72" s="3"/>
    </row>
    <row r="73" spans="4:21" ht="12.75">
      <c r="D73" s="807"/>
      <c r="E73" s="807"/>
      <c r="F73" s="807"/>
      <c r="G73" s="807"/>
      <c r="H73" s="807"/>
      <c r="I73" s="807"/>
      <c r="J73" s="807"/>
      <c r="T73" s="3"/>
      <c r="U73" s="3"/>
    </row>
    <row r="74" spans="4:21" ht="12.75">
      <c r="D74" s="807"/>
      <c r="E74"/>
      <c r="F74"/>
      <c r="G74"/>
      <c r="H74"/>
      <c r="I74"/>
      <c r="J74"/>
      <c r="T74" s="3"/>
      <c r="U74" s="3"/>
    </row>
    <row r="75" spans="20:21" ht="11.25">
      <c r="T75" s="3"/>
      <c r="U75" s="3"/>
    </row>
    <row r="76" spans="20:21" ht="11.25">
      <c r="T76" s="3"/>
      <c r="U76" s="3"/>
    </row>
    <row r="77" spans="20:21" ht="11.25">
      <c r="T77" s="3"/>
      <c r="U77" s="3"/>
    </row>
    <row r="78" spans="20:21" ht="11.25">
      <c r="T78" s="3"/>
      <c r="U78" s="3"/>
    </row>
    <row r="79" spans="5:21" ht="11.25">
      <c r="E79" s="399"/>
      <c r="T79" s="3"/>
      <c r="U79" s="3"/>
    </row>
    <row r="80" spans="20:21" ht="11.25">
      <c r="T80" s="3"/>
      <c r="U80" s="3"/>
    </row>
    <row r="81" spans="20:21" ht="11.25">
      <c r="T81" s="3"/>
      <c r="U81" s="3"/>
    </row>
  </sheetData>
  <sheetProtection/>
  <mergeCells count="3">
    <mergeCell ref="B42:X42"/>
    <mergeCell ref="B2:X2"/>
    <mergeCell ref="B3:X3"/>
  </mergeCells>
  <printOptions horizontalCentered="1"/>
  <pageMargins left="0.6692913385826772" right="0.28" top="0.5118110236220472" bottom="0.2755905511811024" header="0" footer="0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AB47"/>
  <sheetViews>
    <sheetView zoomScalePageLayoutView="0" workbookViewId="0" topLeftCell="H1">
      <selection activeCell="AB7" sqref="AB7"/>
    </sheetView>
  </sheetViews>
  <sheetFormatPr defaultColWidth="9.140625" defaultRowHeight="12.75"/>
  <cols>
    <col min="1" max="1" width="3.7109375" style="3" customWidth="1"/>
    <col min="2" max="2" width="4.00390625" style="3" customWidth="1"/>
    <col min="3" max="4" width="7.7109375" style="3" customWidth="1"/>
    <col min="5" max="5" width="7.7109375" style="2" customWidth="1"/>
    <col min="6" max="10" width="7.7109375" style="3" customWidth="1"/>
    <col min="11" max="19" width="8.28125" style="3" customWidth="1"/>
    <col min="20" max="20" width="8.28125" style="725" customWidth="1"/>
    <col min="21" max="23" width="8.28125" style="766" customWidth="1"/>
    <col min="24" max="24" width="6.140625" style="3" customWidth="1"/>
    <col min="25" max="25" width="4.28125" style="725" customWidth="1"/>
    <col min="26" max="26" width="6.8515625" style="8" customWidth="1"/>
    <col min="27" max="16384" width="9.140625" style="3" customWidth="1"/>
  </cols>
  <sheetData>
    <row r="1" spans="1:26" s="14" customFormat="1" ht="14.25" customHeight="1">
      <c r="A1" s="33"/>
      <c r="B1" s="31"/>
      <c r="C1" s="24"/>
      <c r="D1" s="24"/>
      <c r="E1" s="132"/>
      <c r="F1" s="24"/>
      <c r="K1" s="32"/>
      <c r="L1" s="32"/>
      <c r="M1" s="32"/>
      <c r="N1" s="32"/>
      <c r="O1" s="32"/>
      <c r="P1" s="32"/>
      <c r="Q1" s="32"/>
      <c r="R1" s="407"/>
      <c r="S1" s="407"/>
      <c r="T1" s="407"/>
      <c r="U1" s="407"/>
      <c r="V1" s="407"/>
      <c r="W1" s="407"/>
      <c r="X1" s="32" t="s">
        <v>164</v>
      </c>
      <c r="Y1" s="407"/>
      <c r="Z1" s="8"/>
    </row>
    <row r="2" spans="1:26" s="56" customFormat="1" ht="30" customHeight="1">
      <c r="A2" s="84"/>
      <c r="B2" s="1026" t="s">
        <v>17</v>
      </c>
      <c r="C2" s="1026"/>
      <c r="D2" s="1026"/>
      <c r="E2" s="1026"/>
      <c r="F2" s="1026"/>
      <c r="G2" s="1026"/>
      <c r="H2" s="1026"/>
      <c r="I2" s="1026"/>
      <c r="J2" s="1026"/>
      <c r="K2" s="1026"/>
      <c r="L2" s="1026"/>
      <c r="M2" s="1026"/>
      <c r="N2" s="1026"/>
      <c r="O2" s="1026"/>
      <c r="P2" s="1026"/>
      <c r="Q2" s="1026"/>
      <c r="R2" s="1026"/>
      <c r="S2" s="1026"/>
      <c r="T2" s="1026"/>
      <c r="U2" s="1026"/>
      <c r="V2" s="1026"/>
      <c r="W2" s="1026"/>
      <c r="X2" s="1026"/>
      <c r="Y2" s="744"/>
      <c r="Z2" s="412"/>
    </row>
    <row r="3" spans="1:26" s="14" customFormat="1" ht="18" customHeight="1">
      <c r="A3" s="33"/>
      <c r="B3" s="1010" t="s">
        <v>172</v>
      </c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1010"/>
      <c r="P3" s="1010"/>
      <c r="Q3" s="1010"/>
      <c r="R3" s="1010"/>
      <c r="S3" s="1010"/>
      <c r="T3" s="1010"/>
      <c r="U3" s="1010"/>
      <c r="V3" s="1010"/>
      <c r="W3" s="1010"/>
      <c r="X3" s="1010"/>
      <c r="Y3" s="743"/>
      <c r="Z3" s="8"/>
    </row>
    <row r="4" spans="1:26" ht="24.75" customHeight="1">
      <c r="A4" s="2"/>
      <c r="B4" s="99"/>
      <c r="C4" s="53">
        <v>1970</v>
      </c>
      <c r="D4" s="54">
        <v>1980</v>
      </c>
      <c r="E4" s="54">
        <v>1990</v>
      </c>
      <c r="F4" s="54">
        <v>2000</v>
      </c>
      <c r="G4" s="54">
        <v>2001</v>
      </c>
      <c r="H4" s="54">
        <v>2002</v>
      </c>
      <c r="I4" s="54">
        <v>2003</v>
      </c>
      <c r="J4" s="54">
        <v>2004</v>
      </c>
      <c r="K4" s="54">
        <v>2005</v>
      </c>
      <c r="L4" s="54">
        <v>2006</v>
      </c>
      <c r="M4" s="54">
        <v>2007</v>
      </c>
      <c r="N4" s="54">
        <v>2008</v>
      </c>
      <c r="O4" s="54">
        <v>2009</v>
      </c>
      <c r="P4" s="318">
        <v>2010</v>
      </c>
      <c r="Q4" s="419">
        <v>2011</v>
      </c>
      <c r="R4" s="54">
        <v>2012</v>
      </c>
      <c r="S4" s="54">
        <v>2013</v>
      </c>
      <c r="T4" s="54">
        <v>2014</v>
      </c>
      <c r="U4" s="776">
        <v>2015</v>
      </c>
      <c r="V4" s="776">
        <v>2016</v>
      </c>
      <c r="W4" s="410">
        <v>2017</v>
      </c>
      <c r="X4" s="6"/>
      <c r="Y4" s="400"/>
      <c r="Z4" s="424" t="s">
        <v>307</v>
      </c>
    </row>
    <row r="5" spans="1:26" ht="12.75" customHeight="1">
      <c r="A5" s="2"/>
      <c r="B5" s="409" t="s">
        <v>253</v>
      </c>
      <c r="C5" s="555"/>
      <c r="D5" s="523"/>
      <c r="E5" s="522"/>
      <c r="F5" s="522">
        <f>SUM(F6:F33)</f>
        <v>110860.95916224082</v>
      </c>
      <c r="G5" s="522">
        <f>SUM(G6:G33)</f>
        <v>110406</v>
      </c>
      <c r="H5" s="522">
        <f>SUM(H6:H33)</f>
        <v>115536</v>
      </c>
      <c r="I5" s="522">
        <f>SUM(I6:I33)</f>
        <v>108950.5</v>
      </c>
      <c r="J5" s="522">
        <f aca="true" t="shared" si="0" ref="J5:R5">SUM(J6:J33)</f>
        <v>103047</v>
      </c>
      <c r="K5" s="522">
        <f t="shared" si="0"/>
        <v>101768</v>
      </c>
      <c r="L5" s="522">
        <f t="shared" si="0"/>
        <v>99254</v>
      </c>
      <c r="M5" s="638">
        <f t="shared" si="0"/>
        <v>98705</v>
      </c>
      <c r="N5" s="522">
        <f t="shared" si="0"/>
        <v>102105</v>
      </c>
      <c r="O5" s="522">
        <f t="shared" si="0"/>
        <v>104915</v>
      </c>
      <c r="P5" s="522">
        <f t="shared" si="0"/>
        <v>104906</v>
      </c>
      <c r="Q5" s="522">
        <f t="shared" si="0"/>
        <v>100571</v>
      </c>
      <c r="R5" s="609">
        <f t="shared" si="0"/>
        <v>100020</v>
      </c>
      <c r="S5" s="609">
        <f>SUM(S6:S33)</f>
        <v>99177</v>
      </c>
      <c r="T5" s="609">
        <f>SUM(T6:T33)</f>
        <v>102425</v>
      </c>
      <c r="U5" s="609">
        <f>SUM(U6:U33)</f>
        <v>99328</v>
      </c>
      <c r="V5" s="609">
        <f>SUM(V6:V33)</f>
        <v>101205</v>
      </c>
      <c r="W5" s="935">
        <f>SUM(W6:W33)</f>
        <v>99548</v>
      </c>
      <c r="X5" s="64" t="s">
        <v>253</v>
      </c>
      <c r="Y5" s="14"/>
      <c r="Z5" s="958">
        <f>W5/V5-1</f>
        <v>-0.016372708858258034</v>
      </c>
    </row>
    <row r="6" spans="1:26" ht="12.75" customHeight="1">
      <c r="A6" s="8"/>
      <c r="B6" s="9" t="s">
        <v>62</v>
      </c>
      <c r="C6" s="639">
        <v>3415</v>
      </c>
      <c r="D6" s="640">
        <v>3609</v>
      </c>
      <c r="E6" s="640">
        <v>3286</v>
      </c>
      <c r="F6" s="640">
        <v>3494</v>
      </c>
      <c r="G6" s="640">
        <v>3462</v>
      </c>
      <c r="H6" s="640">
        <v>3413</v>
      </c>
      <c r="I6" s="640">
        <v>3358</v>
      </c>
      <c r="J6" s="640">
        <v>3292</v>
      </c>
      <c r="K6" s="640">
        <v>3251</v>
      </c>
      <c r="L6" s="640">
        <v>3235</v>
      </c>
      <c r="M6" s="640">
        <v>3275</v>
      </c>
      <c r="N6" s="640">
        <v>3201</v>
      </c>
      <c r="O6" s="640">
        <v>3412</v>
      </c>
      <c r="P6" s="640">
        <v>3412</v>
      </c>
      <c r="Q6" s="640">
        <v>3290</v>
      </c>
      <c r="R6" s="641">
        <v>3290</v>
      </c>
      <c r="S6" s="663">
        <v>2345</v>
      </c>
      <c r="T6" s="641">
        <f>2345</f>
        <v>2345</v>
      </c>
      <c r="U6" s="641">
        <v>2345</v>
      </c>
      <c r="V6" s="663">
        <v>3879</v>
      </c>
      <c r="W6" s="663">
        <v>3838</v>
      </c>
      <c r="X6" s="66" t="s">
        <v>62</v>
      </c>
      <c r="Y6" s="14"/>
      <c r="Z6" s="951">
        <f aca="true" t="shared" si="1" ref="Z6:Z41">W6/V6-1</f>
        <v>-0.010569734467646308</v>
      </c>
    </row>
    <row r="7" spans="1:26" ht="12.75" customHeight="1">
      <c r="A7" s="8"/>
      <c r="B7" s="51" t="s">
        <v>45</v>
      </c>
      <c r="C7" s="611">
        <v>1762</v>
      </c>
      <c r="D7" s="612">
        <v>2441</v>
      </c>
      <c r="E7" s="612">
        <v>2386</v>
      </c>
      <c r="F7" s="612">
        <v>2099</v>
      </c>
      <c r="G7" s="612">
        <v>1935</v>
      </c>
      <c r="H7" s="612">
        <v>1655</v>
      </c>
      <c r="I7" s="612">
        <v>1705</v>
      </c>
      <c r="J7" s="612">
        <f>1680+69</f>
        <v>1749</v>
      </c>
      <c r="K7" s="612">
        <f>1489+69</f>
        <v>1558</v>
      </c>
      <c r="L7" s="612">
        <f>1462+69</f>
        <v>1531</v>
      </c>
      <c r="M7" s="612">
        <f>1483+67</f>
        <v>1550</v>
      </c>
      <c r="N7" s="612">
        <v>1599</v>
      </c>
      <c r="O7" s="612">
        <f>1535+67</f>
        <v>1602</v>
      </c>
      <c r="P7" s="612">
        <v>1369</v>
      </c>
      <c r="Q7" s="612">
        <f>741+1036</f>
        <v>1777</v>
      </c>
      <c r="R7" s="612">
        <f>1036+741</f>
        <v>1777</v>
      </c>
      <c r="S7" s="752">
        <v>744</v>
      </c>
      <c r="T7" s="612">
        <f>729+30</f>
        <v>759</v>
      </c>
      <c r="U7" s="612">
        <v>756</v>
      </c>
      <c r="V7" s="612">
        <v>756</v>
      </c>
      <c r="W7" s="631">
        <v>756</v>
      </c>
      <c r="X7" s="65" t="s">
        <v>45</v>
      </c>
      <c r="Y7" s="14"/>
      <c r="Z7" s="952">
        <f t="shared" si="1"/>
        <v>0</v>
      </c>
    </row>
    <row r="8" spans="1:26" ht="12.75" customHeight="1">
      <c r="A8" s="8"/>
      <c r="B8" s="10" t="s">
        <v>47</v>
      </c>
      <c r="C8" s="613"/>
      <c r="D8" s="614"/>
      <c r="E8" s="614"/>
      <c r="F8" s="564">
        <v>5252</v>
      </c>
      <c r="G8" s="564">
        <v>5223</v>
      </c>
      <c r="H8" s="564">
        <v>5103</v>
      </c>
      <c r="I8" s="564">
        <v>5085</v>
      </c>
      <c r="J8" s="564">
        <v>4985</v>
      </c>
      <c r="K8" s="564">
        <f>4887+8</f>
        <v>4895</v>
      </c>
      <c r="L8" s="564">
        <f>4759+8</f>
        <v>4767</v>
      </c>
      <c r="M8" s="564">
        <f>4558+8</f>
        <v>4566</v>
      </c>
      <c r="N8" s="564">
        <v>4561</v>
      </c>
      <c r="O8" s="564">
        <f>4545+8</f>
        <v>4553</v>
      </c>
      <c r="P8" s="564">
        <v>4514</v>
      </c>
      <c r="Q8" s="564">
        <v>4463</v>
      </c>
      <c r="R8" s="564">
        <v>4419</v>
      </c>
      <c r="S8" s="564">
        <v>4312</v>
      </c>
      <c r="T8" s="564">
        <v>4363</v>
      </c>
      <c r="U8" s="564">
        <v>4139</v>
      </c>
      <c r="V8" s="564">
        <v>3988</v>
      </c>
      <c r="W8" s="632">
        <v>3910</v>
      </c>
      <c r="X8" s="67" t="s">
        <v>47</v>
      </c>
      <c r="Y8" s="14"/>
      <c r="Z8" s="951">
        <f t="shared" si="1"/>
        <v>-0.019558676028084254</v>
      </c>
    </row>
    <row r="9" spans="1:26" ht="12.75" customHeight="1">
      <c r="A9" s="8"/>
      <c r="B9" s="51" t="s">
        <v>58</v>
      </c>
      <c r="C9" s="611">
        <v>1526</v>
      </c>
      <c r="D9" s="612">
        <v>1613</v>
      </c>
      <c r="E9" s="612">
        <v>1594</v>
      </c>
      <c r="F9" s="612">
        <v>1590</v>
      </c>
      <c r="G9" s="612">
        <v>1573</v>
      </c>
      <c r="H9" s="612">
        <v>1704</v>
      </c>
      <c r="I9" s="612">
        <v>1538</v>
      </c>
      <c r="J9" s="612">
        <v>1525</v>
      </c>
      <c r="K9" s="612">
        <v>1473</v>
      </c>
      <c r="L9" s="612">
        <v>1473</v>
      </c>
      <c r="M9" s="612">
        <v>1473</v>
      </c>
      <c r="N9" s="612">
        <v>1523</v>
      </c>
      <c r="O9" s="612">
        <v>1737</v>
      </c>
      <c r="P9" s="612">
        <v>1307</v>
      </c>
      <c r="Q9" s="612">
        <v>767</v>
      </c>
      <c r="R9" s="612">
        <v>1002</v>
      </c>
      <c r="S9" s="612">
        <v>1983</v>
      </c>
      <c r="T9" s="612">
        <v>2029</v>
      </c>
      <c r="U9" s="612">
        <v>2209</v>
      </c>
      <c r="V9" s="612">
        <f>113+1984</f>
        <v>2097</v>
      </c>
      <c r="W9" s="631">
        <v>2041</v>
      </c>
      <c r="X9" s="65" t="s">
        <v>58</v>
      </c>
      <c r="Y9" s="14"/>
      <c r="Z9" s="952">
        <f t="shared" si="1"/>
        <v>-0.026704816404387266</v>
      </c>
    </row>
    <row r="10" spans="1:26" ht="12.75" customHeight="1">
      <c r="A10" s="8"/>
      <c r="B10" s="10" t="s">
        <v>63</v>
      </c>
      <c r="C10" s="616">
        <v>31506</v>
      </c>
      <c r="D10" s="564">
        <v>29118</v>
      </c>
      <c r="E10" s="564">
        <v>24139</v>
      </c>
      <c r="F10" s="564">
        <v>21097</v>
      </c>
      <c r="G10" s="564">
        <v>21139</v>
      </c>
      <c r="H10" s="564">
        <v>21728</v>
      </c>
      <c r="I10" s="564">
        <f>20916+76</f>
        <v>20992</v>
      </c>
      <c r="J10" s="564">
        <v>20396</v>
      </c>
      <c r="K10" s="564">
        <v>20169</v>
      </c>
      <c r="L10" s="564">
        <v>18174</v>
      </c>
      <c r="M10" s="564">
        <v>17537</v>
      </c>
      <c r="N10" s="564">
        <v>18671</v>
      </c>
      <c r="O10" s="564">
        <v>18607</v>
      </c>
      <c r="P10" s="564">
        <v>18565</v>
      </c>
      <c r="Q10" s="564">
        <v>17849</v>
      </c>
      <c r="R10" s="564">
        <v>17743</v>
      </c>
      <c r="S10" s="564">
        <v>18290</v>
      </c>
      <c r="T10" s="564">
        <v>21217</v>
      </c>
      <c r="U10" s="564">
        <f>12341+6649</f>
        <v>18990</v>
      </c>
      <c r="V10" s="564">
        <f>6291+12743</f>
        <v>19034</v>
      </c>
      <c r="W10" s="632">
        <v>17753</v>
      </c>
      <c r="X10" s="67" t="s">
        <v>63</v>
      </c>
      <c r="Y10" s="14"/>
      <c r="Z10" s="951">
        <f t="shared" si="1"/>
        <v>-0.06730061994325942</v>
      </c>
    </row>
    <row r="11" spans="1:26" ht="12.75" customHeight="1">
      <c r="A11" s="8"/>
      <c r="B11" s="51" t="s">
        <v>48</v>
      </c>
      <c r="C11" s="611"/>
      <c r="D11" s="612"/>
      <c r="E11" s="618">
        <v>596</v>
      </c>
      <c r="F11" s="612">
        <v>241</v>
      </c>
      <c r="G11" s="612">
        <v>308</v>
      </c>
      <c r="H11" s="612">
        <v>203</v>
      </c>
      <c r="I11" s="612">
        <v>251</v>
      </c>
      <c r="J11" s="612">
        <v>192</v>
      </c>
      <c r="K11" s="612">
        <v>234</v>
      </c>
      <c r="L11" s="612">
        <v>234</v>
      </c>
      <c r="M11" s="612">
        <v>186</v>
      </c>
      <c r="N11" s="612">
        <v>186</v>
      </c>
      <c r="O11" s="612">
        <v>215</v>
      </c>
      <c r="P11" s="612">
        <v>217</v>
      </c>
      <c r="Q11" s="612">
        <v>217</v>
      </c>
      <c r="R11" s="612">
        <v>253</v>
      </c>
      <c r="S11" s="612">
        <v>267</v>
      </c>
      <c r="T11" s="612">
        <v>280</v>
      </c>
      <c r="U11" s="612">
        <v>280</v>
      </c>
      <c r="V11" s="612">
        <v>280</v>
      </c>
      <c r="W11" s="631">
        <v>229</v>
      </c>
      <c r="X11" s="65" t="s">
        <v>48</v>
      </c>
      <c r="Y11" s="14"/>
      <c r="Z11" s="952">
        <f t="shared" si="1"/>
        <v>-0.18214285714285716</v>
      </c>
    </row>
    <row r="12" spans="1:26" ht="12.75" customHeight="1">
      <c r="A12" s="8"/>
      <c r="B12" s="10" t="s">
        <v>66</v>
      </c>
      <c r="C12" s="563">
        <v>484</v>
      </c>
      <c r="D12" s="564">
        <v>348</v>
      </c>
      <c r="E12" s="564">
        <v>314</v>
      </c>
      <c r="F12" s="564">
        <v>421</v>
      </c>
      <c r="G12" s="564">
        <v>418</v>
      </c>
      <c r="H12" s="564">
        <v>419</v>
      </c>
      <c r="I12" s="564">
        <v>405</v>
      </c>
      <c r="J12" s="564">
        <v>554</v>
      </c>
      <c r="K12" s="564">
        <v>581</v>
      </c>
      <c r="L12" s="564">
        <v>581</v>
      </c>
      <c r="M12" s="564">
        <v>581</v>
      </c>
      <c r="N12" s="564">
        <v>649</v>
      </c>
      <c r="O12" s="564">
        <v>592</v>
      </c>
      <c r="P12" s="610">
        <v>592</v>
      </c>
      <c r="Q12" s="610">
        <f>P12</f>
        <v>592</v>
      </c>
      <c r="R12" s="615">
        <v>426</v>
      </c>
      <c r="S12" s="564">
        <v>426</v>
      </c>
      <c r="T12" s="564">
        <v>426</v>
      </c>
      <c r="U12" s="564">
        <v>426</v>
      </c>
      <c r="V12" s="564">
        <v>426</v>
      </c>
      <c r="W12" s="632">
        <v>426</v>
      </c>
      <c r="X12" s="67" t="s">
        <v>66</v>
      </c>
      <c r="Y12" s="14"/>
      <c r="Z12" s="951">
        <f t="shared" si="1"/>
        <v>0</v>
      </c>
    </row>
    <row r="13" spans="1:26" ht="12.75" customHeight="1">
      <c r="A13" s="8"/>
      <c r="B13" s="51" t="s">
        <v>59</v>
      </c>
      <c r="C13" s="611">
        <v>574</v>
      </c>
      <c r="D13" s="612">
        <v>660</v>
      </c>
      <c r="E13" s="612">
        <v>810</v>
      </c>
      <c r="F13" s="612">
        <v>505</v>
      </c>
      <c r="G13" s="612">
        <v>509</v>
      </c>
      <c r="H13" s="612">
        <v>660</v>
      </c>
      <c r="I13" s="612">
        <v>457</v>
      </c>
      <c r="J13" s="612">
        <f>376+138</f>
        <v>514</v>
      </c>
      <c r="K13" s="612">
        <f>427+137</f>
        <v>564</v>
      </c>
      <c r="L13" s="612">
        <f>509+82</f>
        <v>591</v>
      </c>
      <c r="M13" s="612">
        <f>674+107</f>
        <v>781</v>
      </c>
      <c r="N13" s="612">
        <v>793</v>
      </c>
      <c r="O13" s="612">
        <v>793</v>
      </c>
      <c r="P13" s="612">
        <v>718</v>
      </c>
      <c r="Q13" s="612">
        <v>718</v>
      </c>
      <c r="R13" s="612">
        <v>718</v>
      </c>
      <c r="S13" s="612">
        <v>724</v>
      </c>
      <c r="T13" s="612">
        <v>707</v>
      </c>
      <c r="U13" s="612">
        <v>707</v>
      </c>
      <c r="V13" s="612">
        <v>707</v>
      </c>
      <c r="W13" s="631">
        <v>707</v>
      </c>
      <c r="X13" s="65" t="s">
        <v>59</v>
      </c>
      <c r="Y13" s="14"/>
      <c r="Z13" s="952">
        <f t="shared" si="1"/>
        <v>0</v>
      </c>
    </row>
    <row r="14" spans="1:26" ht="12.75" customHeight="1">
      <c r="A14" s="8"/>
      <c r="B14" s="10" t="s">
        <v>64</v>
      </c>
      <c r="C14" s="563">
        <v>3904</v>
      </c>
      <c r="D14" s="564">
        <v>3721</v>
      </c>
      <c r="E14" s="564">
        <v>3839</v>
      </c>
      <c r="F14" s="564">
        <v>3765</v>
      </c>
      <c r="G14" s="564">
        <v>4262</v>
      </c>
      <c r="H14" s="564">
        <v>4345</v>
      </c>
      <c r="I14" s="564">
        <f>157+236+151+87+3623+144+10</f>
        <v>4408</v>
      </c>
      <c r="J14" s="564">
        <f>157+238+148+87+3645+188+10</f>
        <v>4473</v>
      </c>
      <c r="K14" s="564">
        <f>157+248+148+108+4192+376+10</f>
        <v>5239</v>
      </c>
      <c r="L14" s="564">
        <f>157+268+148+126+3949+376</f>
        <v>5024</v>
      </c>
      <c r="M14" s="564">
        <f>274+148+126+3858+454</f>
        <v>4860</v>
      </c>
      <c r="N14" s="564">
        <v>5075</v>
      </c>
      <c r="O14" s="564">
        <f>228+257+148+126+4054+440</f>
        <v>5253</v>
      </c>
      <c r="P14" s="564">
        <v>5665</v>
      </c>
      <c r="Q14" s="564">
        <v>5061</v>
      </c>
      <c r="R14" s="564">
        <f>266+279+274+4125</f>
        <v>4944</v>
      </c>
      <c r="S14" s="564">
        <f>279+266+290+4390</f>
        <v>5225</v>
      </c>
      <c r="T14" s="564">
        <f>326+4818+274</f>
        <v>5418</v>
      </c>
      <c r="U14" s="564">
        <f>3436+589+311</f>
        <v>4336</v>
      </c>
      <c r="V14" s="610">
        <v>4280</v>
      </c>
      <c r="W14" s="630">
        <v>4266</v>
      </c>
      <c r="X14" s="67" t="s">
        <v>64</v>
      </c>
      <c r="Y14" s="14"/>
      <c r="Z14" s="951">
        <f t="shared" si="1"/>
        <v>-0.003271028037383217</v>
      </c>
    </row>
    <row r="15" spans="1:26" ht="12.75" customHeight="1">
      <c r="A15" s="8"/>
      <c r="B15" s="51" t="s">
        <v>65</v>
      </c>
      <c r="C15" s="611">
        <v>15663</v>
      </c>
      <c r="D15" s="612">
        <v>16032</v>
      </c>
      <c r="E15" s="612">
        <v>15748</v>
      </c>
      <c r="F15" s="612">
        <v>15656</v>
      </c>
      <c r="G15" s="612">
        <v>15650</v>
      </c>
      <c r="H15" s="612">
        <v>15685</v>
      </c>
      <c r="I15" s="612">
        <v>15553</v>
      </c>
      <c r="J15" s="612">
        <v>15630</v>
      </c>
      <c r="K15" s="612">
        <f>15830+49</f>
        <v>15879</v>
      </c>
      <c r="L15" s="612">
        <f>15943+52</f>
        <v>15995</v>
      </c>
      <c r="M15" s="612">
        <f>15808+55</f>
        <v>15863</v>
      </c>
      <c r="N15" s="612">
        <v>16255</v>
      </c>
      <c r="O15" s="612">
        <f>16460+64</f>
        <v>16524</v>
      </c>
      <c r="P15" s="612">
        <v>16890</v>
      </c>
      <c r="Q15" s="612">
        <v>16842</v>
      </c>
      <c r="R15" s="612">
        <v>16626</v>
      </c>
      <c r="S15" s="612">
        <v>17130</v>
      </c>
      <c r="T15" s="612">
        <v>17556</v>
      </c>
      <c r="U15" s="612">
        <v>17335</v>
      </c>
      <c r="V15" s="612">
        <v>18009</v>
      </c>
      <c r="W15" s="631">
        <v>18118</v>
      </c>
      <c r="X15" s="65" t="s">
        <v>65</v>
      </c>
      <c r="Y15" s="14"/>
      <c r="Z15" s="952">
        <f t="shared" si="1"/>
        <v>0.006052529290910158</v>
      </c>
    </row>
    <row r="16" spans="1:26" ht="12.75" customHeight="1">
      <c r="A16" s="8"/>
      <c r="B16" s="402" t="s">
        <v>76</v>
      </c>
      <c r="C16" s="563"/>
      <c r="D16" s="564"/>
      <c r="E16" s="564">
        <v>1052</v>
      </c>
      <c r="F16" s="564">
        <v>720</v>
      </c>
      <c r="G16" s="564">
        <v>698</v>
      </c>
      <c r="H16" s="564">
        <v>681</v>
      </c>
      <c r="I16" s="564">
        <v>640</v>
      </c>
      <c r="J16" s="564">
        <v>617</v>
      </c>
      <c r="K16" s="564">
        <v>579</v>
      </c>
      <c r="L16" s="564">
        <v>571</v>
      </c>
      <c r="M16" s="564">
        <v>552</v>
      </c>
      <c r="N16" s="564">
        <v>553</v>
      </c>
      <c r="O16" s="564">
        <v>523</v>
      </c>
      <c r="P16" s="564">
        <v>523</v>
      </c>
      <c r="Q16" s="564">
        <v>519</v>
      </c>
      <c r="R16" s="610">
        <v>519</v>
      </c>
      <c r="S16" s="564">
        <v>541</v>
      </c>
      <c r="T16" s="564">
        <v>529</v>
      </c>
      <c r="U16" s="564">
        <v>545</v>
      </c>
      <c r="V16" s="564">
        <f>325+218</f>
        <v>543</v>
      </c>
      <c r="W16" s="632">
        <v>513</v>
      </c>
      <c r="X16" s="67" t="s">
        <v>76</v>
      </c>
      <c r="Y16" s="14"/>
      <c r="Z16" s="951">
        <f t="shared" si="1"/>
        <v>-0.05524861878453036</v>
      </c>
    </row>
    <row r="17" spans="1:26" ht="12.75" customHeight="1">
      <c r="A17" s="8"/>
      <c r="B17" s="156" t="s">
        <v>67</v>
      </c>
      <c r="C17" s="565">
        <v>11060</v>
      </c>
      <c r="D17" s="566">
        <v>13444</v>
      </c>
      <c r="E17" s="566">
        <v>14025</v>
      </c>
      <c r="F17" s="566">
        <v>11914</v>
      </c>
      <c r="G17" s="566">
        <v>11933</v>
      </c>
      <c r="H17" s="566">
        <v>11007</v>
      </c>
      <c r="I17" s="566">
        <f>10374+439</f>
        <v>10813</v>
      </c>
      <c r="J17" s="566">
        <f>10036+241</f>
        <v>10277</v>
      </c>
      <c r="K17" s="566">
        <f>241+9825</f>
        <v>10066</v>
      </c>
      <c r="L17" s="566">
        <f>425+9993</f>
        <v>10418</v>
      </c>
      <c r="M17" s="566">
        <f>425+9749</f>
        <v>10174</v>
      </c>
      <c r="N17" s="566">
        <v>9825</v>
      </c>
      <c r="O17" s="566">
        <f>543+11931</f>
        <v>12474</v>
      </c>
      <c r="P17" s="566">
        <v>12465</v>
      </c>
      <c r="Q17" s="566">
        <v>10743</v>
      </c>
      <c r="R17" s="566">
        <f>10035+6</f>
        <v>10041</v>
      </c>
      <c r="S17" s="566">
        <v>9510</v>
      </c>
      <c r="T17" s="566">
        <v>9022</v>
      </c>
      <c r="U17" s="566">
        <v>9762</v>
      </c>
      <c r="V17" s="566">
        <v>9443</v>
      </c>
      <c r="W17" s="635">
        <v>9050</v>
      </c>
      <c r="X17" s="359" t="s">
        <v>67</v>
      </c>
      <c r="Y17" s="956"/>
      <c r="Z17" s="954">
        <f t="shared" si="1"/>
        <v>-0.041618129831621276</v>
      </c>
    </row>
    <row r="18" spans="1:26" ht="12.75" customHeight="1">
      <c r="A18" s="8"/>
      <c r="B18" s="402" t="s">
        <v>46</v>
      </c>
      <c r="C18" s="613" t="s">
        <v>75</v>
      </c>
      <c r="D18" s="614" t="s">
        <v>75</v>
      </c>
      <c r="E18" s="614" t="s">
        <v>75</v>
      </c>
      <c r="F18" s="614" t="s">
        <v>75</v>
      </c>
      <c r="G18" s="614" t="s">
        <v>75</v>
      </c>
      <c r="H18" s="614" t="s">
        <v>75</v>
      </c>
      <c r="I18" s="614" t="s">
        <v>75</v>
      </c>
      <c r="J18" s="614" t="s">
        <v>75</v>
      </c>
      <c r="K18" s="614" t="s">
        <v>75</v>
      </c>
      <c r="L18" s="614" t="s">
        <v>75</v>
      </c>
      <c r="M18" s="614" t="s">
        <v>75</v>
      </c>
      <c r="N18" s="614" t="s">
        <v>75</v>
      </c>
      <c r="O18" s="614" t="s">
        <v>75</v>
      </c>
      <c r="P18" s="614" t="s">
        <v>75</v>
      </c>
      <c r="Q18" s="614" t="s">
        <v>75</v>
      </c>
      <c r="R18" s="614" t="s">
        <v>75</v>
      </c>
      <c r="S18" s="614" t="s">
        <v>75</v>
      </c>
      <c r="T18" s="614" t="s">
        <v>75</v>
      </c>
      <c r="U18" s="614" t="s">
        <v>75</v>
      </c>
      <c r="V18" s="614" t="s">
        <v>75</v>
      </c>
      <c r="W18" s="643" t="s">
        <v>75</v>
      </c>
      <c r="X18" s="67" t="s">
        <v>46</v>
      </c>
      <c r="Y18" s="956"/>
      <c r="Z18" s="938" t="s">
        <v>75</v>
      </c>
    </row>
    <row r="19" spans="1:26" ht="12.75" customHeight="1">
      <c r="A19" s="8"/>
      <c r="B19" s="156" t="s">
        <v>50</v>
      </c>
      <c r="C19" s="565"/>
      <c r="D19" s="566"/>
      <c r="E19" s="566">
        <v>1226</v>
      </c>
      <c r="F19" s="566">
        <v>702</v>
      </c>
      <c r="G19" s="566">
        <v>621</v>
      </c>
      <c r="H19" s="566">
        <v>597</v>
      </c>
      <c r="I19" s="566">
        <v>579</v>
      </c>
      <c r="J19" s="566">
        <v>535</v>
      </c>
      <c r="K19" s="566">
        <v>490</v>
      </c>
      <c r="L19" s="566">
        <v>490</v>
      </c>
      <c r="M19" s="566">
        <v>491</v>
      </c>
      <c r="N19" s="566">
        <v>451</v>
      </c>
      <c r="O19" s="566">
        <v>294</v>
      </c>
      <c r="P19" s="566">
        <v>238</v>
      </c>
      <c r="Q19" s="566">
        <v>238</v>
      </c>
      <c r="R19" s="566">
        <v>238</v>
      </c>
      <c r="S19" s="566">
        <v>238</v>
      </c>
      <c r="T19" s="566">
        <v>238</v>
      </c>
      <c r="U19" s="566">
        <v>374</v>
      </c>
      <c r="V19" s="566">
        <v>372</v>
      </c>
      <c r="W19" s="635">
        <v>370</v>
      </c>
      <c r="X19" s="359" t="s">
        <v>50</v>
      </c>
      <c r="Y19" s="956"/>
      <c r="Z19" s="954">
        <f t="shared" si="1"/>
        <v>-0.005376344086021501</v>
      </c>
    </row>
    <row r="20" spans="1:26" ht="12.75" customHeight="1">
      <c r="A20" s="8"/>
      <c r="B20" s="402" t="s">
        <v>51</v>
      </c>
      <c r="C20" s="563"/>
      <c r="D20" s="564"/>
      <c r="E20" s="610">
        <v>664</v>
      </c>
      <c r="F20" s="564">
        <v>563</v>
      </c>
      <c r="G20" s="564">
        <v>537</v>
      </c>
      <c r="H20" s="564">
        <v>509</v>
      </c>
      <c r="I20" s="564">
        <v>480</v>
      </c>
      <c r="J20" s="564">
        <v>475</v>
      </c>
      <c r="K20" s="564">
        <v>467</v>
      </c>
      <c r="L20" s="564">
        <v>458</v>
      </c>
      <c r="M20" s="564">
        <v>423</v>
      </c>
      <c r="N20" s="564">
        <v>363</v>
      </c>
      <c r="O20" s="564">
        <v>340</v>
      </c>
      <c r="P20" s="564">
        <v>337</v>
      </c>
      <c r="Q20" s="564">
        <v>268</v>
      </c>
      <c r="R20" s="564">
        <v>262</v>
      </c>
      <c r="S20" s="564">
        <v>264</v>
      </c>
      <c r="T20" s="564">
        <v>234</v>
      </c>
      <c r="U20" s="564">
        <v>217</v>
      </c>
      <c r="V20" s="564">
        <v>230</v>
      </c>
      <c r="W20" s="632">
        <v>214</v>
      </c>
      <c r="X20" s="67" t="s">
        <v>51</v>
      </c>
      <c r="Y20" s="956"/>
      <c r="Z20" s="955">
        <f t="shared" si="1"/>
        <v>-0.06956521739130439</v>
      </c>
    </row>
    <row r="21" spans="1:26" ht="12.75" customHeight="1">
      <c r="A21" s="8"/>
      <c r="B21" s="156" t="s">
        <v>68</v>
      </c>
      <c r="C21" s="565">
        <v>114</v>
      </c>
      <c r="D21" s="566">
        <v>102</v>
      </c>
      <c r="E21" s="566">
        <v>114</v>
      </c>
      <c r="F21" s="566">
        <v>149</v>
      </c>
      <c r="G21" s="566">
        <v>152</v>
      </c>
      <c r="H21" s="566">
        <v>150</v>
      </c>
      <c r="I21" s="566">
        <v>150</v>
      </c>
      <c r="J21" s="566">
        <v>212</v>
      </c>
      <c r="K21" s="566">
        <v>185</v>
      </c>
      <c r="L21" s="566">
        <v>191</v>
      </c>
      <c r="M21" s="566">
        <v>191</v>
      </c>
      <c r="N21" s="566">
        <v>187</v>
      </c>
      <c r="O21" s="566">
        <v>187</v>
      </c>
      <c r="P21" s="566">
        <v>214</v>
      </c>
      <c r="Q21" s="566">
        <v>210</v>
      </c>
      <c r="R21" s="566">
        <v>210</v>
      </c>
      <c r="S21" s="566">
        <v>210</v>
      </c>
      <c r="T21" s="566">
        <v>210</v>
      </c>
      <c r="U21" s="566">
        <v>242</v>
      </c>
      <c r="V21" s="566">
        <v>242</v>
      </c>
      <c r="W21" s="635">
        <v>259</v>
      </c>
      <c r="X21" s="359" t="s">
        <v>68</v>
      </c>
      <c r="Y21" s="956"/>
      <c r="Z21" s="954">
        <f t="shared" si="1"/>
        <v>0.07024793388429762</v>
      </c>
    </row>
    <row r="22" spans="1:26" ht="12.75" customHeight="1">
      <c r="A22" s="8"/>
      <c r="B22" s="402" t="s">
        <v>49</v>
      </c>
      <c r="C22" s="563"/>
      <c r="D22" s="564"/>
      <c r="E22" s="564">
        <v>4385</v>
      </c>
      <c r="F22" s="564">
        <v>3232</v>
      </c>
      <c r="G22" s="564">
        <v>3142</v>
      </c>
      <c r="H22" s="564">
        <v>3376</v>
      </c>
      <c r="I22" s="564">
        <f>52+2882+81</f>
        <v>3015</v>
      </c>
      <c r="J22" s="564">
        <f>65+3249+82</f>
        <v>3396</v>
      </c>
      <c r="K22" s="564">
        <f>2646+76+65</f>
        <v>2787</v>
      </c>
      <c r="L22" s="564">
        <f>65+2657+75</f>
        <v>2797</v>
      </c>
      <c r="M22" s="564">
        <f>65+2520+787</f>
        <v>3372</v>
      </c>
      <c r="N22" s="564">
        <v>3253</v>
      </c>
      <c r="O22" s="564">
        <f>82+2198+791</f>
        <v>3071</v>
      </c>
      <c r="P22" s="564">
        <v>3136</v>
      </c>
      <c r="Q22" s="564">
        <v>2931</v>
      </c>
      <c r="R22" s="564">
        <f>108+2978</f>
        <v>3086</v>
      </c>
      <c r="S22" s="564">
        <f>108+2350</f>
        <v>2458</v>
      </c>
      <c r="T22" s="564">
        <f>2396+103</f>
        <v>2499</v>
      </c>
      <c r="U22" s="564">
        <v>2495</v>
      </c>
      <c r="V22" s="564">
        <v>2602</v>
      </c>
      <c r="W22" s="632">
        <v>2331</v>
      </c>
      <c r="X22" s="67" t="s">
        <v>49</v>
      </c>
      <c r="Y22" s="956"/>
      <c r="Z22" s="955">
        <f t="shared" si="1"/>
        <v>-0.10415065334358187</v>
      </c>
    </row>
    <row r="23" spans="1:27" ht="12.75" customHeight="1">
      <c r="A23" s="8"/>
      <c r="B23" s="156" t="s">
        <v>52</v>
      </c>
      <c r="C23" s="623" t="s">
        <v>75</v>
      </c>
      <c r="D23" s="624" t="s">
        <v>75</v>
      </c>
      <c r="E23" s="624" t="s">
        <v>75</v>
      </c>
      <c r="F23" s="624" t="s">
        <v>75</v>
      </c>
      <c r="G23" s="624" t="s">
        <v>75</v>
      </c>
      <c r="H23" s="624" t="s">
        <v>75</v>
      </c>
      <c r="I23" s="624" t="s">
        <v>75</v>
      </c>
      <c r="J23" s="624" t="s">
        <v>75</v>
      </c>
      <c r="K23" s="624" t="s">
        <v>75</v>
      </c>
      <c r="L23" s="624" t="s">
        <v>75</v>
      </c>
      <c r="M23" s="624" t="s">
        <v>75</v>
      </c>
      <c r="N23" s="624" t="s">
        <v>75</v>
      </c>
      <c r="O23" s="624" t="s">
        <v>75</v>
      </c>
      <c r="P23" s="624" t="s">
        <v>75</v>
      </c>
      <c r="Q23" s="624" t="s">
        <v>75</v>
      </c>
      <c r="R23" s="624" t="s">
        <v>75</v>
      </c>
      <c r="S23" s="624" t="s">
        <v>75</v>
      </c>
      <c r="T23" s="624" t="s">
        <v>75</v>
      </c>
      <c r="U23" s="624" t="s">
        <v>75</v>
      </c>
      <c r="V23" s="624" t="s">
        <v>75</v>
      </c>
      <c r="W23" s="645" t="s">
        <v>75</v>
      </c>
      <c r="X23" s="359" t="s">
        <v>52</v>
      </c>
      <c r="Y23" s="956"/>
      <c r="Z23" s="950" t="s">
        <v>75</v>
      </c>
      <c r="AA23" s="2"/>
    </row>
    <row r="24" spans="1:26" ht="12.75" customHeight="1">
      <c r="A24" s="8"/>
      <c r="B24" s="402" t="s">
        <v>60</v>
      </c>
      <c r="C24" s="563">
        <v>1919</v>
      </c>
      <c r="D24" s="564">
        <v>1958</v>
      </c>
      <c r="E24" s="564">
        <v>2268</v>
      </c>
      <c r="F24" s="564">
        <v>2742</v>
      </c>
      <c r="G24" s="564">
        <v>2742</v>
      </c>
      <c r="H24" s="564">
        <v>2693</v>
      </c>
      <c r="I24" s="646">
        <v>2758</v>
      </c>
      <c r="J24" s="564">
        <v>833</v>
      </c>
      <c r="K24" s="564">
        <v>852</v>
      </c>
      <c r="L24" s="564">
        <v>870</v>
      </c>
      <c r="M24" s="617">
        <v>833</v>
      </c>
      <c r="N24" s="564">
        <v>2818</v>
      </c>
      <c r="O24" s="564">
        <v>2531</v>
      </c>
      <c r="P24" s="564">
        <v>2824</v>
      </c>
      <c r="Q24" s="564">
        <v>2854</v>
      </c>
      <c r="R24" s="564">
        <v>2948</v>
      </c>
      <c r="S24" s="564">
        <v>2895</v>
      </c>
      <c r="T24" s="564">
        <v>2849</v>
      </c>
      <c r="U24" s="564">
        <f>208+2583</f>
        <v>2791</v>
      </c>
      <c r="V24" s="564">
        <f>282+2711</f>
        <v>2993</v>
      </c>
      <c r="W24" s="632">
        <v>3093</v>
      </c>
      <c r="X24" s="67" t="s">
        <v>60</v>
      </c>
      <c r="Y24" s="14"/>
      <c r="Z24" s="951">
        <f t="shared" si="1"/>
        <v>0.03341129301703982</v>
      </c>
    </row>
    <row r="25" spans="1:26" ht="12.75" customHeight="1">
      <c r="A25" s="8"/>
      <c r="B25" s="156" t="s">
        <v>69</v>
      </c>
      <c r="C25" s="565">
        <v>4125</v>
      </c>
      <c r="D25" s="566">
        <v>4025</v>
      </c>
      <c r="E25" s="566">
        <v>3689</v>
      </c>
      <c r="F25" s="566">
        <v>3468</v>
      </c>
      <c r="G25" s="566">
        <v>3332</v>
      </c>
      <c r="H25" s="566">
        <v>3320</v>
      </c>
      <c r="I25" s="566">
        <f>21+3017+111+26</f>
        <v>3175</v>
      </c>
      <c r="J25" s="566">
        <f>24+2938+140</f>
        <v>3102</v>
      </c>
      <c r="K25" s="566">
        <f>24+2949+139</f>
        <v>3112</v>
      </c>
      <c r="L25" s="566">
        <f>24+3016</f>
        <v>3040</v>
      </c>
      <c r="M25" s="566">
        <f>24+2954</f>
        <v>2978</v>
      </c>
      <c r="N25" s="566">
        <v>3010</v>
      </c>
      <c r="O25" s="566">
        <f>24+2871+100</f>
        <v>2995</v>
      </c>
      <c r="P25" s="566">
        <v>2974</v>
      </c>
      <c r="Q25" s="566">
        <v>2860</v>
      </c>
      <c r="R25" s="566">
        <v>2815</v>
      </c>
      <c r="S25" s="566">
        <v>2819</v>
      </c>
      <c r="T25" s="566">
        <v>2687</v>
      </c>
      <c r="U25" s="566">
        <v>2646</v>
      </c>
      <c r="V25" s="566">
        <v>2834</v>
      </c>
      <c r="W25" s="635">
        <v>2818</v>
      </c>
      <c r="X25" s="359" t="s">
        <v>69</v>
      </c>
      <c r="Y25" s="14"/>
      <c r="Z25" s="952">
        <f t="shared" si="1"/>
        <v>-0.0056457304163726185</v>
      </c>
    </row>
    <row r="26" spans="1:26" ht="12.75" customHeight="1">
      <c r="A26" s="8"/>
      <c r="B26" s="402" t="s">
        <v>53</v>
      </c>
      <c r="C26" s="563">
        <v>8522</v>
      </c>
      <c r="D26" s="564">
        <v>7493</v>
      </c>
      <c r="E26" s="564">
        <v>11928</v>
      </c>
      <c r="F26" s="564">
        <v>9761</v>
      </c>
      <c r="G26" s="564">
        <v>9544</v>
      </c>
      <c r="H26" s="564">
        <v>8985</v>
      </c>
      <c r="I26" s="564">
        <v>8877</v>
      </c>
      <c r="J26" s="564">
        <v>8603</v>
      </c>
      <c r="K26" s="564">
        <v>8843</v>
      </c>
      <c r="L26" s="564">
        <v>8298</v>
      </c>
      <c r="M26" s="564">
        <v>8277</v>
      </c>
      <c r="N26" s="564">
        <v>7863</v>
      </c>
      <c r="O26" s="564">
        <v>7799</v>
      </c>
      <c r="P26" s="564">
        <v>7885</v>
      </c>
      <c r="Q26" s="564">
        <v>7797</v>
      </c>
      <c r="R26" s="564">
        <v>7330</v>
      </c>
      <c r="S26" s="564">
        <v>7478</v>
      </c>
      <c r="T26" s="564">
        <v>7406</v>
      </c>
      <c r="U26" s="564">
        <v>7409</v>
      </c>
      <c r="V26" s="564">
        <v>6972</v>
      </c>
      <c r="W26" s="632">
        <v>7263</v>
      </c>
      <c r="X26" s="67" t="s">
        <v>53</v>
      </c>
      <c r="Y26" s="14"/>
      <c r="Z26" s="951">
        <f t="shared" si="1"/>
        <v>0.04173838209982783</v>
      </c>
    </row>
    <row r="27" spans="1:26" ht="12.75" customHeight="1">
      <c r="A27" s="8"/>
      <c r="B27" s="156" t="s">
        <v>70</v>
      </c>
      <c r="C27" s="565">
        <v>980</v>
      </c>
      <c r="D27" s="566">
        <v>1137</v>
      </c>
      <c r="E27" s="566">
        <v>1232</v>
      </c>
      <c r="F27" s="566">
        <v>1303</v>
      </c>
      <c r="G27" s="566">
        <v>1313</v>
      </c>
      <c r="H27" s="448">
        <f>AVERAGE(G27,I27)</f>
        <v>1258</v>
      </c>
      <c r="I27" s="566">
        <f>1184+19</f>
        <v>1203</v>
      </c>
      <c r="J27" s="566">
        <f>1131+19</f>
        <v>1150</v>
      </c>
      <c r="K27" s="566">
        <f>1106+19</f>
        <v>1125</v>
      </c>
      <c r="L27" s="566">
        <f>1043+19</f>
        <v>1062</v>
      </c>
      <c r="M27" s="566">
        <f>1041+19</f>
        <v>1060</v>
      </c>
      <c r="N27" s="566">
        <v>1051</v>
      </c>
      <c r="O27" s="566">
        <f>1024+19</f>
        <v>1043</v>
      </c>
      <c r="P27" s="566">
        <v>965</v>
      </c>
      <c r="Q27" s="566">
        <v>953</v>
      </c>
      <c r="R27" s="566">
        <v>980</v>
      </c>
      <c r="S27" s="566">
        <v>973</v>
      </c>
      <c r="T27" s="566">
        <v>980</v>
      </c>
      <c r="U27" s="566">
        <v>977</v>
      </c>
      <c r="V27" s="566">
        <f>108+858</f>
        <v>966</v>
      </c>
      <c r="W27" s="635">
        <v>981</v>
      </c>
      <c r="X27" s="359" t="s">
        <v>70</v>
      </c>
      <c r="Y27" s="14"/>
      <c r="Z27" s="952">
        <f t="shared" si="1"/>
        <v>0.01552795031055898</v>
      </c>
    </row>
    <row r="28" spans="1:26" ht="12.75" customHeight="1">
      <c r="A28" s="8"/>
      <c r="B28" s="402" t="s">
        <v>54</v>
      </c>
      <c r="C28" s="563"/>
      <c r="D28" s="564">
        <v>5579</v>
      </c>
      <c r="E28" s="564">
        <v>6352</v>
      </c>
      <c r="F28" s="564">
        <v>6234</v>
      </c>
      <c r="G28" s="564">
        <v>6245</v>
      </c>
      <c r="H28" s="646">
        <v>5467</v>
      </c>
      <c r="I28" s="564">
        <v>3629</v>
      </c>
      <c r="J28" s="564">
        <v>3407</v>
      </c>
      <c r="K28" s="564">
        <v>3310</v>
      </c>
      <c r="L28" s="564">
        <v>3380</v>
      </c>
      <c r="M28" s="564">
        <v>3462</v>
      </c>
      <c r="N28" s="564">
        <v>3314</v>
      </c>
      <c r="O28" s="564">
        <f>3306+6</f>
        <v>3312</v>
      </c>
      <c r="P28" s="564">
        <v>3037</v>
      </c>
      <c r="Q28" s="564">
        <v>2059</v>
      </c>
      <c r="R28" s="564">
        <v>2511</v>
      </c>
      <c r="S28" s="564">
        <v>2304</v>
      </c>
      <c r="T28" s="564">
        <v>2630</v>
      </c>
      <c r="U28" s="564">
        <v>2329</v>
      </c>
      <c r="V28" s="564">
        <v>2313</v>
      </c>
      <c r="W28" s="632">
        <v>2313</v>
      </c>
      <c r="X28" s="67" t="s">
        <v>54</v>
      </c>
      <c r="Y28" s="14"/>
      <c r="Z28" s="951">
        <f t="shared" si="1"/>
        <v>0</v>
      </c>
    </row>
    <row r="29" spans="1:26" ht="12.75" customHeight="1">
      <c r="A29" s="8"/>
      <c r="B29" s="156" t="s">
        <v>56</v>
      </c>
      <c r="C29" s="565"/>
      <c r="D29" s="566"/>
      <c r="E29" s="566">
        <v>606</v>
      </c>
      <c r="F29" s="566">
        <v>461</v>
      </c>
      <c r="G29" s="566">
        <v>470</v>
      </c>
      <c r="H29" s="566">
        <v>482</v>
      </c>
      <c r="I29" s="566">
        <v>432</v>
      </c>
      <c r="J29" s="566">
        <v>403</v>
      </c>
      <c r="K29" s="566">
        <v>401</v>
      </c>
      <c r="L29" s="566">
        <v>400</v>
      </c>
      <c r="M29" s="566">
        <v>373</v>
      </c>
      <c r="N29" s="566">
        <v>362</v>
      </c>
      <c r="O29" s="566">
        <v>360</v>
      </c>
      <c r="P29" s="566">
        <v>355</v>
      </c>
      <c r="Q29" s="566">
        <v>355</v>
      </c>
      <c r="R29" s="566">
        <v>355</v>
      </c>
      <c r="S29" s="566">
        <v>355</v>
      </c>
      <c r="T29" s="566">
        <v>355</v>
      </c>
      <c r="U29" s="566">
        <v>349</v>
      </c>
      <c r="V29" s="566">
        <f>100+249</f>
        <v>349</v>
      </c>
      <c r="W29" s="635">
        <v>347</v>
      </c>
      <c r="X29" s="359" t="s">
        <v>56</v>
      </c>
      <c r="Y29" s="14"/>
      <c r="Z29" s="952">
        <f t="shared" si="1"/>
        <v>-0.005730659025787954</v>
      </c>
    </row>
    <row r="30" spans="1:26" ht="12.75" customHeight="1">
      <c r="A30" s="8"/>
      <c r="B30" s="402" t="s">
        <v>55</v>
      </c>
      <c r="C30" s="613"/>
      <c r="D30" s="614"/>
      <c r="E30" s="614"/>
      <c r="F30" s="564">
        <v>2273</v>
      </c>
      <c r="G30" s="564">
        <v>1915</v>
      </c>
      <c r="H30" s="564">
        <v>2189</v>
      </c>
      <c r="I30" s="564">
        <f>1939+45</f>
        <v>1984</v>
      </c>
      <c r="J30" s="564">
        <f>1768+27+2</f>
        <v>1797</v>
      </c>
      <c r="K30" s="564">
        <f>1782+26</f>
        <v>1808</v>
      </c>
      <c r="L30" s="564">
        <f>1671+56</f>
        <v>1727</v>
      </c>
      <c r="M30" s="564">
        <f>1713+58</f>
        <v>1771</v>
      </c>
      <c r="N30" s="564">
        <v>1709</v>
      </c>
      <c r="O30" s="564">
        <f>1586+60</f>
        <v>1646</v>
      </c>
      <c r="P30" s="564">
        <v>1530</v>
      </c>
      <c r="Q30" s="564">
        <v>1569</v>
      </c>
      <c r="R30" s="564">
        <v>1516</v>
      </c>
      <c r="S30" s="564">
        <v>1467</v>
      </c>
      <c r="T30" s="564">
        <v>1395</v>
      </c>
      <c r="U30" s="564">
        <v>1406</v>
      </c>
      <c r="V30" s="564">
        <f>965+454</f>
        <v>1419</v>
      </c>
      <c r="W30" s="632">
        <v>1373</v>
      </c>
      <c r="X30" s="67" t="s">
        <v>55</v>
      </c>
      <c r="Y30" s="14"/>
      <c r="Z30" s="951">
        <f t="shared" si="1"/>
        <v>-0.03241719520789288</v>
      </c>
    </row>
    <row r="31" spans="1:26" ht="12.75" customHeight="1">
      <c r="A31" s="8"/>
      <c r="B31" s="156" t="s">
        <v>71</v>
      </c>
      <c r="C31" s="565">
        <v>1032</v>
      </c>
      <c r="D31" s="566">
        <v>1100</v>
      </c>
      <c r="E31" s="566">
        <v>957</v>
      </c>
      <c r="F31" s="566">
        <v>1003</v>
      </c>
      <c r="G31" s="566">
        <v>1011</v>
      </c>
      <c r="H31" s="566">
        <v>1030</v>
      </c>
      <c r="I31" s="566">
        <v>1060</v>
      </c>
      <c r="J31" s="566">
        <v>1029</v>
      </c>
      <c r="K31" s="566">
        <v>1084</v>
      </c>
      <c r="L31" s="566">
        <v>1083</v>
      </c>
      <c r="M31" s="566">
        <v>1024</v>
      </c>
      <c r="N31" s="566">
        <v>1035</v>
      </c>
      <c r="O31" s="566">
        <v>1033</v>
      </c>
      <c r="P31" s="566">
        <v>1071</v>
      </c>
      <c r="Q31" s="566">
        <v>1102</v>
      </c>
      <c r="R31" s="566">
        <v>1131</v>
      </c>
      <c r="S31" s="566">
        <v>1163</v>
      </c>
      <c r="T31" s="566">
        <v>1181</v>
      </c>
      <c r="U31" s="566">
        <v>1101</v>
      </c>
      <c r="V31" s="566">
        <f>638+565</f>
        <v>1203</v>
      </c>
      <c r="W31" s="635">
        <v>1227</v>
      </c>
      <c r="X31" s="359" t="s">
        <v>71</v>
      </c>
      <c r="Y31" s="14"/>
      <c r="Z31" s="952">
        <f t="shared" si="1"/>
        <v>0.01995012468827939</v>
      </c>
    </row>
    <row r="32" spans="1:26" ht="12.75" customHeight="1">
      <c r="A32" s="8"/>
      <c r="B32" s="402" t="s">
        <v>72</v>
      </c>
      <c r="C32" s="563">
        <v>2746</v>
      </c>
      <c r="D32" s="564">
        <v>1998</v>
      </c>
      <c r="E32" s="564">
        <v>1747</v>
      </c>
      <c r="F32" s="564">
        <v>1748</v>
      </c>
      <c r="G32" s="610">
        <v>1847</v>
      </c>
      <c r="H32" s="564">
        <v>1895</v>
      </c>
      <c r="I32" s="564">
        <v>1841</v>
      </c>
      <c r="J32" s="564">
        <v>1758</v>
      </c>
      <c r="K32" s="564">
        <v>1882</v>
      </c>
      <c r="L32" s="564">
        <v>1930</v>
      </c>
      <c r="M32" s="564">
        <v>2156</v>
      </c>
      <c r="N32" s="564">
        <v>2283</v>
      </c>
      <c r="O32" s="564">
        <v>2268</v>
      </c>
      <c r="P32" s="564">
        <v>2352</v>
      </c>
      <c r="Q32" s="564">
        <v>2393</v>
      </c>
      <c r="R32" s="564">
        <v>2646</v>
      </c>
      <c r="S32" s="564">
        <v>2715</v>
      </c>
      <c r="T32" s="564">
        <v>2806</v>
      </c>
      <c r="U32" s="564">
        <v>2858</v>
      </c>
      <c r="V32" s="564">
        <v>2964</v>
      </c>
      <c r="W32" s="632">
        <v>3048</v>
      </c>
      <c r="X32" s="67" t="s">
        <v>72</v>
      </c>
      <c r="Y32" s="14"/>
      <c r="Z32" s="951">
        <f t="shared" si="1"/>
        <v>0.028340080971659853</v>
      </c>
    </row>
    <row r="33" spans="1:26" ht="12.75" customHeight="1">
      <c r="A33" s="8"/>
      <c r="B33" s="216" t="s">
        <v>61</v>
      </c>
      <c r="C33" s="647">
        <v>18678</v>
      </c>
      <c r="D33" s="648">
        <v>17042</v>
      </c>
      <c r="E33" s="649"/>
      <c r="F33" s="650">
        <f>G33*(SUM(F6:F32)/SUM(G6:G32))</f>
        <v>10467.959162240824</v>
      </c>
      <c r="G33" s="626">
        <v>10425</v>
      </c>
      <c r="H33" s="626">
        <v>16982</v>
      </c>
      <c r="I33" s="650">
        <f>AVERAGE(H33,J33)</f>
        <v>14562.5</v>
      </c>
      <c r="J33" s="626">
        <f>12017+18+108</f>
        <v>12143</v>
      </c>
      <c r="K33" s="626">
        <f>10776+18+140</f>
        <v>10934</v>
      </c>
      <c r="L33" s="626">
        <f>10776+18+140</f>
        <v>10934</v>
      </c>
      <c r="M33" s="626">
        <f>10756+140</f>
        <v>10896</v>
      </c>
      <c r="N33" s="626">
        <v>11515</v>
      </c>
      <c r="O33" s="626">
        <f>11413+198+140</f>
        <v>11751</v>
      </c>
      <c r="P33" s="626">
        <v>11751</v>
      </c>
      <c r="Q33" s="626">
        <v>12144</v>
      </c>
      <c r="R33" s="626">
        <f>12101+133</f>
        <v>12234</v>
      </c>
      <c r="S33" s="626">
        <f>12208+133</f>
        <v>12341</v>
      </c>
      <c r="T33" s="626">
        <f>12286+18</f>
        <v>12304</v>
      </c>
      <c r="U33" s="650">
        <v>12304</v>
      </c>
      <c r="V33" s="650">
        <v>12304</v>
      </c>
      <c r="W33" s="778">
        <v>12304</v>
      </c>
      <c r="X33" s="360" t="s">
        <v>61</v>
      </c>
      <c r="Y33" s="14"/>
      <c r="Z33" s="953">
        <f t="shared" si="1"/>
        <v>0</v>
      </c>
    </row>
    <row r="34" spans="1:26" ht="12.75" customHeight="1">
      <c r="A34" s="8"/>
      <c r="B34" s="376" t="s">
        <v>252</v>
      </c>
      <c r="C34" s="651"/>
      <c r="D34" s="651"/>
      <c r="E34" s="652"/>
      <c r="F34" s="610"/>
      <c r="G34" s="564"/>
      <c r="H34" s="564"/>
      <c r="I34" s="610"/>
      <c r="J34" s="564"/>
      <c r="K34" s="564"/>
      <c r="L34" s="564"/>
      <c r="M34" s="564"/>
      <c r="N34" s="564"/>
      <c r="O34" s="564"/>
      <c r="P34" s="564"/>
      <c r="Q34" s="564"/>
      <c r="R34" s="564"/>
      <c r="S34" s="564"/>
      <c r="T34" s="564"/>
      <c r="U34" s="564"/>
      <c r="V34" s="564"/>
      <c r="W34" s="632"/>
      <c r="X34" s="67" t="s">
        <v>252</v>
      </c>
      <c r="Y34" s="956"/>
      <c r="Z34" s="955"/>
    </row>
    <row r="35" spans="1:28" ht="12.75" customHeight="1">
      <c r="A35" s="8"/>
      <c r="B35" s="156" t="s">
        <v>240</v>
      </c>
      <c r="C35" s="565"/>
      <c r="D35" s="566"/>
      <c r="E35" s="443" t="s">
        <v>75</v>
      </c>
      <c r="F35" s="443" t="s">
        <v>75</v>
      </c>
      <c r="G35" s="443" t="s">
        <v>75</v>
      </c>
      <c r="H35" s="443" t="s">
        <v>75</v>
      </c>
      <c r="I35" s="443" t="s">
        <v>75</v>
      </c>
      <c r="J35" s="443" t="s">
        <v>75</v>
      </c>
      <c r="K35" s="443" t="s">
        <v>75</v>
      </c>
      <c r="L35" s="443" t="s">
        <v>75</v>
      </c>
      <c r="M35" s="443" t="s">
        <v>75</v>
      </c>
      <c r="N35" s="443" t="s">
        <v>75</v>
      </c>
      <c r="O35" s="443" t="s">
        <v>75</v>
      </c>
      <c r="P35" s="443" t="s">
        <v>75</v>
      </c>
      <c r="Q35" s="443" t="s">
        <v>75</v>
      </c>
      <c r="R35" s="443" t="s">
        <v>75</v>
      </c>
      <c r="S35" s="443" t="s">
        <v>75</v>
      </c>
      <c r="T35" s="443" t="s">
        <v>75</v>
      </c>
      <c r="U35" s="443" t="s">
        <v>75</v>
      </c>
      <c r="V35" s="443" t="s">
        <v>75</v>
      </c>
      <c r="W35" s="645" t="s">
        <v>75</v>
      </c>
      <c r="X35" s="359" t="s">
        <v>240</v>
      </c>
      <c r="Y35" s="956"/>
      <c r="Z35" s="950" t="s">
        <v>75</v>
      </c>
      <c r="AB35" s="957"/>
    </row>
    <row r="36" spans="1:26" ht="12.75" customHeight="1">
      <c r="A36" s="8"/>
      <c r="B36" s="402" t="s">
        <v>1</v>
      </c>
      <c r="C36" s="563"/>
      <c r="D36" s="564">
        <v>180</v>
      </c>
      <c r="E36" s="564">
        <v>175</v>
      </c>
      <c r="F36" s="564">
        <v>164</v>
      </c>
      <c r="G36" s="564">
        <v>139</v>
      </c>
      <c r="H36" s="564">
        <v>139</v>
      </c>
      <c r="I36" s="564">
        <v>137</v>
      </c>
      <c r="J36" s="564">
        <v>135</v>
      </c>
      <c r="K36" s="564">
        <v>125</v>
      </c>
      <c r="L36" s="564">
        <v>124</v>
      </c>
      <c r="M36" s="564">
        <v>124</v>
      </c>
      <c r="N36" s="564">
        <v>124</v>
      </c>
      <c r="O36" s="564">
        <v>110</v>
      </c>
      <c r="P36" s="564">
        <v>64</v>
      </c>
      <c r="Q36" s="564">
        <v>64</v>
      </c>
      <c r="R36" s="564">
        <v>68</v>
      </c>
      <c r="S36" s="564">
        <v>67</v>
      </c>
      <c r="T36" s="564">
        <v>67</v>
      </c>
      <c r="U36" s="564">
        <v>67</v>
      </c>
      <c r="V36" s="564">
        <v>67</v>
      </c>
      <c r="W36" s="632">
        <v>67</v>
      </c>
      <c r="X36" s="67" t="s">
        <v>1</v>
      </c>
      <c r="Y36" s="956"/>
      <c r="Z36" s="955">
        <f t="shared" si="1"/>
        <v>0</v>
      </c>
    </row>
    <row r="37" spans="1:26" ht="12.75" customHeight="1">
      <c r="A37" s="8"/>
      <c r="B37" s="156" t="s">
        <v>239</v>
      </c>
      <c r="C37" s="565"/>
      <c r="D37" s="566"/>
      <c r="E37" s="566"/>
      <c r="F37" s="566"/>
      <c r="G37" s="566"/>
      <c r="H37" s="566"/>
      <c r="I37" s="566"/>
      <c r="J37" s="566"/>
      <c r="K37" s="566"/>
      <c r="L37" s="566"/>
      <c r="M37" s="566"/>
      <c r="N37" s="566"/>
      <c r="O37" s="566"/>
      <c r="P37" s="566"/>
      <c r="Q37" s="566">
        <v>784</v>
      </c>
      <c r="R37" s="566">
        <v>767</v>
      </c>
      <c r="S37" s="566">
        <v>769</v>
      </c>
      <c r="T37" s="566">
        <v>732</v>
      </c>
      <c r="U37" s="566">
        <v>882</v>
      </c>
      <c r="V37" s="566">
        <v>460</v>
      </c>
      <c r="W37" s="635">
        <v>318</v>
      </c>
      <c r="X37" s="359" t="s">
        <v>239</v>
      </c>
      <c r="Y37" s="956"/>
      <c r="Z37" s="954">
        <f t="shared" si="1"/>
        <v>-0.30869565217391304</v>
      </c>
    </row>
    <row r="38" spans="1:26" ht="12.75" customHeight="1">
      <c r="A38" s="8"/>
      <c r="B38" s="403" t="s">
        <v>57</v>
      </c>
      <c r="C38" s="628">
        <v>1548</v>
      </c>
      <c r="D38" s="456">
        <v>1351</v>
      </c>
      <c r="E38" s="456">
        <v>1443</v>
      </c>
      <c r="F38" s="568">
        <v>1415</v>
      </c>
      <c r="G38" s="568">
        <v>1385</v>
      </c>
      <c r="H38" s="568">
        <v>1356</v>
      </c>
      <c r="I38" s="568">
        <v>1294</v>
      </c>
      <c r="J38" s="568">
        <v>1318</v>
      </c>
      <c r="K38" s="568">
        <v>1312</v>
      </c>
      <c r="L38" s="568">
        <v>1306</v>
      </c>
      <c r="M38" s="568">
        <v>1319</v>
      </c>
      <c r="N38" s="568">
        <v>1304</v>
      </c>
      <c r="O38" s="568">
        <v>1313</v>
      </c>
      <c r="P38" s="568">
        <v>1342</v>
      </c>
      <c r="Q38" s="568">
        <v>1347</v>
      </c>
      <c r="R38" s="568">
        <f>1365</f>
        <v>1365</v>
      </c>
      <c r="S38" s="568">
        <v>1381</v>
      </c>
      <c r="T38" s="568">
        <v>1307</v>
      </c>
      <c r="U38" s="568">
        <v>1467</v>
      </c>
      <c r="V38" s="568">
        <f>872+554</f>
        <v>1426</v>
      </c>
      <c r="W38" s="948">
        <v>1426</v>
      </c>
      <c r="X38" s="68" t="s">
        <v>57</v>
      </c>
      <c r="Y38" s="956"/>
      <c r="Z38" s="959">
        <f t="shared" si="1"/>
        <v>0</v>
      </c>
    </row>
    <row r="39" spans="1:26" ht="12.75" customHeight="1">
      <c r="A39" s="8"/>
      <c r="B39" s="155" t="s">
        <v>43</v>
      </c>
      <c r="C39" s="623" t="s">
        <v>75</v>
      </c>
      <c r="D39" s="624" t="s">
        <v>75</v>
      </c>
      <c r="E39" s="624" t="s">
        <v>75</v>
      </c>
      <c r="F39" s="624" t="s">
        <v>75</v>
      </c>
      <c r="G39" s="624" t="s">
        <v>75</v>
      </c>
      <c r="H39" s="624" t="s">
        <v>75</v>
      </c>
      <c r="I39" s="624" t="s">
        <v>75</v>
      </c>
      <c r="J39" s="624" t="s">
        <v>75</v>
      </c>
      <c r="K39" s="624" t="s">
        <v>75</v>
      </c>
      <c r="L39" s="624" t="s">
        <v>75</v>
      </c>
      <c r="M39" s="624" t="s">
        <v>75</v>
      </c>
      <c r="N39" s="624" t="s">
        <v>75</v>
      </c>
      <c r="O39" s="624" t="s">
        <v>75</v>
      </c>
      <c r="P39" s="624" t="s">
        <v>75</v>
      </c>
      <c r="Q39" s="624" t="s">
        <v>75</v>
      </c>
      <c r="R39" s="624" t="s">
        <v>75</v>
      </c>
      <c r="S39" s="624" t="s">
        <v>75</v>
      </c>
      <c r="T39" s="624" t="s">
        <v>75</v>
      </c>
      <c r="U39" s="624" t="s">
        <v>75</v>
      </c>
      <c r="V39" s="624" t="s">
        <v>75</v>
      </c>
      <c r="W39" s="645" t="s">
        <v>75</v>
      </c>
      <c r="X39" s="439" t="s">
        <v>43</v>
      </c>
      <c r="Y39" s="956"/>
      <c r="Z39" s="950" t="s">
        <v>75</v>
      </c>
    </row>
    <row r="40" spans="1:26" ht="12.75" customHeight="1">
      <c r="A40" s="8"/>
      <c r="B40" s="402" t="s">
        <v>73</v>
      </c>
      <c r="C40" s="563">
        <v>1067</v>
      </c>
      <c r="D40" s="564">
        <v>908</v>
      </c>
      <c r="E40" s="564">
        <v>900</v>
      </c>
      <c r="F40" s="564">
        <v>918</v>
      </c>
      <c r="G40" s="564">
        <v>942</v>
      </c>
      <c r="H40" s="564">
        <v>850</v>
      </c>
      <c r="I40" s="653">
        <v>231</v>
      </c>
      <c r="J40" s="442">
        <v>237</v>
      </c>
      <c r="K40" s="442">
        <v>191</v>
      </c>
      <c r="L40" s="442">
        <v>191</v>
      </c>
      <c r="M40" s="442">
        <v>191</v>
      </c>
      <c r="N40" s="442">
        <v>191</v>
      </c>
      <c r="O40" s="442">
        <v>191</v>
      </c>
      <c r="P40" s="442">
        <v>210</v>
      </c>
      <c r="Q40" s="442">
        <v>212</v>
      </c>
      <c r="R40" s="442">
        <v>209</v>
      </c>
      <c r="S40" s="442">
        <v>175</v>
      </c>
      <c r="T40" s="442">
        <v>383</v>
      </c>
      <c r="U40" s="442">
        <v>386</v>
      </c>
      <c r="V40" s="442">
        <v>388</v>
      </c>
      <c r="W40" s="450">
        <v>394</v>
      </c>
      <c r="X40" s="67" t="s">
        <v>73</v>
      </c>
      <c r="Y40" s="956"/>
      <c r="Z40" s="955">
        <f t="shared" si="1"/>
        <v>0.015463917525773141</v>
      </c>
    </row>
    <row r="41" spans="1:26" ht="12.75" customHeight="1">
      <c r="A41" s="8"/>
      <c r="B41" s="157" t="s">
        <v>44</v>
      </c>
      <c r="C41" s="562">
        <v>3816</v>
      </c>
      <c r="D41" s="453">
        <v>4006</v>
      </c>
      <c r="E41" s="626">
        <v>4136</v>
      </c>
      <c r="F41" s="626">
        <v>3333</v>
      </c>
      <c r="G41" s="626">
        <v>3925</v>
      </c>
      <c r="H41" s="626">
        <v>4020</v>
      </c>
      <c r="I41" s="626">
        <f>231+3764+81</f>
        <v>4076</v>
      </c>
      <c r="J41" s="626">
        <f>263+91+3924+81</f>
        <v>4359</v>
      </c>
      <c r="K41" s="626">
        <f>251+81+150+3811</f>
        <v>4293</v>
      </c>
      <c r="L41" s="626">
        <f>333+4130</f>
        <v>4463</v>
      </c>
      <c r="M41" s="650">
        <v>4491</v>
      </c>
      <c r="N41" s="626">
        <v>4470</v>
      </c>
      <c r="O41" s="626">
        <f>489+3794+187</f>
        <v>4470</v>
      </c>
      <c r="P41" s="626">
        <v>4949</v>
      </c>
      <c r="Q41" s="626">
        <v>4822</v>
      </c>
      <c r="R41" s="626">
        <f>4571+340</f>
        <v>4911</v>
      </c>
      <c r="S41" s="626">
        <f>333+4664</f>
        <v>4997</v>
      </c>
      <c r="T41" s="626">
        <f>4593+272</f>
        <v>4865</v>
      </c>
      <c r="U41" s="626">
        <v>5245</v>
      </c>
      <c r="V41" s="626">
        <v>5280</v>
      </c>
      <c r="W41" s="636">
        <v>5355</v>
      </c>
      <c r="X41" s="360" t="s">
        <v>44</v>
      </c>
      <c r="Y41" s="14"/>
      <c r="Z41" s="953">
        <f t="shared" si="1"/>
        <v>0.014204545454545414</v>
      </c>
    </row>
    <row r="42" spans="1:26" ht="12.75" customHeight="1">
      <c r="A42" s="8"/>
      <c r="B42" s="1022" t="s">
        <v>282</v>
      </c>
      <c r="C42" s="1022"/>
      <c r="D42" s="1022"/>
      <c r="E42" s="1022"/>
      <c r="F42" s="1022"/>
      <c r="G42" s="1022"/>
      <c r="H42" s="1022"/>
      <c r="I42" s="1022"/>
      <c r="J42" s="1022"/>
      <c r="K42" s="1023"/>
      <c r="L42" s="1023"/>
      <c r="M42" s="1023"/>
      <c r="N42" s="1023"/>
      <c r="O42" s="1023"/>
      <c r="P42" s="1023"/>
      <c r="Q42" s="1023"/>
      <c r="R42" s="1023"/>
      <c r="S42" s="1024"/>
      <c r="T42" s="1024"/>
      <c r="U42" s="1024"/>
      <c r="V42" s="1024"/>
      <c r="W42" s="1024"/>
      <c r="X42" s="1023"/>
      <c r="Y42" s="14"/>
      <c r="Z42" s="949"/>
    </row>
    <row r="43" spans="1:28" ht="12.75" customHeight="1">
      <c r="A43" s="8"/>
      <c r="B43" s="308" t="s">
        <v>0</v>
      </c>
      <c r="C43" s="319"/>
      <c r="D43" s="319"/>
      <c r="E43" s="319"/>
      <c r="F43" s="319"/>
      <c r="G43" s="319"/>
      <c r="H43" s="319"/>
      <c r="Y43" s="14"/>
      <c r="Z43" s="949"/>
      <c r="AB43" s="2"/>
    </row>
    <row r="44" spans="2:26" ht="14.25" customHeight="1">
      <c r="B44" s="1106" t="s">
        <v>105</v>
      </c>
      <c r="C44" s="1107"/>
      <c r="D44" s="1107"/>
      <c r="E44" s="1107"/>
      <c r="F44" s="1107"/>
      <c r="G44" s="1107"/>
      <c r="H44" s="1107"/>
      <c r="I44" s="1107"/>
      <c r="J44" s="1107"/>
      <c r="K44" s="1107"/>
      <c r="L44" s="1107"/>
      <c r="M44" s="1107"/>
      <c r="N44" s="1107"/>
      <c r="O44" s="1107"/>
      <c r="P44" s="1107"/>
      <c r="Q44" s="1107"/>
      <c r="R44" s="1107"/>
      <c r="S44" s="1107"/>
      <c r="T44" s="1107"/>
      <c r="U44" s="1107"/>
      <c r="V44" s="1107"/>
      <c r="W44" s="1107"/>
      <c r="X44" s="1107"/>
      <c r="Y44" s="438"/>
      <c r="Z44" s="949"/>
    </row>
    <row r="45" spans="2:26" ht="15" customHeight="1">
      <c r="B45" s="310" t="s">
        <v>286</v>
      </c>
      <c r="C45" s="56"/>
      <c r="D45" s="317"/>
      <c r="E45" s="317"/>
      <c r="F45" s="317"/>
      <c r="G45" s="317"/>
      <c r="H45" s="317"/>
      <c r="I45" s="317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Z45" s="949"/>
    </row>
    <row r="46" spans="2:26" ht="10.5" customHeight="1">
      <c r="B46" s="310" t="s">
        <v>287</v>
      </c>
      <c r="C46" s="56"/>
      <c r="D46" s="310"/>
      <c r="E46" s="322"/>
      <c r="F46" s="310"/>
      <c r="G46" s="310"/>
      <c r="H46" s="310"/>
      <c r="I46" s="310"/>
      <c r="J46" s="43"/>
      <c r="K46" s="43"/>
      <c r="L46" s="43"/>
      <c r="M46" s="43"/>
      <c r="N46" s="43"/>
      <c r="O46" s="43"/>
      <c r="P46" s="343"/>
      <c r="Q46" s="43"/>
      <c r="R46" s="397"/>
      <c r="S46" s="599"/>
      <c r="T46" s="745"/>
      <c r="U46" s="772"/>
      <c r="V46" s="799"/>
      <c r="W46" s="934"/>
      <c r="X46" s="43"/>
      <c r="Y46" s="745"/>
      <c r="Z46" s="949"/>
    </row>
    <row r="47" ht="12.75">
      <c r="Y47" s="321"/>
    </row>
  </sheetData>
  <sheetProtection/>
  <mergeCells count="4">
    <mergeCell ref="B2:X2"/>
    <mergeCell ref="B3:X3"/>
    <mergeCell ref="B42:X42"/>
    <mergeCell ref="B44:X44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AB44"/>
  <sheetViews>
    <sheetView tabSelected="1" zoomScalePageLayoutView="0" workbookViewId="0" topLeftCell="A19">
      <selection activeCell="AB39" sqref="AB39"/>
    </sheetView>
  </sheetViews>
  <sheetFormatPr defaultColWidth="9.140625" defaultRowHeight="12.75"/>
  <cols>
    <col min="1" max="1" width="3.7109375" style="3" customWidth="1"/>
    <col min="2" max="2" width="4.00390625" style="3" customWidth="1"/>
    <col min="3" max="4" width="7.7109375" style="3" hidden="1" customWidth="1"/>
    <col min="5" max="10" width="7.7109375" style="3" customWidth="1"/>
    <col min="11" max="13" width="8.28125" style="2" customWidth="1"/>
    <col min="14" max="19" width="8.28125" style="3" customWidth="1"/>
    <col min="20" max="20" width="8.28125" style="725" customWidth="1"/>
    <col min="21" max="23" width="8.28125" style="766" customWidth="1"/>
    <col min="24" max="24" width="5.140625" style="3" customWidth="1"/>
    <col min="25" max="16384" width="9.140625" style="3" customWidth="1"/>
  </cols>
  <sheetData>
    <row r="1" spans="2:24" ht="14.25" customHeight="1">
      <c r="B1" s="31"/>
      <c r="C1" s="18"/>
      <c r="D1" s="18"/>
      <c r="E1" s="18"/>
      <c r="F1" s="18"/>
      <c r="G1" s="18"/>
      <c r="H1" s="32"/>
      <c r="K1" s="323"/>
      <c r="L1" s="323"/>
      <c r="M1" s="323"/>
      <c r="N1" s="32"/>
      <c r="O1" s="32"/>
      <c r="P1" s="32"/>
      <c r="Q1" s="32"/>
      <c r="R1" s="407"/>
      <c r="S1" s="407"/>
      <c r="T1" s="407"/>
      <c r="U1" s="407"/>
      <c r="V1" s="407"/>
      <c r="W1" s="407"/>
      <c r="X1" s="32" t="s">
        <v>165</v>
      </c>
    </row>
    <row r="2" spans="2:24" s="56" customFormat="1" ht="30" customHeight="1">
      <c r="B2" s="1009" t="s">
        <v>18</v>
      </c>
      <c r="C2" s="1009"/>
      <c r="D2" s="1009"/>
      <c r="E2" s="1009"/>
      <c r="F2" s="1009"/>
      <c r="G2" s="1009"/>
      <c r="H2" s="1009"/>
      <c r="I2" s="1009"/>
      <c r="J2" s="1009"/>
      <c r="K2" s="1009"/>
      <c r="L2" s="1009"/>
      <c r="M2" s="1009"/>
      <c r="N2" s="1009"/>
      <c r="O2" s="1009"/>
      <c r="P2" s="1009"/>
      <c r="Q2" s="1009"/>
      <c r="R2" s="1009"/>
      <c r="S2" s="1009"/>
      <c r="T2" s="1009"/>
      <c r="U2" s="1009"/>
      <c r="V2" s="1009"/>
      <c r="W2" s="1009"/>
      <c r="X2" s="1009"/>
    </row>
    <row r="3" spans="2:24" ht="18" customHeight="1">
      <c r="B3" s="1014" t="s">
        <v>12</v>
      </c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</row>
    <row r="4" spans="2:24" ht="24.75" customHeight="1">
      <c r="B4" s="99"/>
      <c r="C4" s="53">
        <v>1970</v>
      </c>
      <c r="D4" s="54">
        <v>1980</v>
      </c>
      <c r="E4" s="54">
        <v>1990</v>
      </c>
      <c r="F4" s="54">
        <v>2000</v>
      </c>
      <c r="G4" s="54">
        <v>2001</v>
      </c>
      <c r="H4" s="54">
        <v>2002</v>
      </c>
      <c r="I4" s="54">
        <v>2003</v>
      </c>
      <c r="J4" s="54">
        <v>2004</v>
      </c>
      <c r="K4" s="55">
        <v>2005</v>
      </c>
      <c r="L4" s="54">
        <v>2006</v>
      </c>
      <c r="M4" s="54" t="s">
        <v>111</v>
      </c>
      <c r="N4" s="54" t="s">
        <v>137</v>
      </c>
      <c r="O4" s="54" t="s">
        <v>173</v>
      </c>
      <c r="P4" s="54" t="s">
        <v>189</v>
      </c>
      <c r="Q4" s="54" t="s">
        <v>236</v>
      </c>
      <c r="R4" s="54" t="s">
        <v>251</v>
      </c>
      <c r="S4" s="54" t="s">
        <v>264</v>
      </c>
      <c r="T4" s="776" t="s">
        <v>276</v>
      </c>
      <c r="U4" s="776" t="s">
        <v>281</v>
      </c>
      <c r="V4" s="961" t="s">
        <v>288</v>
      </c>
      <c r="W4" s="410" t="s">
        <v>308</v>
      </c>
      <c r="X4" s="6"/>
    </row>
    <row r="5" spans="2:24" ht="12.75" customHeight="1">
      <c r="B5" s="52" t="s">
        <v>253</v>
      </c>
      <c r="C5" s="69"/>
      <c r="D5" s="70"/>
      <c r="E5" s="523"/>
      <c r="F5" s="523"/>
      <c r="G5" s="522">
        <f>SUM(G6:G33)</f>
        <v>887017</v>
      </c>
      <c r="H5" s="522">
        <f>SUM(H6:H33)</f>
        <v>853740</v>
      </c>
      <c r="I5" s="522"/>
      <c r="J5" s="522"/>
      <c r="K5" s="629"/>
      <c r="L5" s="522"/>
      <c r="M5" s="522"/>
      <c r="N5" s="522"/>
      <c r="O5" s="522"/>
      <c r="P5" s="522"/>
      <c r="Q5" s="522"/>
      <c r="R5" s="609"/>
      <c r="S5" s="609"/>
      <c r="T5" s="609"/>
      <c r="U5" s="609"/>
      <c r="V5" s="609"/>
      <c r="W5" s="935"/>
      <c r="X5" s="64" t="s">
        <v>253</v>
      </c>
    </row>
    <row r="6" spans="1:24" ht="12.75" customHeight="1">
      <c r="A6" s="8"/>
      <c r="B6" s="9" t="s">
        <v>62</v>
      </c>
      <c r="C6" s="71">
        <v>44651</v>
      </c>
      <c r="D6" s="72">
        <v>42968</v>
      </c>
      <c r="E6" s="640">
        <v>30332</v>
      </c>
      <c r="F6" s="640">
        <v>18790</v>
      </c>
      <c r="G6" s="640">
        <v>19719</v>
      </c>
      <c r="H6" s="640">
        <v>20312</v>
      </c>
      <c r="I6" s="640">
        <v>20101</v>
      </c>
      <c r="J6" s="640">
        <v>18782</v>
      </c>
      <c r="K6" s="642">
        <v>17375</v>
      </c>
      <c r="L6" s="640">
        <f>10521+5023</f>
        <v>15544</v>
      </c>
      <c r="M6" s="640">
        <v>10616</v>
      </c>
      <c r="N6" s="640">
        <v>9573</v>
      </c>
      <c r="O6" s="640">
        <v>11612</v>
      </c>
      <c r="P6" s="640">
        <v>11612</v>
      </c>
      <c r="Q6" s="657">
        <v>11612</v>
      </c>
      <c r="R6" s="641">
        <v>11612</v>
      </c>
      <c r="S6" s="641">
        <v>11612</v>
      </c>
      <c r="T6" s="641">
        <v>11612</v>
      </c>
      <c r="U6" s="641">
        <v>11612</v>
      </c>
      <c r="V6" s="641">
        <v>11612</v>
      </c>
      <c r="W6" s="658">
        <v>11612</v>
      </c>
      <c r="X6" s="66" t="s">
        <v>62</v>
      </c>
    </row>
    <row r="7" spans="1:24" ht="12.75" customHeight="1">
      <c r="A7" s="8"/>
      <c r="B7" s="51" t="s">
        <v>45</v>
      </c>
      <c r="C7" s="73">
        <v>33850</v>
      </c>
      <c r="D7" s="74">
        <v>37272</v>
      </c>
      <c r="E7" s="659">
        <v>42459</v>
      </c>
      <c r="F7" s="612">
        <v>29720</v>
      </c>
      <c r="G7" s="612">
        <v>16609</v>
      </c>
      <c r="H7" s="612">
        <v>17508</v>
      </c>
      <c r="I7" s="612">
        <v>17259</v>
      </c>
      <c r="J7" s="612">
        <v>16382</v>
      </c>
      <c r="K7" s="631">
        <v>16511</v>
      </c>
      <c r="L7" s="612">
        <f>11911+361+300+4539</f>
        <v>17111</v>
      </c>
      <c r="M7" s="612">
        <f>11834+361+18+204</f>
        <v>12417</v>
      </c>
      <c r="N7" s="612">
        <f>11812+361+438+214</f>
        <v>12825</v>
      </c>
      <c r="O7" s="612">
        <f>11812+361+356+214</f>
        <v>12743</v>
      </c>
      <c r="P7" s="612">
        <v>11751</v>
      </c>
      <c r="Q7" s="612">
        <f>5390+11068</f>
        <v>16458</v>
      </c>
      <c r="R7" s="612">
        <v>16576</v>
      </c>
      <c r="S7" s="752">
        <f>4895+361+227</f>
        <v>5483</v>
      </c>
      <c r="T7" s="612">
        <f>4895+430</f>
        <v>5325</v>
      </c>
      <c r="U7" s="612">
        <v>4572</v>
      </c>
      <c r="V7" s="612">
        <f>4146+440</f>
        <v>4586</v>
      </c>
      <c r="W7" s="631">
        <f>4120+390</f>
        <v>4510</v>
      </c>
      <c r="X7" s="65" t="s">
        <v>45</v>
      </c>
    </row>
    <row r="8" spans="1:24" ht="12.75" customHeight="1">
      <c r="A8" s="8"/>
      <c r="B8" s="10" t="s">
        <v>47</v>
      </c>
      <c r="C8" s="75"/>
      <c r="D8" s="76"/>
      <c r="E8" s="614"/>
      <c r="F8" s="564">
        <v>58524</v>
      </c>
      <c r="G8" s="564">
        <v>50180</v>
      </c>
      <c r="H8" s="564">
        <v>46789</v>
      </c>
      <c r="I8" s="564">
        <v>45506</v>
      </c>
      <c r="J8" s="564">
        <v>44805</v>
      </c>
      <c r="K8" s="632">
        <v>44545</v>
      </c>
      <c r="L8" s="564">
        <f>33354+9408</f>
        <v>42762</v>
      </c>
      <c r="M8" s="564">
        <v>32809</v>
      </c>
      <c r="N8" s="564">
        <v>31656</v>
      </c>
      <c r="O8" s="564">
        <v>29194</v>
      </c>
      <c r="P8" s="564">
        <v>27416</v>
      </c>
      <c r="Q8" s="564">
        <v>27314</v>
      </c>
      <c r="R8" s="564">
        <v>27066</v>
      </c>
      <c r="S8" s="564">
        <v>26281</v>
      </c>
      <c r="T8" s="564">
        <v>25965</v>
      </c>
      <c r="U8" s="564">
        <v>25863</v>
      </c>
      <c r="V8" s="564">
        <v>25322</v>
      </c>
      <c r="W8" s="632">
        <v>23560</v>
      </c>
      <c r="X8" s="67" t="s">
        <v>47</v>
      </c>
    </row>
    <row r="9" spans="1:24" ht="12.75" customHeight="1">
      <c r="A9" s="8"/>
      <c r="B9" s="51" t="s">
        <v>58</v>
      </c>
      <c r="C9" s="73">
        <v>10995</v>
      </c>
      <c r="D9" s="74">
        <v>6883</v>
      </c>
      <c r="E9" s="612">
        <v>4632</v>
      </c>
      <c r="F9" s="612">
        <v>2236</v>
      </c>
      <c r="G9" s="612">
        <v>2236</v>
      </c>
      <c r="H9" s="618">
        <v>2200</v>
      </c>
      <c r="I9" s="660"/>
      <c r="J9" s="660"/>
      <c r="K9" s="661"/>
      <c r="L9" s="660"/>
      <c r="M9" s="660"/>
      <c r="N9" s="660"/>
      <c r="O9" s="660"/>
      <c r="P9" s="660"/>
      <c r="Q9" s="660"/>
      <c r="R9" s="660"/>
      <c r="S9" s="660"/>
      <c r="T9" s="660"/>
      <c r="U9" s="660"/>
      <c r="V9" s="660"/>
      <c r="W9" s="661"/>
      <c r="X9" s="65" t="s">
        <v>58</v>
      </c>
    </row>
    <row r="10" spans="1:24" ht="12.75" customHeight="1">
      <c r="A10" s="8"/>
      <c r="B10" s="10" t="s">
        <v>63</v>
      </c>
      <c r="C10" s="78">
        <v>459030</v>
      </c>
      <c r="D10" s="77">
        <v>476437</v>
      </c>
      <c r="E10" s="564">
        <v>366724</v>
      </c>
      <c r="F10" s="564">
        <v>189558</v>
      </c>
      <c r="G10" s="564">
        <v>182836</v>
      </c>
      <c r="H10" s="446">
        <v>179000</v>
      </c>
      <c r="I10" s="564">
        <v>176837</v>
      </c>
      <c r="J10" s="564">
        <v>237313</v>
      </c>
      <c r="K10" s="632">
        <v>158247</v>
      </c>
      <c r="L10" s="564">
        <f>96550+58918</f>
        <v>155468</v>
      </c>
      <c r="M10" s="564">
        <v>95595</v>
      </c>
      <c r="N10" s="564">
        <v>119916</v>
      </c>
      <c r="O10" s="564">
        <v>113657</v>
      </c>
      <c r="P10" s="564">
        <v>108840</v>
      </c>
      <c r="Q10" s="564">
        <v>106727</v>
      </c>
      <c r="R10" s="564">
        <v>104460</v>
      </c>
      <c r="S10" s="564">
        <v>96868</v>
      </c>
      <c r="T10" s="564">
        <v>91787</v>
      </c>
      <c r="U10" s="564">
        <v>88066</v>
      </c>
      <c r="V10" s="564">
        <v>86468</v>
      </c>
      <c r="W10" s="632">
        <v>82864</v>
      </c>
      <c r="X10" s="67" t="s">
        <v>63</v>
      </c>
    </row>
    <row r="11" spans="1:28" ht="12.75" customHeight="1">
      <c r="A11" s="8"/>
      <c r="B11" s="51" t="s">
        <v>48</v>
      </c>
      <c r="C11" s="73"/>
      <c r="D11" s="74"/>
      <c r="E11" s="612"/>
      <c r="F11" s="612">
        <v>5857</v>
      </c>
      <c r="G11" s="612">
        <v>6122</v>
      </c>
      <c r="H11" s="612">
        <v>7531</v>
      </c>
      <c r="I11" s="612">
        <v>17436</v>
      </c>
      <c r="J11" s="612">
        <v>20352</v>
      </c>
      <c r="K11" s="631">
        <v>18971</v>
      </c>
      <c r="L11" s="612">
        <v>18376</v>
      </c>
      <c r="M11" s="612">
        <v>16781</v>
      </c>
      <c r="N11" s="612">
        <v>19643</v>
      </c>
      <c r="O11" s="612">
        <v>18284</v>
      </c>
      <c r="P11" s="612">
        <v>17575</v>
      </c>
      <c r="Q11" s="612">
        <v>18995</v>
      </c>
      <c r="R11" s="612">
        <v>21667</v>
      </c>
      <c r="S11" s="612">
        <v>22285</v>
      </c>
      <c r="T11" s="612">
        <v>21188</v>
      </c>
      <c r="U11" s="612">
        <v>21501</v>
      </c>
      <c r="V11" s="612">
        <v>21586</v>
      </c>
      <c r="W11" s="631">
        <v>21835</v>
      </c>
      <c r="X11" s="65" t="s">
        <v>48</v>
      </c>
      <c r="AB11" s="957"/>
    </row>
    <row r="12" spans="1:24" ht="12.75" customHeight="1">
      <c r="A12" s="8"/>
      <c r="B12" s="10" t="s">
        <v>66</v>
      </c>
      <c r="C12" s="78">
        <v>9727</v>
      </c>
      <c r="D12" s="77">
        <v>4417</v>
      </c>
      <c r="E12" s="564">
        <v>1830</v>
      </c>
      <c r="F12" s="564">
        <v>1856</v>
      </c>
      <c r="G12" s="564">
        <v>1856</v>
      </c>
      <c r="H12" s="564">
        <v>1856</v>
      </c>
      <c r="I12" s="564">
        <v>1611</v>
      </c>
      <c r="J12" s="564">
        <v>833</v>
      </c>
      <c r="K12" s="632">
        <v>926</v>
      </c>
      <c r="L12" s="564">
        <v>1095</v>
      </c>
      <c r="M12" s="564">
        <v>891</v>
      </c>
      <c r="N12" s="564">
        <v>891</v>
      </c>
      <c r="O12" s="564"/>
      <c r="P12" s="564">
        <v>502</v>
      </c>
      <c r="Q12" s="564">
        <v>502</v>
      </c>
      <c r="R12" s="615">
        <v>254</v>
      </c>
      <c r="S12" s="564">
        <v>254</v>
      </c>
      <c r="T12" s="564">
        <v>254</v>
      </c>
      <c r="U12" s="564">
        <v>254</v>
      </c>
      <c r="V12" s="564">
        <v>254</v>
      </c>
      <c r="W12" s="632">
        <v>254</v>
      </c>
      <c r="X12" s="67" t="s">
        <v>66</v>
      </c>
    </row>
    <row r="13" spans="1:24" ht="12.75" customHeight="1">
      <c r="A13" s="8"/>
      <c r="B13" s="51" t="s">
        <v>59</v>
      </c>
      <c r="C13" s="73">
        <v>9025</v>
      </c>
      <c r="D13" s="74">
        <v>10871</v>
      </c>
      <c r="E13" s="612">
        <v>10967</v>
      </c>
      <c r="F13" s="612">
        <v>3453</v>
      </c>
      <c r="G13" s="612">
        <v>3539</v>
      </c>
      <c r="H13" s="612">
        <v>3539</v>
      </c>
      <c r="I13" s="612">
        <v>3473</v>
      </c>
      <c r="J13" s="612">
        <v>3497</v>
      </c>
      <c r="K13" s="631">
        <v>3491</v>
      </c>
      <c r="L13" s="612">
        <f>2861+305</f>
        <v>3166</v>
      </c>
      <c r="M13" s="612">
        <f>3263+305</f>
        <v>3568</v>
      </c>
      <c r="N13" s="612">
        <f>4458+305</f>
        <v>4763</v>
      </c>
      <c r="O13" s="612"/>
      <c r="P13" s="612">
        <v>3158</v>
      </c>
      <c r="Q13" s="612">
        <v>3158</v>
      </c>
      <c r="R13" s="612">
        <v>3158</v>
      </c>
      <c r="S13" s="612">
        <v>3184</v>
      </c>
      <c r="T13" s="612">
        <v>3522</v>
      </c>
      <c r="U13" s="612">
        <v>3522</v>
      </c>
      <c r="V13" s="612">
        <v>3522</v>
      </c>
      <c r="W13" s="631">
        <v>3522</v>
      </c>
      <c r="X13" s="65" t="s">
        <v>59</v>
      </c>
    </row>
    <row r="14" spans="1:24" ht="12.75" customHeight="1">
      <c r="A14" s="8"/>
      <c r="B14" s="10" t="s">
        <v>64</v>
      </c>
      <c r="C14" s="78">
        <v>53336</v>
      </c>
      <c r="D14" s="77">
        <v>40773</v>
      </c>
      <c r="E14" s="564">
        <v>37687</v>
      </c>
      <c r="F14" s="564">
        <v>26452</v>
      </c>
      <c r="G14" s="564">
        <v>25867</v>
      </c>
      <c r="H14" s="564">
        <v>26228</v>
      </c>
      <c r="I14" s="564">
        <v>25426</v>
      </c>
      <c r="J14" s="564">
        <v>25542</v>
      </c>
      <c r="K14" s="632">
        <v>23842</v>
      </c>
      <c r="L14" s="564">
        <f>14+1020+180+13817</f>
        <v>15031</v>
      </c>
      <c r="M14" s="564">
        <f>1026+187+14311</f>
        <v>15524</v>
      </c>
      <c r="N14" s="564">
        <f>42+1026+187+13718</f>
        <v>14973</v>
      </c>
      <c r="O14" s="564">
        <f>42+1026+187+11192</f>
        <v>12447</v>
      </c>
      <c r="P14" s="564">
        <v>14337</v>
      </c>
      <c r="Q14" s="564">
        <v>13732</v>
      </c>
      <c r="R14" s="564">
        <v>14148</v>
      </c>
      <c r="S14" s="564">
        <f>42+1141+197+13520</f>
        <v>14900</v>
      </c>
      <c r="T14" s="564">
        <f>13520+182</f>
        <v>13702</v>
      </c>
      <c r="U14" s="564">
        <v>11353</v>
      </c>
      <c r="V14" s="564">
        <f>11191+155</f>
        <v>11346</v>
      </c>
      <c r="W14" s="632">
        <f>11193+99</f>
        <v>11292</v>
      </c>
      <c r="X14" s="67" t="s">
        <v>64</v>
      </c>
    </row>
    <row r="15" spans="1:24" ht="12.75" customHeight="1">
      <c r="A15" s="8"/>
      <c r="B15" s="51" t="s">
        <v>65</v>
      </c>
      <c r="C15" s="73">
        <v>291450</v>
      </c>
      <c r="D15" s="74">
        <v>239800</v>
      </c>
      <c r="E15" s="659">
        <v>148100</v>
      </c>
      <c r="F15" s="612">
        <v>94789</v>
      </c>
      <c r="G15" s="612">
        <v>109770</v>
      </c>
      <c r="H15" s="612">
        <v>107033</v>
      </c>
      <c r="I15" s="612">
        <v>103833</v>
      </c>
      <c r="J15" s="612">
        <v>99372</v>
      </c>
      <c r="K15" s="631">
        <v>95738</v>
      </c>
      <c r="L15" s="612">
        <f>32769+59047</f>
        <v>91816</v>
      </c>
      <c r="M15" s="612">
        <v>31589</v>
      </c>
      <c r="N15" s="612">
        <f>30196+1649</f>
        <v>31845</v>
      </c>
      <c r="O15" s="612">
        <v>29028</v>
      </c>
      <c r="P15" s="612">
        <v>25314</v>
      </c>
      <c r="Q15" s="612">
        <v>20322</v>
      </c>
      <c r="R15" s="612">
        <v>17830</v>
      </c>
      <c r="S15" s="612">
        <v>16333</v>
      </c>
      <c r="T15" s="612">
        <v>15017</v>
      </c>
      <c r="U15" s="612">
        <v>14052</v>
      </c>
      <c r="V15" s="612">
        <v>12347</v>
      </c>
      <c r="W15" s="631">
        <v>12347</v>
      </c>
      <c r="X15" s="65" t="s">
        <v>65</v>
      </c>
    </row>
    <row r="16" spans="1:24" ht="12.75" customHeight="1">
      <c r="A16" s="8"/>
      <c r="B16" s="402" t="s">
        <v>76</v>
      </c>
      <c r="C16" s="78">
        <v>0</v>
      </c>
      <c r="D16" s="77">
        <v>12852</v>
      </c>
      <c r="E16" s="564">
        <v>13720</v>
      </c>
      <c r="F16" s="564">
        <v>9986</v>
      </c>
      <c r="G16" s="564">
        <v>9456</v>
      </c>
      <c r="H16" s="564">
        <v>8774</v>
      </c>
      <c r="I16" s="564">
        <v>7920</v>
      </c>
      <c r="J16" s="564">
        <v>7376</v>
      </c>
      <c r="K16" s="632">
        <v>7330</v>
      </c>
      <c r="L16" s="564">
        <v>6813</v>
      </c>
      <c r="M16" s="564">
        <v>6781</v>
      </c>
      <c r="N16" s="564">
        <v>6632</v>
      </c>
      <c r="O16" s="564">
        <v>5857</v>
      </c>
      <c r="P16" s="564">
        <v>6674</v>
      </c>
      <c r="Q16" s="564">
        <v>6063</v>
      </c>
      <c r="R16" s="610">
        <v>6063</v>
      </c>
      <c r="S16" s="564">
        <v>5959</v>
      </c>
      <c r="T16" s="564">
        <v>5518</v>
      </c>
      <c r="U16" s="564">
        <v>5519</v>
      </c>
      <c r="V16" s="564">
        <v>5513</v>
      </c>
      <c r="W16" s="632">
        <v>5420</v>
      </c>
      <c r="X16" s="67" t="s">
        <v>76</v>
      </c>
    </row>
    <row r="17" spans="1:24" ht="12.75" customHeight="1">
      <c r="A17" s="8"/>
      <c r="B17" s="156" t="s">
        <v>67</v>
      </c>
      <c r="C17" s="426">
        <v>125200</v>
      </c>
      <c r="D17" s="427">
        <v>115228</v>
      </c>
      <c r="E17" s="662">
        <v>99728</v>
      </c>
      <c r="F17" s="566">
        <v>70115</v>
      </c>
      <c r="G17" s="566">
        <v>73146</v>
      </c>
      <c r="H17" s="566">
        <v>56900</v>
      </c>
      <c r="I17" s="566">
        <v>56175</v>
      </c>
      <c r="J17" s="566">
        <v>54598</v>
      </c>
      <c r="K17" s="635">
        <v>45730</v>
      </c>
      <c r="L17" s="566">
        <f>79+41106+5265</f>
        <v>46450</v>
      </c>
      <c r="M17" s="566">
        <f>79+41398</f>
        <v>41477</v>
      </c>
      <c r="N17" s="566">
        <f>79+40740</f>
        <v>40819</v>
      </c>
      <c r="O17" s="566">
        <f>79+38421</f>
        <v>38500</v>
      </c>
      <c r="P17" s="566">
        <v>30331</v>
      </c>
      <c r="Q17" s="566">
        <v>28493</v>
      </c>
      <c r="R17" s="566">
        <v>22140</v>
      </c>
      <c r="S17" s="566">
        <v>20625</v>
      </c>
      <c r="T17" s="566">
        <v>20515</v>
      </c>
      <c r="U17" s="566">
        <v>20270</v>
      </c>
      <c r="V17" s="566">
        <v>19079</v>
      </c>
      <c r="W17" s="644">
        <v>19079</v>
      </c>
      <c r="X17" s="359" t="s">
        <v>67</v>
      </c>
    </row>
    <row r="18" spans="1:24" ht="12.75" customHeight="1">
      <c r="A18" s="8"/>
      <c r="B18" s="402" t="s">
        <v>46</v>
      </c>
      <c r="C18" s="75" t="s">
        <v>75</v>
      </c>
      <c r="D18" s="76" t="s">
        <v>75</v>
      </c>
      <c r="E18" s="614" t="s">
        <v>75</v>
      </c>
      <c r="F18" s="614" t="s">
        <v>75</v>
      </c>
      <c r="G18" s="614" t="s">
        <v>75</v>
      </c>
      <c r="H18" s="614" t="s">
        <v>75</v>
      </c>
      <c r="I18" s="614" t="s">
        <v>75</v>
      </c>
      <c r="J18" s="614" t="s">
        <v>75</v>
      </c>
      <c r="K18" s="643" t="s">
        <v>75</v>
      </c>
      <c r="L18" s="614" t="s">
        <v>75</v>
      </c>
      <c r="M18" s="614" t="s">
        <v>75</v>
      </c>
      <c r="N18" s="614" t="s">
        <v>75</v>
      </c>
      <c r="O18" s="614" t="s">
        <v>75</v>
      </c>
      <c r="P18" s="614" t="s">
        <v>75</v>
      </c>
      <c r="Q18" s="614" t="s">
        <v>75</v>
      </c>
      <c r="R18" s="614" t="s">
        <v>75</v>
      </c>
      <c r="S18" s="614" t="s">
        <v>75</v>
      </c>
      <c r="T18" s="614" t="s">
        <v>75</v>
      </c>
      <c r="U18" s="614" t="s">
        <v>75</v>
      </c>
      <c r="V18" s="614" t="s">
        <v>75</v>
      </c>
      <c r="W18" s="643"/>
      <c r="X18" s="67" t="s">
        <v>46</v>
      </c>
    </row>
    <row r="19" spans="1:24" ht="12.75" customHeight="1">
      <c r="A19" s="8"/>
      <c r="B19" s="156" t="s">
        <v>50</v>
      </c>
      <c r="C19" s="426"/>
      <c r="D19" s="427"/>
      <c r="E19" s="566">
        <v>11085</v>
      </c>
      <c r="F19" s="566">
        <v>9146</v>
      </c>
      <c r="G19" s="566">
        <v>8105</v>
      </c>
      <c r="H19" s="566">
        <v>7911</v>
      </c>
      <c r="I19" s="566">
        <v>7952</v>
      </c>
      <c r="J19" s="566">
        <v>8706</v>
      </c>
      <c r="K19" s="635">
        <v>8871</v>
      </c>
      <c r="L19" s="566">
        <v>8848</v>
      </c>
      <c r="M19" s="566">
        <v>8891</v>
      </c>
      <c r="N19" s="566">
        <v>8796</v>
      </c>
      <c r="O19" s="566">
        <v>9493</v>
      </c>
      <c r="P19" s="566">
        <v>9033</v>
      </c>
      <c r="Q19" s="566">
        <v>9221</v>
      </c>
      <c r="R19" s="566">
        <v>9602</v>
      </c>
      <c r="S19" s="566">
        <v>9992</v>
      </c>
      <c r="T19" s="566">
        <v>10239</v>
      </c>
      <c r="U19" s="566">
        <v>9807</v>
      </c>
      <c r="V19" s="566">
        <v>8896</v>
      </c>
      <c r="W19" s="635">
        <v>8769</v>
      </c>
      <c r="X19" s="359" t="s">
        <v>50</v>
      </c>
    </row>
    <row r="20" spans="1:24" ht="12.75" customHeight="1">
      <c r="A20" s="8"/>
      <c r="B20" s="402" t="s">
        <v>51</v>
      </c>
      <c r="C20" s="78"/>
      <c r="D20" s="77"/>
      <c r="E20" s="610">
        <v>12860</v>
      </c>
      <c r="F20" s="564">
        <v>13155</v>
      </c>
      <c r="G20" s="564">
        <v>12509</v>
      </c>
      <c r="H20" s="564">
        <v>12391</v>
      </c>
      <c r="I20" s="564">
        <v>12144</v>
      </c>
      <c r="J20" s="564">
        <v>13134</v>
      </c>
      <c r="K20" s="632">
        <v>13192</v>
      </c>
      <c r="L20" s="564">
        <f>9358+29+4006</f>
        <v>13393</v>
      </c>
      <c r="M20" s="564">
        <f>9457+29</f>
        <v>9486</v>
      </c>
      <c r="N20" s="564">
        <f>9638+10</f>
        <v>9648</v>
      </c>
      <c r="O20" s="564">
        <f>9551+10</f>
        <v>9561</v>
      </c>
      <c r="P20" s="564">
        <v>9238</v>
      </c>
      <c r="Q20" s="564">
        <v>9212</v>
      </c>
      <c r="R20" s="564">
        <v>9112</v>
      </c>
      <c r="S20" s="564">
        <v>9202</v>
      </c>
      <c r="T20" s="564">
        <v>8784</v>
      </c>
      <c r="U20" s="564">
        <v>8574</v>
      </c>
      <c r="V20" s="564">
        <v>8333</v>
      </c>
      <c r="W20" s="632">
        <v>8131</v>
      </c>
      <c r="X20" s="67" t="s">
        <v>51</v>
      </c>
    </row>
    <row r="21" spans="1:24" ht="12.75" customHeight="1">
      <c r="A21" s="8"/>
      <c r="B21" s="156" t="s">
        <v>68</v>
      </c>
      <c r="C21" s="426">
        <v>4230</v>
      </c>
      <c r="D21" s="427">
        <v>3650</v>
      </c>
      <c r="E21" s="566">
        <v>2719</v>
      </c>
      <c r="F21" s="566">
        <v>2626</v>
      </c>
      <c r="G21" s="566">
        <v>2878</v>
      </c>
      <c r="H21" s="566">
        <v>3092</v>
      </c>
      <c r="I21" s="566">
        <v>3328</v>
      </c>
      <c r="J21" s="566">
        <v>3206</v>
      </c>
      <c r="K21" s="635">
        <v>3222</v>
      </c>
      <c r="L21" s="566">
        <f>3332+124</f>
        <v>3456</v>
      </c>
      <c r="M21" s="566">
        <v>3526</v>
      </c>
      <c r="N21" s="566">
        <v>3836</v>
      </c>
      <c r="O21" s="566">
        <v>3895</v>
      </c>
      <c r="P21" s="566">
        <v>4147</v>
      </c>
      <c r="Q21" s="566">
        <v>4005</v>
      </c>
      <c r="R21" s="566">
        <v>3603</v>
      </c>
      <c r="S21" s="566">
        <v>3255</v>
      </c>
      <c r="T21" s="566">
        <v>3184</v>
      </c>
      <c r="U21" s="566">
        <v>3006</v>
      </c>
      <c r="V21" s="566">
        <v>3043</v>
      </c>
      <c r="W21" s="635">
        <v>3117</v>
      </c>
      <c r="X21" s="359" t="s">
        <v>68</v>
      </c>
    </row>
    <row r="22" spans="1:24" ht="12.75" customHeight="1">
      <c r="A22" s="8"/>
      <c r="B22" s="402" t="s">
        <v>49</v>
      </c>
      <c r="C22" s="78"/>
      <c r="D22" s="77"/>
      <c r="E22" s="564"/>
      <c r="F22" s="564">
        <v>23528</v>
      </c>
      <c r="G22" s="564">
        <v>22789</v>
      </c>
      <c r="H22" s="564">
        <v>21819</v>
      </c>
      <c r="I22" s="564">
        <v>22178</v>
      </c>
      <c r="J22" s="564">
        <v>19783</v>
      </c>
      <c r="K22" s="632">
        <v>19130</v>
      </c>
      <c r="L22" s="564">
        <f>95+13080+649</f>
        <v>13824</v>
      </c>
      <c r="M22" s="564">
        <f>95+11624</f>
        <v>11719</v>
      </c>
      <c r="N22" s="564">
        <f>1+95+11670</f>
        <v>11766</v>
      </c>
      <c r="O22" s="564">
        <v>10683</v>
      </c>
      <c r="P22" s="564">
        <v>11357</v>
      </c>
      <c r="Q22" s="564">
        <v>12206</v>
      </c>
      <c r="R22" s="564">
        <v>11066</v>
      </c>
      <c r="S22" s="564">
        <v>10217</v>
      </c>
      <c r="T22" s="564">
        <v>9509</v>
      </c>
      <c r="U22" s="564">
        <v>8916</v>
      </c>
      <c r="V22" s="564">
        <v>9145</v>
      </c>
      <c r="W22" s="632">
        <v>8898</v>
      </c>
      <c r="X22" s="67" t="s">
        <v>49</v>
      </c>
    </row>
    <row r="23" spans="1:24" ht="12.75" customHeight="1">
      <c r="A23" s="8"/>
      <c r="B23" s="156" t="s">
        <v>52</v>
      </c>
      <c r="C23" s="428" t="s">
        <v>75</v>
      </c>
      <c r="D23" s="429" t="s">
        <v>75</v>
      </c>
      <c r="E23" s="624" t="s">
        <v>75</v>
      </c>
      <c r="F23" s="624" t="s">
        <v>75</v>
      </c>
      <c r="G23" s="624" t="s">
        <v>75</v>
      </c>
      <c r="H23" s="624" t="s">
        <v>75</v>
      </c>
      <c r="I23" s="624" t="s">
        <v>75</v>
      </c>
      <c r="J23" s="624" t="s">
        <v>75</v>
      </c>
      <c r="K23" s="645" t="s">
        <v>75</v>
      </c>
      <c r="L23" s="624" t="s">
        <v>75</v>
      </c>
      <c r="M23" s="624" t="s">
        <v>75</v>
      </c>
      <c r="N23" s="624" t="s">
        <v>75</v>
      </c>
      <c r="O23" s="624" t="s">
        <v>75</v>
      </c>
      <c r="P23" s="624" t="s">
        <v>75</v>
      </c>
      <c r="Q23" s="624" t="s">
        <v>75</v>
      </c>
      <c r="R23" s="624" t="s">
        <v>75</v>
      </c>
      <c r="S23" s="624" t="s">
        <v>75</v>
      </c>
      <c r="T23" s="624" t="s">
        <v>75</v>
      </c>
      <c r="U23" s="624" t="s">
        <v>75</v>
      </c>
      <c r="V23" s="624" t="s">
        <v>75</v>
      </c>
      <c r="W23" s="449" t="s">
        <v>75</v>
      </c>
      <c r="X23" s="359" t="s">
        <v>52</v>
      </c>
    </row>
    <row r="24" spans="1:24" ht="12.75" customHeight="1">
      <c r="A24" s="8"/>
      <c r="B24" s="402" t="s">
        <v>60</v>
      </c>
      <c r="C24" s="78">
        <v>18750</v>
      </c>
      <c r="D24" s="77">
        <v>11355</v>
      </c>
      <c r="E24" s="564">
        <v>6697</v>
      </c>
      <c r="F24" s="564">
        <v>4700</v>
      </c>
      <c r="G24" s="564">
        <v>3331</v>
      </c>
      <c r="H24" s="564">
        <v>2099</v>
      </c>
      <c r="I24" s="610">
        <v>1807</v>
      </c>
      <c r="J24" s="610"/>
      <c r="K24" s="630"/>
      <c r="L24" s="610"/>
      <c r="M24" s="610"/>
      <c r="N24" s="610"/>
      <c r="O24" s="610"/>
      <c r="P24" s="610"/>
      <c r="Q24" s="610"/>
      <c r="R24" s="610"/>
      <c r="S24" s="610"/>
      <c r="T24" s="610"/>
      <c r="U24" s="610"/>
      <c r="V24" s="610"/>
      <c r="W24" s="630"/>
      <c r="X24" s="67" t="s">
        <v>60</v>
      </c>
    </row>
    <row r="25" spans="1:24" ht="12.75" customHeight="1">
      <c r="A25" s="8"/>
      <c r="B25" s="156" t="s">
        <v>69</v>
      </c>
      <c r="C25" s="426">
        <v>39109</v>
      </c>
      <c r="D25" s="427">
        <v>38689</v>
      </c>
      <c r="E25" s="566">
        <v>34330</v>
      </c>
      <c r="F25" s="566">
        <v>23970</v>
      </c>
      <c r="G25" s="566">
        <v>24988</v>
      </c>
      <c r="H25" s="566">
        <v>24089</v>
      </c>
      <c r="I25" s="566">
        <v>22655</v>
      </c>
      <c r="J25" s="566">
        <v>22262</v>
      </c>
      <c r="K25" s="635">
        <v>22655</v>
      </c>
      <c r="L25" s="566">
        <f>67+16552+43+229</f>
        <v>16891</v>
      </c>
      <c r="M25" s="566">
        <f>59+18185+229</f>
        <v>18473</v>
      </c>
      <c r="N25" s="566">
        <f>56+30470</f>
        <v>30526</v>
      </c>
      <c r="O25" s="566">
        <f>52+27095</f>
        <v>27147</v>
      </c>
      <c r="P25" s="777">
        <v>21015</v>
      </c>
      <c r="Q25" s="566">
        <v>20684</v>
      </c>
      <c r="R25" s="566">
        <v>19706</v>
      </c>
      <c r="S25" s="566">
        <v>20108</v>
      </c>
      <c r="T25" s="566">
        <v>19771</v>
      </c>
      <c r="U25" s="566">
        <v>19294</v>
      </c>
      <c r="V25" s="566">
        <v>18817</v>
      </c>
      <c r="W25" s="635">
        <v>18619</v>
      </c>
      <c r="X25" s="359" t="s">
        <v>69</v>
      </c>
    </row>
    <row r="26" spans="1:24" ht="12.75" customHeight="1">
      <c r="A26" s="8"/>
      <c r="B26" s="402" t="s">
        <v>53</v>
      </c>
      <c r="C26" s="78">
        <v>229222</v>
      </c>
      <c r="D26" s="77">
        <v>231364</v>
      </c>
      <c r="E26" s="646">
        <v>275582</v>
      </c>
      <c r="F26" s="564">
        <v>130116</v>
      </c>
      <c r="G26" s="564">
        <v>130660</v>
      </c>
      <c r="H26" s="564">
        <v>119308</v>
      </c>
      <c r="I26" s="564">
        <v>111532</v>
      </c>
      <c r="J26" s="564">
        <v>107315</v>
      </c>
      <c r="K26" s="632">
        <v>103234</v>
      </c>
      <c r="L26" s="564">
        <v>103527</v>
      </c>
      <c r="M26" s="564">
        <v>104982</v>
      </c>
      <c r="N26" s="564">
        <v>101528</v>
      </c>
      <c r="O26" s="564">
        <v>95462</v>
      </c>
      <c r="P26" s="564">
        <v>89270</v>
      </c>
      <c r="Q26" s="564">
        <v>88928</v>
      </c>
      <c r="R26" s="564">
        <v>91483</v>
      </c>
      <c r="S26" s="564">
        <v>87726</v>
      </c>
      <c r="T26" s="564">
        <v>87538</v>
      </c>
      <c r="U26" s="564">
        <v>86364</v>
      </c>
      <c r="V26" s="564">
        <v>87598</v>
      </c>
      <c r="W26" s="632">
        <v>87696</v>
      </c>
      <c r="X26" s="67" t="s">
        <v>53</v>
      </c>
    </row>
    <row r="27" spans="1:24" ht="12.75" customHeight="1">
      <c r="A27" s="8"/>
      <c r="B27" s="156" t="s">
        <v>70</v>
      </c>
      <c r="C27" s="426">
        <v>9045</v>
      </c>
      <c r="D27" s="427">
        <v>5860</v>
      </c>
      <c r="E27" s="566">
        <v>4579</v>
      </c>
      <c r="F27" s="566">
        <v>4162</v>
      </c>
      <c r="G27" s="566">
        <v>4179</v>
      </c>
      <c r="H27" s="566">
        <v>4345</v>
      </c>
      <c r="I27" s="566">
        <v>3979</v>
      </c>
      <c r="J27" s="566">
        <v>3544</v>
      </c>
      <c r="K27" s="635">
        <v>3495</v>
      </c>
      <c r="L27" s="566">
        <f>2957+240</f>
        <v>3197</v>
      </c>
      <c r="M27" s="566">
        <v>2953</v>
      </c>
      <c r="N27" s="566">
        <v>3043</v>
      </c>
      <c r="O27" s="566"/>
      <c r="P27" s="566">
        <v>3194</v>
      </c>
      <c r="Q27" s="566">
        <v>3170</v>
      </c>
      <c r="R27" s="622">
        <v>3170</v>
      </c>
      <c r="S27" s="622">
        <v>3170</v>
      </c>
      <c r="T27" s="566">
        <v>3283</v>
      </c>
      <c r="U27" s="566">
        <v>3283</v>
      </c>
      <c r="V27" s="566">
        <v>3283</v>
      </c>
      <c r="W27" s="635">
        <v>3202</v>
      </c>
      <c r="X27" s="359" t="s">
        <v>70</v>
      </c>
    </row>
    <row r="28" spans="1:24" ht="12.75" customHeight="1">
      <c r="A28" s="8"/>
      <c r="B28" s="402" t="s">
        <v>54</v>
      </c>
      <c r="C28" s="78"/>
      <c r="D28" s="77">
        <v>144520</v>
      </c>
      <c r="E28" s="564">
        <v>166086</v>
      </c>
      <c r="F28" s="564">
        <v>117982</v>
      </c>
      <c r="G28" s="564">
        <v>96765</v>
      </c>
      <c r="H28" s="564">
        <v>101824</v>
      </c>
      <c r="I28" s="564">
        <v>75478</v>
      </c>
      <c r="J28" s="564">
        <v>64299</v>
      </c>
      <c r="K28" s="632">
        <v>65175</v>
      </c>
      <c r="L28" s="564">
        <f>50849+94+800+1232+450+11183+1308</f>
        <v>65916</v>
      </c>
      <c r="M28" s="564">
        <f>50151+1290+1625+550</f>
        <v>53616</v>
      </c>
      <c r="N28" s="564">
        <f>42925+1398+1735+220+585</f>
        <v>46863</v>
      </c>
      <c r="O28" s="564">
        <f>41754+2600+1719+220+585</f>
        <v>46878</v>
      </c>
      <c r="P28" s="564">
        <v>72605</v>
      </c>
      <c r="Q28" s="564">
        <v>69285</v>
      </c>
      <c r="R28" s="564">
        <v>72638</v>
      </c>
      <c r="S28" s="615">
        <f>36821+3571+1609+570</f>
        <v>42571</v>
      </c>
      <c r="T28" s="564">
        <f>32171+216+3512</f>
        <v>35899</v>
      </c>
      <c r="U28" s="564">
        <v>36858</v>
      </c>
      <c r="V28" s="564">
        <f>31413+30+4110</f>
        <v>35553</v>
      </c>
      <c r="W28" s="632">
        <f>29890+30+4255</f>
        <v>34175</v>
      </c>
      <c r="X28" s="67" t="s">
        <v>54</v>
      </c>
    </row>
    <row r="29" spans="1:24" ht="12.75" customHeight="1">
      <c r="A29" s="8"/>
      <c r="B29" s="156" t="s">
        <v>56</v>
      </c>
      <c r="C29" s="426"/>
      <c r="D29" s="427"/>
      <c r="E29" s="566">
        <v>8692</v>
      </c>
      <c r="F29" s="566">
        <v>6258</v>
      </c>
      <c r="G29" s="566">
        <v>5981</v>
      </c>
      <c r="H29" s="566">
        <v>5774</v>
      </c>
      <c r="I29" s="566">
        <v>4770</v>
      </c>
      <c r="J29" s="566">
        <v>4627</v>
      </c>
      <c r="K29" s="635">
        <v>4465</v>
      </c>
      <c r="L29" s="566">
        <f>3995+513</f>
        <v>4508</v>
      </c>
      <c r="M29" s="566">
        <v>3979</v>
      </c>
      <c r="N29" s="566">
        <v>3921</v>
      </c>
      <c r="O29" s="566">
        <v>3905</v>
      </c>
      <c r="P29" s="566">
        <v>3211</v>
      </c>
      <c r="Q29" s="566">
        <v>3142</v>
      </c>
      <c r="R29" s="566">
        <v>3120</v>
      </c>
      <c r="S29" s="566">
        <v>3142</v>
      </c>
      <c r="T29" s="566">
        <v>3148</v>
      </c>
      <c r="U29" s="566">
        <v>3049</v>
      </c>
      <c r="V29" s="566">
        <v>2992</v>
      </c>
      <c r="W29" s="635">
        <v>2779</v>
      </c>
      <c r="X29" s="359" t="s">
        <v>56</v>
      </c>
    </row>
    <row r="30" spans="1:24" ht="12.75" customHeight="1">
      <c r="A30" s="8"/>
      <c r="B30" s="402" t="s">
        <v>55</v>
      </c>
      <c r="C30" s="75"/>
      <c r="D30" s="76"/>
      <c r="E30" s="614"/>
      <c r="F30" s="564">
        <v>26975</v>
      </c>
      <c r="G30" s="564">
        <v>24587</v>
      </c>
      <c r="H30" s="564">
        <v>24796</v>
      </c>
      <c r="I30" s="564">
        <v>23973</v>
      </c>
      <c r="J30" s="564">
        <v>24936</v>
      </c>
      <c r="K30" s="632">
        <v>25515</v>
      </c>
      <c r="L30" s="564">
        <v>25989</v>
      </c>
      <c r="M30" s="564">
        <v>27538</v>
      </c>
      <c r="N30" s="564">
        <v>20820</v>
      </c>
      <c r="O30" s="564">
        <v>14534</v>
      </c>
      <c r="P30" s="564">
        <v>15260</v>
      </c>
      <c r="Q30" s="564">
        <v>15964</v>
      </c>
      <c r="R30" s="564">
        <v>16384</v>
      </c>
      <c r="S30" s="564">
        <v>15982</v>
      </c>
      <c r="T30" s="564">
        <v>14970</v>
      </c>
      <c r="U30" s="564">
        <v>15533</v>
      </c>
      <c r="V30" s="564">
        <v>15786</v>
      </c>
      <c r="W30" s="632">
        <v>15509</v>
      </c>
      <c r="X30" s="67" t="s">
        <v>55</v>
      </c>
    </row>
    <row r="31" spans="1:27" ht="12.75" customHeight="1">
      <c r="A31" s="8"/>
      <c r="B31" s="156" t="s">
        <v>71</v>
      </c>
      <c r="C31" s="426">
        <v>22835</v>
      </c>
      <c r="D31" s="427">
        <v>21472</v>
      </c>
      <c r="E31" s="566">
        <v>15200</v>
      </c>
      <c r="F31" s="566">
        <v>12630</v>
      </c>
      <c r="G31" s="566">
        <v>12259</v>
      </c>
      <c r="H31" s="566">
        <v>11842</v>
      </c>
      <c r="I31" s="566">
        <v>11627</v>
      </c>
      <c r="J31" s="566">
        <v>11738</v>
      </c>
      <c r="K31" s="635">
        <v>11216</v>
      </c>
      <c r="L31" s="566">
        <f>10971+53</f>
        <v>11024</v>
      </c>
      <c r="M31" s="566">
        <v>10790</v>
      </c>
      <c r="N31" s="566">
        <v>10934</v>
      </c>
      <c r="O31" s="566">
        <v>10524</v>
      </c>
      <c r="P31" s="566">
        <v>10464</v>
      </c>
      <c r="Q31" s="566">
        <v>10364</v>
      </c>
      <c r="R31" s="566">
        <v>9817</v>
      </c>
      <c r="S31" s="566">
        <v>9457</v>
      </c>
      <c r="T31" s="566">
        <v>9078</v>
      </c>
      <c r="U31" s="566">
        <v>8854</v>
      </c>
      <c r="V31" s="566">
        <v>8876</v>
      </c>
      <c r="W31" s="635">
        <v>8821</v>
      </c>
      <c r="X31" s="359" t="s">
        <v>71</v>
      </c>
      <c r="AA31" s="755"/>
    </row>
    <row r="32" spans="1:24" ht="12.75" customHeight="1">
      <c r="A32" s="8"/>
      <c r="B32" s="402" t="s">
        <v>72</v>
      </c>
      <c r="C32" s="78">
        <v>53394</v>
      </c>
      <c r="D32" s="77">
        <v>45890</v>
      </c>
      <c r="E32" s="564">
        <v>27470</v>
      </c>
      <c r="F32" s="564">
        <v>17596</v>
      </c>
      <c r="G32" s="564">
        <v>17600</v>
      </c>
      <c r="H32" s="564">
        <v>17674</v>
      </c>
      <c r="I32" s="564">
        <v>16909</v>
      </c>
      <c r="J32" s="564">
        <v>16832</v>
      </c>
      <c r="K32" s="632">
        <v>16637</v>
      </c>
      <c r="L32" s="564">
        <v>16407</v>
      </c>
      <c r="M32" s="564">
        <v>15896</v>
      </c>
      <c r="N32" s="564">
        <v>15735</v>
      </c>
      <c r="O32" s="564">
        <v>14797</v>
      </c>
      <c r="P32" s="564">
        <v>15166</v>
      </c>
      <c r="Q32" s="564">
        <v>14578</v>
      </c>
      <c r="R32" s="564"/>
      <c r="S32" s="564"/>
      <c r="T32" s="564"/>
      <c r="U32" s="564"/>
      <c r="V32" s="564"/>
      <c r="W32" s="632"/>
      <c r="X32" s="67" t="s">
        <v>72</v>
      </c>
    </row>
    <row r="33" spans="1:24" ht="12.75" customHeight="1">
      <c r="A33" s="8"/>
      <c r="B33" s="156" t="s">
        <v>61</v>
      </c>
      <c r="C33" s="426">
        <v>389807</v>
      </c>
      <c r="D33" s="427">
        <v>141170</v>
      </c>
      <c r="E33" s="566">
        <v>34403</v>
      </c>
      <c r="F33" s="566"/>
      <c r="G33" s="622">
        <v>19050</v>
      </c>
      <c r="H33" s="622">
        <v>19106</v>
      </c>
      <c r="I33" s="443"/>
      <c r="J33" s="443"/>
      <c r="K33" s="449"/>
      <c r="L33" s="443"/>
      <c r="M33" s="443"/>
      <c r="N33" s="443">
        <v>8284</v>
      </c>
      <c r="O33" s="443"/>
      <c r="P33" s="443"/>
      <c r="Q33" s="443"/>
      <c r="R33" s="443"/>
      <c r="S33" s="443"/>
      <c r="T33" s="443"/>
      <c r="U33" s="443"/>
      <c r="V33" s="453"/>
      <c r="W33" s="449"/>
      <c r="X33" s="359" t="s">
        <v>61</v>
      </c>
    </row>
    <row r="34" spans="1:24" ht="12.75" customHeight="1">
      <c r="A34" s="8"/>
      <c r="B34" s="401" t="s">
        <v>252</v>
      </c>
      <c r="C34" s="71"/>
      <c r="D34" s="654"/>
      <c r="E34" s="663"/>
      <c r="F34" s="663"/>
      <c r="G34" s="641"/>
      <c r="H34" s="641"/>
      <c r="I34" s="664"/>
      <c r="J34" s="664"/>
      <c r="K34" s="604"/>
      <c r="L34" s="664"/>
      <c r="M34" s="664"/>
      <c r="N34" s="664"/>
      <c r="O34" s="664"/>
      <c r="P34" s="664"/>
      <c r="Q34" s="664"/>
      <c r="R34" s="664"/>
      <c r="S34" s="664"/>
      <c r="T34" s="664"/>
      <c r="U34" s="664"/>
      <c r="V34" s="664"/>
      <c r="W34" s="960"/>
      <c r="X34" s="66" t="s">
        <v>252</v>
      </c>
    </row>
    <row r="35" spans="1:24" ht="12.75" customHeight="1">
      <c r="A35" s="8"/>
      <c r="B35" s="156" t="s">
        <v>240</v>
      </c>
      <c r="C35" s="426">
        <v>0</v>
      </c>
      <c r="D35" s="427">
        <v>12852</v>
      </c>
      <c r="E35" s="443" t="s">
        <v>75</v>
      </c>
      <c r="F35" s="443" t="s">
        <v>75</v>
      </c>
      <c r="G35" s="443" t="s">
        <v>75</v>
      </c>
      <c r="H35" s="443" t="s">
        <v>75</v>
      </c>
      <c r="I35" s="443" t="s">
        <v>75</v>
      </c>
      <c r="J35" s="443" t="s">
        <v>75</v>
      </c>
      <c r="K35" s="449" t="s">
        <v>75</v>
      </c>
      <c r="L35" s="443" t="s">
        <v>75</v>
      </c>
      <c r="M35" s="443" t="s">
        <v>75</v>
      </c>
      <c r="N35" s="443" t="s">
        <v>75</v>
      </c>
      <c r="O35" s="443" t="s">
        <v>75</v>
      </c>
      <c r="P35" s="443" t="s">
        <v>75</v>
      </c>
      <c r="Q35" s="443" t="s">
        <v>75</v>
      </c>
      <c r="R35" s="443" t="s">
        <v>75</v>
      </c>
      <c r="S35" s="443" t="s">
        <v>75</v>
      </c>
      <c r="T35" s="443" t="s">
        <v>75</v>
      </c>
      <c r="U35" s="443" t="s">
        <v>75</v>
      </c>
      <c r="V35" s="443" t="s">
        <v>75</v>
      </c>
      <c r="W35" s="449" t="s">
        <v>75</v>
      </c>
      <c r="X35" s="359" t="s">
        <v>240</v>
      </c>
    </row>
    <row r="36" spans="1:24" ht="12.75" customHeight="1">
      <c r="A36" s="8"/>
      <c r="B36" s="402" t="s">
        <v>1</v>
      </c>
      <c r="C36" s="78"/>
      <c r="D36" s="77"/>
      <c r="E36" s="564"/>
      <c r="F36" s="564"/>
      <c r="G36" s="564"/>
      <c r="H36" s="564"/>
      <c r="I36" s="564"/>
      <c r="J36" s="564">
        <v>1501</v>
      </c>
      <c r="K36" s="632">
        <v>1525</v>
      </c>
      <c r="L36" s="564">
        <v>1553</v>
      </c>
      <c r="M36" s="564">
        <v>1498</v>
      </c>
      <c r="N36" s="564">
        <v>1498</v>
      </c>
      <c r="O36" s="564">
        <v>1323</v>
      </c>
      <c r="P36" s="564">
        <v>1144</v>
      </c>
      <c r="Q36" s="564">
        <v>1007</v>
      </c>
      <c r="R36" s="564">
        <v>1011</v>
      </c>
      <c r="S36" s="610">
        <v>1011</v>
      </c>
      <c r="T36" s="610">
        <v>1011</v>
      </c>
      <c r="U36" s="564">
        <v>1161</v>
      </c>
      <c r="V36" s="564">
        <v>1281</v>
      </c>
      <c r="W36" s="632">
        <v>1289</v>
      </c>
      <c r="X36" s="67" t="s">
        <v>1</v>
      </c>
    </row>
    <row r="37" spans="1:24" ht="12.75" customHeight="1">
      <c r="A37" s="8"/>
      <c r="B37" s="156" t="s">
        <v>239</v>
      </c>
      <c r="C37" s="426"/>
      <c r="D37" s="427"/>
      <c r="E37" s="566"/>
      <c r="F37" s="566"/>
      <c r="G37" s="566"/>
      <c r="H37" s="566"/>
      <c r="I37" s="566"/>
      <c r="J37" s="566"/>
      <c r="K37" s="635"/>
      <c r="L37" s="566"/>
      <c r="M37" s="566"/>
      <c r="N37" s="566"/>
      <c r="O37" s="566"/>
      <c r="P37" s="566"/>
      <c r="Q37" s="566">
        <v>8447</v>
      </c>
      <c r="R37" s="566">
        <v>8449</v>
      </c>
      <c r="S37" s="566">
        <v>8452</v>
      </c>
      <c r="T37" s="566">
        <v>8486</v>
      </c>
      <c r="U37" s="566">
        <v>8486</v>
      </c>
      <c r="V37" s="566">
        <v>7277</v>
      </c>
      <c r="W37" s="635">
        <v>6781</v>
      </c>
      <c r="X37" s="359" t="s">
        <v>239</v>
      </c>
    </row>
    <row r="38" spans="1:24" ht="12.75" customHeight="1">
      <c r="A38" s="8"/>
      <c r="B38" s="402" t="s">
        <v>57</v>
      </c>
      <c r="C38" s="80">
        <v>17374</v>
      </c>
      <c r="D38" s="79">
        <v>23228</v>
      </c>
      <c r="E38" s="442">
        <v>21941</v>
      </c>
      <c r="F38" s="564">
        <v>17872</v>
      </c>
      <c r="G38" s="564">
        <v>17571</v>
      </c>
      <c r="H38" s="564">
        <v>17030</v>
      </c>
      <c r="I38" s="564">
        <v>16841</v>
      </c>
      <c r="J38" s="564">
        <v>16004</v>
      </c>
      <c r="K38" s="632">
        <v>17499</v>
      </c>
      <c r="L38" s="564">
        <f>16320+1909</f>
        <v>18229</v>
      </c>
      <c r="M38" s="564">
        <v>17041</v>
      </c>
      <c r="N38" s="564">
        <v>17079</v>
      </c>
      <c r="O38" s="564">
        <v>17607</v>
      </c>
      <c r="P38" s="564">
        <v>17773</v>
      </c>
      <c r="Q38" s="564">
        <v>18200</v>
      </c>
      <c r="R38" s="564">
        <v>18167</v>
      </c>
      <c r="S38" s="564">
        <v>18607</v>
      </c>
      <c r="T38" s="564">
        <v>18967</v>
      </c>
      <c r="U38" s="564">
        <v>19077</v>
      </c>
      <c r="V38" s="564">
        <v>19570</v>
      </c>
      <c r="W38" s="637">
        <v>15979</v>
      </c>
      <c r="X38" s="67" t="s">
        <v>57</v>
      </c>
    </row>
    <row r="39" spans="1:24" ht="12.75" customHeight="1">
      <c r="A39" s="8"/>
      <c r="B39" s="155" t="s">
        <v>43</v>
      </c>
      <c r="C39" s="655" t="s">
        <v>75</v>
      </c>
      <c r="D39" s="656" t="s">
        <v>75</v>
      </c>
      <c r="E39" s="665" t="s">
        <v>75</v>
      </c>
      <c r="F39" s="665" t="s">
        <v>75</v>
      </c>
      <c r="G39" s="665" t="s">
        <v>75</v>
      </c>
      <c r="H39" s="665" t="s">
        <v>75</v>
      </c>
      <c r="I39" s="665" t="s">
        <v>75</v>
      </c>
      <c r="J39" s="665" t="s">
        <v>75</v>
      </c>
      <c r="K39" s="666" t="s">
        <v>75</v>
      </c>
      <c r="L39" s="665" t="s">
        <v>75</v>
      </c>
      <c r="M39" s="665" t="s">
        <v>75</v>
      </c>
      <c r="N39" s="665" t="s">
        <v>75</v>
      </c>
      <c r="O39" s="665" t="s">
        <v>75</v>
      </c>
      <c r="P39" s="665" t="s">
        <v>75</v>
      </c>
      <c r="Q39" s="665" t="s">
        <v>75</v>
      </c>
      <c r="R39" s="667" t="s">
        <v>75</v>
      </c>
      <c r="S39" s="667" t="s">
        <v>75</v>
      </c>
      <c r="T39" s="667" t="s">
        <v>75</v>
      </c>
      <c r="U39" s="667" t="s">
        <v>75</v>
      </c>
      <c r="V39" s="667" t="s">
        <v>75</v>
      </c>
      <c r="W39" s="449" t="s">
        <v>75</v>
      </c>
      <c r="X39" s="439" t="s">
        <v>43</v>
      </c>
    </row>
    <row r="40" spans="1:24" ht="12.75" customHeight="1">
      <c r="A40" s="8"/>
      <c r="B40" s="402" t="s">
        <v>73</v>
      </c>
      <c r="C40" s="78"/>
      <c r="D40" s="77"/>
      <c r="E40" s="564"/>
      <c r="F40" s="564"/>
      <c r="G40" s="564">
        <v>2741</v>
      </c>
      <c r="H40" s="564"/>
      <c r="I40" s="564"/>
      <c r="J40" s="564"/>
      <c r="K40" s="632"/>
      <c r="L40" s="564"/>
      <c r="M40" s="564"/>
      <c r="N40" s="564"/>
      <c r="O40" s="564"/>
      <c r="P40" s="564"/>
      <c r="Q40" s="564"/>
      <c r="R40" s="564"/>
      <c r="S40" s="564"/>
      <c r="T40" s="564"/>
      <c r="U40" s="564"/>
      <c r="V40" s="564"/>
      <c r="W40" s="632"/>
      <c r="X40" s="67" t="s">
        <v>73</v>
      </c>
    </row>
    <row r="41" spans="1:24" ht="12.75" customHeight="1">
      <c r="A41" s="8"/>
      <c r="B41" s="156" t="s">
        <v>44</v>
      </c>
      <c r="C41" s="431">
        <v>32545</v>
      </c>
      <c r="D41" s="430">
        <v>31417</v>
      </c>
      <c r="E41" s="626">
        <v>27104</v>
      </c>
      <c r="F41" s="566">
        <v>19894</v>
      </c>
      <c r="G41" s="566">
        <v>20394</v>
      </c>
      <c r="H41" s="566">
        <v>19553</v>
      </c>
      <c r="I41" s="566">
        <v>19497</v>
      </c>
      <c r="J41" s="566">
        <v>18917</v>
      </c>
      <c r="K41" s="636">
        <v>18339</v>
      </c>
      <c r="L41" s="626">
        <f>29+10888</f>
        <v>10917</v>
      </c>
      <c r="M41" s="626">
        <v>10464</v>
      </c>
      <c r="N41" s="626">
        <f>21+11495</f>
        <v>11516</v>
      </c>
      <c r="O41" s="626">
        <f>21+9121</f>
        <v>9142</v>
      </c>
      <c r="P41" s="626">
        <v>8794</v>
      </c>
      <c r="Q41" s="626">
        <v>8289</v>
      </c>
      <c r="R41" s="626">
        <v>7869</v>
      </c>
      <c r="S41" s="626">
        <v>7360</v>
      </c>
      <c r="T41" s="626">
        <v>6816</v>
      </c>
      <c r="U41" s="626">
        <f>6458+453</f>
        <v>6911</v>
      </c>
      <c r="V41" s="626">
        <f>419+5937</f>
        <v>6356</v>
      </c>
      <c r="W41" s="636">
        <f>408+5278</f>
        <v>5686</v>
      </c>
      <c r="X41" s="360" t="s">
        <v>44</v>
      </c>
    </row>
    <row r="42" spans="1:24" ht="12.75" customHeight="1">
      <c r="A42" s="8"/>
      <c r="B42" s="1022" t="s">
        <v>283</v>
      </c>
      <c r="C42" s="1022"/>
      <c r="D42" s="1022"/>
      <c r="E42" s="1022"/>
      <c r="F42" s="1022"/>
      <c r="G42" s="1022"/>
      <c r="H42" s="1022"/>
      <c r="I42" s="1022"/>
      <c r="J42" s="1022"/>
      <c r="K42" s="1022"/>
      <c r="L42" s="1022"/>
      <c r="M42" s="1022"/>
      <c r="N42" s="1022"/>
      <c r="O42" s="1022"/>
      <c r="P42" s="1022"/>
      <c r="Q42" s="1022"/>
      <c r="R42" s="1022"/>
      <c r="S42" s="1057"/>
      <c r="T42" s="1057"/>
      <c r="U42" s="1057"/>
      <c r="V42" s="1057"/>
      <c r="W42" s="1057"/>
      <c r="X42" s="1022"/>
    </row>
    <row r="43" spans="1:9" ht="12.75" customHeight="1">
      <c r="A43" s="8"/>
      <c r="B43" s="308" t="s">
        <v>0</v>
      </c>
      <c r="C43" s="319"/>
      <c r="D43" s="319"/>
      <c r="E43" s="319"/>
      <c r="F43" s="319"/>
      <c r="G43" s="319"/>
      <c r="H43" s="319"/>
      <c r="I43" s="319"/>
    </row>
    <row r="44" spans="2:9" ht="25.5" customHeight="1">
      <c r="B44" s="320" t="s">
        <v>105</v>
      </c>
      <c r="C44" s="324"/>
      <c r="D44" s="324"/>
      <c r="E44" s="324"/>
      <c r="F44" s="324"/>
      <c r="G44" s="324"/>
      <c r="H44" s="324"/>
      <c r="I44" s="324"/>
    </row>
  </sheetData>
  <sheetProtection/>
  <mergeCells count="3">
    <mergeCell ref="B2:X2"/>
    <mergeCell ref="B3:X3"/>
    <mergeCell ref="B42:X42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J45"/>
  <sheetViews>
    <sheetView zoomScalePageLayoutView="0" workbookViewId="0" topLeftCell="A25">
      <selection activeCell="AL8" sqref="AL8"/>
    </sheetView>
  </sheetViews>
  <sheetFormatPr defaultColWidth="9.140625" defaultRowHeight="12.75"/>
  <cols>
    <col min="1" max="1" width="3.7109375" style="766" customWidth="1"/>
    <col min="2" max="2" width="4.00390625" style="766" customWidth="1"/>
    <col min="3" max="4" width="5.7109375" style="766" hidden="1" customWidth="1"/>
    <col min="5" max="20" width="5.7109375" style="766" customWidth="1"/>
    <col min="21" max="32" width="6.00390625" style="766" customWidth="1"/>
    <col min="33" max="33" width="6.28125" style="766" bestFit="1" customWidth="1"/>
    <col min="34" max="34" width="1.8515625" style="766" customWidth="1"/>
    <col min="35" max="35" width="6.57421875" style="996" customWidth="1"/>
    <col min="36" max="36" width="6.57421875" style="766" customWidth="1"/>
    <col min="37" max="16384" width="9.140625" style="766" customWidth="1"/>
  </cols>
  <sheetData>
    <row r="1" spans="2:33" ht="14.25" customHeight="1">
      <c r="B1" s="1008"/>
      <c r="C1" s="1008"/>
      <c r="D1" s="978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AG1" s="981" t="s">
        <v>144</v>
      </c>
    </row>
    <row r="2" spans="2:35" s="411" customFormat="1" ht="30" customHeight="1">
      <c r="B2" s="1009" t="s">
        <v>139</v>
      </c>
      <c r="C2" s="1009"/>
      <c r="D2" s="1009"/>
      <c r="E2" s="1009"/>
      <c r="F2" s="1009"/>
      <c r="G2" s="1009"/>
      <c r="H2" s="1009"/>
      <c r="I2" s="1009"/>
      <c r="J2" s="1009"/>
      <c r="K2" s="1009"/>
      <c r="L2" s="1009"/>
      <c r="M2" s="1009"/>
      <c r="N2" s="1009"/>
      <c r="O2" s="1009"/>
      <c r="P2" s="1009"/>
      <c r="Q2" s="1009"/>
      <c r="R2" s="1009"/>
      <c r="S2" s="1009"/>
      <c r="T2" s="1009"/>
      <c r="U2" s="1009"/>
      <c r="V2" s="1009"/>
      <c r="W2" s="1009"/>
      <c r="X2" s="1009"/>
      <c r="Y2" s="1009"/>
      <c r="Z2" s="1009"/>
      <c r="AA2" s="1009"/>
      <c r="AB2" s="1009"/>
      <c r="AC2" s="1009"/>
      <c r="AD2" s="1009"/>
      <c r="AE2" s="1009"/>
      <c r="AF2" s="1009"/>
      <c r="AG2" s="1009"/>
      <c r="AH2" s="979"/>
      <c r="AI2" s="996"/>
    </row>
    <row r="3" spans="2:34" ht="18" customHeight="1">
      <c r="B3" s="1010" t="s">
        <v>10</v>
      </c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1010"/>
      <c r="P3" s="1010"/>
      <c r="Q3" s="1010"/>
      <c r="R3" s="1010"/>
      <c r="S3" s="1010"/>
      <c r="T3" s="1010"/>
      <c r="U3" s="1010"/>
      <c r="V3" s="1010"/>
      <c r="W3" s="1010"/>
      <c r="X3" s="1010"/>
      <c r="Y3" s="1010"/>
      <c r="Z3" s="1010"/>
      <c r="AA3" s="1010"/>
      <c r="AB3" s="1010"/>
      <c r="AC3" s="1010"/>
      <c r="AD3" s="1010"/>
      <c r="AE3" s="1010"/>
      <c r="AF3" s="1010"/>
      <c r="AG3" s="1010"/>
      <c r="AH3" s="980"/>
    </row>
    <row r="4" spans="2:36" ht="24.75" customHeight="1">
      <c r="B4" s="4"/>
      <c r="C4" s="103">
        <v>1970</v>
      </c>
      <c r="D4" s="103">
        <v>1980</v>
      </c>
      <c r="E4" s="53">
        <v>1990</v>
      </c>
      <c r="F4" s="961">
        <v>1991</v>
      </c>
      <c r="G4" s="961">
        <v>1992</v>
      </c>
      <c r="H4" s="961">
        <v>1993</v>
      </c>
      <c r="I4" s="961">
        <v>1994</v>
      </c>
      <c r="J4" s="961">
        <v>1995</v>
      </c>
      <c r="K4" s="961">
        <v>1996</v>
      </c>
      <c r="L4" s="961">
        <v>1997</v>
      </c>
      <c r="M4" s="961">
        <v>1998</v>
      </c>
      <c r="N4" s="961">
        <v>1999</v>
      </c>
      <c r="O4" s="961">
        <v>2000</v>
      </c>
      <c r="P4" s="961">
        <v>2001</v>
      </c>
      <c r="Q4" s="961">
        <v>2002</v>
      </c>
      <c r="R4" s="961">
        <v>2003</v>
      </c>
      <c r="S4" s="961">
        <v>2004</v>
      </c>
      <c r="T4" s="961">
        <v>2005</v>
      </c>
      <c r="U4" s="961">
        <v>2006</v>
      </c>
      <c r="V4" s="961">
        <v>2007</v>
      </c>
      <c r="W4" s="961">
        <v>2008</v>
      </c>
      <c r="X4" s="961">
        <v>2009</v>
      </c>
      <c r="Y4" s="961">
        <v>2010</v>
      </c>
      <c r="Z4" s="961">
        <v>2011</v>
      </c>
      <c r="AA4" s="961">
        <v>2012</v>
      </c>
      <c r="AB4" s="961">
        <v>2013</v>
      </c>
      <c r="AC4" s="961">
        <v>2014</v>
      </c>
      <c r="AD4" s="961">
        <v>2015</v>
      </c>
      <c r="AE4" s="776">
        <v>2016</v>
      </c>
      <c r="AF4" s="982">
        <v>2017</v>
      </c>
      <c r="AG4" s="400"/>
      <c r="AH4" s="400"/>
      <c r="AI4" s="733" t="s">
        <v>299</v>
      </c>
      <c r="AJ4" s="139"/>
    </row>
    <row r="5" spans="2:36" ht="12.75" customHeight="1">
      <c r="B5" s="988" t="s">
        <v>253</v>
      </c>
      <c r="C5" s="989"/>
      <c r="D5" s="989"/>
      <c r="E5" s="990">
        <v>342.10172685563293</v>
      </c>
      <c r="F5" s="991">
        <v>351.4553748590437</v>
      </c>
      <c r="G5" s="991">
        <v>359.5165434458239</v>
      </c>
      <c r="H5" s="991">
        <v>364.5571859870518</v>
      </c>
      <c r="I5" s="991">
        <v>370.4063830615904</v>
      </c>
      <c r="J5" s="992">
        <v>377.03585485846224</v>
      </c>
      <c r="K5" s="992">
        <v>385.3329262190741</v>
      </c>
      <c r="L5" s="992">
        <v>384.0701692241485</v>
      </c>
      <c r="M5" s="992">
        <v>393.5462947628502</v>
      </c>
      <c r="N5" s="992">
        <v>404.3786090143256</v>
      </c>
      <c r="O5" s="992">
        <v>413.7160043660202</v>
      </c>
      <c r="P5" s="992">
        <v>422.85023062679136</v>
      </c>
      <c r="Q5" s="992">
        <v>429.7841239899985</v>
      </c>
      <c r="R5" s="992">
        <v>434.02308300510543</v>
      </c>
      <c r="S5" s="992">
        <v>439.22126367424255</v>
      </c>
      <c r="T5" s="992">
        <v>446.3971317569885</v>
      </c>
      <c r="U5" s="992">
        <v>453.3223814472294</v>
      </c>
      <c r="V5" s="992">
        <v>461.76742167487527</v>
      </c>
      <c r="W5" s="992">
        <v>468.8015830461231</v>
      </c>
      <c r="X5" s="992">
        <v>472.150239901329</v>
      </c>
      <c r="Y5" s="992">
        <v>480.46609071401144</v>
      </c>
      <c r="Z5" s="992">
        <v>485.0686868363186</v>
      </c>
      <c r="AA5" s="992">
        <v>487.768344272746</v>
      </c>
      <c r="AB5" s="992">
        <v>490.0451080649419</v>
      </c>
      <c r="AC5" s="992">
        <v>493.0251174311026</v>
      </c>
      <c r="AD5" s="140">
        <v>499.3205932674904</v>
      </c>
      <c r="AE5" s="984">
        <v>507.4311528652069</v>
      </c>
      <c r="AF5" s="798">
        <v>515.6611823986423</v>
      </c>
      <c r="AG5" s="988" t="s">
        <v>253</v>
      </c>
      <c r="AH5" s="402"/>
      <c r="AI5" s="997">
        <f>AF5/AE5-1</f>
        <v>0.0162190072228805</v>
      </c>
      <c r="AJ5" s="120"/>
    </row>
    <row r="6" spans="2:36" ht="12.75" customHeight="1">
      <c r="B6" s="993" t="s">
        <v>62</v>
      </c>
      <c r="C6" s="994">
        <v>213.4108331785989</v>
      </c>
      <c r="D6" s="994">
        <v>320.24913584337367</v>
      </c>
      <c r="E6" s="995">
        <v>386.91986312171605</v>
      </c>
      <c r="F6" s="597">
        <v>396.1286358397433</v>
      </c>
      <c r="G6" s="597">
        <v>399.37153361946514</v>
      </c>
      <c r="H6" s="597">
        <v>406.8657690791793</v>
      </c>
      <c r="I6" s="597">
        <v>415.59313420937457</v>
      </c>
      <c r="J6" s="597">
        <v>421.3182685636772</v>
      </c>
      <c r="K6" s="597">
        <v>426.6602335090685</v>
      </c>
      <c r="L6" s="597">
        <v>433.2053212122449</v>
      </c>
      <c r="M6" s="597">
        <v>439.7731607346645</v>
      </c>
      <c r="N6" s="597">
        <v>447.65865309253707</v>
      </c>
      <c r="O6" s="597">
        <v>455.83038938115527</v>
      </c>
      <c r="P6" s="597">
        <v>459.7455315248467</v>
      </c>
      <c r="Q6" s="597">
        <v>462.2857393371318</v>
      </c>
      <c r="R6" s="597">
        <v>463.7045767961879</v>
      </c>
      <c r="S6" s="597">
        <v>466.63747485604813</v>
      </c>
      <c r="T6" s="597">
        <v>467.9255306295595</v>
      </c>
      <c r="U6" s="597">
        <v>470.14691435636183</v>
      </c>
      <c r="V6" s="597">
        <v>472.6875729009814</v>
      </c>
      <c r="W6" s="597">
        <v>476.51203190155746</v>
      </c>
      <c r="X6" s="597">
        <v>478.9446032968001</v>
      </c>
      <c r="Y6" s="597">
        <v>479.57309385146567</v>
      </c>
      <c r="Z6" s="597">
        <v>488.11991525014383</v>
      </c>
      <c r="AA6" s="597">
        <v>488.4868648463356</v>
      </c>
      <c r="AB6" s="597">
        <v>492.3430618808605</v>
      </c>
      <c r="AC6" s="597">
        <v>495.9007851904297</v>
      </c>
      <c r="AD6" s="597">
        <v>500.5467629766362</v>
      </c>
      <c r="AE6" s="597">
        <v>504.8549000517719</v>
      </c>
      <c r="AF6" s="146">
        <v>508.7471791464716</v>
      </c>
      <c r="AG6" s="993" t="s">
        <v>62</v>
      </c>
      <c r="AH6" s="402"/>
      <c r="AI6" s="880">
        <f aca="true" t="shared" si="0" ref="AI6:AI42">AE6/AD6-1</f>
        <v>0.008606862322944941</v>
      </c>
      <c r="AJ6" s="120"/>
    </row>
    <row r="7" spans="2:36" ht="12.75" customHeight="1">
      <c r="B7" s="408" t="s">
        <v>45</v>
      </c>
      <c r="C7" s="141">
        <v>18.79062812724497</v>
      </c>
      <c r="D7" s="141">
        <v>92.37717103250189</v>
      </c>
      <c r="E7" s="142">
        <v>151.96206277599646</v>
      </c>
      <c r="F7" s="143">
        <v>158.10662948426872</v>
      </c>
      <c r="G7" s="143">
        <v>166.3315011686105</v>
      </c>
      <c r="H7" s="143">
        <v>177.95427602404465</v>
      </c>
      <c r="I7" s="143">
        <v>188.41749631975063</v>
      </c>
      <c r="J7" s="143">
        <v>196.49695904989017</v>
      </c>
      <c r="K7" s="143">
        <v>204.65604819411155</v>
      </c>
      <c r="L7" s="143">
        <v>208.9175680896272</v>
      </c>
      <c r="M7" s="143">
        <v>219.83820656444283</v>
      </c>
      <c r="N7" s="143">
        <v>232.99095237188308</v>
      </c>
      <c r="O7" s="143">
        <v>244.51902872678315</v>
      </c>
      <c r="P7" s="143">
        <v>265.05897012447235</v>
      </c>
      <c r="Q7" s="143">
        <v>278.5341526865779</v>
      </c>
      <c r="R7" s="143">
        <v>298.16089998033607</v>
      </c>
      <c r="S7" s="143">
        <v>317.1459775435572</v>
      </c>
      <c r="T7" s="143">
        <v>332.67382068587307</v>
      </c>
      <c r="U7" s="386">
        <v>233.43699113906013</v>
      </c>
      <c r="V7" s="143">
        <v>276.87103568208676</v>
      </c>
      <c r="W7" s="143">
        <v>316.88205317204665</v>
      </c>
      <c r="X7" s="143">
        <v>337.1165299471851</v>
      </c>
      <c r="Y7" s="143">
        <v>353.1344550210186</v>
      </c>
      <c r="Z7" s="143">
        <v>367.8064161816262</v>
      </c>
      <c r="AA7" s="143">
        <v>385.33598222649795</v>
      </c>
      <c r="AB7" s="143">
        <v>401.64638859833246</v>
      </c>
      <c r="AC7" s="143">
        <v>418.4694727915006</v>
      </c>
      <c r="AD7" s="143">
        <v>442.00384020540736</v>
      </c>
      <c r="AE7" s="143">
        <v>442.63058447091106</v>
      </c>
      <c r="AF7" s="143">
        <v>392.9910125256133</v>
      </c>
      <c r="AG7" s="408" t="s">
        <v>45</v>
      </c>
      <c r="AH7" s="402"/>
      <c r="AI7" s="881">
        <f t="shared" si="0"/>
        <v>0.0014179611317686192</v>
      </c>
      <c r="AJ7" s="120"/>
    </row>
    <row r="8" spans="1:36" ht="12.75" customHeight="1">
      <c r="A8" s="8"/>
      <c r="B8" s="402" t="s">
        <v>47</v>
      </c>
      <c r="C8" s="144">
        <v>69.82907778622864</v>
      </c>
      <c r="D8" s="144">
        <v>172.9378161276561</v>
      </c>
      <c r="E8" s="145">
        <v>233.87597411526707</v>
      </c>
      <c r="F8" s="146">
        <v>240.4837291424001</v>
      </c>
      <c r="G8" s="146">
        <v>249.86206742266407</v>
      </c>
      <c r="H8" s="146">
        <v>274.15709657032556</v>
      </c>
      <c r="I8" s="146">
        <v>282.9643320180533</v>
      </c>
      <c r="J8" s="146">
        <v>294.85656131604566</v>
      </c>
      <c r="K8" s="146">
        <v>309.67985002042366</v>
      </c>
      <c r="L8" s="146">
        <v>329.3038000801039</v>
      </c>
      <c r="M8" s="146">
        <v>339.46449533952705</v>
      </c>
      <c r="N8" s="146">
        <v>334.6674647390986</v>
      </c>
      <c r="O8" s="146">
        <v>336.08883166551453</v>
      </c>
      <c r="P8" s="146">
        <v>346.01784381456974</v>
      </c>
      <c r="Q8" s="146">
        <v>357.8134594843794</v>
      </c>
      <c r="R8" s="146">
        <v>363.500330101565</v>
      </c>
      <c r="S8" s="146">
        <v>374.11523156275877</v>
      </c>
      <c r="T8" s="146">
        <v>387.2135946156614</v>
      </c>
      <c r="U8" s="146">
        <v>400.6745311911676</v>
      </c>
      <c r="V8" s="146">
        <v>413.79738736367904</v>
      </c>
      <c r="W8" s="146">
        <v>424.2722105380479</v>
      </c>
      <c r="X8" s="146">
        <v>423.91652603189726</v>
      </c>
      <c r="Y8" s="146">
        <v>428.754394481941</v>
      </c>
      <c r="Z8" s="146">
        <v>436.12069740977176</v>
      </c>
      <c r="AA8" s="146">
        <v>447.50323907332785</v>
      </c>
      <c r="AB8" s="146">
        <v>449.86648648612663</v>
      </c>
      <c r="AC8" s="146">
        <v>458.6505856034313</v>
      </c>
      <c r="AD8" s="146">
        <v>484.68752093431743</v>
      </c>
      <c r="AE8" s="146">
        <v>501.7391353667044</v>
      </c>
      <c r="AF8" s="146">
        <v>521.9577089845435</v>
      </c>
      <c r="AG8" s="402" t="s">
        <v>47</v>
      </c>
      <c r="AH8" s="402"/>
      <c r="AI8" s="880">
        <f t="shared" si="0"/>
        <v>0.03518063431779117</v>
      </c>
      <c r="AJ8" s="120"/>
    </row>
    <row r="9" spans="1:36" ht="12.75" customHeight="1">
      <c r="A9" s="8"/>
      <c r="B9" s="408" t="s">
        <v>58</v>
      </c>
      <c r="C9" s="141">
        <v>217.5242263661885</v>
      </c>
      <c r="D9" s="141">
        <v>271.2730257617649</v>
      </c>
      <c r="E9" s="142">
        <v>308.9496895832852</v>
      </c>
      <c r="F9" s="143">
        <v>308.7875034433487</v>
      </c>
      <c r="G9" s="143">
        <v>309.6260404654738</v>
      </c>
      <c r="H9" s="143">
        <v>311.3037226732186</v>
      </c>
      <c r="I9" s="143">
        <v>308.91068113728545</v>
      </c>
      <c r="J9" s="143">
        <v>319.748308283313</v>
      </c>
      <c r="K9" s="143">
        <v>329.63300747035</v>
      </c>
      <c r="L9" s="143">
        <v>336.7601787393812</v>
      </c>
      <c r="M9" s="143">
        <v>341.98187021661676</v>
      </c>
      <c r="N9" s="143">
        <v>345.82496876184325</v>
      </c>
      <c r="O9" s="143">
        <v>346.60432228148744</v>
      </c>
      <c r="P9" s="143">
        <v>348.82777849597846</v>
      </c>
      <c r="Q9" s="143">
        <v>350.75462890639875</v>
      </c>
      <c r="R9" s="143">
        <v>351.0143321896236</v>
      </c>
      <c r="S9" s="143">
        <v>354.0339338859316</v>
      </c>
      <c r="T9" s="143">
        <v>361.9892844883766</v>
      </c>
      <c r="U9" s="143">
        <v>370.84300517487884</v>
      </c>
      <c r="V9" s="143">
        <v>377.7523649094715</v>
      </c>
      <c r="W9" s="143">
        <v>380.8597772165624</v>
      </c>
      <c r="X9" s="143">
        <v>383.0934725365501</v>
      </c>
      <c r="Y9" s="143">
        <v>389.10623044735235</v>
      </c>
      <c r="Z9" s="143">
        <v>393.84010367500065</v>
      </c>
      <c r="AA9" s="143">
        <v>399.29868625937684</v>
      </c>
      <c r="AB9" s="143">
        <v>404.8384330848099</v>
      </c>
      <c r="AC9" s="143">
        <v>411.60694487266585</v>
      </c>
      <c r="AD9" s="143">
        <v>418.90973430115474</v>
      </c>
      <c r="AE9" s="143">
        <v>428.88103522684594</v>
      </c>
      <c r="AF9" s="143">
        <v>437.6261634715344</v>
      </c>
      <c r="AG9" s="408" t="s">
        <v>58</v>
      </c>
      <c r="AH9" s="402"/>
      <c r="AI9" s="881">
        <f t="shared" si="0"/>
        <v>0.02380298214441301</v>
      </c>
      <c r="AJ9" s="120"/>
    </row>
    <row r="10" spans="1:36" ht="12.75" customHeight="1">
      <c r="A10" s="8"/>
      <c r="B10" s="402" t="s">
        <v>63</v>
      </c>
      <c r="C10" s="144">
        <v>193.50812395552978</v>
      </c>
      <c r="D10" s="144">
        <v>329.9801562524515</v>
      </c>
      <c r="E10" s="145">
        <v>461.07225228641846</v>
      </c>
      <c r="F10" s="146">
        <v>472.71511807899697</v>
      </c>
      <c r="G10" s="146">
        <v>480.29857054490844</v>
      </c>
      <c r="H10" s="146">
        <v>481.96440995979583</v>
      </c>
      <c r="I10" s="146">
        <v>489.5543402920455</v>
      </c>
      <c r="J10" s="146">
        <v>494.9973110275591</v>
      </c>
      <c r="K10" s="146">
        <v>500.477197516144</v>
      </c>
      <c r="L10" s="329">
        <v>449.9856984220761</v>
      </c>
      <c r="M10" s="146">
        <v>457.76349652719546</v>
      </c>
      <c r="N10" s="146">
        <v>467.6868401683351</v>
      </c>
      <c r="O10" s="146">
        <v>474.8256190102692</v>
      </c>
      <c r="P10" s="146">
        <v>477.77985645347354</v>
      </c>
      <c r="Q10" s="146">
        <v>481.25210512465486</v>
      </c>
      <c r="R10" s="146">
        <v>484.8742490625205</v>
      </c>
      <c r="S10" s="146">
        <v>487.0189517686054</v>
      </c>
      <c r="T10" s="146">
        <v>493.2131112601659</v>
      </c>
      <c r="U10" s="146">
        <v>498.326512090046</v>
      </c>
      <c r="V10" s="146">
        <v>500.9082639816953</v>
      </c>
      <c r="W10" s="146">
        <v>503.90224154047473</v>
      </c>
      <c r="X10" s="146">
        <v>510.22586088303166</v>
      </c>
      <c r="Y10" s="146">
        <v>527.3058353708547</v>
      </c>
      <c r="Z10" s="329">
        <v>534.4095886983228</v>
      </c>
      <c r="AA10" s="146">
        <v>539.3564278542133</v>
      </c>
      <c r="AB10" s="146">
        <v>542.9318734451273</v>
      </c>
      <c r="AC10" s="146">
        <v>546.853089891138</v>
      </c>
      <c r="AD10" s="146">
        <v>548.4737918336037</v>
      </c>
      <c r="AE10" s="146">
        <v>555.0489881728374</v>
      </c>
      <c r="AF10" s="146">
        <v>561.3392232333154</v>
      </c>
      <c r="AG10" s="402" t="s">
        <v>63</v>
      </c>
      <c r="AH10" s="402"/>
      <c r="AI10" s="880">
        <f t="shared" si="0"/>
        <v>0.011988168691255296</v>
      </c>
      <c r="AJ10" s="120"/>
    </row>
    <row r="11" spans="1:36" ht="12.75" customHeight="1">
      <c r="A11" s="8"/>
      <c r="B11" s="408" t="s">
        <v>48</v>
      </c>
      <c r="C11" s="141">
        <v>21.92163599708004</v>
      </c>
      <c r="D11" s="141">
        <v>85.6807266265339</v>
      </c>
      <c r="E11" s="142">
        <v>153.72358713033782</v>
      </c>
      <c r="F11" s="143">
        <v>167.8588287955711</v>
      </c>
      <c r="G11" s="143">
        <v>187.91731373523376</v>
      </c>
      <c r="H11" s="143">
        <v>214.91896825353837</v>
      </c>
      <c r="I11" s="143">
        <v>233.283497056437</v>
      </c>
      <c r="J11" s="143">
        <v>269.0472581939837</v>
      </c>
      <c r="K11" s="143">
        <v>289.1885894412217</v>
      </c>
      <c r="L11" s="143">
        <v>307.0030737778467</v>
      </c>
      <c r="M11" s="143">
        <v>326.9590360467418</v>
      </c>
      <c r="N11" s="143">
        <v>327.35057983942903</v>
      </c>
      <c r="O11" s="143">
        <v>333.08920673215005</v>
      </c>
      <c r="P11" s="143">
        <v>294.3961373607708</v>
      </c>
      <c r="Q11" s="143">
        <v>291.37791868759956</v>
      </c>
      <c r="R11" s="143">
        <v>317.65782250686186</v>
      </c>
      <c r="S11" s="143">
        <v>346.76380763145306</v>
      </c>
      <c r="T11" s="143">
        <v>365.57340638187605</v>
      </c>
      <c r="U11" s="143">
        <v>412.5428171447294</v>
      </c>
      <c r="V11" s="386">
        <v>391.32572248289046</v>
      </c>
      <c r="W11" s="143">
        <v>413.12680611496256</v>
      </c>
      <c r="X11" s="143">
        <v>409.28830186981077</v>
      </c>
      <c r="Y11" s="143">
        <v>415.6701713219921</v>
      </c>
      <c r="Z11" s="143">
        <v>433.13661083430105</v>
      </c>
      <c r="AA11" s="143">
        <v>456.07624449504385</v>
      </c>
      <c r="AB11" s="143">
        <v>477.649281550122</v>
      </c>
      <c r="AC11" s="143">
        <v>496.62704297763275</v>
      </c>
      <c r="AD11" s="143">
        <v>514.1556175642733</v>
      </c>
      <c r="AE11" s="143">
        <v>534.4187407601652</v>
      </c>
      <c r="AF11" s="143">
        <v>550.2856800641027</v>
      </c>
      <c r="AG11" s="408" t="s">
        <v>48</v>
      </c>
      <c r="AH11" s="402"/>
      <c r="AI11" s="881">
        <f t="shared" si="0"/>
        <v>0.03941048683253734</v>
      </c>
      <c r="AJ11" s="120"/>
    </row>
    <row r="12" spans="1:36" ht="12.75" customHeight="1">
      <c r="A12" s="8"/>
      <c r="B12" s="402" t="s">
        <v>66</v>
      </c>
      <c r="C12" s="144">
        <v>132.42427302100162</v>
      </c>
      <c r="D12" s="144">
        <v>215.01806105802845</v>
      </c>
      <c r="E12" s="145">
        <v>227.60302041166415</v>
      </c>
      <c r="F12" s="146">
        <v>237.33555988286938</v>
      </c>
      <c r="G12" s="146">
        <v>242.11828035615278</v>
      </c>
      <c r="H12" s="146">
        <v>250.38583326309728</v>
      </c>
      <c r="I12" s="146">
        <v>262.93710531165493</v>
      </c>
      <c r="J12" s="146">
        <v>275.81548950087915</v>
      </c>
      <c r="K12" s="146">
        <v>291.8235655432146</v>
      </c>
      <c r="L12" s="146">
        <v>309.9510855350619</v>
      </c>
      <c r="M12" s="146">
        <v>323.7267035476363</v>
      </c>
      <c r="N12" s="146">
        <v>339.4570311827857</v>
      </c>
      <c r="O12" s="146">
        <v>347.75957835337925</v>
      </c>
      <c r="P12" s="146">
        <v>359.32258413591603</v>
      </c>
      <c r="Q12" s="146">
        <v>369.8509986022368</v>
      </c>
      <c r="R12" s="146">
        <v>379.00681856936376</v>
      </c>
      <c r="S12" s="146">
        <v>390.0060607947326</v>
      </c>
      <c r="T12" s="146">
        <v>400.18597219304604</v>
      </c>
      <c r="U12" s="146">
        <v>415.2294937603079</v>
      </c>
      <c r="V12" s="146">
        <v>428.36600852669443</v>
      </c>
      <c r="W12" s="146">
        <v>432.0271814305639</v>
      </c>
      <c r="X12" s="146">
        <v>424.38587884015317</v>
      </c>
      <c r="Y12" s="146">
        <v>415.5424304417464</v>
      </c>
      <c r="Z12" s="146">
        <v>416.8270583208241</v>
      </c>
      <c r="AA12" s="146">
        <v>413.6272042542604</v>
      </c>
      <c r="AB12" s="146">
        <v>416.8155861808441</v>
      </c>
      <c r="AC12" s="146">
        <v>420.3501048715513</v>
      </c>
      <c r="AD12" s="329">
        <v>424.6689684035203</v>
      </c>
      <c r="AE12" s="146">
        <v>428.1956523965577</v>
      </c>
      <c r="AF12" s="146">
        <v>432.1388409056657</v>
      </c>
      <c r="AG12" s="402" t="s">
        <v>66</v>
      </c>
      <c r="AH12" s="402"/>
      <c r="AI12" s="880">
        <f t="shared" si="0"/>
        <v>0.008304548378694765</v>
      </c>
      <c r="AJ12" s="120"/>
    </row>
    <row r="13" spans="1:36" ht="12.75" customHeight="1">
      <c r="A13" s="8"/>
      <c r="B13" s="408" t="s">
        <v>59</v>
      </c>
      <c r="C13" s="141">
        <v>25.768367370811774</v>
      </c>
      <c r="D13" s="141">
        <v>88.92119083467739</v>
      </c>
      <c r="E13" s="142">
        <v>168.94531335557548</v>
      </c>
      <c r="F13" s="143">
        <v>171.4532702919786</v>
      </c>
      <c r="G13" s="143">
        <v>175.35302126611955</v>
      </c>
      <c r="H13" s="143">
        <v>186.70811109116593</v>
      </c>
      <c r="I13" s="143">
        <v>196.8570914143383</v>
      </c>
      <c r="J13" s="143">
        <v>208.22552598464046</v>
      </c>
      <c r="K13" s="143">
        <v>220.09241088778745</v>
      </c>
      <c r="L13" s="143">
        <v>233.8016038154911</v>
      </c>
      <c r="M13" s="143">
        <v>248.9517823607655</v>
      </c>
      <c r="N13" s="143">
        <v>271.80608608668433</v>
      </c>
      <c r="O13" s="143">
        <v>294.8567961816868</v>
      </c>
      <c r="P13" s="143">
        <v>314.439552127362</v>
      </c>
      <c r="Q13" s="143">
        <v>334.0184888468702</v>
      </c>
      <c r="R13" s="143">
        <v>350.95242217150076</v>
      </c>
      <c r="S13" s="143">
        <v>371.3348839990694</v>
      </c>
      <c r="T13" s="143">
        <v>391.02590198602127</v>
      </c>
      <c r="U13" s="143">
        <v>411.6539241363362</v>
      </c>
      <c r="V13" s="143">
        <v>433.8267182970123</v>
      </c>
      <c r="W13" s="143">
        <v>452.82194408253645</v>
      </c>
      <c r="X13" s="143">
        <v>461.53670437021646</v>
      </c>
      <c r="Y13" s="143">
        <v>469.0001934661656</v>
      </c>
      <c r="Z13" s="143">
        <v>469.36680832363527</v>
      </c>
      <c r="AA13" s="143">
        <v>469.623573707368</v>
      </c>
      <c r="AB13" s="143">
        <v>468.9574914245305</v>
      </c>
      <c r="AC13" s="143">
        <v>470.40076743287773</v>
      </c>
      <c r="AD13" s="143">
        <v>478.5030213984971</v>
      </c>
      <c r="AE13" s="143">
        <v>486.24017047242745</v>
      </c>
      <c r="AF13" s="143">
        <v>491.81769389074645</v>
      </c>
      <c r="AG13" s="408" t="s">
        <v>59</v>
      </c>
      <c r="AH13" s="402"/>
      <c r="AI13" s="881">
        <f t="shared" si="0"/>
        <v>0.01616948844192745</v>
      </c>
      <c r="AJ13" s="120"/>
    </row>
    <row r="14" spans="1:36" ht="12.75" customHeight="1">
      <c r="A14" s="8"/>
      <c r="B14" s="402" t="s">
        <v>64</v>
      </c>
      <c r="C14" s="144">
        <v>69.85600966727272</v>
      </c>
      <c r="D14" s="144">
        <v>200.77772993081848</v>
      </c>
      <c r="E14" s="145">
        <v>308.5729070258855</v>
      </c>
      <c r="F14" s="146">
        <v>321.43503238322774</v>
      </c>
      <c r="G14" s="146">
        <v>334.8230702234587</v>
      </c>
      <c r="H14" s="146">
        <v>342.4656965314883</v>
      </c>
      <c r="I14" s="146">
        <v>349.07757650007244</v>
      </c>
      <c r="J14" s="146">
        <v>360.4342560192527</v>
      </c>
      <c r="K14" s="146">
        <v>373.27376359497896</v>
      </c>
      <c r="L14" s="146">
        <v>385.9132739385381</v>
      </c>
      <c r="M14" s="146">
        <v>403.2391216834925</v>
      </c>
      <c r="N14" s="146">
        <v>416.2916045200884</v>
      </c>
      <c r="O14" s="146">
        <v>429.09138436482283</v>
      </c>
      <c r="P14" s="146">
        <v>442.3237975870421</v>
      </c>
      <c r="Q14" s="146">
        <v>447.8508308270679</v>
      </c>
      <c r="R14" s="329">
        <v>439.2347734297878</v>
      </c>
      <c r="S14" s="146">
        <v>451.3526756004169</v>
      </c>
      <c r="T14" s="146">
        <v>460.13156882107467</v>
      </c>
      <c r="U14" s="146">
        <v>466.87241119538544</v>
      </c>
      <c r="V14" s="146">
        <v>476.4764515330649</v>
      </c>
      <c r="W14" s="146">
        <v>478.92976172008593</v>
      </c>
      <c r="X14" s="146">
        <v>472.89920138093936</v>
      </c>
      <c r="Y14" s="146">
        <v>474.5831620316242</v>
      </c>
      <c r="Z14" s="146">
        <v>475.81903959225787</v>
      </c>
      <c r="AA14" s="146">
        <v>476.10812300748006</v>
      </c>
      <c r="AB14" s="146">
        <v>473.5217528631575</v>
      </c>
      <c r="AC14" s="146">
        <v>474.2673478212336</v>
      </c>
      <c r="AD14" s="146">
        <v>481.3846111740632</v>
      </c>
      <c r="AE14" s="146">
        <v>491.6785204546834</v>
      </c>
      <c r="AF14" s="146">
        <v>503.6687354810588</v>
      </c>
      <c r="AG14" s="402" t="s">
        <v>64</v>
      </c>
      <c r="AH14" s="402"/>
      <c r="AI14" s="880">
        <f t="shared" si="0"/>
        <v>0.02138396002214127</v>
      </c>
      <c r="AJ14" s="120"/>
    </row>
    <row r="15" spans="1:36" ht="12.75" customHeight="1">
      <c r="A15" s="8"/>
      <c r="B15" s="408" t="s">
        <v>65</v>
      </c>
      <c r="C15" s="141">
        <v>233.25908376537555</v>
      </c>
      <c r="D15" s="141">
        <v>353.5162746121825</v>
      </c>
      <c r="E15" s="142">
        <v>464.24361972546325</v>
      </c>
      <c r="F15" s="143">
        <v>465.9963046403787</v>
      </c>
      <c r="G15" s="143">
        <v>468.6355716660257</v>
      </c>
      <c r="H15" s="143">
        <v>468.32930317107105</v>
      </c>
      <c r="I15" s="143">
        <v>468.04108475578215</v>
      </c>
      <c r="J15" s="143">
        <v>468.2626243405895</v>
      </c>
      <c r="K15" s="143">
        <v>469.0928562126629</v>
      </c>
      <c r="L15" s="143">
        <v>470.53267008909205</v>
      </c>
      <c r="M15" s="143">
        <v>475.8653273676072</v>
      </c>
      <c r="N15" s="143">
        <v>483.47765073072395</v>
      </c>
      <c r="O15" s="143">
        <v>488.81820007325433</v>
      </c>
      <c r="P15" s="143">
        <v>493.7868621983746</v>
      </c>
      <c r="Q15" s="143">
        <v>494.4830512978709</v>
      </c>
      <c r="R15" s="143">
        <v>490.95547870881705</v>
      </c>
      <c r="S15" s="143">
        <v>486.4720061389578</v>
      </c>
      <c r="T15" s="143">
        <v>482.3215095263479</v>
      </c>
      <c r="U15" s="143">
        <v>487.11245718737183</v>
      </c>
      <c r="V15" s="143">
        <v>491.23978925306096</v>
      </c>
      <c r="W15" s="143">
        <v>483.4339043346949</v>
      </c>
      <c r="X15" s="143">
        <v>485.528757267218</v>
      </c>
      <c r="Y15" s="143">
        <v>502.871886321062</v>
      </c>
      <c r="Z15" s="143">
        <v>499.5866613504487</v>
      </c>
      <c r="AA15" s="143">
        <v>500.9934550654073</v>
      </c>
      <c r="AB15" s="143">
        <v>498.26163847233215</v>
      </c>
      <c r="AC15" s="386">
        <v>489.49365642334567</v>
      </c>
      <c r="AD15" s="143">
        <v>485.0807247131762</v>
      </c>
      <c r="AE15" s="143">
        <v>480.1231049803051</v>
      </c>
      <c r="AF15" s="143">
        <v>478.2296508662995</v>
      </c>
      <c r="AG15" s="408" t="s">
        <v>65</v>
      </c>
      <c r="AH15" s="402"/>
      <c r="AI15" s="881">
        <f t="shared" si="0"/>
        <v>-0.010220195279461053</v>
      </c>
      <c r="AJ15" s="120"/>
    </row>
    <row r="16" spans="1:36" ht="12.75" customHeight="1">
      <c r="A16" s="8"/>
      <c r="B16" s="402" t="s">
        <v>76</v>
      </c>
      <c r="C16" s="144"/>
      <c r="D16" s="144"/>
      <c r="E16" s="145">
        <v>121.28362405505942</v>
      </c>
      <c r="F16" s="146">
        <v>130.55210922163528</v>
      </c>
      <c r="G16" s="146">
        <v>136.09112486119253</v>
      </c>
      <c r="H16" s="146">
        <v>139.11484116245853</v>
      </c>
      <c r="I16" s="146">
        <v>149.90492376622515</v>
      </c>
      <c r="J16" s="146">
        <v>155.18098336078995</v>
      </c>
      <c r="K16" s="146">
        <v>184.36109373248965</v>
      </c>
      <c r="L16" s="146">
        <v>205.49187402960493</v>
      </c>
      <c r="M16" s="146">
        <v>220.88593182180114</v>
      </c>
      <c r="N16" s="146">
        <v>236.4625750516649</v>
      </c>
      <c r="O16" s="146">
        <v>261.8669806765647</v>
      </c>
      <c r="P16" s="146">
        <v>277.6568728234205</v>
      </c>
      <c r="Q16" s="146">
        <v>288.99907650513865</v>
      </c>
      <c r="R16" s="146">
        <v>300.3956360427106</v>
      </c>
      <c r="S16" s="146">
        <v>310.27166034813</v>
      </c>
      <c r="T16" s="146">
        <v>321.090591113666</v>
      </c>
      <c r="U16" s="146">
        <v>332.85522530271027</v>
      </c>
      <c r="V16" s="146">
        <v>345.8113199845917</v>
      </c>
      <c r="W16" s="146">
        <v>356.23031809394223</v>
      </c>
      <c r="X16" s="329">
        <v>356.17092590092096</v>
      </c>
      <c r="Y16" s="146">
        <v>353.263290594535</v>
      </c>
      <c r="Z16" s="146">
        <v>355.07101991027093</v>
      </c>
      <c r="AA16" s="146">
        <v>339.0831835650636</v>
      </c>
      <c r="AB16" s="146">
        <v>341.03229036201066</v>
      </c>
      <c r="AC16" s="146">
        <v>348.96679916957686</v>
      </c>
      <c r="AD16" s="146">
        <v>357.8908284094974</v>
      </c>
      <c r="AE16" s="146">
        <v>373.8142459233554</v>
      </c>
      <c r="AF16" s="146">
        <v>388.7686570163437</v>
      </c>
      <c r="AG16" s="402" t="s">
        <v>76</v>
      </c>
      <c r="AH16" s="402"/>
      <c r="AI16" s="880">
        <f t="shared" si="0"/>
        <v>0.044492387761438934</v>
      </c>
      <c r="AJ16" s="120"/>
    </row>
    <row r="17" spans="1:36" ht="12.75" customHeight="1">
      <c r="A17" s="8"/>
      <c r="B17" s="156" t="s">
        <v>67</v>
      </c>
      <c r="C17" s="387">
        <v>188.6859506582849</v>
      </c>
      <c r="D17" s="387">
        <v>313.1455364564194</v>
      </c>
      <c r="E17" s="388">
        <v>483.1483593920984</v>
      </c>
      <c r="F17" s="389">
        <v>500.85360234138375</v>
      </c>
      <c r="G17" s="389">
        <v>517.9334843918429</v>
      </c>
      <c r="H17" s="389">
        <v>521.6533463264531</v>
      </c>
      <c r="I17" s="389">
        <v>521.8685363035182</v>
      </c>
      <c r="J17" s="389">
        <v>533.0609912565042</v>
      </c>
      <c r="K17" s="389">
        <v>535.6737114911213</v>
      </c>
      <c r="L17" s="389">
        <v>540.2387925189378</v>
      </c>
      <c r="M17" s="389">
        <v>551.2432992054049</v>
      </c>
      <c r="N17" s="389">
        <v>562.8304213913391</v>
      </c>
      <c r="O17" s="389">
        <v>572.0403642568106</v>
      </c>
      <c r="P17" s="389">
        <v>583.2686978217876</v>
      </c>
      <c r="Q17" s="389">
        <v>589.9851998510218</v>
      </c>
      <c r="R17" s="389">
        <v>596.7459592770964</v>
      </c>
      <c r="S17" s="389">
        <v>587.0115246971335</v>
      </c>
      <c r="T17" s="389">
        <v>597.0542372277699</v>
      </c>
      <c r="U17" s="389">
        <v>606.2351813033528</v>
      </c>
      <c r="V17" s="389">
        <v>608.3264801597535</v>
      </c>
      <c r="W17" s="389">
        <v>611.9461762634019</v>
      </c>
      <c r="X17" s="389">
        <v>614.4942072533935</v>
      </c>
      <c r="Y17" s="389">
        <v>619.0769462453186</v>
      </c>
      <c r="Z17" s="389">
        <v>624.8639703195297</v>
      </c>
      <c r="AA17" s="389">
        <v>621.2257515582542</v>
      </c>
      <c r="AB17" s="389">
        <v>608.1163465874845</v>
      </c>
      <c r="AC17" s="389">
        <v>609.9248248376873</v>
      </c>
      <c r="AD17" s="389">
        <v>615.6909874600826</v>
      </c>
      <c r="AE17" s="389">
        <v>625.1276604365661</v>
      </c>
      <c r="AF17" s="143">
        <v>636.8682328457492</v>
      </c>
      <c r="AG17" s="156" t="s">
        <v>67</v>
      </c>
      <c r="AH17" s="402"/>
      <c r="AI17" s="881">
        <f t="shared" si="0"/>
        <v>0.015326962987411319</v>
      </c>
      <c r="AJ17" s="120"/>
    </row>
    <row r="18" spans="1:36" ht="12.75" customHeight="1">
      <c r="A18" s="8"/>
      <c r="B18" s="402" t="s">
        <v>46</v>
      </c>
      <c r="C18" s="144">
        <v>97.26049602852974</v>
      </c>
      <c r="D18" s="144">
        <v>174.75728155339806</v>
      </c>
      <c r="E18" s="145">
        <v>304.1892833237672</v>
      </c>
      <c r="F18" s="146">
        <v>315.0551595256928</v>
      </c>
      <c r="G18" s="146">
        <v>322.9812460939456</v>
      </c>
      <c r="H18" s="146">
        <v>321.6872266740818</v>
      </c>
      <c r="I18" s="146">
        <v>325.9456553232962</v>
      </c>
      <c r="J18" s="146">
        <v>334.81327314031137</v>
      </c>
      <c r="K18" s="146">
        <v>340.4285973709052</v>
      </c>
      <c r="L18" s="146">
        <v>348.00174759150786</v>
      </c>
      <c r="M18" s="146">
        <v>364.97125334254946</v>
      </c>
      <c r="N18" s="146">
        <v>372.17974878963986</v>
      </c>
      <c r="O18" s="146">
        <v>383.6131941985438</v>
      </c>
      <c r="P18" s="146">
        <v>396.9575034122848</v>
      </c>
      <c r="Q18" s="329">
        <v>402.9899680546993</v>
      </c>
      <c r="R18" s="146">
        <v>418.45888672320797</v>
      </c>
      <c r="S18" s="146">
        <v>457.84900970852595</v>
      </c>
      <c r="T18" s="146">
        <v>477.32230485220015</v>
      </c>
      <c r="U18" s="146">
        <v>492.0664031370231</v>
      </c>
      <c r="V18" s="146">
        <v>529.32955316855</v>
      </c>
      <c r="W18" s="146">
        <v>556.5319413248341</v>
      </c>
      <c r="X18" s="146">
        <v>562.1798471567743</v>
      </c>
      <c r="Y18" s="146">
        <v>550.9395046865083</v>
      </c>
      <c r="Z18" s="146">
        <v>545.2366617131336</v>
      </c>
      <c r="AA18" s="146">
        <v>549.1096898177341</v>
      </c>
      <c r="AB18" s="146">
        <v>553.1013986013986</v>
      </c>
      <c r="AC18" s="146">
        <v>564.9202841059353</v>
      </c>
      <c r="AD18" s="146">
        <v>574.892228041574</v>
      </c>
      <c r="AE18" s="146">
        <v>594.6219124428816</v>
      </c>
      <c r="AF18" s="146">
        <v>609.3439754881767</v>
      </c>
      <c r="AG18" s="402" t="s">
        <v>46</v>
      </c>
      <c r="AH18" s="402"/>
      <c r="AI18" s="880">
        <f t="shared" si="0"/>
        <v>0.03431892699005301</v>
      </c>
      <c r="AJ18" s="120"/>
    </row>
    <row r="19" spans="1:36" ht="12.75" customHeight="1">
      <c r="A19" s="8"/>
      <c r="B19" s="156" t="s">
        <v>50</v>
      </c>
      <c r="C19" s="387">
        <v>16.903141617901102</v>
      </c>
      <c r="D19" s="387">
        <v>66.01342538096904</v>
      </c>
      <c r="E19" s="388">
        <v>106.46458209265728</v>
      </c>
      <c r="F19" s="389">
        <v>124.47975785092699</v>
      </c>
      <c r="G19" s="389">
        <v>135.36117261450104</v>
      </c>
      <c r="H19" s="389">
        <v>144.6237244697163</v>
      </c>
      <c r="I19" s="390">
        <v>100.61385758504028</v>
      </c>
      <c r="J19" s="389">
        <v>134.43848244869167</v>
      </c>
      <c r="K19" s="389">
        <v>155.38187059493347</v>
      </c>
      <c r="L19" s="389">
        <v>178.3782064442626</v>
      </c>
      <c r="M19" s="389">
        <v>201.17553500096696</v>
      </c>
      <c r="N19" s="389">
        <v>220.66955954007932</v>
      </c>
      <c r="O19" s="389">
        <v>236.5954727320318</v>
      </c>
      <c r="P19" s="389">
        <v>252.56833821925107</v>
      </c>
      <c r="Q19" s="389">
        <v>269.24532158529</v>
      </c>
      <c r="R19" s="389">
        <v>285.0403247061304</v>
      </c>
      <c r="S19" s="389">
        <v>304.9831890489678</v>
      </c>
      <c r="T19" s="389">
        <v>333.2535861543337</v>
      </c>
      <c r="U19" s="389">
        <v>372.1460132920447</v>
      </c>
      <c r="V19" s="389">
        <v>412.8409853043832</v>
      </c>
      <c r="W19" s="389">
        <v>431.2989346385344</v>
      </c>
      <c r="X19" s="392">
        <v>426.4589927677571</v>
      </c>
      <c r="Y19" s="389">
        <v>306.8844430626553</v>
      </c>
      <c r="Z19" s="389">
        <v>299.4503653879353</v>
      </c>
      <c r="AA19" s="389">
        <v>305.4977579583215</v>
      </c>
      <c r="AB19" s="389">
        <v>317.06877152170307</v>
      </c>
      <c r="AC19" s="389">
        <v>331.2020164181389</v>
      </c>
      <c r="AD19" s="389">
        <v>344.8770084872346</v>
      </c>
      <c r="AE19" s="389">
        <v>340.5833294019433</v>
      </c>
      <c r="AF19" s="143">
        <v>356.703624263911</v>
      </c>
      <c r="AG19" s="156" t="s">
        <v>50</v>
      </c>
      <c r="AH19" s="402"/>
      <c r="AI19" s="881">
        <f t="shared" si="0"/>
        <v>-0.012449884972399516</v>
      </c>
      <c r="AJ19" s="120"/>
    </row>
    <row r="20" spans="1:36" ht="12.75" customHeight="1">
      <c r="A20" s="8"/>
      <c r="B20" s="402" t="s">
        <v>51</v>
      </c>
      <c r="C20" s="144">
        <v>13.82720174456887</v>
      </c>
      <c r="D20" s="144">
        <v>72.17558244526198</v>
      </c>
      <c r="E20" s="145">
        <v>133.17240991818406</v>
      </c>
      <c r="F20" s="146">
        <v>143.26960668850515</v>
      </c>
      <c r="G20" s="146">
        <v>152.9536707392048</v>
      </c>
      <c r="H20" s="146">
        <v>162.81307745275782</v>
      </c>
      <c r="I20" s="146">
        <v>179.19616051755273</v>
      </c>
      <c r="J20" s="146">
        <v>198.73495662218426</v>
      </c>
      <c r="K20" s="146">
        <v>218.80857176381465</v>
      </c>
      <c r="L20" s="146">
        <v>247.62391076903126</v>
      </c>
      <c r="M20" s="146">
        <v>277.3752184777688</v>
      </c>
      <c r="N20" s="146">
        <v>310.1682937204626</v>
      </c>
      <c r="O20" s="146">
        <v>336.2187187947914</v>
      </c>
      <c r="P20" s="146">
        <v>328.10306842658144</v>
      </c>
      <c r="Q20" s="146">
        <v>344.1486325064542</v>
      </c>
      <c r="R20" s="146">
        <v>369.77912748398103</v>
      </c>
      <c r="S20" s="146">
        <v>392.199021226626</v>
      </c>
      <c r="T20" s="146">
        <v>442.3553156921244</v>
      </c>
      <c r="U20" s="146">
        <v>489.921947284032</v>
      </c>
      <c r="V20" s="146">
        <v>494.27271637814175</v>
      </c>
      <c r="W20" s="146">
        <v>524.8557095547035</v>
      </c>
      <c r="X20" s="146">
        <v>539.5604549493694</v>
      </c>
      <c r="Y20" s="146">
        <v>554.2362742695706</v>
      </c>
      <c r="Z20" s="146">
        <v>570.407715169689</v>
      </c>
      <c r="AA20" s="146">
        <v>589.9942965875423</v>
      </c>
      <c r="AB20" s="146">
        <v>614.574217115026</v>
      </c>
      <c r="AC20" s="329">
        <v>412.72162510586173</v>
      </c>
      <c r="AD20" s="146">
        <v>430.68652247938246</v>
      </c>
      <c r="AE20" s="146">
        <v>456.03257694079576</v>
      </c>
      <c r="AF20" s="146">
        <v>483.10709419805113</v>
      </c>
      <c r="AG20" s="402" t="s">
        <v>51</v>
      </c>
      <c r="AH20" s="402"/>
      <c r="AI20" s="880">
        <f t="shared" si="0"/>
        <v>0.058850354349378575</v>
      </c>
      <c r="AJ20" s="120"/>
    </row>
    <row r="21" spans="1:36" ht="12.75" customHeight="1">
      <c r="A21" s="8"/>
      <c r="B21" s="156" t="s">
        <v>68</v>
      </c>
      <c r="C21" s="387">
        <v>211.8637833575113</v>
      </c>
      <c r="D21" s="387">
        <v>352.4736192956009</v>
      </c>
      <c r="E21" s="388">
        <v>477.1175858480749</v>
      </c>
      <c r="F21" s="389">
        <v>492.8131416837782</v>
      </c>
      <c r="G21" s="389">
        <v>509.1830272324256</v>
      </c>
      <c r="H21" s="389">
        <v>519.7401299350324</v>
      </c>
      <c r="I21" s="389">
        <v>536.802662393689</v>
      </c>
      <c r="J21" s="389">
        <v>556.4552964042759</v>
      </c>
      <c r="K21" s="389">
        <v>555.7538682979489</v>
      </c>
      <c r="L21" s="389">
        <v>561.1515223314774</v>
      </c>
      <c r="M21" s="389">
        <v>592.970632970633</v>
      </c>
      <c r="N21" s="389">
        <v>607.6452952029521</v>
      </c>
      <c r="O21" s="389">
        <v>622.0637813211846</v>
      </c>
      <c r="P21" s="389">
        <v>632.1562887062267</v>
      </c>
      <c r="Q21" s="389">
        <v>640.7428061565917</v>
      </c>
      <c r="R21" s="389">
        <v>644.8874626340778</v>
      </c>
      <c r="S21" s="389">
        <v>649.9121913145286</v>
      </c>
      <c r="T21" s="389">
        <v>655.0291417778404</v>
      </c>
      <c r="U21" s="389">
        <v>660.8832244475384</v>
      </c>
      <c r="V21" s="389">
        <v>664.5735109001879</v>
      </c>
      <c r="W21" s="389">
        <v>666.7436676798379</v>
      </c>
      <c r="X21" s="389">
        <v>660.2777324096832</v>
      </c>
      <c r="Y21" s="389">
        <v>658.8758205689279</v>
      </c>
      <c r="Z21" s="389">
        <v>658.4224535250823</v>
      </c>
      <c r="AA21" s="389">
        <v>662.6148194079013</v>
      </c>
      <c r="AB21" s="389">
        <v>660.8335758987048</v>
      </c>
      <c r="AC21" s="389">
        <v>662.2643252249724</v>
      </c>
      <c r="AD21" s="389">
        <v>661.3512561410084</v>
      </c>
      <c r="AE21" s="389">
        <v>661.8534639653137</v>
      </c>
      <c r="AF21" s="143">
        <v>669.927990631307</v>
      </c>
      <c r="AG21" s="156" t="s">
        <v>68</v>
      </c>
      <c r="AH21" s="402"/>
      <c r="AI21" s="881">
        <f t="shared" si="0"/>
        <v>0.0007593662515070765</v>
      </c>
      <c r="AJ21" s="120"/>
    </row>
    <row r="22" spans="1:36" ht="12.75" customHeight="1">
      <c r="A22" s="8"/>
      <c r="B22" s="402" t="s">
        <v>49</v>
      </c>
      <c r="C22" s="144">
        <v>23.180072169223024</v>
      </c>
      <c r="D22" s="144">
        <v>94.27990733685306</v>
      </c>
      <c r="E22" s="145">
        <v>187.40685691226187</v>
      </c>
      <c r="F22" s="146">
        <v>194.72418909184012</v>
      </c>
      <c r="G22" s="146">
        <v>198.55215153639134</v>
      </c>
      <c r="H22" s="146">
        <v>202.27313790034987</v>
      </c>
      <c r="I22" s="146">
        <v>210.79174204533362</v>
      </c>
      <c r="J22" s="146">
        <v>217.50762433427258</v>
      </c>
      <c r="K22" s="146">
        <v>219.8937662595606</v>
      </c>
      <c r="L22" s="146">
        <v>223.5433558332889</v>
      </c>
      <c r="M22" s="146">
        <v>216.3302454518572</v>
      </c>
      <c r="N22" s="146">
        <v>220.66176438936827</v>
      </c>
      <c r="O22" s="146">
        <v>231.82714857938464</v>
      </c>
      <c r="P22" s="146">
        <v>244.01600691430139</v>
      </c>
      <c r="Q22" s="146">
        <v>259.26169860630097</v>
      </c>
      <c r="R22" s="146">
        <v>274.51713209647926</v>
      </c>
      <c r="S22" s="146">
        <v>280.1108467015114</v>
      </c>
      <c r="T22" s="146">
        <v>286.6780905150269</v>
      </c>
      <c r="U22" s="146">
        <v>293.4324098628295</v>
      </c>
      <c r="V22" s="146">
        <v>299.85512773457225</v>
      </c>
      <c r="W22" s="146">
        <v>304.59920396571624</v>
      </c>
      <c r="X22" s="146">
        <v>300.94083235173935</v>
      </c>
      <c r="Y22" s="146">
        <v>298.8329737198772</v>
      </c>
      <c r="Z22" s="146">
        <v>298.81498299675036</v>
      </c>
      <c r="AA22" s="146">
        <v>301.3511830597414</v>
      </c>
      <c r="AB22" s="146">
        <v>307.84850008074017</v>
      </c>
      <c r="AC22" s="146">
        <v>315.323688500646</v>
      </c>
      <c r="AD22" s="146">
        <v>325.19819724052275</v>
      </c>
      <c r="AE22" s="146">
        <v>338.1664069251521</v>
      </c>
      <c r="AF22" s="146">
        <v>355.06936687102586</v>
      </c>
      <c r="AG22" s="402" t="s">
        <v>49</v>
      </c>
      <c r="AH22" s="402"/>
      <c r="AI22" s="880">
        <f t="shared" si="0"/>
        <v>0.03987786462124143</v>
      </c>
      <c r="AJ22" s="120"/>
    </row>
    <row r="23" spans="1:36" ht="12.75" customHeight="1">
      <c r="A23" s="8"/>
      <c r="B23" s="156" t="s">
        <v>52</v>
      </c>
      <c r="C23" s="387"/>
      <c r="D23" s="387"/>
      <c r="E23" s="393">
        <v>337.16388974740806</v>
      </c>
      <c r="F23" s="389">
        <v>339.31963631610125</v>
      </c>
      <c r="G23" s="389">
        <v>344.3744369477956</v>
      </c>
      <c r="H23" s="389">
        <v>416.48495896908287</v>
      </c>
      <c r="I23" s="389">
        <v>461.8609775044593</v>
      </c>
      <c r="J23" s="389">
        <v>486.92432992743966</v>
      </c>
      <c r="K23" s="389">
        <v>486.6856705833275</v>
      </c>
      <c r="L23" s="389">
        <v>488.09470058138766</v>
      </c>
      <c r="M23" s="390">
        <v>461.76403764153883</v>
      </c>
      <c r="N23" s="389">
        <v>468.8045807299638</v>
      </c>
      <c r="O23" s="389">
        <v>483.17770141665494</v>
      </c>
      <c r="P23" s="389">
        <v>495.0803388396036</v>
      </c>
      <c r="Q23" s="389">
        <v>508.238190165519</v>
      </c>
      <c r="R23" s="389">
        <v>522.2036327078754</v>
      </c>
      <c r="S23" s="389">
        <v>524.95604319191</v>
      </c>
      <c r="T23" s="389">
        <v>524.8432712179537</v>
      </c>
      <c r="U23" s="389">
        <v>537.8313478758236</v>
      </c>
      <c r="V23" s="389">
        <v>551.4427509366602</v>
      </c>
      <c r="W23" s="389">
        <v>558.2245951825876</v>
      </c>
      <c r="X23" s="389">
        <v>563.9390667758383</v>
      </c>
      <c r="Y23" s="390">
        <v>580.6418965321972</v>
      </c>
      <c r="Z23" s="389">
        <v>592.4496941654332</v>
      </c>
      <c r="AA23" s="390">
        <v>591.7862104712561</v>
      </c>
      <c r="AB23" s="389">
        <v>597.539960505235</v>
      </c>
      <c r="AC23" s="389">
        <v>605.7322073910998</v>
      </c>
      <c r="AD23" s="389">
        <v>610.9410210583574</v>
      </c>
      <c r="AE23" s="389">
        <v>614.6748729624568</v>
      </c>
      <c r="AF23" s="143">
        <v>613.1246308080076</v>
      </c>
      <c r="AG23" s="156" t="s">
        <v>52</v>
      </c>
      <c r="AH23" s="402"/>
      <c r="AI23" s="881">
        <f t="shared" si="0"/>
        <v>0.006111640527314943</v>
      </c>
      <c r="AJ23" s="120"/>
    </row>
    <row r="24" spans="1:36" ht="12.75" customHeight="1">
      <c r="A24" s="8"/>
      <c r="B24" s="402" t="s">
        <v>60</v>
      </c>
      <c r="C24" s="144">
        <v>195.43531997960278</v>
      </c>
      <c r="D24" s="144">
        <v>320.22890947769184</v>
      </c>
      <c r="E24" s="145">
        <v>367.02262990870685</v>
      </c>
      <c r="F24" s="146">
        <v>367.1058849968439</v>
      </c>
      <c r="G24" s="146">
        <v>371.2797707908469</v>
      </c>
      <c r="H24" s="146">
        <v>375.1249954942632</v>
      </c>
      <c r="I24" s="146">
        <v>381.48038507475496</v>
      </c>
      <c r="J24" s="146">
        <v>363.56269236213063</v>
      </c>
      <c r="K24" s="146">
        <v>368.72618656761335</v>
      </c>
      <c r="L24" s="146">
        <v>378.900872047564</v>
      </c>
      <c r="M24" s="146">
        <v>388.29274328253564</v>
      </c>
      <c r="N24" s="146">
        <v>399.84965913281366</v>
      </c>
      <c r="O24" s="146">
        <v>409.0311704924134</v>
      </c>
      <c r="P24" s="146">
        <v>416.67080092031904</v>
      </c>
      <c r="Q24" s="146">
        <v>423.32638693840613</v>
      </c>
      <c r="R24" s="146">
        <v>424.92676850433065</v>
      </c>
      <c r="S24" s="146">
        <v>428.8111282027946</v>
      </c>
      <c r="T24" s="146">
        <v>434.198715456701</v>
      </c>
      <c r="U24" s="146">
        <v>441.99667049598753</v>
      </c>
      <c r="V24" s="146">
        <v>450.5774592864215</v>
      </c>
      <c r="W24" s="146">
        <v>457.5050617844329</v>
      </c>
      <c r="X24" s="146">
        <v>459.84947561654496</v>
      </c>
      <c r="Y24" s="146">
        <v>464.46285765095996</v>
      </c>
      <c r="Z24" s="146">
        <v>469.74516011262887</v>
      </c>
      <c r="AA24" s="146">
        <v>471.74097079336036</v>
      </c>
      <c r="AB24" s="146">
        <v>471.33839106334204</v>
      </c>
      <c r="AC24" s="146">
        <v>472.1148073757305</v>
      </c>
      <c r="AD24" s="146">
        <v>477.1074119271198</v>
      </c>
      <c r="AE24" s="146">
        <v>481.3962842973984</v>
      </c>
      <c r="AF24" s="146">
        <v>487.33828435970634</v>
      </c>
      <c r="AG24" s="402" t="s">
        <v>60</v>
      </c>
      <c r="AH24" s="402"/>
      <c r="AI24" s="880">
        <f t="shared" si="0"/>
        <v>0.008989322452474635</v>
      </c>
      <c r="AJ24" s="120"/>
    </row>
    <row r="25" spans="1:36" ht="12.75" customHeight="1">
      <c r="A25" s="8"/>
      <c r="B25" s="156" t="s">
        <v>69</v>
      </c>
      <c r="C25" s="387">
        <v>160.0474927898404</v>
      </c>
      <c r="D25" s="387">
        <v>297.4848431009068</v>
      </c>
      <c r="E25" s="388">
        <v>387.8933693966527</v>
      </c>
      <c r="F25" s="389">
        <v>397.4920049612131</v>
      </c>
      <c r="G25" s="389">
        <v>411.6704317490386</v>
      </c>
      <c r="H25" s="389">
        <v>424.7362697707809</v>
      </c>
      <c r="I25" s="389">
        <v>438.04366066346915</v>
      </c>
      <c r="J25" s="389">
        <v>451.8493305790081</v>
      </c>
      <c r="K25" s="389">
        <v>463.3656942163971</v>
      </c>
      <c r="L25" s="389">
        <v>474.5311697885215</v>
      </c>
      <c r="M25" s="389">
        <v>486.9643584854345</v>
      </c>
      <c r="N25" s="389">
        <v>501.06358437556935</v>
      </c>
      <c r="O25" s="389">
        <v>510.8057079551465</v>
      </c>
      <c r="P25" s="389">
        <v>518.6276917124277</v>
      </c>
      <c r="Q25" s="390">
        <v>492.21711416393003</v>
      </c>
      <c r="R25" s="389">
        <v>497.91484829181144</v>
      </c>
      <c r="S25" s="389">
        <v>501.03025608316864</v>
      </c>
      <c r="T25" s="389">
        <v>503.5852836909935</v>
      </c>
      <c r="U25" s="389">
        <v>507.6635425107666</v>
      </c>
      <c r="V25" s="389">
        <v>511.0241479616788</v>
      </c>
      <c r="W25" s="389">
        <v>514.0872774730855</v>
      </c>
      <c r="X25" s="389">
        <v>522.0462608375383</v>
      </c>
      <c r="Y25" s="389">
        <v>530.2614969688952</v>
      </c>
      <c r="Z25" s="389">
        <v>536.7930599476388</v>
      </c>
      <c r="AA25" s="389">
        <v>542.3897224989529</v>
      </c>
      <c r="AB25" s="389">
        <v>545.5365238382818</v>
      </c>
      <c r="AC25" s="389">
        <v>546.879612008304</v>
      </c>
      <c r="AD25" s="389">
        <v>545.7230993586438</v>
      </c>
      <c r="AE25" s="389">
        <v>549.5989052607101</v>
      </c>
      <c r="AF25" s="143">
        <v>555.2994485431012</v>
      </c>
      <c r="AG25" s="156" t="s">
        <v>69</v>
      </c>
      <c r="AH25" s="402"/>
      <c r="AI25" s="881">
        <f t="shared" si="0"/>
        <v>0.00710214741985693</v>
      </c>
      <c r="AJ25" s="120"/>
    </row>
    <row r="26" spans="1:36" ht="12.75" customHeight="1">
      <c r="A26" s="8"/>
      <c r="B26" s="402" t="s">
        <v>53</v>
      </c>
      <c r="C26" s="144">
        <v>14.667156592565373</v>
      </c>
      <c r="D26" s="144">
        <v>66.60162281290275</v>
      </c>
      <c r="E26" s="145">
        <v>137.78325314091342</v>
      </c>
      <c r="F26" s="146">
        <v>159.49160653885306</v>
      </c>
      <c r="G26" s="146">
        <v>169.32119614011185</v>
      </c>
      <c r="H26" s="146">
        <v>175.8371255753225</v>
      </c>
      <c r="I26" s="146">
        <v>185.4077322857394</v>
      </c>
      <c r="J26" s="146">
        <v>194.7004147876013</v>
      </c>
      <c r="K26" s="146">
        <v>208.45200232581607</v>
      </c>
      <c r="L26" s="146">
        <v>220.73082346992481</v>
      </c>
      <c r="M26" s="146">
        <v>229.93164478335433</v>
      </c>
      <c r="N26" s="146">
        <v>242.60581999415993</v>
      </c>
      <c r="O26" s="146">
        <v>261.1834514888722</v>
      </c>
      <c r="P26" s="146">
        <v>274.64687763624045</v>
      </c>
      <c r="Q26" s="146">
        <v>288.5746707533055</v>
      </c>
      <c r="R26" s="146">
        <v>294.4126995831017</v>
      </c>
      <c r="S26" s="146">
        <v>313.7015445265062</v>
      </c>
      <c r="T26" s="146">
        <v>323.38326424824976</v>
      </c>
      <c r="U26" s="146">
        <v>351.0573336009759</v>
      </c>
      <c r="V26" s="146">
        <v>382.74940725777117</v>
      </c>
      <c r="W26" s="146">
        <v>421.63796106322553</v>
      </c>
      <c r="X26" s="146">
        <v>433.81786892514606</v>
      </c>
      <c r="Y26" s="146">
        <v>452.9313960185397</v>
      </c>
      <c r="Z26" s="146">
        <v>476.17431284828376</v>
      </c>
      <c r="AA26" s="146">
        <v>492.4527491403292</v>
      </c>
      <c r="AB26" s="146">
        <v>510.0089284361538</v>
      </c>
      <c r="AC26" s="146">
        <v>526.3396876050996</v>
      </c>
      <c r="AD26" s="146">
        <v>545.8130988769809</v>
      </c>
      <c r="AE26" s="146">
        <v>570.8110644194117</v>
      </c>
      <c r="AF26" s="146">
        <v>592.5477385639248</v>
      </c>
      <c r="AG26" s="402" t="s">
        <v>53</v>
      </c>
      <c r="AH26" s="402"/>
      <c r="AI26" s="880">
        <f t="shared" si="0"/>
        <v>0.0457994972892084</v>
      </c>
      <c r="AJ26" s="120"/>
    </row>
    <row r="27" spans="1:36" ht="12.75" customHeight="1">
      <c r="A27" s="8"/>
      <c r="B27" s="156" t="s">
        <v>70</v>
      </c>
      <c r="C27" s="387">
        <v>48.5960699284749</v>
      </c>
      <c r="D27" s="387">
        <v>129.2385193115345</v>
      </c>
      <c r="E27" s="393">
        <v>185.4481662345728</v>
      </c>
      <c r="F27" s="391">
        <v>195.97932830145518</v>
      </c>
      <c r="G27" s="391">
        <v>210.9501617184121</v>
      </c>
      <c r="H27" s="391">
        <v>225.57768188554067</v>
      </c>
      <c r="I27" s="391">
        <v>240.79149864132648</v>
      </c>
      <c r="J27" s="389">
        <v>254.88632517939368</v>
      </c>
      <c r="K27" s="389">
        <v>272.70394189085573</v>
      </c>
      <c r="L27" s="389">
        <v>291.1062214037477</v>
      </c>
      <c r="M27" s="389">
        <v>309.2287403277668</v>
      </c>
      <c r="N27" s="389">
        <v>326.86045556346744</v>
      </c>
      <c r="O27" s="389">
        <v>333.2760933498303</v>
      </c>
      <c r="P27" s="389">
        <v>345.27313952950306</v>
      </c>
      <c r="Q27" s="389">
        <v>371.96283014214436</v>
      </c>
      <c r="R27" s="389">
        <v>378.6862470817956</v>
      </c>
      <c r="S27" s="389">
        <v>390.6744298440199</v>
      </c>
      <c r="T27" s="389">
        <v>399.54383509570215</v>
      </c>
      <c r="U27" s="389">
        <v>407.3073018711071</v>
      </c>
      <c r="V27" s="389">
        <v>414.93976456171833</v>
      </c>
      <c r="W27" s="389">
        <v>417.30513658317597</v>
      </c>
      <c r="X27" s="389">
        <v>421.5263490852916</v>
      </c>
      <c r="Y27" s="389">
        <v>443.7835822963644</v>
      </c>
      <c r="Z27" s="389">
        <v>446.95713442046105</v>
      </c>
      <c r="AA27" s="389">
        <v>406.11067359734244</v>
      </c>
      <c r="AB27" s="389">
        <v>415.0142016615805</v>
      </c>
      <c r="AC27" s="389">
        <v>452.98560303010504</v>
      </c>
      <c r="AD27" s="389">
        <v>456.7075028066989</v>
      </c>
      <c r="AE27" s="389">
        <v>470.4587668179856</v>
      </c>
      <c r="AF27" s="143">
        <v>491.6391726501155</v>
      </c>
      <c r="AG27" s="156" t="s">
        <v>70</v>
      </c>
      <c r="AH27" s="402"/>
      <c r="AI27" s="881">
        <f t="shared" si="0"/>
        <v>0.030109564495389707</v>
      </c>
      <c r="AJ27" s="120"/>
    </row>
    <row r="28" spans="1:36" ht="12.75" customHeight="1">
      <c r="A28" s="8"/>
      <c r="B28" s="402" t="s">
        <v>54</v>
      </c>
      <c r="C28" s="144">
        <v>1.964521527030441</v>
      </c>
      <c r="D28" s="144">
        <v>10.771077180422813</v>
      </c>
      <c r="E28" s="145">
        <v>55.720409305271225</v>
      </c>
      <c r="F28" s="146">
        <v>62.76035963995672</v>
      </c>
      <c r="G28" s="146">
        <v>69.93553974700653</v>
      </c>
      <c r="H28" s="146">
        <v>78.82239633353697</v>
      </c>
      <c r="I28" s="146">
        <v>88.9389731439143</v>
      </c>
      <c r="J28" s="146">
        <v>96.99253778610615</v>
      </c>
      <c r="K28" s="146">
        <v>103.01085889197269</v>
      </c>
      <c r="L28" s="146">
        <v>108.63344122746896</v>
      </c>
      <c r="M28" s="146">
        <v>115.37274783062259</v>
      </c>
      <c r="N28" s="146">
        <v>120.32788425634095</v>
      </c>
      <c r="O28" s="146">
        <v>123.8313601902984</v>
      </c>
      <c r="P28" s="146">
        <v>131.9620419701245</v>
      </c>
      <c r="Q28" s="146">
        <v>137.48185239455916</v>
      </c>
      <c r="R28" s="146">
        <v>143.46952406150194</v>
      </c>
      <c r="S28" s="146">
        <v>150.84246570793843</v>
      </c>
      <c r="T28" s="146">
        <v>158.24323602146228</v>
      </c>
      <c r="U28" s="146">
        <v>170.53247620276716</v>
      </c>
      <c r="V28" s="329">
        <v>171.61051898043468</v>
      </c>
      <c r="W28" s="146">
        <v>197.0306194285893</v>
      </c>
      <c r="X28" s="146">
        <v>209.1631586460355</v>
      </c>
      <c r="Y28" s="146">
        <v>213.8565464856556</v>
      </c>
      <c r="Z28" s="146">
        <v>215.6920711966702</v>
      </c>
      <c r="AA28" s="146">
        <v>224.13758310783467</v>
      </c>
      <c r="AB28" s="146">
        <v>235.40315784919582</v>
      </c>
      <c r="AC28" s="146">
        <v>246.97555142517504</v>
      </c>
      <c r="AD28" s="146">
        <v>260.875829334</v>
      </c>
      <c r="AE28" s="146">
        <v>278.57490830696867</v>
      </c>
      <c r="AF28" s="146">
        <v>307.1073330912862</v>
      </c>
      <c r="AG28" s="402" t="s">
        <v>54</v>
      </c>
      <c r="AH28" s="402"/>
      <c r="AI28" s="880">
        <f t="shared" si="0"/>
        <v>0.06784484027574855</v>
      </c>
      <c r="AJ28" s="120"/>
    </row>
    <row r="29" spans="1:36" ht="12.75" customHeight="1">
      <c r="A29" s="8"/>
      <c r="B29" s="156" t="s">
        <v>56</v>
      </c>
      <c r="C29" s="387">
        <v>87.08172540849422</v>
      </c>
      <c r="D29" s="387">
        <v>218.0851565224768</v>
      </c>
      <c r="E29" s="388">
        <v>293.56007290200483</v>
      </c>
      <c r="F29" s="389">
        <v>301.606073704095</v>
      </c>
      <c r="G29" s="389">
        <v>304.02179647397</v>
      </c>
      <c r="H29" s="389">
        <v>326.9032797696601</v>
      </c>
      <c r="I29" s="389">
        <v>335.92094806826117</v>
      </c>
      <c r="J29" s="389">
        <v>357.42157078501066</v>
      </c>
      <c r="K29" s="389">
        <v>373.9613052714434</v>
      </c>
      <c r="L29" s="389">
        <v>391.3491858374355</v>
      </c>
      <c r="M29" s="389">
        <v>410.2800639325817</v>
      </c>
      <c r="N29" s="389">
        <v>425.6606070667663</v>
      </c>
      <c r="O29" s="389">
        <v>435.20356324877116</v>
      </c>
      <c r="P29" s="389">
        <v>442.0639450037261</v>
      </c>
      <c r="Q29" s="389">
        <v>448.3740369206925</v>
      </c>
      <c r="R29" s="389">
        <v>456.02782562700577</v>
      </c>
      <c r="S29" s="389">
        <v>467.53387832337967</v>
      </c>
      <c r="T29" s="389">
        <v>479.30175235779126</v>
      </c>
      <c r="U29" s="389">
        <v>487.60058436800654</v>
      </c>
      <c r="V29" s="389">
        <v>504.47079470458925</v>
      </c>
      <c r="W29" s="389">
        <v>514.2700955833656</v>
      </c>
      <c r="X29" s="389">
        <v>517.2791473861931</v>
      </c>
      <c r="Y29" s="389">
        <v>517.8283563125156</v>
      </c>
      <c r="Z29" s="389">
        <v>518.8480055422145</v>
      </c>
      <c r="AA29" s="389">
        <v>517.7856647081023</v>
      </c>
      <c r="AB29" s="389">
        <v>516.13349279627</v>
      </c>
      <c r="AC29" s="389">
        <v>517.8997844754455</v>
      </c>
      <c r="AD29" s="389">
        <v>522.5977478795536</v>
      </c>
      <c r="AE29" s="389">
        <v>530.7738292604416</v>
      </c>
      <c r="AF29" s="143">
        <v>540.8804575011612</v>
      </c>
      <c r="AG29" s="156" t="s">
        <v>56</v>
      </c>
      <c r="AH29" s="402"/>
      <c r="AI29" s="881">
        <f t="shared" si="0"/>
        <v>0.015645075804598507</v>
      </c>
      <c r="AJ29" s="120"/>
    </row>
    <row r="30" spans="1:36" ht="12.75" customHeight="1">
      <c r="A30" s="8"/>
      <c r="B30" s="402" t="s">
        <v>55</v>
      </c>
      <c r="C30" s="144">
        <v>36.12422327413219</v>
      </c>
      <c r="D30" s="144">
        <v>110.48111523480539</v>
      </c>
      <c r="E30" s="145">
        <v>165.7028597489112</v>
      </c>
      <c r="F30" s="146">
        <v>175.41948198570321</v>
      </c>
      <c r="G30" s="146">
        <v>182.7195480749056</v>
      </c>
      <c r="H30" s="146">
        <v>186.44081136259933</v>
      </c>
      <c r="I30" s="146">
        <v>185.58767426277586</v>
      </c>
      <c r="J30" s="146">
        <v>189.23877424414889</v>
      </c>
      <c r="K30" s="146">
        <v>196.7723332438484</v>
      </c>
      <c r="L30" s="146">
        <v>210.83663563891494</v>
      </c>
      <c r="M30" s="146">
        <v>221.77346236554354</v>
      </c>
      <c r="N30" s="146">
        <v>229.01992106555392</v>
      </c>
      <c r="O30" s="146">
        <v>236.8937359993887</v>
      </c>
      <c r="P30" s="146">
        <v>240.34426043293573</v>
      </c>
      <c r="Q30" s="146">
        <v>246.87094932289565</v>
      </c>
      <c r="R30" s="146">
        <v>252.4630599185573</v>
      </c>
      <c r="S30" s="329">
        <v>222.79921491768084</v>
      </c>
      <c r="T30" s="146">
        <v>242.64311749571183</v>
      </c>
      <c r="U30" s="146">
        <v>248.22339843444666</v>
      </c>
      <c r="V30" s="146">
        <v>266.7241312603421</v>
      </c>
      <c r="W30" s="146">
        <v>287.0258087422323</v>
      </c>
      <c r="X30" s="146">
        <v>294.79093427030597</v>
      </c>
      <c r="Y30" s="146">
        <v>309.5190939325123</v>
      </c>
      <c r="Z30" s="146">
        <v>323.6853762599638</v>
      </c>
      <c r="AA30" s="146">
        <v>337.1364425016763</v>
      </c>
      <c r="AB30" s="146">
        <v>347.0784159895154</v>
      </c>
      <c r="AC30" s="146">
        <v>359.5147628385481</v>
      </c>
      <c r="AD30" s="146">
        <v>374.9501497534578</v>
      </c>
      <c r="AE30" s="146">
        <v>390.3661645640395</v>
      </c>
      <c r="AF30" s="146">
        <v>408.42696835638384</v>
      </c>
      <c r="AG30" s="402" t="s">
        <v>55</v>
      </c>
      <c r="AH30" s="402"/>
      <c r="AI30" s="880">
        <f t="shared" si="0"/>
        <v>0.04111483838776486</v>
      </c>
      <c r="AJ30" s="120"/>
    </row>
    <row r="31" spans="1:36" ht="12.75" customHeight="1">
      <c r="A31" s="8"/>
      <c r="B31" s="156" t="s">
        <v>71</v>
      </c>
      <c r="C31" s="387">
        <v>154.8386198833665</v>
      </c>
      <c r="D31" s="387">
        <v>256.06868154705586</v>
      </c>
      <c r="E31" s="388">
        <v>387.8892734948518</v>
      </c>
      <c r="F31" s="389">
        <v>382.38203126584557</v>
      </c>
      <c r="G31" s="389">
        <v>382.9885052014033</v>
      </c>
      <c r="H31" s="389">
        <v>368.83920004915404</v>
      </c>
      <c r="I31" s="389">
        <v>367.2638452453286</v>
      </c>
      <c r="J31" s="389">
        <v>371.49103760807975</v>
      </c>
      <c r="K31" s="389">
        <v>378.53290519687005</v>
      </c>
      <c r="L31" s="389">
        <v>378.4717142746684</v>
      </c>
      <c r="M31" s="389">
        <v>391.7160208277854</v>
      </c>
      <c r="N31" s="389">
        <v>402.71869637472344</v>
      </c>
      <c r="O31" s="389">
        <v>412.02096459931886</v>
      </c>
      <c r="P31" s="389">
        <v>415.9084071092019</v>
      </c>
      <c r="Q31" s="389">
        <v>421.544111503478</v>
      </c>
      <c r="R31" s="389">
        <v>435.7650929204795</v>
      </c>
      <c r="S31" s="389">
        <v>448.1383092996597</v>
      </c>
      <c r="T31" s="389">
        <v>462.43135867021334</v>
      </c>
      <c r="U31" s="389">
        <v>474.8084833014494</v>
      </c>
      <c r="V31" s="389">
        <v>484.92854614786125</v>
      </c>
      <c r="W31" s="389">
        <v>507.00953792810566</v>
      </c>
      <c r="X31" s="389">
        <v>518.8642207022539</v>
      </c>
      <c r="Y31" s="389">
        <v>535.3183724891521</v>
      </c>
      <c r="Z31" s="389">
        <v>551.4870862706842</v>
      </c>
      <c r="AA31" s="389">
        <v>563.417666143203</v>
      </c>
      <c r="AB31" s="389">
        <v>573.7009907782957</v>
      </c>
      <c r="AC31" s="389">
        <v>583.898798063436</v>
      </c>
      <c r="AD31" s="389">
        <v>593.657399949119</v>
      </c>
      <c r="AE31" s="389">
        <v>608.0000770447243</v>
      </c>
      <c r="AF31" s="143">
        <v>620.881423075458</v>
      </c>
      <c r="AG31" s="156" t="s">
        <v>71</v>
      </c>
      <c r="AH31" s="402"/>
      <c r="AI31" s="881">
        <f t="shared" si="0"/>
        <v>0.024159855662263308</v>
      </c>
      <c r="AJ31" s="120"/>
    </row>
    <row r="32" spans="1:36" ht="12.75" customHeight="1">
      <c r="A32" s="8"/>
      <c r="B32" s="402" t="s">
        <v>72</v>
      </c>
      <c r="C32" s="144">
        <v>283.12521732459044</v>
      </c>
      <c r="D32" s="144">
        <v>346.59911490391823</v>
      </c>
      <c r="E32" s="145">
        <v>419.1776388926074</v>
      </c>
      <c r="F32" s="146">
        <v>418.6660990361078</v>
      </c>
      <c r="G32" s="146">
        <v>412.90780398050487</v>
      </c>
      <c r="H32" s="146">
        <v>407.7822243267637</v>
      </c>
      <c r="I32" s="146">
        <v>407.6729442613698</v>
      </c>
      <c r="J32" s="146">
        <v>410.83582951550983</v>
      </c>
      <c r="K32" s="146">
        <v>413.2421745991491</v>
      </c>
      <c r="L32" s="146">
        <v>418.32356140772237</v>
      </c>
      <c r="M32" s="146">
        <v>428.11804223971075</v>
      </c>
      <c r="N32" s="146">
        <v>438.9992084795382</v>
      </c>
      <c r="O32" s="146">
        <v>450.15283482940947</v>
      </c>
      <c r="P32" s="146">
        <v>451.0579486567035</v>
      </c>
      <c r="Q32" s="146">
        <v>452.1740141920377</v>
      </c>
      <c r="R32" s="146">
        <v>454.05122960180137</v>
      </c>
      <c r="S32" s="146">
        <v>456.46932238659684</v>
      </c>
      <c r="T32" s="146">
        <v>459.08353809874546</v>
      </c>
      <c r="U32" s="146">
        <v>461.1373299359383</v>
      </c>
      <c r="V32" s="146">
        <v>463.73699801817</v>
      </c>
      <c r="W32" s="146">
        <v>462.27685716622335</v>
      </c>
      <c r="X32" s="146">
        <v>460.43233245709473</v>
      </c>
      <c r="Y32" s="146">
        <v>460.42693113640485</v>
      </c>
      <c r="Z32" s="146">
        <v>464.13785721705113</v>
      </c>
      <c r="AA32" s="146">
        <v>465.38455380360585</v>
      </c>
      <c r="AB32" s="146">
        <v>466.1001959177444</v>
      </c>
      <c r="AC32" s="146">
        <v>470.43726221113315</v>
      </c>
      <c r="AD32" s="146">
        <v>473.96761166892713</v>
      </c>
      <c r="AE32" s="146">
        <v>477.03721994050517</v>
      </c>
      <c r="AF32" s="146">
        <v>478.72600279716636</v>
      </c>
      <c r="AG32" s="402" t="s">
        <v>72</v>
      </c>
      <c r="AH32" s="402"/>
      <c r="AI32" s="880">
        <f t="shared" si="0"/>
        <v>0.006476409349510881</v>
      </c>
      <c r="AJ32" s="120"/>
    </row>
    <row r="33" spans="1:36" ht="12.75" customHeight="1">
      <c r="A33" s="8"/>
      <c r="B33" s="157" t="s">
        <v>61</v>
      </c>
      <c r="C33" s="394">
        <v>213.33773155659458</v>
      </c>
      <c r="D33" s="394">
        <v>277.20998646713343</v>
      </c>
      <c r="E33" s="395">
        <v>361.39956192206176</v>
      </c>
      <c r="F33" s="396">
        <v>360.970694013454</v>
      </c>
      <c r="G33" s="396">
        <v>363.7517322440325</v>
      </c>
      <c r="H33" s="396">
        <v>368.4275236507942</v>
      </c>
      <c r="I33" s="396">
        <v>375.2054933815495</v>
      </c>
      <c r="J33" s="396">
        <v>377.8460461385155</v>
      </c>
      <c r="K33" s="396">
        <v>391.8095392335679</v>
      </c>
      <c r="L33" s="396">
        <v>401.5782556317369</v>
      </c>
      <c r="M33" s="396">
        <v>408.3707346668047</v>
      </c>
      <c r="N33" s="396">
        <v>418.94767268644244</v>
      </c>
      <c r="O33" s="396">
        <v>424.8636787312821</v>
      </c>
      <c r="P33" s="396">
        <v>435.78480759919165</v>
      </c>
      <c r="Q33" s="396">
        <v>445.24323245267163</v>
      </c>
      <c r="R33" s="396">
        <v>451.42416953582057</v>
      </c>
      <c r="S33" s="396">
        <v>462.03550726504</v>
      </c>
      <c r="T33" s="396">
        <v>467.2736442463614</v>
      </c>
      <c r="U33" s="389">
        <v>465.7791666957983</v>
      </c>
      <c r="V33" s="389">
        <v>468.9385521878276</v>
      </c>
      <c r="W33" s="389">
        <v>468.2272234625311</v>
      </c>
      <c r="X33" s="389">
        <v>466.3607763066241</v>
      </c>
      <c r="Y33" s="389">
        <v>465.4458503825267</v>
      </c>
      <c r="Z33" s="389">
        <v>462.74626014462825</v>
      </c>
      <c r="AA33" s="396">
        <v>463.8766955421552</v>
      </c>
      <c r="AB33" s="396">
        <v>467.36435422176964</v>
      </c>
      <c r="AC33" s="396">
        <v>471.0147095579641</v>
      </c>
      <c r="AD33" s="396">
        <v>477.43200405316423</v>
      </c>
      <c r="AE33" s="396">
        <v>483.48100579699246</v>
      </c>
      <c r="AF33" s="983">
        <v>485.8810395262208</v>
      </c>
      <c r="AG33" s="157" t="s">
        <v>61</v>
      </c>
      <c r="AH33" s="402"/>
      <c r="AI33" s="883">
        <f t="shared" si="0"/>
        <v>0.012669870667393779</v>
      </c>
      <c r="AJ33" s="120"/>
    </row>
    <row r="34" spans="1:36" ht="12.75" customHeight="1">
      <c r="A34" s="8"/>
      <c r="B34" s="402" t="s">
        <v>252</v>
      </c>
      <c r="C34" s="144"/>
      <c r="D34" s="144"/>
      <c r="E34" s="145">
        <v>0</v>
      </c>
      <c r="F34" s="146">
        <v>0</v>
      </c>
      <c r="G34" s="146">
        <v>0</v>
      </c>
      <c r="H34" s="146">
        <v>17.615695383363715</v>
      </c>
      <c r="I34" s="146">
        <v>20.918261186468015</v>
      </c>
      <c r="J34" s="146">
        <v>17.874505025890954</v>
      </c>
      <c r="K34" s="146">
        <v>20.23814215070344</v>
      </c>
      <c r="L34" s="146">
        <v>22.902263067469885</v>
      </c>
      <c r="M34" s="146">
        <v>26.90602633213229</v>
      </c>
      <c r="N34" s="146">
        <v>30.162527542122813</v>
      </c>
      <c r="O34" s="146">
        <v>37.38821761240589</v>
      </c>
      <c r="P34" s="146">
        <v>43.296560346650026</v>
      </c>
      <c r="Q34" s="146">
        <v>47.87028153131014</v>
      </c>
      <c r="R34" s="146">
        <v>56.0279886701535</v>
      </c>
      <c r="S34" s="146">
        <v>60.60781983907368</v>
      </c>
      <c r="T34" s="146">
        <v>61.96130185259926</v>
      </c>
      <c r="U34" s="597">
        <v>71.40525752349232</v>
      </c>
      <c r="V34" s="597">
        <v>75.05622939701267</v>
      </c>
      <c r="W34" s="597">
        <v>83.15631514544064</v>
      </c>
      <c r="X34" s="597"/>
      <c r="Y34" s="598">
        <v>104.08049323719929</v>
      </c>
      <c r="Z34" s="597"/>
      <c r="AA34" s="93">
        <v>102.57446058379001</v>
      </c>
      <c r="AB34" s="146">
        <v>117.98938309299167</v>
      </c>
      <c r="AC34" s="146">
        <v>130.71007107833137</v>
      </c>
      <c r="AD34" s="146">
        <v>140.38152839484877</v>
      </c>
      <c r="AE34" s="146">
        <v>151.57281657350663</v>
      </c>
      <c r="AF34" s="146">
        <v>147.02172995104385</v>
      </c>
      <c r="AG34" s="402" t="s">
        <v>252</v>
      </c>
      <c r="AH34" s="402"/>
      <c r="AI34" s="880">
        <f t="shared" si="0"/>
        <v>0.07972051812386827</v>
      </c>
      <c r="AJ34" s="120"/>
    </row>
    <row r="35" spans="1:36" ht="12.75" customHeight="1">
      <c r="A35" s="8"/>
      <c r="B35" s="156" t="s">
        <v>240</v>
      </c>
      <c r="C35" s="387"/>
      <c r="D35" s="387"/>
      <c r="E35" s="388"/>
      <c r="F35" s="389"/>
      <c r="G35" s="389"/>
      <c r="H35" s="389"/>
      <c r="I35" s="389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595"/>
      <c r="Y35" s="596">
        <v>265.6336210373477</v>
      </c>
      <c r="Z35" s="389">
        <v>277.23808172714206</v>
      </c>
      <c r="AA35" s="389">
        <v>280.02409432865244</v>
      </c>
      <c r="AB35" s="389">
        <v>287.4593135227933</v>
      </c>
      <c r="AC35" s="389">
        <v>279.8155920520689</v>
      </c>
      <c r="AD35" s="389">
        <v>282.7176327267935</v>
      </c>
      <c r="AE35" s="389">
        <v>310.48527684543535</v>
      </c>
      <c r="AF35" s="143">
        <v>331.8020627965531</v>
      </c>
      <c r="AG35" s="156" t="s">
        <v>240</v>
      </c>
      <c r="AH35" s="402"/>
      <c r="AI35" s="881">
        <f t="shared" si="0"/>
        <v>0.09821688110085214</v>
      </c>
      <c r="AJ35" s="120"/>
    </row>
    <row r="36" spans="1:36" ht="12.75" customHeight="1">
      <c r="A36" s="8"/>
      <c r="B36" s="402" t="s">
        <v>1</v>
      </c>
      <c r="C36" s="144"/>
      <c r="D36" s="144"/>
      <c r="E36" s="145">
        <v>0</v>
      </c>
      <c r="F36" s="146">
        <v>0</v>
      </c>
      <c r="G36" s="146">
        <v>0</v>
      </c>
      <c r="H36" s="146">
        <v>149.72523429823605</v>
      </c>
      <c r="I36" s="146">
        <v>134.46365208594645</v>
      </c>
      <c r="J36" s="146">
        <v>145.00628142296418</v>
      </c>
      <c r="K36" s="146">
        <v>142.6244276633802</v>
      </c>
      <c r="L36" s="146">
        <v>144.43301337435202</v>
      </c>
      <c r="M36" s="146">
        <v>143.42787442769804</v>
      </c>
      <c r="N36" s="146">
        <v>143.4522932085727</v>
      </c>
      <c r="O36" s="146">
        <v>147.70234236221341</v>
      </c>
      <c r="P36" s="146">
        <v>152.06133860086888</v>
      </c>
      <c r="Q36" s="146">
        <v>152.19993141119974</v>
      </c>
      <c r="R36" s="146">
        <v>147.69702033408677</v>
      </c>
      <c r="S36" s="723">
        <v>122.54495390124588</v>
      </c>
      <c r="T36" s="146">
        <v>124.2248029692217</v>
      </c>
      <c r="U36" s="146">
        <v>118.6552402836321</v>
      </c>
      <c r="V36" s="146">
        <v>121.63934955263042</v>
      </c>
      <c r="W36" s="146">
        <v>128.43383762427277</v>
      </c>
      <c r="X36" s="146">
        <v>137.47404665609858</v>
      </c>
      <c r="Y36" s="146">
        <v>150.79638980325515</v>
      </c>
      <c r="Z36" s="146">
        <v>151.99578210248208</v>
      </c>
      <c r="AA36" s="146">
        <v>146.32297819806487</v>
      </c>
      <c r="AB36" s="146">
        <v>167.87840266748123</v>
      </c>
      <c r="AC36" s="146">
        <v>179.5157676597209</v>
      </c>
      <c r="AD36" s="146">
        <v>185.31215993217717</v>
      </c>
      <c r="AE36" s="146">
        <v>190.448772292258</v>
      </c>
      <c r="AF36" s="146">
        <v>194.34096547922445</v>
      </c>
      <c r="AG36" s="402" t="s">
        <v>1</v>
      </c>
      <c r="AH36" s="402"/>
      <c r="AI36" s="880">
        <f t="shared" si="0"/>
        <v>0.027718701039159077</v>
      </c>
      <c r="AJ36" s="120"/>
    </row>
    <row r="37" spans="1:36" ht="12.75" customHeight="1">
      <c r="A37" s="8"/>
      <c r="B37" s="156" t="s">
        <v>239</v>
      </c>
      <c r="C37" s="387"/>
      <c r="D37" s="387"/>
      <c r="E37" s="388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>
        <v>184.26723304833857</v>
      </c>
      <c r="Q37" s="389">
        <v>179.37160705804015</v>
      </c>
      <c r="R37" s="389">
        <v>185.81795580691067</v>
      </c>
      <c r="S37" s="391">
        <v>194.45188806405537</v>
      </c>
      <c r="T37" s="389">
        <v>199.5152641166835</v>
      </c>
      <c r="U37" s="389">
        <v>204.36717006520044</v>
      </c>
      <c r="V37" s="389">
        <v>200.48070010659146</v>
      </c>
      <c r="W37" s="389">
        <v>202.67495140040057</v>
      </c>
      <c r="X37" s="389">
        <v>224.04192767793074</v>
      </c>
      <c r="Y37" s="389">
        <v>215.891804633741</v>
      </c>
      <c r="Z37" s="389">
        <v>232.44999167896344</v>
      </c>
      <c r="AA37" s="389">
        <v>240.36605140565942</v>
      </c>
      <c r="AB37" s="389">
        <v>247.6935349296093</v>
      </c>
      <c r="AC37" s="389">
        <v>252.6465715346341</v>
      </c>
      <c r="AD37" s="389">
        <v>259.29812621495876</v>
      </c>
      <c r="AE37" s="389">
        <v>268.2133588020463</v>
      </c>
      <c r="AF37" s="143">
        <v>281.2277010285307</v>
      </c>
      <c r="AG37" s="156" t="s">
        <v>239</v>
      </c>
      <c r="AH37" s="402"/>
      <c r="AI37" s="881">
        <f t="shared" si="0"/>
        <v>0.034382171276073015</v>
      </c>
      <c r="AJ37" s="120"/>
    </row>
    <row r="38" spans="1:36" ht="12.75" customHeight="1">
      <c r="A38" s="8"/>
      <c r="B38" s="403" t="s">
        <v>57</v>
      </c>
      <c r="C38" s="147"/>
      <c r="D38" s="147"/>
      <c r="E38" s="148">
        <v>0</v>
      </c>
      <c r="F38" s="149">
        <v>0</v>
      </c>
      <c r="G38" s="149">
        <v>0</v>
      </c>
      <c r="H38" s="149">
        <v>43.60674085113848</v>
      </c>
      <c r="I38" s="149">
        <v>46.75608539526051</v>
      </c>
      <c r="J38" s="149">
        <v>49.06364964191686</v>
      </c>
      <c r="K38" s="149">
        <v>51.57396997047838</v>
      </c>
      <c r="L38" s="149">
        <v>55.22915363811349</v>
      </c>
      <c r="M38" s="149">
        <v>58.34455890331282</v>
      </c>
      <c r="N38" s="149">
        <v>60.88146220422735</v>
      </c>
      <c r="O38" s="149">
        <v>68.31784474902719</v>
      </c>
      <c r="P38" s="149">
        <v>69.12476472169938</v>
      </c>
      <c r="Q38" s="149">
        <v>69.27728565879889</v>
      </c>
      <c r="R38" s="149">
        <v>69.95885275913432</v>
      </c>
      <c r="S38" s="149">
        <v>79.40629982660988</v>
      </c>
      <c r="T38" s="149">
        <v>83.83241089646422</v>
      </c>
      <c r="U38" s="149">
        <v>88.06819025168906</v>
      </c>
      <c r="V38" s="149">
        <v>91.69144769486002</v>
      </c>
      <c r="W38" s="149">
        <v>95.03501959671183</v>
      </c>
      <c r="X38" s="149">
        <v>97.76510104999204</v>
      </c>
      <c r="Y38" s="149">
        <v>102.34081939272455</v>
      </c>
      <c r="Z38" s="149">
        <v>108.57397614689278</v>
      </c>
      <c r="AA38" s="149">
        <v>114.36168412224862</v>
      </c>
      <c r="AB38" s="149">
        <v>121.09275667312188</v>
      </c>
      <c r="AC38" s="149">
        <v>126.87818137748935</v>
      </c>
      <c r="AD38" s="149">
        <v>134.48305041081937</v>
      </c>
      <c r="AE38" s="149">
        <v>141.80312338035353</v>
      </c>
      <c r="AF38" s="769">
        <v>148.9407227585763</v>
      </c>
      <c r="AG38" s="403" t="s">
        <v>57</v>
      </c>
      <c r="AH38" s="402"/>
      <c r="AI38" s="884">
        <f t="shared" si="0"/>
        <v>0.05443119372421101</v>
      </c>
      <c r="AJ38" s="120"/>
    </row>
    <row r="39" spans="1:36" ht="12.75" customHeight="1">
      <c r="A39" s="8"/>
      <c r="B39" s="156" t="s">
        <v>43</v>
      </c>
      <c r="C39" s="387">
        <v>199.11733403634165</v>
      </c>
      <c r="D39" s="387">
        <v>374.67895188965974</v>
      </c>
      <c r="E39" s="388">
        <v>467.94415827034464</v>
      </c>
      <c r="F39" s="389">
        <v>465.3424557323651</v>
      </c>
      <c r="G39" s="389">
        <v>457.8979061382848</v>
      </c>
      <c r="H39" s="389">
        <v>438.36582863006663</v>
      </c>
      <c r="I39" s="389">
        <v>435.40291709429243</v>
      </c>
      <c r="J39" s="389">
        <v>444.96525574903535</v>
      </c>
      <c r="K39" s="389">
        <v>462.84191882137594</v>
      </c>
      <c r="L39" s="389">
        <v>486.3334814102305</v>
      </c>
      <c r="M39" s="389">
        <v>509.1254642525534</v>
      </c>
      <c r="N39" s="389">
        <v>542.5892943533214</v>
      </c>
      <c r="O39" s="389">
        <v>560.8958184083202</v>
      </c>
      <c r="P39" s="389">
        <v>557.8469859548111</v>
      </c>
      <c r="Q39" s="389">
        <v>560.6144118472914</v>
      </c>
      <c r="R39" s="389">
        <v>574.2815844719</v>
      </c>
      <c r="S39" s="389">
        <v>597.5502168085375</v>
      </c>
      <c r="T39" s="389">
        <v>625.033762266957</v>
      </c>
      <c r="U39" s="389">
        <v>641.2835747159313</v>
      </c>
      <c r="V39" s="389">
        <v>657.812901201107</v>
      </c>
      <c r="W39" s="389">
        <v>656.7345507377071</v>
      </c>
      <c r="X39" s="389">
        <v>646.4691622327865</v>
      </c>
      <c r="Y39" s="389">
        <v>642.9100774999057</v>
      </c>
      <c r="Z39" s="389">
        <v>644.9565829617461</v>
      </c>
      <c r="AA39" s="389">
        <v>652.6811596454326</v>
      </c>
      <c r="AB39" s="389">
        <v>654.3812620712314</v>
      </c>
      <c r="AC39" s="389">
        <v>660.7535703433607</v>
      </c>
      <c r="AD39" s="389">
        <v>680.6053005903244</v>
      </c>
      <c r="AE39" s="985">
        <v>710.7749690408424</v>
      </c>
      <c r="AF39" s="389">
        <v>717.4630506528914</v>
      </c>
      <c r="AG39" s="156" t="s">
        <v>43</v>
      </c>
      <c r="AH39" s="402"/>
      <c r="AI39" s="881">
        <f t="shared" si="0"/>
        <v>0.0443277012746599</v>
      </c>
      <c r="AJ39" s="120"/>
    </row>
    <row r="40" spans="1:36" ht="12.75" customHeight="1">
      <c r="A40" s="8"/>
      <c r="B40" s="402" t="s">
        <v>73</v>
      </c>
      <c r="C40" s="144">
        <v>177.45521506157567</v>
      </c>
      <c r="D40" s="144">
        <v>300.5615369201972</v>
      </c>
      <c r="E40" s="145">
        <v>379.55329977904995</v>
      </c>
      <c r="F40" s="146">
        <v>377.8103131901328</v>
      </c>
      <c r="G40" s="146">
        <v>376.68646042361235</v>
      </c>
      <c r="H40" s="146">
        <v>377.60875320678457</v>
      </c>
      <c r="I40" s="146">
        <v>380.2948663994425</v>
      </c>
      <c r="J40" s="146">
        <v>385.5104295076587</v>
      </c>
      <c r="K40" s="146">
        <v>378.1823719914386</v>
      </c>
      <c r="L40" s="146">
        <v>397.95395643651676</v>
      </c>
      <c r="M40" s="146">
        <v>401.86091963047056</v>
      </c>
      <c r="N40" s="146">
        <v>404.9666662721891</v>
      </c>
      <c r="O40" s="146">
        <v>411.22578404578195</v>
      </c>
      <c r="P40" s="146">
        <v>413.97760333293104</v>
      </c>
      <c r="Q40" s="146">
        <v>417.32465601640683</v>
      </c>
      <c r="R40" s="146">
        <v>422.43105724422975</v>
      </c>
      <c r="S40" s="146">
        <v>429.3890863572845</v>
      </c>
      <c r="T40" s="146">
        <v>437.2442335157026</v>
      </c>
      <c r="U40" s="146">
        <v>445.23250135544083</v>
      </c>
      <c r="V40" s="146">
        <v>454.87844960631566</v>
      </c>
      <c r="W40" s="146">
        <v>457.8198852654539</v>
      </c>
      <c r="X40" s="146">
        <v>461.8995640153893</v>
      </c>
      <c r="Y40" s="146">
        <v>469.1879873300537</v>
      </c>
      <c r="Z40" s="146">
        <v>476.54672103364106</v>
      </c>
      <c r="AA40" s="146">
        <v>483.64026904098466</v>
      </c>
      <c r="AB40" s="146">
        <v>489.4831018976227</v>
      </c>
      <c r="AC40" s="146">
        <v>494.61849653139956</v>
      </c>
      <c r="AD40" s="146">
        <v>500.9579288547592</v>
      </c>
      <c r="AE40" s="146">
        <v>506.4186887173215</v>
      </c>
      <c r="AF40" s="146">
        <v>513.5180608725817</v>
      </c>
      <c r="AG40" s="402" t="s">
        <v>73</v>
      </c>
      <c r="AH40" s="402"/>
      <c r="AI40" s="880">
        <f t="shared" si="0"/>
        <v>0.01090063565826016</v>
      </c>
      <c r="AJ40" s="120"/>
    </row>
    <row r="41" spans="1:36" ht="12.75" customHeight="1">
      <c r="A41" s="8"/>
      <c r="B41" s="156" t="s">
        <v>44</v>
      </c>
      <c r="C41" s="387">
        <v>223.3476407601161</v>
      </c>
      <c r="D41" s="387">
        <v>354.6433814772377</v>
      </c>
      <c r="E41" s="388">
        <v>441.8105578829537</v>
      </c>
      <c r="F41" s="389">
        <v>446.8656543667708</v>
      </c>
      <c r="G41" s="389">
        <v>447.48789041741566</v>
      </c>
      <c r="H41" s="389">
        <v>446.2211041863683</v>
      </c>
      <c r="I41" s="389">
        <v>450.9236974568668</v>
      </c>
      <c r="J41" s="389">
        <v>457.23791245808405</v>
      </c>
      <c r="K41" s="389">
        <v>461.50731795904335</v>
      </c>
      <c r="L41" s="389">
        <v>468.32542681461825</v>
      </c>
      <c r="M41" s="389">
        <v>474.9476278427416</v>
      </c>
      <c r="N41" s="389">
        <v>483.96093262784944</v>
      </c>
      <c r="O41" s="389">
        <v>492.1182583975275</v>
      </c>
      <c r="P41" s="389">
        <v>500.26000416502836</v>
      </c>
      <c r="Q41" s="389">
        <v>506.01933071392057</v>
      </c>
      <c r="R41" s="389">
        <v>509.75211253223046</v>
      </c>
      <c r="S41" s="389">
        <v>513.9984588209306</v>
      </c>
      <c r="T41" s="389">
        <v>517.6800827120811</v>
      </c>
      <c r="U41" s="389">
        <v>519.3966656718259</v>
      </c>
      <c r="V41" s="389">
        <v>520.9442451656641</v>
      </c>
      <c r="W41" s="389">
        <v>518.0324067341691</v>
      </c>
      <c r="X41" s="389">
        <v>514.9886858213523</v>
      </c>
      <c r="Y41" s="389">
        <v>517.8850830239993</v>
      </c>
      <c r="Z41" s="389">
        <v>523.3409037367019</v>
      </c>
      <c r="AA41" s="389">
        <v>529.2907379718525</v>
      </c>
      <c r="AB41" s="389">
        <v>530.8453171894403</v>
      </c>
      <c r="AC41" s="389">
        <v>532.2490618094979</v>
      </c>
      <c r="AD41" s="389">
        <v>535.3670642187953</v>
      </c>
      <c r="AE41" s="389">
        <v>537.3208781942028</v>
      </c>
      <c r="AF41" s="389">
        <v>538.7470489018909</v>
      </c>
      <c r="AG41" s="156" t="s">
        <v>44</v>
      </c>
      <c r="AH41" s="402"/>
      <c r="AI41" s="881">
        <f t="shared" si="0"/>
        <v>0.0036494848226393817</v>
      </c>
      <c r="AJ41" s="120"/>
    </row>
    <row r="42" spans="1:36" ht="12.75" customHeight="1">
      <c r="A42" s="8"/>
      <c r="B42" s="768" t="s">
        <v>83</v>
      </c>
      <c r="C42" s="149"/>
      <c r="D42" s="149"/>
      <c r="E42" s="148">
        <v>581.8062827225131</v>
      </c>
      <c r="F42" s="149">
        <v>589.668549649493</v>
      </c>
      <c r="G42" s="149">
        <v>591.9043792687826</v>
      </c>
      <c r="H42" s="149">
        <v>586.1761794787199</v>
      </c>
      <c r="I42" s="149">
        <v>596.0364360573313</v>
      </c>
      <c r="J42" s="149">
        <v>608.6084791255699</v>
      </c>
      <c r="K42" s="149">
        <v>620.0430273255627</v>
      </c>
      <c r="L42" s="149">
        <v>636.2068965517241</v>
      </c>
      <c r="M42" s="149">
        <v>639.3565516164298</v>
      </c>
      <c r="N42" s="149">
        <v>652.25436378215</v>
      </c>
      <c r="O42" s="149">
        <v>662.8731400054772</v>
      </c>
      <c r="P42" s="149">
        <v>674.8993288590605</v>
      </c>
      <c r="Q42" s="149">
        <v>687.0330449162803</v>
      </c>
      <c r="R42" s="149">
        <v>685.9508952003266</v>
      </c>
      <c r="S42" s="149">
        <v>691.7630057803468</v>
      </c>
      <c r="T42" s="149">
        <v>698.8397077782553</v>
      </c>
      <c r="U42" s="149">
        <v>690.7700181983622</v>
      </c>
      <c r="V42" s="149">
        <v>689.2182373571671</v>
      </c>
      <c r="W42" s="149">
        <v>715.445783809604</v>
      </c>
      <c r="X42" s="149">
        <v>721.8198027525491</v>
      </c>
      <c r="Y42" s="149">
        <v>743.8656671000581</v>
      </c>
      <c r="Z42" s="149">
        <v>749.1980808773133</v>
      </c>
      <c r="AA42" s="149">
        <v>760.1932786796243</v>
      </c>
      <c r="AB42" s="149">
        <v>756.87468016914</v>
      </c>
      <c r="AC42" s="149">
        <v>762.0296526253813</v>
      </c>
      <c r="AD42" s="149">
        <v>765.5627026739674</v>
      </c>
      <c r="AE42" s="149">
        <v>773.3668341708542</v>
      </c>
      <c r="AF42" s="149">
        <v>760.8752689300519</v>
      </c>
      <c r="AG42" s="68" t="s">
        <v>83</v>
      </c>
      <c r="AH42" s="402"/>
      <c r="AI42" s="882">
        <f t="shared" si="0"/>
        <v>0.01019398080605094</v>
      </c>
      <c r="AJ42" s="120"/>
    </row>
    <row r="43" spans="1:36" ht="12.75" customHeight="1">
      <c r="A43" s="8"/>
      <c r="B43" s="1007" t="s">
        <v>174</v>
      </c>
      <c r="C43" s="1007"/>
      <c r="D43" s="1007"/>
      <c r="E43" s="1007"/>
      <c r="F43" s="1007"/>
      <c r="G43" s="1007"/>
      <c r="H43" s="1007"/>
      <c r="I43" s="1007"/>
      <c r="J43" s="1007"/>
      <c r="K43" s="1007"/>
      <c r="L43" s="1007"/>
      <c r="M43" s="1007"/>
      <c r="N43" s="1007"/>
      <c r="O43" s="1007"/>
      <c r="P43" s="1007"/>
      <c r="Q43" s="1007"/>
      <c r="R43" s="1007"/>
      <c r="S43" s="1007"/>
      <c r="T43" s="977"/>
      <c r="U43" s="977"/>
      <c r="V43" s="977"/>
      <c r="W43" s="977"/>
      <c r="X43" s="977"/>
      <c r="Y43" s="977"/>
      <c r="Z43" s="977"/>
      <c r="AA43" s="977"/>
      <c r="AB43" s="977"/>
      <c r="AC43" s="977"/>
      <c r="AD43" s="977"/>
      <c r="AE43" s="977"/>
      <c r="AF43" s="977"/>
      <c r="AG43" s="977"/>
      <c r="AH43" s="977"/>
      <c r="AJ43" s="120"/>
    </row>
    <row r="44" spans="1:36" ht="12.75" customHeight="1">
      <c r="A44" s="8"/>
      <c r="B44" s="1011" t="s">
        <v>261</v>
      </c>
      <c r="C44" s="1011"/>
      <c r="D44" s="1011"/>
      <c r="E44" s="1011"/>
      <c r="F44" s="1011"/>
      <c r="G44" s="1011"/>
      <c r="H44" s="1011"/>
      <c r="I44" s="1011"/>
      <c r="J44" s="1011"/>
      <c r="K44" s="1011"/>
      <c r="L44" s="1011"/>
      <c r="M44" s="1011"/>
      <c r="N44" s="1011"/>
      <c r="O44" s="1011"/>
      <c r="P44" s="1011"/>
      <c r="Q44" s="1011"/>
      <c r="R44" s="1011"/>
      <c r="S44" s="1011"/>
      <c r="T44" s="1011"/>
      <c r="U44" s="1011"/>
      <c r="V44" s="1011"/>
      <c r="W44" s="1011"/>
      <c r="X44" s="1011"/>
      <c r="Y44" s="1011"/>
      <c r="Z44" s="1011"/>
      <c r="AA44" s="1011"/>
      <c r="AB44" s="1011"/>
      <c r="AC44" s="1011"/>
      <c r="AD44" s="1011"/>
      <c r="AE44" s="1011"/>
      <c r="AF44" s="1011"/>
      <c r="AG44" s="1011"/>
      <c r="AH44" s="1011"/>
      <c r="AJ44" s="120"/>
    </row>
    <row r="45" spans="2:17" ht="15" customHeight="1">
      <c r="B45" s="763"/>
      <c r="C45" s="763"/>
      <c r="D45" s="763"/>
      <c r="E45" s="763"/>
      <c r="F45" s="763"/>
      <c r="G45" s="763"/>
      <c r="H45" s="763"/>
      <c r="I45" s="763"/>
      <c r="J45" s="763"/>
      <c r="K45" s="763"/>
      <c r="L45" s="763"/>
      <c r="M45" s="763"/>
      <c r="N45" s="763"/>
      <c r="O45" s="763"/>
      <c r="P45" s="763"/>
      <c r="Q45" s="763"/>
    </row>
    <row r="46" ht="27" customHeight="1"/>
    <row r="47" ht="12.75" customHeight="1"/>
  </sheetData>
  <sheetProtection/>
  <mergeCells count="5">
    <mergeCell ref="B43:S43"/>
    <mergeCell ref="B1:C1"/>
    <mergeCell ref="B2:AG2"/>
    <mergeCell ref="B3:AG3"/>
    <mergeCell ref="B44:AH44"/>
  </mergeCells>
  <printOptions horizontalCentered="1"/>
  <pageMargins left="0.6692913385826772" right="0.48" top="0.47" bottom="0.39" header="0.31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69"/>
  <sheetViews>
    <sheetView zoomScale="85" zoomScaleNormal="85" zoomScalePageLayoutView="0" workbookViewId="0" topLeftCell="A10">
      <selection activeCell="AK9" sqref="AK9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9" width="6.7109375" style="3" customWidth="1"/>
    <col min="10" max="10" width="7.57421875" style="3" customWidth="1"/>
    <col min="11" max="15" width="6.7109375" style="3" customWidth="1"/>
    <col min="16" max="16" width="6.7109375" style="20" customWidth="1"/>
    <col min="17" max="17" width="6.7109375" style="26" customWidth="1"/>
    <col min="18" max="20" width="6.7109375" style="25" customWidth="1"/>
    <col min="21" max="23" width="7.28125" style="25" customWidth="1"/>
    <col min="24" max="24" width="9.00390625" style="25" customWidth="1"/>
    <col min="25" max="25" width="7.57421875" style="25" customWidth="1"/>
    <col min="26" max="26" width="8.00390625" style="3" customWidth="1"/>
    <col min="27" max="27" width="7.8515625" style="3" customWidth="1"/>
    <col min="28" max="28" width="8.00390625" style="3" customWidth="1"/>
    <col min="29" max="29" width="8.421875" style="2" customWidth="1"/>
    <col min="30" max="30" width="7.57421875" style="3" customWidth="1"/>
    <col min="31" max="31" width="7.7109375" style="766" customWidth="1"/>
    <col min="32" max="32" width="7.421875" style="766" customWidth="1"/>
    <col min="33" max="33" width="7.28125" style="3" customWidth="1"/>
    <col min="34" max="34" width="7.7109375" style="3" customWidth="1"/>
    <col min="35" max="16384" width="9.140625" style="3" customWidth="1"/>
  </cols>
  <sheetData>
    <row r="1" spans="2:34" ht="14.2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50"/>
      <c r="Q1" s="151"/>
      <c r="R1" s="152"/>
      <c r="S1" s="152"/>
      <c r="AH1" s="17" t="s">
        <v>146</v>
      </c>
    </row>
    <row r="2" spans="2:34" s="56" customFormat="1" ht="30" customHeight="1">
      <c r="B2" s="1009" t="s">
        <v>11</v>
      </c>
      <c r="C2" s="1009"/>
      <c r="D2" s="1009"/>
      <c r="E2" s="1009"/>
      <c r="F2" s="1009"/>
      <c r="G2" s="1009"/>
      <c r="H2" s="1009"/>
      <c r="I2" s="1009"/>
      <c r="J2" s="1009"/>
      <c r="K2" s="1009"/>
      <c r="L2" s="1009"/>
      <c r="M2" s="1009"/>
      <c r="N2" s="1009"/>
      <c r="O2" s="1009"/>
      <c r="P2" s="1009"/>
      <c r="Q2" s="1009"/>
      <c r="R2" s="1009"/>
      <c r="S2" s="1009"/>
      <c r="T2" s="1009"/>
      <c r="U2" s="1009"/>
      <c r="V2" s="1009"/>
      <c r="W2" s="1009"/>
      <c r="X2" s="1009"/>
      <c r="Y2" s="1009"/>
      <c r="Z2" s="1009"/>
      <c r="AA2" s="1009"/>
      <c r="AB2" s="1009"/>
      <c r="AC2" s="1009"/>
      <c r="AD2" s="1009"/>
      <c r="AE2" s="1009"/>
      <c r="AF2" s="1009"/>
      <c r="AG2" s="1009"/>
      <c r="AH2" s="1009"/>
    </row>
    <row r="3" spans="2:34" ht="19.5" customHeight="1">
      <c r="B3" s="1014" t="s">
        <v>112</v>
      </c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1014"/>
      <c r="AD3" s="1014"/>
      <c r="AE3" s="1014"/>
      <c r="AF3" s="1014"/>
      <c r="AG3" s="1014"/>
      <c r="AH3" s="1014"/>
    </row>
    <row r="4" spans="23:32" ht="12.75" customHeight="1">
      <c r="W4" s="40"/>
      <c r="Y4" s="40"/>
      <c r="AF4" s="40" t="s">
        <v>3</v>
      </c>
    </row>
    <row r="5" spans="2:34" ht="19.5" customHeight="1">
      <c r="B5" s="98"/>
      <c r="C5" s="101">
        <v>1970</v>
      </c>
      <c r="D5" s="101">
        <v>1980</v>
      </c>
      <c r="E5" s="86">
        <v>1990</v>
      </c>
      <c r="F5" s="87">
        <v>1991</v>
      </c>
      <c r="G5" s="87">
        <v>1992</v>
      </c>
      <c r="H5" s="87">
        <v>1993</v>
      </c>
      <c r="I5" s="87">
        <v>1994</v>
      </c>
      <c r="J5" s="87">
        <v>1995</v>
      </c>
      <c r="K5" s="87">
        <v>1996</v>
      </c>
      <c r="L5" s="87">
        <v>1997</v>
      </c>
      <c r="M5" s="87">
        <v>1998</v>
      </c>
      <c r="N5" s="87">
        <v>1999</v>
      </c>
      <c r="O5" s="87">
        <v>2000</v>
      </c>
      <c r="P5" s="87">
        <v>2001</v>
      </c>
      <c r="Q5" s="87">
        <v>2002</v>
      </c>
      <c r="R5" s="87">
        <v>2003</v>
      </c>
      <c r="S5" s="87">
        <v>2004</v>
      </c>
      <c r="T5" s="87">
        <v>2005</v>
      </c>
      <c r="U5" s="87">
        <v>2006</v>
      </c>
      <c r="V5" s="87">
        <v>2007</v>
      </c>
      <c r="W5" s="87">
        <v>2008</v>
      </c>
      <c r="X5" s="87">
        <v>2009</v>
      </c>
      <c r="Y5" s="87">
        <v>2010</v>
      </c>
      <c r="Z5" s="87">
        <v>2011</v>
      </c>
      <c r="AA5" s="87">
        <v>2012</v>
      </c>
      <c r="AB5" s="87">
        <v>2013</v>
      </c>
      <c r="AC5" s="715">
        <v>2014</v>
      </c>
      <c r="AD5" s="715">
        <v>2015</v>
      </c>
      <c r="AE5" s="715">
        <v>2016</v>
      </c>
      <c r="AF5" s="779">
        <v>2017</v>
      </c>
      <c r="AG5" s="879" t="s">
        <v>297</v>
      </c>
      <c r="AH5" s="2"/>
    </row>
    <row r="6" spans="2:34" ht="9.75" customHeight="1">
      <c r="B6" s="98"/>
      <c r="C6" s="102"/>
      <c r="D6" s="102"/>
      <c r="E6" s="128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325"/>
      <c r="Z6" s="327"/>
      <c r="AA6" s="327"/>
      <c r="AB6" s="327"/>
      <c r="AC6" s="327"/>
      <c r="AD6" s="327"/>
      <c r="AE6" s="327"/>
      <c r="AF6" s="326"/>
      <c r="AG6" s="326" t="s">
        <v>104</v>
      </c>
      <c r="AH6" s="2"/>
    </row>
    <row r="7" spans="2:34" ht="12.75" customHeight="1">
      <c r="B7" s="782" t="s">
        <v>253</v>
      </c>
      <c r="C7" s="783"/>
      <c r="D7" s="783"/>
      <c r="E7" s="784">
        <f>SUM(E8:E35)</f>
        <v>163627.99899999998</v>
      </c>
      <c r="F7" s="784">
        <f aca="true" t="shared" si="0" ref="F7:U7">SUM(F8:F35)</f>
        <v>168475.546</v>
      </c>
      <c r="G7" s="784">
        <f t="shared" si="0"/>
        <v>172905.88999999998</v>
      </c>
      <c r="H7" s="784">
        <f t="shared" si="0"/>
        <v>175794.55299999999</v>
      </c>
      <c r="I7" s="784">
        <f t="shared" si="0"/>
        <v>178966.66</v>
      </c>
      <c r="J7" s="785">
        <f t="shared" si="0"/>
        <v>182462.08800000002</v>
      </c>
      <c r="K7" s="785">
        <f t="shared" si="0"/>
        <v>186759.245</v>
      </c>
      <c r="L7" s="785">
        <f t="shared" si="0"/>
        <v>186414.53799999997</v>
      </c>
      <c r="M7" s="785">
        <f t="shared" si="0"/>
        <v>191290.785</v>
      </c>
      <c r="N7" s="785">
        <f t="shared" si="0"/>
        <v>197037.149</v>
      </c>
      <c r="O7" s="785">
        <f t="shared" si="0"/>
        <v>201992.91999999998</v>
      </c>
      <c r="P7" s="785">
        <f t="shared" si="0"/>
        <v>206757.993</v>
      </c>
      <c r="Q7" s="785">
        <f t="shared" si="0"/>
        <v>210891.44999999998</v>
      </c>
      <c r="R7" s="785">
        <f t="shared" si="0"/>
        <v>213780.58599999995</v>
      </c>
      <c r="S7" s="785">
        <f t="shared" si="0"/>
        <v>217238.09999999992</v>
      </c>
      <c r="T7" s="785">
        <f t="shared" si="0"/>
        <v>221607.87299999996</v>
      </c>
      <c r="U7" s="785">
        <f t="shared" si="0"/>
        <v>225890.894</v>
      </c>
      <c r="V7" s="785">
        <f aca="true" t="shared" si="1" ref="V7:AA7">SUM(V8:V35)</f>
        <v>231020.87099999996</v>
      </c>
      <c r="W7" s="785">
        <f t="shared" si="1"/>
        <v>235380.697</v>
      </c>
      <c r="X7" s="785">
        <f t="shared" si="1"/>
        <v>237572.12799999997</v>
      </c>
      <c r="Y7" s="785">
        <f t="shared" si="1"/>
        <v>241657.549</v>
      </c>
      <c r="Z7" s="785">
        <f t="shared" si="1"/>
        <v>244497.88399999996</v>
      </c>
      <c r="AA7" s="785">
        <f t="shared" si="1"/>
        <v>246402.52399999998</v>
      </c>
      <c r="AB7" s="785">
        <f>SUM(AB8:AB35)</f>
        <v>248458.422</v>
      </c>
      <c r="AC7" s="785">
        <f>SUM(AC8:AC35)</f>
        <v>250723.04400000002</v>
      </c>
      <c r="AD7" s="785">
        <f>SUM(AD8:AD35)</f>
        <v>254744.31600000002</v>
      </c>
      <c r="AE7" s="785">
        <f>SUM(AE8:AE35)</f>
        <v>259486.73199999996</v>
      </c>
      <c r="AF7" s="878">
        <f>SUM(AF8:AF35)</f>
        <v>264214.077</v>
      </c>
      <c r="AG7" s="987">
        <f>AF7/AE7*100-100</f>
        <v>1.821806056735113</v>
      </c>
      <c r="AH7" s="782" t="s">
        <v>253</v>
      </c>
    </row>
    <row r="8" spans="2:34" ht="12.75" customHeight="1">
      <c r="B8" s="10" t="s">
        <v>62</v>
      </c>
      <c r="C8" s="158">
        <v>2059.616</v>
      </c>
      <c r="D8" s="158">
        <v>3158.737</v>
      </c>
      <c r="E8" s="442">
        <v>3864.159</v>
      </c>
      <c r="F8" s="442">
        <v>3970</v>
      </c>
      <c r="G8" s="442">
        <v>4021</v>
      </c>
      <c r="H8" s="442">
        <v>4109.601</v>
      </c>
      <c r="I8" s="442">
        <v>4210.197</v>
      </c>
      <c r="J8" s="442">
        <v>4273.451</v>
      </c>
      <c r="K8" s="442">
        <v>4339.231</v>
      </c>
      <c r="L8" s="442">
        <v>4415.343</v>
      </c>
      <c r="M8" s="442">
        <v>4491.734</v>
      </c>
      <c r="N8" s="442">
        <v>4583.615</v>
      </c>
      <c r="O8" s="442">
        <v>4678.376</v>
      </c>
      <c r="P8" s="442">
        <v>4739.85</v>
      </c>
      <c r="Q8" s="442">
        <v>4787.359</v>
      </c>
      <c r="R8" s="442">
        <v>4820.868</v>
      </c>
      <c r="S8" s="442">
        <v>4874.426</v>
      </c>
      <c r="T8" s="442">
        <v>4918.544</v>
      </c>
      <c r="U8" s="442">
        <v>4976.286</v>
      </c>
      <c r="V8" s="442">
        <v>5042.095</v>
      </c>
      <c r="W8" s="442">
        <v>5123.972</v>
      </c>
      <c r="X8" s="442">
        <v>5191.714</v>
      </c>
      <c r="Y8" s="442">
        <v>5275.61</v>
      </c>
      <c r="Z8" s="442">
        <v>5406.362</v>
      </c>
      <c r="AA8" s="442">
        <v>5440.754</v>
      </c>
      <c r="AB8" s="442">
        <v>5504.809</v>
      </c>
      <c r="AC8" s="442">
        <v>5572.573</v>
      </c>
      <c r="AD8" s="442">
        <v>5661.743</v>
      </c>
      <c r="AE8" s="442">
        <v>5730.975</v>
      </c>
      <c r="AF8" s="450">
        <v>5799</v>
      </c>
      <c r="AG8" s="858">
        <f aca="true" t="shared" si="2" ref="AG8:AG44">AF8/AE8*100-100</f>
        <v>1.1869708033973154</v>
      </c>
      <c r="AH8" s="876" t="s">
        <v>62</v>
      </c>
    </row>
    <row r="9" spans="2:34" ht="12.75" customHeight="1">
      <c r="B9" s="156" t="s">
        <v>45</v>
      </c>
      <c r="C9" s="159">
        <v>160</v>
      </c>
      <c r="D9" s="159">
        <v>820</v>
      </c>
      <c r="E9" s="443">
        <v>1317.4</v>
      </c>
      <c r="F9" s="443">
        <v>1359</v>
      </c>
      <c r="G9" s="443">
        <v>1411.3</v>
      </c>
      <c r="H9" s="443">
        <v>1505.451</v>
      </c>
      <c r="I9" s="443">
        <v>1587.873</v>
      </c>
      <c r="J9" s="443">
        <v>1647.571</v>
      </c>
      <c r="K9" s="443">
        <v>1707.023</v>
      </c>
      <c r="L9" s="443">
        <v>1730.506</v>
      </c>
      <c r="M9" s="443">
        <v>1809.35</v>
      </c>
      <c r="N9" s="443">
        <v>1908.4</v>
      </c>
      <c r="O9" s="443">
        <v>1992.7</v>
      </c>
      <c r="P9" s="443">
        <v>2085.7</v>
      </c>
      <c r="Q9" s="443">
        <v>2174.1</v>
      </c>
      <c r="R9" s="443">
        <v>2309.3</v>
      </c>
      <c r="S9" s="443">
        <v>2438.4</v>
      </c>
      <c r="T9" s="444">
        <v>2538.092</v>
      </c>
      <c r="U9" s="443">
        <v>1767.742</v>
      </c>
      <c r="V9" s="443">
        <v>2081.517</v>
      </c>
      <c r="W9" s="443">
        <v>2366.196</v>
      </c>
      <c r="X9" s="443">
        <v>2502</v>
      </c>
      <c r="Y9" s="443">
        <v>2602.4</v>
      </c>
      <c r="Z9" s="443">
        <v>2695</v>
      </c>
      <c r="AA9" s="443">
        <v>2807</v>
      </c>
      <c r="AB9" s="443">
        <v>2910.2</v>
      </c>
      <c r="AC9" s="443">
        <v>3013.9</v>
      </c>
      <c r="AD9" s="443">
        <v>3162</v>
      </c>
      <c r="AE9" s="443">
        <v>3143.5</v>
      </c>
      <c r="AF9" s="449">
        <v>2770.6</v>
      </c>
      <c r="AG9" s="877">
        <f t="shared" si="2"/>
        <v>-11.862573564498163</v>
      </c>
      <c r="AH9" s="156" t="s">
        <v>45</v>
      </c>
    </row>
    <row r="10" spans="1:34" ht="12.75" customHeight="1">
      <c r="A10" s="8"/>
      <c r="B10" s="10" t="s">
        <v>47</v>
      </c>
      <c r="C10" s="158">
        <v>685</v>
      </c>
      <c r="D10" s="158">
        <v>1780</v>
      </c>
      <c r="E10" s="442">
        <v>2410</v>
      </c>
      <c r="F10" s="442">
        <v>2480</v>
      </c>
      <c r="G10" s="442">
        <v>2580</v>
      </c>
      <c r="H10" s="442">
        <v>2833.143</v>
      </c>
      <c r="I10" s="442">
        <v>2923.916</v>
      </c>
      <c r="J10" s="442">
        <v>3043.316</v>
      </c>
      <c r="K10" s="442">
        <v>3192.532</v>
      </c>
      <c r="L10" s="442">
        <v>3391.541</v>
      </c>
      <c r="M10" s="442">
        <v>3492.961</v>
      </c>
      <c r="N10" s="442">
        <v>3439.745</v>
      </c>
      <c r="O10" s="442">
        <v>3438.87</v>
      </c>
      <c r="P10" s="442">
        <v>3529.791</v>
      </c>
      <c r="Q10" s="442">
        <v>3647.067</v>
      </c>
      <c r="R10" s="442">
        <v>3706.012</v>
      </c>
      <c r="S10" s="442">
        <v>3815.547</v>
      </c>
      <c r="T10" s="442">
        <v>3958.708</v>
      </c>
      <c r="U10" s="442">
        <v>4108.61</v>
      </c>
      <c r="V10" s="442">
        <v>4280.081</v>
      </c>
      <c r="W10" s="442">
        <v>4423.37</v>
      </c>
      <c r="X10" s="442">
        <v>4435.052</v>
      </c>
      <c r="Y10" s="442">
        <v>4496.232</v>
      </c>
      <c r="Z10" s="442">
        <v>4581.642</v>
      </c>
      <c r="AA10" s="442">
        <v>4706</v>
      </c>
      <c r="AB10" s="442">
        <v>4729.185</v>
      </c>
      <c r="AC10" s="442">
        <v>4833.386</v>
      </c>
      <c r="AD10" s="442">
        <v>5115.316</v>
      </c>
      <c r="AE10" s="442">
        <v>5307.808</v>
      </c>
      <c r="AF10" s="450">
        <v>5538</v>
      </c>
      <c r="AG10" s="858">
        <f t="shared" si="2"/>
        <v>4.336856193743273</v>
      </c>
      <c r="AH10" s="10" t="s">
        <v>47</v>
      </c>
    </row>
    <row r="11" spans="1:34" ht="12.75" customHeight="1">
      <c r="A11" s="8"/>
      <c r="B11" s="156" t="s">
        <v>58</v>
      </c>
      <c r="C11" s="159">
        <v>1076.875</v>
      </c>
      <c r="D11" s="159">
        <v>1390</v>
      </c>
      <c r="E11" s="443">
        <v>1590</v>
      </c>
      <c r="F11" s="443">
        <v>1594</v>
      </c>
      <c r="G11" s="443">
        <v>1604.053</v>
      </c>
      <c r="H11" s="443">
        <v>1617.734</v>
      </c>
      <c r="I11" s="443">
        <v>1611.191</v>
      </c>
      <c r="J11" s="443">
        <v>1679.007</v>
      </c>
      <c r="K11" s="443">
        <v>1738.854</v>
      </c>
      <c r="L11" s="443">
        <v>1783.098</v>
      </c>
      <c r="M11" s="443">
        <v>1817.147</v>
      </c>
      <c r="N11" s="443">
        <v>1843.254</v>
      </c>
      <c r="O11" s="443">
        <v>1854.06</v>
      </c>
      <c r="P11" s="443">
        <v>1872.631</v>
      </c>
      <c r="Q11" s="443">
        <v>1888.29</v>
      </c>
      <c r="R11" s="443">
        <v>1894.649</v>
      </c>
      <c r="S11" s="443">
        <v>1915.821</v>
      </c>
      <c r="T11" s="443">
        <v>1964.682</v>
      </c>
      <c r="U11" s="443">
        <v>2020.013</v>
      </c>
      <c r="V11" s="443">
        <v>2068.493</v>
      </c>
      <c r="W11" s="443">
        <v>2099.09</v>
      </c>
      <c r="X11" s="443">
        <v>2120.322</v>
      </c>
      <c r="Y11" s="443">
        <v>2163.675</v>
      </c>
      <c r="Z11" s="443">
        <v>2197.831</v>
      </c>
      <c r="AA11" s="443">
        <v>2237.122</v>
      </c>
      <c r="AB11" s="443">
        <v>2278.121</v>
      </c>
      <c r="AC11" s="443">
        <v>2329.578</v>
      </c>
      <c r="AD11" s="443">
        <v>2390.823</v>
      </c>
      <c r="AE11" s="443">
        <v>2465.538</v>
      </c>
      <c r="AF11" s="449">
        <v>2530</v>
      </c>
      <c r="AG11" s="877">
        <f t="shared" si="2"/>
        <v>2.6145206441758404</v>
      </c>
      <c r="AH11" s="156" t="s">
        <v>58</v>
      </c>
    </row>
    <row r="12" spans="1:34" ht="12.75" customHeight="1">
      <c r="A12" s="8"/>
      <c r="B12" s="10" t="s">
        <v>63</v>
      </c>
      <c r="C12" s="158">
        <v>15107.079</v>
      </c>
      <c r="D12" s="158">
        <v>25869.616000000005</v>
      </c>
      <c r="E12" s="442">
        <v>36772</v>
      </c>
      <c r="F12" s="442">
        <v>37947</v>
      </c>
      <c r="G12" s="442">
        <v>38892</v>
      </c>
      <c r="H12" s="442">
        <v>39202.066</v>
      </c>
      <c r="I12" s="442">
        <v>39917.577</v>
      </c>
      <c r="J12" s="442">
        <v>40499.442</v>
      </c>
      <c r="K12" s="445">
        <v>41045.217</v>
      </c>
      <c r="L12" s="442">
        <v>36924.647</v>
      </c>
      <c r="M12" s="442">
        <v>37553.549</v>
      </c>
      <c r="N12" s="442">
        <v>38426.776</v>
      </c>
      <c r="O12" s="442">
        <v>39058.937</v>
      </c>
      <c r="P12" s="442">
        <v>39388.319</v>
      </c>
      <c r="Q12" s="442">
        <v>39720.951</v>
      </c>
      <c r="R12" s="442">
        <v>40017.482</v>
      </c>
      <c r="S12" s="442">
        <v>40179.477</v>
      </c>
      <c r="T12" s="442">
        <v>40659.5</v>
      </c>
      <c r="U12" s="442">
        <v>41019.7</v>
      </c>
      <c r="V12" s="442">
        <v>41183.594</v>
      </c>
      <c r="W12" s="442">
        <v>41321.171</v>
      </c>
      <c r="X12" s="442">
        <v>41737.627</v>
      </c>
      <c r="Y12" s="442">
        <v>42301.563</v>
      </c>
      <c r="Z12" s="442">
        <v>42928</v>
      </c>
      <c r="AA12" s="442">
        <v>43431</v>
      </c>
      <c r="AB12" s="442">
        <v>43851.23</v>
      </c>
      <c r="AC12" s="442">
        <v>44403.124</v>
      </c>
      <c r="AD12" s="442">
        <v>45071.209</v>
      </c>
      <c r="AE12" s="442">
        <f>45803.56</f>
        <v>45803.56</v>
      </c>
      <c r="AF12" s="450">
        <v>46474.594</v>
      </c>
      <c r="AG12" s="858">
        <f t="shared" si="2"/>
        <v>1.4650258626185462</v>
      </c>
      <c r="AH12" s="10" t="s">
        <v>63</v>
      </c>
    </row>
    <row r="13" spans="1:34" ht="12.75" customHeight="1">
      <c r="A13" s="8"/>
      <c r="B13" s="156" t="s">
        <v>48</v>
      </c>
      <c r="C13" s="159">
        <v>30</v>
      </c>
      <c r="D13" s="159">
        <v>127</v>
      </c>
      <c r="E13" s="443">
        <v>241</v>
      </c>
      <c r="F13" s="443">
        <v>261</v>
      </c>
      <c r="G13" s="443">
        <v>284</v>
      </c>
      <c r="H13" s="443">
        <v>317.425</v>
      </c>
      <c r="I13" s="443">
        <v>337.812</v>
      </c>
      <c r="J13" s="443">
        <v>383.444</v>
      </c>
      <c r="K13" s="443">
        <v>406.598</v>
      </c>
      <c r="L13" s="443">
        <v>427.678</v>
      </c>
      <c r="M13" s="443">
        <v>450.954</v>
      </c>
      <c r="N13" s="443">
        <v>458.7</v>
      </c>
      <c r="O13" s="443">
        <v>463.9</v>
      </c>
      <c r="P13" s="443">
        <v>407.3</v>
      </c>
      <c r="Q13" s="443">
        <v>400.7</v>
      </c>
      <c r="R13" s="443">
        <v>434</v>
      </c>
      <c r="S13" s="443">
        <v>471.2</v>
      </c>
      <c r="T13" s="443">
        <v>493.78</v>
      </c>
      <c r="U13" s="444">
        <v>554.012</v>
      </c>
      <c r="V13" s="443">
        <v>523.766</v>
      </c>
      <c r="W13" s="443">
        <v>551.83</v>
      </c>
      <c r="X13" s="443">
        <v>545.7</v>
      </c>
      <c r="Y13" s="443">
        <v>552.7</v>
      </c>
      <c r="Z13" s="443">
        <v>574</v>
      </c>
      <c r="AA13" s="443">
        <v>602.1</v>
      </c>
      <c r="AB13" s="443">
        <v>628.5</v>
      </c>
      <c r="AC13" s="443">
        <v>653</v>
      </c>
      <c r="AD13" s="443">
        <v>676.6</v>
      </c>
      <c r="AE13" s="443">
        <v>703.1</v>
      </c>
      <c r="AF13" s="449">
        <v>725.9</v>
      </c>
      <c r="AG13" s="877">
        <f t="shared" si="2"/>
        <v>3.2427819655809884</v>
      </c>
      <c r="AH13" s="156" t="s">
        <v>48</v>
      </c>
    </row>
    <row r="14" spans="1:34" ht="12.75" customHeight="1">
      <c r="A14" s="8"/>
      <c r="B14" s="10" t="s">
        <v>66</v>
      </c>
      <c r="C14" s="158">
        <v>393.459</v>
      </c>
      <c r="D14" s="158">
        <v>738.114</v>
      </c>
      <c r="E14" s="442">
        <f>796.408+4.977</f>
        <v>801.385</v>
      </c>
      <c r="F14" s="442">
        <f>836.583+5.363</f>
        <v>841.946</v>
      </c>
      <c r="G14" s="442">
        <f>858.498+5.711</f>
        <v>864.2090000000001</v>
      </c>
      <c r="H14" s="442">
        <f>891.027+6.144</f>
        <v>897.171</v>
      </c>
      <c r="I14" s="442">
        <f>939.022+6.925</f>
        <v>945.947</v>
      </c>
      <c r="J14" s="442">
        <f>990.384+8.086</f>
        <v>998.47</v>
      </c>
      <c r="K14" s="442">
        <f>1057.383+9.219</f>
        <v>1066.602</v>
      </c>
      <c r="L14" s="442">
        <f>1134.429+10.34</f>
        <v>1144.769</v>
      </c>
      <c r="M14" s="442">
        <f>1196.901+11.249</f>
        <v>1208.15</v>
      </c>
      <c r="N14" s="442">
        <f>1269.245+13.076</f>
        <v>1282.321</v>
      </c>
      <c r="O14" s="442">
        <f>1319.25+13.637</f>
        <v>1332.887</v>
      </c>
      <c r="P14" s="442">
        <f>1384.704+16.547</f>
        <v>1401.251</v>
      </c>
      <c r="Q14" s="442">
        <f>1447.908+18.252</f>
        <v>1466.1599999999999</v>
      </c>
      <c r="R14" s="442">
        <f>1507.106+19.856</f>
        <v>1526.962</v>
      </c>
      <c r="S14" s="442">
        <f>1582.833+20.744</f>
        <v>1603.577</v>
      </c>
      <c r="T14" s="442">
        <f>1662.157+21.888</f>
        <v>1684.0449999999998</v>
      </c>
      <c r="U14" s="442">
        <f>1778.861+23.284</f>
        <v>1802.1450000000002</v>
      </c>
      <c r="V14" s="442">
        <f>1882.901+26.654</f>
        <v>1909.555</v>
      </c>
      <c r="W14" s="442">
        <f>1924.281+29.053</f>
        <v>1953.334</v>
      </c>
      <c r="X14" s="442">
        <f>1902.429+28.284</f>
        <v>1930.7130000000002</v>
      </c>
      <c r="Y14" s="442">
        <f>1872.715+26.68</f>
        <v>1899.395</v>
      </c>
      <c r="Z14" s="442">
        <f>1887.81+25.129</f>
        <v>1912.9389999999999</v>
      </c>
      <c r="AA14" s="442">
        <f>1882.55+24.18</f>
        <v>1906.73</v>
      </c>
      <c r="AB14" s="442">
        <f>1910.165+22.964</f>
        <v>1933.129</v>
      </c>
      <c r="AC14" s="442">
        <f>1943.868+22.373</f>
        <v>1966.241</v>
      </c>
      <c r="AD14" s="442">
        <f>1985.13+21.977</f>
        <v>2007.1070000000002</v>
      </c>
      <c r="AE14" s="442">
        <f>2026.977+21.675</f>
        <v>2048.652</v>
      </c>
      <c r="AF14" s="450">
        <f>2066.1+21.3</f>
        <v>2087.4</v>
      </c>
      <c r="AG14" s="858">
        <f t="shared" si="2"/>
        <v>1.8913900457471584</v>
      </c>
      <c r="AH14" s="10" t="s">
        <v>66</v>
      </c>
    </row>
    <row r="15" spans="1:34" ht="12.75" customHeight="1">
      <c r="A15" s="8"/>
      <c r="B15" s="156" t="s">
        <v>59</v>
      </c>
      <c r="C15" s="159">
        <v>226.893</v>
      </c>
      <c r="D15" s="159">
        <v>862.609</v>
      </c>
      <c r="E15" s="443">
        <v>1735.523</v>
      </c>
      <c r="F15" s="443">
        <v>1777.484</v>
      </c>
      <c r="G15" s="443">
        <v>1829.1</v>
      </c>
      <c r="H15" s="443">
        <v>1958.544</v>
      </c>
      <c r="I15" s="443">
        <v>2074.081</v>
      </c>
      <c r="J15" s="443">
        <v>2204.761</v>
      </c>
      <c r="K15" s="443">
        <v>2339.421</v>
      </c>
      <c r="L15" s="443">
        <v>2500.099</v>
      </c>
      <c r="M15" s="443">
        <v>2675.676</v>
      </c>
      <c r="N15" s="443">
        <v>2928.881</v>
      </c>
      <c r="O15" s="443">
        <v>3195.065</v>
      </c>
      <c r="P15" s="443">
        <v>3423.704</v>
      </c>
      <c r="Q15" s="443">
        <v>3646.069</v>
      </c>
      <c r="R15" s="443">
        <v>3839.549</v>
      </c>
      <c r="S15" s="443">
        <v>4073.511</v>
      </c>
      <c r="T15" s="443">
        <v>4303.129</v>
      </c>
      <c r="U15" s="443">
        <v>4543.016</v>
      </c>
      <c r="V15" s="443">
        <v>4798.53</v>
      </c>
      <c r="W15" s="443">
        <v>5023.944</v>
      </c>
      <c r="X15" s="443">
        <v>5131.96</v>
      </c>
      <c r="Y15" s="443">
        <v>5216.873</v>
      </c>
      <c r="Z15" s="443">
        <v>5203.591</v>
      </c>
      <c r="AA15" s="443">
        <v>5167.557</v>
      </c>
      <c r="AB15" s="443">
        <v>5124.208</v>
      </c>
      <c r="AC15" s="443">
        <v>5107.62</v>
      </c>
      <c r="AD15" s="443">
        <v>5160.056</v>
      </c>
      <c r="AE15" s="443">
        <v>5235.928</v>
      </c>
      <c r="AF15" s="449">
        <v>5282.695</v>
      </c>
      <c r="AG15" s="877">
        <f t="shared" si="2"/>
        <v>0.893194100453627</v>
      </c>
      <c r="AH15" s="156" t="s">
        <v>59</v>
      </c>
    </row>
    <row r="16" spans="1:34" ht="12.75" customHeight="1">
      <c r="A16" s="8"/>
      <c r="B16" s="10" t="s">
        <v>64</v>
      </c>
      <c r="C16" s="158">
        <v>2378</v>
      </c>
      <c r="D16" s="158">
        <v>7556.511</v>
      </c>
      <c r="E16" s="442">
        <v>11995.64</v>
      </c>
      <c r="F16" s="442">
        <v>12537.099</v>
      </c>
      <c r="G16" s="442">
        <v>13102.285</v>
      </c>
      <c r="H16" s="442">
        <v>13440.694</v>
      </c>
      <c r="I16" s="442">
        <v>13733.794</v>
      </c>
      <c r="J16" s="442">
        <v>14212.259</v>
      </c>
      <c r="K16" s="442">
        <v>14753.809</v>
      </c>
      <c r="L16" s="442">
        <v>15297.366</v>
      </c>
      <c r="M16" s="442">
        <v>16050.057</v>
      </c>
      <c r="N16" s="442">
        <v>16847.397</v>
      </c>
      <c r="O16" s="442">
        <v>17449.235</v>
      </c>
      <c r="P16" s="442">
        <v>18150.88</v>
      </c>
      <c r="Q16" s="445">
        <v>18732.632</v>
      </c>
      <c r="R16" s="442">
        <v>18688.32</v>
      </c>
      <c r="S16" s="442">
        <v>19541.918</v>
      </c>
      <c r="T16" s="442">
        <v>20250.377</v>
      </c>
      <c r="U16" s="442">
        <v>20908.725</v>
      </c>
      <c r="V16" s="442">
        <v>21760.174</v>
      </c>
      <c r="W16" s="442">
        <v>22145.364</v>
      </c>
      <c r="X16" s="442">
        <v>21983.485</v>
      </c>
      <c r="Y16" s="442">
        <v>22147.455</v>
      </c>
      <c r="Z16" s="442">
        <v>22277</v>
      </c>
      <c r="AA16" s="442">
        <v>22247.528</v>
      </c>
      <c r="AB16" s="442">
        <v>22024.538</v>
      </c>
      <c r="AC16" s="442">
        <v>22029.512</v>
      </c>
      <c r="AD16" s="442">
        <v>22355.549</v>
      </c>
      <c r="AE16" s="442">
        <v>22876.83</v>
      </c>
      <c r="AF16" s="450">
        <v>23500.401</v>
      </c>
      <c r="AG16" s="858">
        <f t="shared" si="2"/>
        <v>2.725775380592509</v>
      </c>
      <c r="AH16" s="10" t="s">
        <v>64</v>
      </c>
    </row>
    <row r="17" spans="1:34" ht="12.75" customHeight="1">
      <c r="A17" s="8"/>
      <c r="B17" s="156" t="s">
        <v>65</v>
      </c>
      <c r="C17" s="159">
        <v>11900</v>
      </c>
      <c r="D17" s="159">
        <v>19130</v>
      </c>
      <c r="E17" s="443">
        <v>27071.642</v>
      </c>
      <c r="F17" s="443">
        <v>27309.644</v>
      </c>
      <c r="G17" s="443">
        <v>27596.041</v>
      </c>
      <c r="H17" s="443">
        <v>27680.285</v>
      </c>
      <c r="I17" s="443">
        <v>27761.922</v>
      </c>
      <c r="J17" s="443">
        <v>27872.067</v>
      </c>
      <c r="K17" s="443">
        <v>28017.221</v>
      </c>
      <c r="L17" s="443">
        <v>28201.321</v>
      </c>
      <c r="M17" s="443">
        <v>28627.36</v>
      </c>
      <c r="N17" s="443">
        <v>29272.165</v>
      </c>
      <c r="O17" s="443">
        <v>29807.799</v>
      </c>
      <c r="P17" s="443">
        <v>30330.382</v>
      </c>
      <c r="Q17" s="443">
        <v>30590.743</v>
      </c>
      <c r="R17" s="443">
        <v>30582.717</v>
      </c>
      <c r="S17" s="443">
        <v>30537.244</v>
      </c>
      <c r="T17" s="443">
        <v>30497.013</v>
      </c>
      <c r="U17" s="443">
        <v>31002.304</v>
      </c>
      <c r="V17" s="443">
        <v>31442.88</v>
      </c>
      <c r="W17" s="443">
        <v>31109.081</v>
      </c>
      <c r="X17" s="447">
        <v>31393.734</v>
      </c>
      <c r="Y17" s="443">
        <v>32675.972</v>
      </c>
      <c r="Z17" s="443">
        <v>32611.51</v>
      </c>
      <c r="AA17" s="443">
        <v>32865.346</v>
      </c>
      <c r="AB17" s="443">
        <v>32856.502</v>
      </c>
      <c r="AC17" s="443">
        <v>32529.927</v>
      </c>
      <c r="AD17" s="443">
        <v>32324.999</v>
      </c>
      <c r="AE17" s="443">
        <v>32074.202</v>
      </c>
      <c r="AF17" s="449">
        <v>32006.077</v>
      </c>
      <c r="AG17" s="877">
        <f t="shared" si="2"/>
        <v>-0.2123981135992068</v>
      </c>
      <c r="AH17" s="156" t="s">
        <v>65</v>
      </c>
    </row>
    <row r="18" spans="1:34" ht="12.75" customHeight="1">
      <c r="A18" s="8"/>
      <c r="B18" s="10" t="s">
        <v>76</v>
      </c>
      <c r="C18" s="158" t="s">
        <v>74</v>
      </c>
      <c r="D18" s="158" t="s">
        <v>74</v>
      </c>
      <c r="E18" s="446">
        <v>580</v>
      </c>
      <c r="F18" s="446">
        <v>600</v>
      </c>
      <c r="G18" s="446">
        <v>620</v>
      </c>
      <c r="H18" s="442">
        <v>646.21</v>
      </c>
      <c r="I18" s="442">
        <v>698.391</v>
      </c>
      <c r="J18" s="442">
        <v>710.91</v>
      </c>
      <c r="K18" s="442">
        <v>835.714</v>
      </c>
      <c r="L18" s="442">
        <v>932.278</v>
      </c>
      <c r="M18" s="442">
        <v>1000.052</v>
      </c>
      <c r="N18" s="442">
        <v>1063.546</v>
      </c>
      <c r="O18" s="442">
        <v>1124.825</v>
      </c>
      <c r="P18" s="442">
        <v>1195.45</v>
      </c>
      <c r="Q18" s="442">
        <v>1244.252</v>
      </c>
      <c r="R18" s="442">
        <v>1293.421</v>
      </c>
      <c r="S18" s="442">
        <v>1337.538</v>
      </c>
      <c r="T18" s="442">
        <v>1384.699</v>
      </c>
      <c r="U18" s="442">
        <v>1435.781</v>
      </c>
      <c r="V18" s="442">
        <v>1491.127</v>
      </c>
      <c r="W18" s="445">
        <v>1535.28</v>
      </c>
      <c r="X18" s="442">
        <v>1532.549</v>
      </c>
      <c r="Y18" s="442">
        <v>1515.449</v>
      </c>
      <c r="Z18" s="442">
        <v>1518.278</v>
      </c>
      <c r="AA18" s="442">
        <v>1445.22</v>
      </c>
      <c r="AB18" s="442">
        <v>1448.299</v>
      </c>
      <c r="AC18" s="442">
        <v>1474.495</v>
      </c>
      <c r="AD18" s="442">
        <v>1499.802</v>
      </c>
      <c r="AE18" s="442">
        <v>1552.904</v>
      </c>
      <c r="AF18" s="450">
        <v>1596.087</v>
      </c>
      <c r="AG18" s="858">
        <f t="shared" si="2"/>
        <v>2.780790055277066</v>
      </c>
      <c r="AH18" s="10" t="s">
        <v>76</v>
      </c>
    </row>
    <row r="19" spans="1:34" ht="12.75" customHeight="1">
      <c r="A19" s="8"/>
      <c r="B19" s="156" t="s">
        <v>67</v>
      </c>
      <c r="C19" s="159">
        <v>10181.192</v>
      </c>
      <c r="D19" s="159">
        <v>17686.236</v>
      </c>
      <c r="E19" s="443">
        <v>27415.828</v>
      </c>
      <c r="F19" s="443">
        <v>28434.923</v>
      </c>
      <c r="G19" s="443">
        <v>29429.628</v>
      </c>
      <c r="H19" s="443">
        <v>29652.024</v>
      </c>
      <c r="I19" s="443">
        <v>29665.308</v>
      </c>
      <c r="J19" s="443">
        <v>30301.424</v>
      </c>
      <c r="K19" s="443">
        <v>30467.173</v>
      </c>
      <c r="L19" s="443">
        <v>30741.953</v>
      </c>
      <c r="M19" s="443">
        <v>31370.765</v>
      </c>
      <c r="N19" s="443">
        <v>32038.291</v>
      </c>
      <c r="O19" s="443">
        <v>32583.815</v>
      </c>
      <c r="P19" s="443">
        <v>33239.029</v>
      </c>
      <c r="Q19" s="443">
        <v>33706.153</v>
      </c>
      <c r="R19" s="443">
        <v>34310.446</v>
      </c>
      <c r="S19" s="443">
        <v>33973.147</v>
      </c>
      <c r="T19" s="443">
        <v>34667.485</v>
      </c>
      <c r="U19" s="443">
        <v>35297.282</v>
      </c>
      <c r="V19" s="443">
        <v>35680.097</v>
      </c>
      <c r="W19" s="443">
        <v>36105.183</v>
      </c>
      <c r="X19" s="443">
        <v>36372</v>
      </c>
      <c r="Y19" s="443">
        <v>36751.311</v>
      </c>
      <c r="Z19" s="443">
        <v>37113.3</v>
      </c>
      <c r="AA19" s="443">
        <v>37078</v>
      </c>
      <c r="AB19" s="443">
        <v>36962.934</v>
      </c>
      <c r="AC19" s="443">
        <v>37080.753</v>
      </c>
      <c r="AD19" s="443">
        <v>37351.233</v>
      </c>
      <c r="AE19" s="443">
        <v>37876.138</v>
      </c>
      <c r="AF19" s="449">
        <v>38520.321</v>
      </c>
      <c r="AG19" s="877">
        <f t="shared" si="2"/>
        <v>1.7007620998740833</v>
      </c>
      <c r="AH19" s="156" t="s">
        <v>67</v>
      </c>
    </row>
    <row r="20" spans="1:34" ht="12.75" customHeight="1">
      <c r="A20" s="8"/>
      <c r="B20" s="10" t="s">
        <v>46</v>
      </c>
      <c r="C20" s="158">
        <v>60</v>
      </c>
      <c r="D20" s="158">
        <v>90</v>
      </c>
      <c r="E20" s="442">
        <v>178.602</v>
      </c>
      <c r="F20" s="442">
        <v>190</v>
      </c>
      <c r="G20" s="442">
        <v>200</v>
      </c>
      <c r="H20" s="442">
        <v>203.61</v>
      </c>
      <c r="I20" s="442">
        <v>210.365</v>
      </c>
      <c r="J20" s="442">
        <v>219.749</v>
      </c>
      <c r="K20" s="442">
        <v>226.832</v>
      </c>
      <c r="L20" s="442">
        <v>234.976</v>
      </c>
      <c r="M20" s="442">
        <v>249.225</v>
      </c>
      <c r="N20" s="442">
        <v>256.989</v>
      </c>
      <c r="O20" s="442">
        <v>267.589</v>
      </c>
      <c r="P20" s="445">
        <v>280.069</v>
      </c>
      <c r="Q20" s="442">
        <v>287.622</v>
      </c>
      <c r="R20" s="442">
        <v>302.501</v>
      </c>
      <c r="S20" s="442">
        <v>335.634</v>
      </c>
      <c r="T20" s="442">
        <v>355.134</v>
      </c>
      <c r="U20" s="442">
        <v>372.945</v>
      </c>
      <c r="V20" s="442">
        <v>410.936</v>
      </c>
      <c r="W20" s="442">
        <v>443.517</v>
      </c>
      <c r="X20" s="442">
        <v>460.504</v>
      </c>
      <c r="Y20" s="442">
        <v>462.652</v>
      </c>
      <c r="Z20" s="442">
        <v>470</v>
      </c>
      <c r="AA20" s="442">
        <v>475.462</v>
      </c>
      <c r="AB20" s="442">
        <v>474.561</v>
      </c>
      <c r="AC20" s="442">
        <v>478.492</v>
      </c>
      <c r="AD20" s="442">
        <v>487.692</v>
      </c>
      <c r="AE20" s="442">
        <v>508.284</v>
      </c>
      <c r="AF20" s="442">
        <v>526.617</v>
      </c>
      <c r="AG20" s="858">
        <f t="shared" si="2"/>
        <v>3.606841844323256</v>
      </c>
      <c r="AH20" s="10" t="s">
        <v>46</v>
      </c>
    </row>
    <row r="21" spans="1:34" ht="12.75" customHeight="1">
      <c r="A21" s="8"/>
      <c r="B21" s="156" t="s">
        <v>50</v>
      </c>
      <c r="C21" s="159">
        <v>40</v>
      </c>
      <c r="D21" s="159">
        <v>166</v>
      </c>
      <c r="E21" s="443">
        <v>283</v>
      </c>
      <c r="F21" s="443">
        <v>329</v>
      </c>
      <c r="G21" s="443">
        <v>350</v>
      </c>
      <c r="H21" s="444">
        <v>367.475</v>
      </c>
      <c r="I21" s="443">
        <v>251.593</v>
      </c>
      <c r="J21" s="443">
        <v>332</v>
      </c>
      <c r="K21" s="443">
        <v>379.895</v>
      </c>
      <c r="L21" s="443">
        <v>431.816</v>
      </c>
      <c r="M21" s="443">
        <v>482.67</v>
      </c>
      <c r="N21" s="443">
        <v>525.572</v>
      </c>
      <c r="O21" s="443">
        <v>556.8</v>
      </c>
      <c r="P21" s="443">
        <v>586.2</v>
      </c>
      <c r="Q21" s="443">
        <v>619.1</v>
      </c>
      <c r="R21" s="443">
        <v>648.9</v>
      </c>
      <c r="S21" s="443">
        <v>686.128</v>
      </c>
      <c r="T21" s="443">
        <v>742.447</v>
      </c>
      <c r="U21" s="443">
        <v>822.011</v>
      </c>
      <c r="V21" s="443">
        <v>904.869</v>
      </c>
      <c r="W21" s="443">
        <v>932.828</v>
      </c>
      <c r="X21" s="443">
        <v>904.308</v>
      </c>
      <c r="Y21" s="447">
        <v>636.664</v>
      </c>
      <c r="Z21" s="443">
        <v>612.32</v>
      </c>
      <c r="AA21" s="443">
        <v>618.274</v>
      </c>
      <c r="AB21" s="443">
        <v>634.603</v>
      </c>
      <c r="AC21" s="443">
        <v>657.799</v>
      </c>
      <c r="AD21" s="443">
        <v>679.048</v>
      </c>
      <c r="AE21" s="443">
        <v>664.177</v>
      </c>
      <c r="AF21" s="449">
        <v>690</v>
      </c>
      <c r="AG21" s="877">
        <f t="shared" si="2"/>
        <v>3.887969622555417</v>
      </c>
      <c r="AH21" s="156" t="s">
        <v>50</v>
      </c>
    </row>
    <row r="22" spans="1:34" ht="12.75" customHeight="1">
      <c r="A22" s="8"/>
      <c r="B22" s="10" t="s">
        <v>51</v>
      </c>
      <c r="C22" s="158">
        <v>43.7</v>
      </c>
      <c r="D22" s="158">
        <v>247</v>
      </c>
      <c r="E22" s="442">
        <v>493</v>
      </c>
      <c r="F22" s="442">
        <v>531</v>
      </c>
      <c r="G22" s="442">
        <v>565</v>
      </c>
      <c r="H22" s="442">
        <v>597.735</v>
      </c>
      <c r="I22" s="442">
        <v>652.81</v>
      </c>
      <c r="J22" s="442">
        <v>718.469</v>
      </c>
      <c r="K22" s="442">
        <v>785.088</v>
      </c>
      <c r="L22" s="442">
        <v>882.101</v>
      </c>
      <c r="M22" s="442">
        <v>980.91</v>
      </c>
      <c r="N22" s="442">
        <v>1089.334</v>
      </c>
      <c r="O22" s="442">
        <v>1172.394</v>
      </c>
      <c r="P22" s="442">
        <v>1133.477</v>
      </c>
      <c r="Q22" s="442">
        <v>1180.945</v>
      </c>
      <c r="R22" s="442">
        <v>1256.853</v>
      </c>
      <c r="S22" s="442">
        <v>1315.914</v>
      </c>
      <c r="T22" s="442">
        <v>1455.276</v>
      </c>
      <c r="U22" s="442">
        <v>1592.238</v>
      </c>
      <c r="V22" s="442">
        <v>1587.903</v>
      </c>
      <c r="W22" s="442">
        <v>1671.065</v>
      </c>
      <c r="X22" s="442">
        <v>1695.286</v>
      </c>
      <c r="Y22" s="442">
        <v>1691.855</v>
      </c>
      <c r="Z22" s="442">
        <v>1713.3</v>
      </c>
      <c r="AA22" s="442">
        <v>1753.407</v>
      </c>
      <c r="AB22" s="442">
        <f>1808.982</f>
        <v>1808.982</v>
      </c>
      <c r="AC22" s="729">
        <v>1205.668</v>
      </c>
      <c r="AD22" s="442">
        <v>1244.063</v>
      </c>
      <c r="AE22" s="442">
        <v>1298.737</v>
      </c>
      <c r="AF22" s="450">
        <v>1357</v>
      </c>
      <c r="AG22" s="858">
        <f t="shared" si="2"/>
        <v>4.486127676350165</v>
      </c>
      <c r="AH22" s="10" t="s">
        <v>51</v>
      </c>
    </row>
    <row r="23" spans="1:34" ht="12.75" customHeight="1">
      <c r="A23" s="8"/>
      <c r="B23" s="156" t="s">
        <v>68</v>
      </c>
      <c r="C23" s="159">
        <v>72</v>
      </c>
      <c r="D23" s="159">
        <v>128.6</v>
      </c>
      <c r="E23" s="443">
        <v>183.404</v>
      </c>
      <c r="F23" s="443">
        <v>192</v>
      </c>
      <c r="G23" s="443">
        <v>201</v>
      </c>
      <c r="H23" s="443">
        <v>208</v>
      </c>
      <c r="I23" s="443">
        <v>217.754</v>
      </c>
      <c r="J23" s="443">
        <v>229.037</v>
      </c>
      <c r="K23" s="443">
        <v>231.666</v>
      </c>
      <c r="L23" s="443">
        <v>236.834</v>
      </c>
      <c r="M23" s="443">
        <v>253.406</v>
      </c>
      <c r="N23" s="443">
        <v>263.475</v>
      </c>
      <c r="O23" s="443">
        <v>273.086</v>
      </c>
      <c r="P23" s="443">
        <v>280.709</v>
      </c>
      <c r="Q23" s="443">
        <v>287.245</v>
      </c>
      <c r="R23" s="443">
        <v>293.398</v>
      </c>
      <c r="S23" s="443">
        <v>299.759</v>
      </c>
      <c r="T23" s="443">
        <f>211.567+92.927+2.771</f>
        <v>307.26500000000004</v>
      </c>
      <c r="U23" s="443">
        <f>208.15+104.392+2.162</f>
        <v>314.704</v>
      </c>
      <c r="V23" s="443">
        <f>204.895+114.963+1.662</f>
        <v>321.52</v>
      </c>
      <c r="W23" s="443">
        <f>200.038+127.697+1.303</f>
        <v>329.038</v>
      </c>
      <c r="X23" s="443">
        <f>191.197+139.28+1.026</f>
        <v>331.503</v>
      </c>
      <c r="Y23" s="443">
        <f>184.633+151.812+0.794</f>
        <v>337.23900000000003</v>
      </c>
      <c r="Z23" s="443">
        <f>207.642+137.309+0.624</f>
        <v>345.57500000000005</v>
      </c>
      <c r="AA23" s="443">
        <f>207.902+147.456+0.492</f>
        <v>355.84999999999997</v>
      </c>
      <c r="AB23" s="443">
        <f>205.132+157.747+0.368</f>
        <v>363.247</v>
      </c>
      <c r="AC23" s="443">
        <f>0.289+168.612+203.926</f>
        <v>372.827</v>
      </c>
      <c r="AD23" s="443">
        <f>202.766+178.094+0.243</f>
        <v>381.103</v>
      </c>
      <c r="AE23" s="443">
        <f>201.732+189.004+0.199</f>
        <v>390.935</v>
      </c>
      <c r="AF23" s="449">
        <v>403.3</v>
      </c>
      <c r="AG23" s="877">
        <f t="shared" si="2"/>
        <v>3.1629298988322887</v>
      </c>
      <c r="AH23" s="156" t="s">
        <v>68</v>
      </c>
    </row>
    <row r="24" spans="1:34" s="23" customFormat="1" ht="12.75" customHeight="1">
      <c r="A24" s="344"/>
      <c r="B24" s="10" t="s">
        <v>49</v>
      </c>
      <c r="C24" s="158">
        <v>240</v>
      </c>
      <c r="D24" s="158">
        <v>1010</v>
      </c>
      <c r="E24" s="442">
        <v>1944</v>
      </c>
      <c r="F24" s="442">
        <v>2020</v>
      </c>
      <c r="G24" s="442">
        <v>2058</v>
      </c>
      <c r="H24" s="442">
        <v>2093.529</v>
      </c>
      <c r="I24" s="442">
        <v>2178.891</v>
      </c>
      <c r="J24" s="442">
        <v>2244.946</v>
      </c>
      <c r="K24" s="442">
        <v>2265.18</v>
      </c>
      <c r="L24" s="442">
        <v>2297.964</v>
      </c>
      <c r="M24" s="442">
        <v>2218.124</v>
      </c>
      <c r="N24" s="442">
        <v>2255.526</v>
      </c>
      <c r="O24" s="442">
        <v>2364.706</v>
      </c>
      <c r="P24" s="442">
        <v>2482.827</v>
      </c>
      <c r="Q24" s="442">
        <v>2629.526</v>
      </c>
      <c r="R24" s="442">
        <v>2777.219</v>
      </c>
      <c r="S24" s="442">
        <v>2828.433</v>
      </c>
      <c r="T24" s="442">
        <v>2888.735</v>
      </c>
      <c r="U24" s="442">
        <v>2953.737</v>
      </c>
      <c r="V24" s="442">
        <v>3012.165</v>
      </c>
      <c r="W24" s="442">
        <v>3055.427</v>
      </c>
      <c r="X24" s="442">
        <v>3013.719</v>
      </c>
      <c r="Y24" s="442">
        <v>2984.063</v>
      </c>
      <c r="Z24" s="442">
        <v>2967.808</v>
      </c>
      <c r="AA24" s="442">
        <v>2986.028</v>
      </c>
      <c r="AB24" s="442">
        <f>3040.732</f>
        <v>3040.732</v>
      </c>
      <c r="AC24" s="442">
        <v>3107.695</v>
      </c>
      <c r="AD24" s="442">
        <v>3196.856</v>
      </c>
      <c r="AE24" s="442">
        <v>3313.206</v>
      </c>
      <c r="AF24" s="450">
        <v>3472</v>
      </c>
      <c r="AG24" s="858">
        <f t="shared" si="2"/>
        <v>4.792759641265889</v>
      </c>
      <c r="AH24" s="10" t="s">
        <v>49</v>
      </c>
    </row>
    <row r="25" spans="1:34" ht="12.75" customHeight="1">
      <c r="A25" s="8"/>
      <c r="B25" s="156" t="s">
        <v>52</v>
      </c>
      <c r="C25" s="159" t="s">
        <v>74</v>
      </c>
      <c r="D25" s="159" t="s">
        <v>74</v>
      </c>
      <c r="E25" s="448">
        <v>120</v>
      </c>
      <c r="F25" s="443">
        <v>122</v>
      </c>
      <c r="G25" s="443">
        <v>125</v>
      </c>
      <c r="H25" s="443">
        <v>152.613</v>
      </c>
      <c r="I25" s="443">
        <v>170.635</v>
      </c>
      <c r="J25" s="443">
        <v>180.851</v>
      </c>
      <c r="K25" s="443">
        <v>182</v>
      </c>
      <c r="L25" s="444">
        <f>177.651+6.123</f>
        <v>183.774</v>
      </c>
      <c r="M25" s="443">
        <f>0.863+169.542+4.136+0.245</f>
        <v>174.786</v>
      </c>
      <c r="N25" s="443">
        <f>0.966+176.264+4.777+0.245</f>
        <v>182.252</v>
      </c>
      <c r="O25" s="443">
        <f>1.034+182.105+5.738+0.246</f>
        <v>189.123</v>
      </c>
      <c r="P25" s="443">
        <f>1.116+188.495+5.521+0.247</f>
        <v>195.37900000000002</v>
      </c>
      <c r="Q25" s="443">
        <f>1.165+195.055+5.454+0.247</f>
        <v>201.92100000000002</v>
      </c>
      <c r="R25" s="443">
        <f>1.194+201.924+5.447+0.247</f>
        <v>208.812</v>
      </c>
      <c r="S25" s="443">
        <f>1.19+204.702+5.245+0.246</f>
        <v>211.383</v>
      </c>
      <c r="T25" s="443">
        <f>1.133+206.148+5.034+0.246</f>
        <v>212.561</v>
      </c>
      <c r="U25" s="443">
        <f>1.123+211.84+4.943+0.247</f>
        <v>218.15300000000002</v>
      </c>
      <c r="V25" s="443">
        <v>224.896</v>
      </c>
      <c r="W25" s="443">
        <v>229.38899999999998</v>
      </c>
      <c r="X25" s="443">
        <v>233.48600000000002</v>
      </c>
      <c r="Y25" s="447">
        <v>240.95999999999998</v>
      </c>
      <c r="Z25" s="443">
        <v>247.37499999999997</v>
      </c>
      <c r="AA25" s="447">
        <f>235.315+7.244+0.291+3.277+3.029+0.879</f>
        <v>250.03499999999997</v>
      </c>
      <c r="AB25" s="443">
        <f>241.5+7.228+0.292+4.119+2.551+0.908</f>
        <v>256.598</v>
      </c>
      <c r="AC25" s="443">
        <f>257.817+0.293+4.958+2.293+0.974</f>
        <v>266.33500000000004</v>
      </c>
      <c r="AD25" s="443">
        <f>266.081+0.291+5.774+1.974+1.057</f>
        <v>275.177</v>
      </c>
      <c r="AE25" s="443">
        <f>273.069+0.29+6.762+1.655+1.157</f>
        <v>282.933</v>
      </c>
      <c r="AF25" s="449">
        <f>280.91+0.292+7.675+1.391+1.396</f>
        <v>291.66400000000004</v>
      </c>
      <c r="AG25" s="877">
        <f t="shared" si="2"/>
        <v>3.085889592235631</v>
      </c>
      <c r="AH25" s="156" t="s">
        <v>52</v>
      </c>
    </row>
    <row r="26" spans="1:34" s="23" customFormat="1" ht="12.75" customHeight="1">
      <c r="A26" s="344"/>
      <c r="B26" s="10" t="s">
        <v>60</v>
      </c>
      <c r="C26" s="158">
        <v>2564</v>
      </c>
      <c r="D26" s="158">
        <v>4550</v>
      </c>
      <c r="E26" s="442">
        <v>5509.173</v>
      </c>
      <c r="F26" s="442">
        <v>5554</v>
      </c>
      <c r="G26" s="442">
        <v>5658</v>
      </c>
      <c r="H26" s="442">
        <v>5755</v>
      </c>
      <c r="I26" s="442">
        <v>5884</v>
      </c>
      <c r="J26" s="442">
        <v>5633</v>
      </c>
      <c r="K26" s="442">
        <v>5740</v>
      </c>
      <c r="L26" s="442">
        <v>5931.387</v>
      </c>
      <c r="M26" s="442">
        <v>6119.581</v>
      </c>
      <c r="N26" s="442">
        <v>6343.195</v>
      </c>
      <c r="O26" s="442">
        <v>6539.212</v>
      </c>
      <c r="P26" s="442">
        <v>6710.602</v>
      </c>
      <c r="Q26" s="442">
        <v>6854.743</v>
      </c>
      <c r="R26" s="442">
        <v>6908.473</v>
      </c>
      <c r="S26" s="442">
        <v>6991.991</v>
      </c>
      <c r="T26" s="442">
        <v>7092.293</v>
      </c>
      <c r="U26" s="442">
        <v>7230.178</v>
      </c>
      <c r="V26" s="442">
        <v>7391.903</v>
      </c>
      <c r="W26" s="442">
        <v>7542.331</v>
      </c>
      <c r="X26" s="442">
        <v>7622</v>
      </c>
      <c r="Y26" s="442">
        <v>7736</v>
      </c>
      <c r="Z26" s="442">
        <v>7859</v>
      </c>
      <c r="AA26" s="442">
        <v>7915.613</v>
      </c>
      <c r="AB26" s="442">
        <f>7932.29</f>
        <v>7932.29</v>
      </c>
      <c r="AC26" s="442">
        <v>7979.083</v>
      </c>
      <c r="AD26" s="442">
        <v>8100.864</v>
      </c>
      <c r="AE26" s="442">
        <v>8222.974</v>
      </c>
      <c r="AF26" s="450">
        <v>8373</v>
      </c>
      <c r="AG26" s="858">
        <f t="shared" si="2"/>
        <v>1.8244737244700104</v>
      </c>
      <c r="AH26" s="10" t="s">
        <v>60</v>
      </c>
    </row>
    <row r="27" spans="1:34" ht="12.75" customHeight="1">
      <c r="A27" s="8"/>
      <c r="B27" s="156" t="s">
        <v>69</v>
      </c>
      <c r="C27" s="159">
        <v>1197</v>
      </c>
      <c r="D27" s="159">
        <v>2247</v>
      </c>
      <c r="E27" s="443">
        <v>2991</v>
      </c>
      <c r="F27" s="443">
        <v>3100</v>
      </c>
      <c r="G27" s="443">
        <v>3245</v>
      </c>
      <c r="H27" s="443">
        <v>3367.626</v>
      </c>
      <c r="I27" s="443">
        <v>3479.595</v>
      </c>
      <c r="J27" s="443">
        <v>3593.588</v>
      </c>
      <c r="K27" s="443">
        <v>3690.692</v>
      </c>
      <c r="L27" s="443">
        <v>3782.543</v>
      </c>
      <c r="M27" s="443">
        <v>3887.174</v>
      </c>
      <c r="N27" s="443">
        <v>4009.604</v>
      </c>
      <c r="O27" s="443">
        <v>4097.145</v>
      </c>
      <c r="P27" s="444">
        <v>4182.027</v>
      </c>
      <c r="Q27" s="443">
        <v>3987.093</v>
      </c>
      <c r="R27" s="443">
        <v>4054.308</v>
      </c>
      <c r="S27" s="443">
        <v>4109.129</v>
      </c>
      <c r="T27" s="443">
        <v>4156.743</v>
      </c>
      <c r="U27" s="443">
        <v>4204.969</v>
      </c>
      <c r="V27" s="443">
        <v>4245.583</v>
      </c>
      <c r="W27" s="443">
        <v>4284.919</v>
      </c>
      <c r="X27" s="443">
        <v>4359.944</v>
      </c>
      <c r="Y27" s="443">
        <v>4441.027</v>
      </c>
      <c r="Z27" s="443">
        <v>4513.421</v>
      </c>
      <c r="AA27" s="443">
        <v>4584.202</v>
      </c>
      <c r="AB27" s="443">
        <v>4641.308</v>
      </c>
      <c r="AC27" s="443">
        <v>4694.921</v>
      </c>
      <c r="AD27" s="443">
        <v>4748.048</v>
      </c>
      <c r="AE27" s="443">
        <v>4821.557</v>
      </c>
      <c r="AF27" s="449">
        <v>4899</v>
      </c>
      <c r="AG27" s="877">
        <f t="shared" si="2"/>
        <v>1.6061824012450785</v>
      </c>
      <c r="AH27" s="156" t="s">
        <v>69</v>
      </c>
    </row>
    <row r="28" spans="1:34" s="23" customFormat="1" ht="12.75" customHeight="1">
      <c r="A28" s="344"/>
      <c r="B28" s="10" t="s">
        <v>53</v>
      </c>
      <c r="C28" s="158">
        <v>479</v>
      </c>
      <c r="D28" s="158">
        <v>2380</v>
      </c>
      <c r="E28" s="442">
        <v>5261</v>
      </c>
      <c r="F28" s="442">
        <v>6110</v>
      </c>
      <c r="G28" s="442">
        <v>6505</v>
      </c>
      <c r="H28" s="442">
        <v>6770.557</v>
      </c>
      <c r="I28" s="442">
        <v>7153.141</v>
      </c>
      <c r="J28" s="442">
        <v>7517.266</v>
      </c>
      <c r="K28" s="442">
        <v>8054.448</v>
      </c>
      <c r="L28" s="442">
        <v>8533.449</v>
      </c>
      <c r="M28" s="442">
        <v>8890.763</v>
      </c>
      <c r="N28" s="442">
        <v>9282.9</v>
      </c>
      <c r="O28" s="442">
        <v>9991.3</v>
      </c>
      <c r="P28" s="442">
        <v>10503.1</v>
      </c>
      <c r="Q28" s="442">
        <v>11028.9</v>
      </c>
      <c r="R28" s="442">
        <v>11243.8</v>
      </c>
      <c r="S28" s="442">
        <v>11975.191</v>
      </c>
      <c r="T28" s="442">
        <v>12339.353</v>
      </c>
      <c r="U28" s="442">
        <v>13384.229</v>
      </c>
      <c r="V28" s="442">
        <v>14588.739</v>
      </c>
      <c r="W28" s="442">
        <v>16079.533</v>
      </c>
      <c r="X28" s="442">
        <v>16495</v>
      </c>
      <c r="Y28" s="442">
        <v>17239.8</v>
      </c>
      <c r="Z28" s="442">
        <v>18125</v>
      </c>
      <c r="AA28" s="442">
        <v>18744</v>
      </c>
      <c r="AB28" s="442">
        <v>19389.446</v>
      </c>
      <c r="AC28" s="442">
        <v>20003.863</v>
      </c>
      <c r="AD28" s="442">
        <v>20723</v>
      </c>
      <c r="AE28" s="442">
        <v>21675.388</v>
      </c>
      <c r="AF28" s="450">
        <v>22503</v>
      </c>
      <c r="AG28" s="858">
        <f t="shared" si="2"/>
        <v>3.8182107743584623</v>
      </c>
      <c r="AH28" s="10" t="s">
        <v>53</v>
      </c>
    </row>
    <row r="29" spans="1:34" ht="12.75" customHeight="1">
      <c r="A29" s="8"/>
      <c r="B29" s="156" t="s">
        <v>70</v>
      </c>
      <c r="C29" s="159">
        <v>421</v>
      </c>
      <c r="D29" s="159">
        <v>1269</v>
      </c>
      <c r="E29" s="443">
        <v>1849</v>
      </c>
      <c r="F29" s="448">
        <v>1950</v>
      </c>
      <c r="G29" s="448">
        <v>2100</v>
      </c>
      <c r="H29" s="448">
        <v>2250</v>
      </c>
      <c r="I29" s="448">
        <v>2410</v>
      </c>
      <c r="J29" s="443">
        <v>2560</v>
      </c>
      <c r="K29" s="443">
        <v>2750</v>
      </c>
      <c r="L29" s="443">
        <v>2950</v>
      </c>
      <c r="M29" s="443">
        <v>3150</v>
      </c>
      <c r="N29" s="443">
        <v>3350</v>
      </c>
      <c r="O29" s="443">
        <v>3443</v>
      </c>
      <c r="P29" s="443">
        <v>3589</v>
      </c>
      <c r="Q29" s="443">
        <v>3885</v>
      </c>
      <c r="R29" s="443">
        <v>3966</v>
      </c>
      <c r="S29" s="443">
        <v>4100</v>
      </c>
      <c r="T29" s="443">
        <v>4200</v>
      </c>
      <c r="U29" s="443">
        <v>4290</v>
      </c>
      <c r="V29" s="443">
        <v>4379</v>
      </c>
      <c r="W29" s="443">
        <v>4408</v>
      </c>
      <c r="X29" s="443">
        <v>4457</v>
      </c>
      <c r="Y29" s="447">
        <v>4692</v>
      </c>
      <c r="Z29" s="443">
        <v>4712</v>
      </c>
      <c r="AA29" s="443">
        <v>4259</v>
      </c>
      <c r="AB29" s="443">
        <v>4327.478</v>
      </c>
      <c r="AC29" s="443">
        <v>4699.645</v>
      </c>
      <c r="AD29" s="443">
        <v>4722.963</v>
      </c>
      <c r="AE29" s="443">
        <v>4850.229</v>
      </c>
      <c r="AF29" s="449">
        <v>5059.472</v>
      </c>
      <c r="AG29" s="877">
        <f t="shared" si="2"/>
        <v>4.314084963823348</v>
      </c>
      <c r="AH29" s="156" t="s">
        <v>70</v>
      </c>
    </row>
    <row r="30" spans="1:34" s="23" customFormat="1" ht="12.75" customHeight="1">
      <c r="A30" s="344"/>
      <c r="B30" s="10" t="s">
        <v>54</v>
      </c>
      <c r="C30" s="158">
        <v>40</v>
      </c>
      <c r="D30" s="158">
        <v>240</v>
      </c>
      <c r="E30" s="442">
        <v>1292.283</v>
      </c>
      <c r="F30" s="442">
        <v>1431.566</v>
      </c>
      <c r="G30" s="442">
        <v>1593.029</v>
      </c>
      <c r="H30" s="442">
        <v>1793.054</v>
      </c>
      <c r="I30" s="442">
        <v>2020.017</v>
      </c>
      <c r="J30" s="442">
        <v>2197.477</v>
      </c>
      <c r="K30" s="442">
        <v>2326.177</v>
      </c>
      <c r="L30" s="442">
        <v>2447.087</v>
      </c>
      <c r="M30" s="442">
        <v>2594.571</v>
      </c>
      <c r="N30" s="442">
        <v>2702.021</v>
      </c>
      <c r="O30" s="442">
        <v>2777.594</v>
      </c>
      <c r="P30" s="442">
        <v>2881.191</v>
      </c>
      <c r="Q30" s="442">
        <v>2973.39</v>
      </c>
      <c r="R30" s="442">
        <v>3087.628</v>
      </c>
      <c r="S30" s="442">
        <v>3225.367</v>
      </c>
      <c r="T30" s="442">
        <v>3363.779</v>
      </c>
      <c r="U30" s="445">
        <v>3603.437</v>
      </c>
      <c r="V30" s="442">
        <v>3541.262</v>
      </c>
      <c r="W30" s="442">
        <v>4027.363</v>
      </c>
      <c r="X30" s="442">
        <v>4244.9</v>
      </c>
      <c r="Y30" s="442">
        <v>4319.701</v>
      </c>
      <c r="Z30" s="442">
        <v>4334.547</v>
      </c>
      <c r="AA30" s="442">
        <v>4487.251</v>
      </c>
      <c r="AB30" s="442">
        <v>4695.66</v>
      </c>
      <c r="AC30" s="442">
        <v>4907.564</v>
      </c>
      <c r="AD30" s="442">
        <v>5155.059</v>
      </c>
      <c r="AE30" s="442">
        <v>5472.423</v>
      </c>
      <c r="AF30" s="450">
        <v>5998</v>
      </c>
      <c r="AG30" s="858">
        <f t="shared" si="2"/>
        <v>9.60410041402136</v>
      </c>
      <c r="AH30" s="10" t="s">
        <v>54</v>
      </c>
    </row>
    <row r="31" spans="1:34" ht="12.75" customHeight="1">
      <c r="A31" s="8"/>
      <c r="B31" s="156" t="s">
        <v>56</v>
      </c>
      <c r="C31" s="159">
        <v>150.807</v>
      </c>
      <c r="D31" s="159">
        <v>416.448</v>
      </c>
      <c r="E31" s="443">
        <v>587.104</v>
      </c>
      <c r="F31" s="443">
        <v>602.884</v>
      </c>
      <c r="G31" s="443">
        <v>606.245</v>
      </c>
      <c r="H31" s="443">
        <v>650.344</v>
      </c>
      <c r="I31" s="443">
        <v>668.307</v>
      </c>
      <c r="J31" s="443">
        <v>711.364</v>
      </c>
      <c r="K31" s="443">
        <v>743.057</v>
      </c>
      <c r="L31" s="443">
        <v>776.798</v>
      </c>
      <c r="M31" s="443">
        <v>811.671</v>
      </c>
      <c r="N31" s="443">
        <v>846.109</v>
      </c>
      <c r="O31" s="443">
        <v>866.096</v>
      </c>
      <c r="P31" s="443">
        <v>881.487</v>
      </c>
      <c r="Q31" s="443">
        <v>894.521</v>
      </c>
      <c r="R31" s="443">
        <v>910.429</v>
      </c>
      <c r="S31" s="443">
        <v>933.941</v>
      </c>
      <c r="T31" s="443">
        <v>960.213</v>
      </c>
      <c r="U31" s="443">
        <v>980.261</v>
      </c>
      <c r="V31" s="443">
        <v>1014.122</v>
      </c>
      <c r="W31" s="443">
        <v>1045.183</v>
      </c>
      <c r="X31" s="443">
        <v>1058.858</v>
      </c>
      <c r="Y31" s="443">
        <v>1061.646</v>
      </c>
      <c r="Z31" s="443">
        <v>1066.49</v>
      </c>
      <c r="AA31" s="443">
        <v>1066.028</v>
      </c>
      <c r="AB31" s="443">
        <f>1063.795</f>
        <v>1063.795</v>
      </c>
      <c r="AC31" s="443">
        <v>1068.362</v>
      </c>
      <c r="AD31" s="443">
        <v>1078.74</v>
      </c>
      <c r="AE31" s="443">
        <v>1096.523</v>
      </c>
      <c r="AF31" s="449">
        <v>1117.935</v>
      </c>
      <c r="AG31" s="877">
        <f t="shared" si="2"/>
        <v>1.9527178180485123</v>
      </c>
      <c r="AH31" s="156" t="s">
        <v>56</v>
      </c>
    </row>
    <row r="32" spans="1:34" s="23" customFormat="1" ht="12.75" customHeight="1">
      <c r="A32" s="344"/>
      <c r="B32" s="10" t="s">
        <v>55</v>
      </c>
      <c r="C32" s="158">
        <v>164</v>
      </c>
      <c r="D32" s="158">
        <v>552</v>
      </c>
      <c r="E32" s="442">
        <v>880</v>
      </c>
      <c r="F32" s="442">
        <v>929</v>
      </c>
      <c r="G32" s="442">
        <v>971</v>
      </c>
      <c r="H32" s="442">
        <v>994.933</v>
      </c>
      <c r="I32" s="442">
        <v>994.046</v>
      </c>
      <c r="J32" s="442">
        <v>1015.794</v>
      </c>
      <c r="K32" s="442">
        <v>1058.425</v>
      </c>
      <c r="L32" s="442">
        <v>1135.914</v>
      </c>
      <c r="M32" s="442">
        <v>1196.109</v>
      </c>
      <c r="N32" s="442">
        <v>1236.4</v>
      </c>
      <c r="O32" s="442">
        <v>1274.2</v>
      </c>
      <c r="P32" s="442">
        <v>1292.8</v>
      </c>
      <c r="Q32" s="442">
        <v>1326.9</v>
      </c>
      <c r="R32" s="445">
        <v>1356.2</v>
      </c>
      <c r="S32" s="442">
        <v>1197.03</v>
      </c>
      <c r="T32" s="442">
        <v>1303.704</v>
      </c>
      <c r="U32" s="442">
        <v>1333.749</v>
      </c>
      <c r="V32" s="442">
        <v>1433.926</v>
      </c>
      <c r="W32" s="442">
        <v>1544.888</v>
      </c>
      <c r="X32" s="451">
        <v>1589.044</v>
      </c>
      <c r="Y32" s="451">
        <v>1669.065</v>
      </c>
      <c r="Z32" s="451">
        <v>1749.3</v>
      </c>
      <c r="AA32" s="451">
        <v>1824.19</v>
      </c>
      <c r="AB32" s="451">
        <f>1879.759</f>
        <v>1879.759</v>
      </c>
      <c r="AC32" s="451">
        <v>1949.055</v>
      </c>
      <c r="AD32" s="451">
        <v>2034.574</v>
      </c>
      <c r="AE32" s="451">
        <v>2121.774</v>
      </c>
      <c r="AF32" s="452">
        <v>2223.117</v>
      </c>
      <c r="AG32" s="858">
        <f t="shared" si="2"/>
        <v>4.7763333889471795</v>
      </c>
      <c r="AH32" s="10" t="s">
        <v>55</v>
      </c>
    </row>
    <row r="33" spans="1:34" s="56" customFormat="1" ht="12.75" customHeight="1">
      <c r="A33" s="8"/>
      <c r="B33" s="156" t="s">
        <v>71</v>
      </c>
      <c r="C33" s="159">
        <v>712</v>
      </c>
      <c r="D33" s="159">
        <v>1226</v>
      </c>
      <c r="E33" s="443">
        <v>1938.856</v>
      </c>
      <c r="F33" s="443">
        <v>1923</v>
      </c>
      <c r="G33" s="443">
        <v>1936</v>
      </c>
      <c r="H33" s="443">
        <v>1872.933</v>
      </c>
      <c r="I33" s="443">
        <v>1872.588</v>
      </c>
      <c r="J33" s="443">
        <v>1900.855</v>
      </c>
      <c r="K33" s="443">
        <v>1942.752</v>
      </c>
      <c r="L33" s="443">
        <v>1948.126</v>
      </c>
      <c r="M33" s="443">
        <v>2021.116</v>
      </c>
      <c r="N33" s="443">
        <v>2082.58</v>
      </c>
      <c r="O33" s="443">
        <v>2134.728</v>
      </c>
      <c r="P33" s="443">
        <v>2160.603</v>
      </c>
      <c r="Q33" s="443">
        <v>2194.683</v>
      </c>
      <c r="R33" s="443">
        <v>2274.577</v>
      </c>
      <c r="S33" s="443">
        <v>2346.726</v>
      </c>
      <c r="T33" s="443">
        <v>2430.345</v>
      </c>
      <c r="U33" s="443">
        <v>2505.543</v>
      </c>
      <c r="V33" s="443">
        <v>2570.356</v>
      </c>
      <c r="W33" s="443">
        <v>2700.492</v>
      </c>
      <c r="X33" s="443">
        <v>2776.664</v>
      </c>
      <c r="Y33" s="443">
        <v>2877.484</v>
      </c>
      <c r="Z33" s="443">
        <v>2978.729</v>
      </c>
      <c r="AA33" s="443">
        <v>3057.484</v>
      </c>
      <c r="AB33" s="443">
        <f>3127.399</f>
        <v>3127.399</v>
      </c>
      <c r="AC33" s="443">
        <v>3194.95</v>
      </c>
      <c r="AD33" s="443">
        <v>3257.581</v>
      </c>
      <c r="AE33" s="443">
        <v>3346.005</v>
      </c>
      <c r="AF33" s="449">
        <v>3423</v>
      </c>
      <c r="AG33" s="877">
        <f t="shared" si="2"/>
        <v>2.3011023593808204</v>
      </c>
      <c r="AH33" s="156" t="s">
        <v>71</v>
      </c>
    </row>
    <row r="34" spans="1:34" s="23" customFormat="1" ht="12.75" customHeight="1">
      <c r="A34" s="344"/>
      <c r="B34" s="10" t="s">
        <v>72</v>
      </c>
      <c r="C34" s="158">
        <v>2288</v>
      </c>
      <c r="D34" s="158">
        <v>2883</v>
      </c>
      <c r="E34" s="442">
        <v>3601</v>
      </c>
      <c r="F34" s="442">
        <v>3619</v>
      </c>
      <c r="G34" s="442">
        <v>3589</v>
      </c>
      <c r="H34" s="442">
        <v>3566.1</v>
      </c>
      <c r="I34" s="442">
        <v>3594.2</v>
      </c>
      <c r="J34" s="442">
        <v>3630.76</v>
      </c>
      <c r="K34" s="442">
        <v>3654.92</v>
      </c>
      <c r="L34" s="442">
        <v>3701.17</v>
      </c>
      <c r="M34" s="442">
        <v>3790.695</v>
      </c>
      <c r="N34" s="442">
        <v>3890.159</v>
      </c>
      <c r="O34" s="442">
        <v>3998.614</v>
      </c>
      <c r="P34" s="442">
        <v>4018.533</v>
      </c>
      <c r="Q34" s="442">
        <v>4042.792</v>
      </c>
      <c r="R34" s="442">
        <v>4075.414</v>
      </c>
      <c r="S34" s="442">
        <v>4113.424</v>
      </c>
      <c r="T34" s="442">
        <v>4153.674</v>
      </c>
      <c r="U34" s="442">
        <v>4202.463</v>
      </c>
      <c r="V34" s="442">
        <v>4258.463</v>
      </c>
      <c r="W34" s="442">
        <v>4278.995</v>
      </c>
      <c r="X34" s="442">
        <v>4300.752</v>
      </c>
      <c r="Y34" s="442">
        <v>4335.182</v>
      </c>
      <c r="Z34" s="442">
        <v>4401.352</v>
      </c>
      <c r="AA34" s="442">
        <v>4447.165</v>
      </c>
      <c r="AB34" s="442">
        <v>4495.473</v>
      </c>
      <c r="AC34" s="442">
        <v>4585.519</v>
      </c>
      <c r="AD34" s="442">
        <v>4669.063</v>
      </c>
      <c r="AE34" s="442">
        <v>4768.06</v>
      </c>
      <c r="AF34" s="450">
        <v>4844.823</v>
      </c>
      <c r="AG34" s="858">
        <f t="shared" si="2"/>
        <v>1.6099419889850282</v>
      </c>
      <c r="AH34" s="10" t="s">
        <v>72</v>
      </c>
    </row>
    <row r="35" spans="1:34" ht="12.75" customHeight="1">
      <c r="A35" s="8"/>
      <c r="B35" s="157" t="s">
        <v>61</v>
      </c>
      <c r="C35" s="160">
        <v>11900</v>
      </c>
      <c r="D35" s="160">
        <v>15619</v>
      </c>
      <c r="E35" s="453">
        <v>20722</v>
      </c>
      <c r="F35" s="453">
        <v>20760</v>
      </c>
      <c r="G35" s="453">
        <v>20970</v>
      </c>
      <c r="H35" s="453">
        <v>21290.696</v>
      </c>
      <c r="I35" s="453">
        <v>21740.709</v>
      </c>
      <c r="J35" s="453">
        <v>21950.81</v>
      </c>
      <c r="K35" s="453">
        <v>22818.718</v>
      </c>
      <c r="L35" s="453">
        <v>23450</v>
      </c>
      <c r="M35" s="453">
        <f>23293+36+592.836+0.393</f>
        <v>23922.229</v>
      </c>
      <c r="N35" s="453">
        <f>23975+37+615.567+0.375</f>
        <v>24627.942</v>
      </c>
      <c r="O35" s="453">
        <f>24406+38+622.488+0.376</f>
        <v>25066.864</v>
      </c>
      <c r="P35" s="453">
        <f>25126+39+650.323+0.379</f>
        <v>25815.702</v>
      </c>
      <c r="Q35" s="453">
        <f>25782+39+671.18+0.413</f>
        <v>26492.593</v>
      </c>
      <c r="R35" s="453">
        <f>26240+39+712.835+0.513</f>
        <v>26992.347999999998</v>
      </c>
      <c r="S35" s="453">
        <f>27028+41+736.706+0.538</f>
        <v>27806.244</v>
      </c>
      <c r="T35" s="453">
        <f>27520+42+763.664+0.633</f>
        <v>28326.297000000002</v>
      </c>
      <c r="U35" s="453">
        <f>27609.2+43+793.763+0.698</f>
        <v>28446.661</v>
      </c>
      <c r="V35" s="453">
        <v>28873.319</v>
      </c>
      <c r="W35" s="453">
        <v>29049.914</v>
      </c>
      <c r="X35" s="453">
        <v>29152.304000000004</v>
      </c>
      <c r="Y35" s="453">
        <v>29333.576</v>
      </c>
      <c r="Z35" s="453">
        <v>29382.213999999996</v>
      </c>
      <c r="AA35" s="453">
        <v>29644.178</v>
      </c>
      <c r="AB35" s="453">
        <f>29140.9+43.473+890.484+0.579</f>
        <v>30075.436000000005</v>
      </c>
      <c r="AC35" s="453">
        <f>29611.5+901.779+0.556+43.322</f>
        <v>30557.157</v>
      </c>
      <c r="AD35" s="453">
        <f>31170.701+0.55+42.797</f>
        <v>31214.048</v>
      </c>
      <c r="AE35" s="453">
        <f>0.514+31792.259+41.619</f>
        <v>31834.391999999996</v>
      </c>
      <c r="AF35" s="454">
        <f>40.674+32159.9+0.5</f>
        <v>32201.074</v>
      </c>
      <c r="AG35" s="351">
        <f t="shared" si="2"/>
        <v>1.1518423219768295</v>
      </c>
      <c r="AH35" s="157" t="s">
        <v>61</v>
      </c>
    </row>
    <row r="36" spans="1:34" s="23" customFormat="1" ht="12.75" customHeight="1">
      <c r="A36" s="344"/>
      <c r="B36" s="402" t="s">
        <v>252</v>
      </c>
      <c r="C36" s="158"/>
      <c r="D36" s="158"/>
      <c r="E36" s="442"/>
      <c r="F36" s="442"/>
      <c r="G36" s="442"/>
      <c r="H36" s="442">
        <v>56.728</v>
      </c>
      <c r="I36" s="442">
        <v>67.96</v>
      </c>
      <c r="J36" s="442">
        <v>58.682</v>
      </c>
      <c r="K36" s="442">
        <v>67.278</v>
      </c>
      <c r="L36" s="442">
        <v>76.822</v>
      </c>
      <c r="M36" s="442">
        <v>90.766</v>
      </c>
      <c r="N36" s="442">
        <v>92.252</v>
      </c>
      <c r="O36" s="442">
        <v>114.532</v>
      </c>
      <c r="P36" s="442">
        <v>133.533</v>
      </c>
      <c r="Q36" s="442">
        <v>148.531</v>
      </c>
      <c r="R36" s="442">
        <v>174.782</v>
      </c>
      <c r="S36" s="442">
        <v>190.004</v>
      </c>
      <c r="T36" s="442">
        <v>195.125</v>
      </c>
      <c r="U36" s="442">
        <v>225.114</v>
      </c>
      <c r="V36" s="442">
        <v>237.932</v>
      </c>
      <c r="W36" s="442">
        <v>264.828</v>
      </c>
      <c r="X36" s="455">
        <v>281.236</v>
      </c>
      <c r="Y36" s="442">
        <v>294.729</v>
      </c>
      <c r="Z36" s="442">
        <v>300.974</v>
      </c>
      <c r="AA36" s="442">
        <v>297.341</v>
      </c>
      <c r="AB36" s="442">
        <v>341.691</v>
      </c>
      <c r="AC36" s="442">
        <v>378.053</v>
      </c>
      <c r="AD36" s="451">
        <v>403.68</v>
      </c>
      <c r="AE36" s="451">
        <v>436.013</v>
      </c>
      <c r="AF36" s="452">
        <v>422</v>
      </c>
      <c r="AG36" s="858">
        <f t="shared" si="2"/>
        <v>-3.2138949985436227</v>
      </c>
      <c r="AH36" s="402" t="s">
        <v>252</v>
      </c>
    </row>
    <row r="37" spans="1:34" ht="12.75" customHeight="1">
      <c r="A37" s="8"/>
      <c r="B37" s="156" t="s">
        <v>240</v>
      </c>
      <c r="C37" s="159"/>
      <c r="D37" s="159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>
        <v>164.653</v>
      </c>
      <c r="Z37" s="443">
        <v>171.973</v>
      </c>
      <c r="AA37" s="443">
        <v>173.865</v>
      </c>
      <c r="AB37" s="443">
        <v>178.662</v>
      </c>
      <c r="AC37" s="443">
        <v>174.073</v>
      </c>
      <c r="AD37" s="443">
        <v>175.912</v>
      </c>
      <c r="AE37" s="443">
        <v>193.242</v>
      </c>
      <c r="AF37" s="449">
        <v>206.5</v>
      </c>
      <c r="AG37" s="877">
        <f t="shared" si="2"/>
        <v>6.860827356371814</v>
      </c>
      <c r="AH37" s="156" t="s">
        <v>240</v>
      </c>
    </row>
    <row r="38" spans="1:34" ht="12.75" customHeight="1">
      <c r="A38" s="8"/>
      <c r="B38" s="402" t="s">
        <v>1</v>
      </c>
      <c r="C38" s="158"/>
      <c r="D38" s="158"/>
      <c r="E38" s="442"/>
      <c r="F38" s="442"/>
      <c r="G38" s="442"/>
      <c r="H38" s="442">
        <v>289.979</v>
      </c>
      <c r="I38" s="442">
        <v>263.181</v>
      </c>
      <c r="J38" s="442">
        <v>285.907</v>
      </c>
      <c r="K38" s="442">
        <v>284.022</v>
      </c>
      <c r="L38" s="442">
        <v>289.204</v>
      </c>
      <c r="M38" s="442">
        <v>288.678</v>
      </c>
      <c r="N38" s="442">
        <v>290</v>
      </c>
      <c r="O38" s="442">
        <v>300</v>
      </c>
      <c r="P38" s="442">
        <v>310</v>
      </c>
      <c r="Q38" s="442">
        <v>308</v>
      </c>
      <c r="R38" s="445">
        <v>299.809</v>
      </c>
      <c r="S38" s="442">
        <v>249.403</v>
      </c>
      <c r="T38" s="442">
        <v>253.234</v>
      </c>
      <c r="U38" s="442">
        <v>242.287</v>
      </c>
      <c r="V38" s="442">
        <f>248.774</f>
        <v>248.774</v>
      </c>
      <c r="W38" s="442">
        <f>263.112</f>
        <v>263.112</v>
      </c>
      <c r="X38" s="442">
        <f>282.196</f>
        <v>282.196</v>
      </c>
      <c r="Y38" s="442">
        <v>310.231</v>
      </c>
      <c r="Z38" s="442">
        <v>313.08</v>
      </c>
      <c r="AA38" s="442">
        <v>301.761</v>
      </c>
      <c r="AB38" s="442">
        <v>346.798</v>
      </c>
      <c r="AC38" s="442">
        <v>371.449</v>
      </c>
      <c r="AD38" s="442">
        <v>383.833</v>
      </c>
      <c r="AE38" s="442">
        <v>394.934</v>
      </c>
      <c r="AF38" s="450">
        <v>403.316</v>
      </c>
      <c r="AG38" s="858">
        <f t="shared" si="2"/>
        <v>2.1223799419649794</v>
      </c>
      <c r="AH38" s="402" t="s">
        <v>1</v>
      </c>
    </row>
    <row r="39" spans="1:34" ht="12.75" customHeight="1">
      <c r="A39" s="8"/>
      <c r="B39" s="156" t="s">
        <v>239</v>
      </c>
      <c r="C39" s="159"/>
      <c r="D39" s="159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  <c r="P39" s="443">
        <v>1382.396</v>
      </c>
      <c r="Q39" s="443">
        <v>1343.658</v>
      </c>
      <c r="R39" s="443">
        <v>1388.109</v>
      </c>
      <c r="S39" s="443">
        <v>1449.843</v>
      </c>
      <c r="T39" s="443">
        <v>1481.498</v>
      </c>
      <c r="U39" s="443">
        <v>1511.837</v>
      </c>
      <c r="V39" s="443">
        <v>1476.642</v>
      </c>
      <c r="W39" s="443">
        <v>1486.608</v>
      </c>
      <c r="X39" s="443">
        <v>1637.002</v>
      </c>
      <c r="Y39" s="443">
        <v>1565.55</v>
      </c>
      <c r="Z39" s="443">
        <v>1677.51</v>
      </c>
      <c r="AA39" s="443">
        <v>1726.19</v>
      </c>
      <c r="AB39" s="443">
        <v>1770.206</v>
      </c>
      <c r="AC39" s="443">
        <v>1797.427</v>
      </c>
      <c r="AD39" s="443">
        <v>1834.89</v>
      </c>
      <c r="AE39" s="443">
        <v>1888.295</v>
      </c>
      <c r="AF39" s="449">
        <v>1969</v>
      </c>
      <c r="AG39" s="877">
        <f t="shared" si="2"/>
        <v>4.27396143081458</v>
      </c>
      <c r="AH39" s="156" t="s">
        <v>239</v>
      </c>
    </row>
    <row r="40" spans="1:34" ht="12.75" customHeight="1">
      <c r="A40" s="8"/>
      <c r="B40" s="403" t="s">
        <v>57</v>
      </c>
      <c r="C40" s="433" t="s">
        <v>74</v>
      </c>
      <c r="D40" s="433" t="s">
        <v>74</v>
      </c>
      <c r="E40" s="456"/>
      <c r="F40" s="456"/>
      <c r="G40" s="456"/>
      <c r="H40" s="456">
        <v>2619.852</v>
      </c>
      <c r="I40" s="456">
        <v>2861.64</v>
      </c>
      <c r="J40" s="456">
        <v>3058.5110000000004</v>
      </c>
      <c r="K40" s="456">
        <v>3274.156</v>
      </c>
      <c r="L40" s="456">
        <v>3570.105</v>
      </c>
      <c r="M40" s="456">
        <v>3838.288</v>
      </c>
      <c r="N40" s="456">
        <v>4072.326</v>
      </c>
      <c r="O40" s="456">
        <v>4422.18</v>
      </c>
      <c r="P40" s="456">
        <v>4534.803</v>
      </c>
      <c r="Q40" s="456">
        <v>4600.14</v>
      </c>
      <c r="R40" s="456">
        <v>4700.343</v>
      </c>
      <c r="S40" s="456">
        <v>5400.44</v>
      </c>
      <c r="T40" s="456">
        <v>5772.745</v>
      </c>
      <c r="U40" s="456">
        <v>6140.992</v>
      </c>
      <c r="V40" s="456">
        <v>6472.156</v>
      </c>
      <c r="W40" s="456">
        <v>6796.629</v>
      </c>
      <c r="X40" s="456">
        <f>7093.964</f>
        <v>7093.964</v>
      </c>
      <c r="Y40" s="456">
        <f>7544.871</f>
        <v>7544.871</v>
      </c>
      <c r="Z40" s="456">
        <v>8113.111</v>
      </c>
      <c r="AA40" s="456">
        <v>8648.875</v>
      </c>
      <c r="AB40" s="456">
        <f>9283.923</f>
        <v>9283.923</v>
      </c>
      <c r="AC40" s="456">
        <v>9857.915</v>
      </c>
      <c r="AD40" s="456">
        <v>10589.337</v>
      </c>
      <c r="AE40" s="456">
        <v>11317.998</v>
      </c>
      <c r="AF40" s="457">
        <v>12035.978</v>
      </c>
      <c r="AG40" s="315">
        <f t="shared" si="2"/>
        <v>6.3437014213998</v>
      </c>
      <c r="AH40" s="403" t="s">
        <v>57</v>
      </c>
    </row>
    <row r="41" spans="1:34" ht="12.75" customHeight="1">
      <c r="A41" s="8"/>
      <c r="B41" s="155" t="s">
        <v>43</v>
      </c>
      <c r="C41" s="434">
        <v>40.786</v>
      </c>
      <c r="D41" s="434">
        <v>85.924</v>
      </c>
      <c r="E41" s="458">
        <v>119.731</v>
      </c>
      <c r="F41" s="458">
        <v>120.862</v>
      </c>
      <c r="G41" s="458">
        <v>120.146</v>
      </c>
      <c r="H41" s="458">
        <v>116.195</v>
      </c>
      <c r="I41" s="458">
        <v>116.243</v>
      </c>
      <c r="J41" s="458">
        <v>119.232</v>
      </c>
      <c r="K41" s="458">
        <v>124.909</v>
      </c>
      <c r="L41" s="458">
        <v>132.468</v>
      </c>
      <c r="M41" s="458">
        <v>140.372</v>
      </c>
      <c r="N41" s="458">
        <v>151.409</v>
      </c>
      <c r="O41" s="458">
        <v>158.936</v>
      </c>
      <c r="P41" s="458">
        <v>159.865</v>
      </c>
      <c r="Q41" s="458">
        <v>161.721</v>
      </c>
      <c r="R41" s="458">
        <v>166.869</v>
      </c>
      <c r="S41" s="458">
        <v>175.427</v>
      </c>
      <c r="T41" s="458">
        <v>187.442</v>
      </c>
      <c r="U41" s="458">
        <v>197.305</v>
      </c>
      <c r="V41" s="458">
        <v>207.513</v>
      </c>
      <c r="W41" s="458">
        <v>209.74</v>
      </c>
      <c r="X41" s="458">
        <v>205.338</v>
      </c>
      <c r="Y41" s="458">
        <v>204.736</v>
      </c>
      <c r="Z41" s="458">
        <f>206.112</f>
        <v>206.112</v>
      </c>
      <c r="AA41" s="458">
        <f>210.07</f>
        <v>210.07</v>
      </c>
      <c r="AB41" s="716">
        <v>213.113</v>
      </c>
      <c r="AC41" s="716">
        <v>217.454</v>
      </c>
      <c r="AD41" s="716">
        <v>226.321</v>
      </c>
      <c r="AE41" s="716">
        <v>240.49</v>
      </c>
      <c r="AF41" s="874">
        <v>250</v>
      </c>
      <c r="AG41" s="877">
        <f t="shared" si="2"/>
        <v>3.9544263794752226</v>
      </c>
      <c r="AH41" s="155" t="s">
        <v>43</v>
      </c>
    </row>
    <row r="42" spans="1:34" ht="12.75" customHeight="1">
      <c r="A42" s="8"/>
      <c r="B42" s="402" t="s">
        <v>73</v>
      </c>
      <c r="C42" s="158">
        <v>690</v>
      </c>
      <c r="D42" s="158">
        <v>1230</v>
      </c>
      <c r="E42" s="442">
        <v>1613.037</v>
      </c>
      <c r="F42" s="442">
        <v>1614.623</v>
      </c>
      <c r="G42" s="442">
        <v>1619.438</v>
      </c>
      <c r="H42" s="442">
        <v>1633.088</v>
      </c>
      <c r="I42" s="442">
        <v>1653.678</v>
      </c>
      <c r="J42" s="442">
        <v>1684.664</v>
      </c>
      <c r="K42" s="442">
        <v>1661.247</v>
      </c>
      <c r="L42" s="442">
        <v>1758.001</v>
      </c>
      <c r="M42" s="442">
        <v>1786.404</v>
      </c>
      <c r="N42" s="442">
        <v>1813.642</v>
      </c>
      <c r="O42" s="442">
        <v>1851.929</v>
      </c>
      <c r="P42" s="442">
        <v>1872.862</v>
      </c>
      <c r="Q42" s="442">
        <v>1899.767</v>
      </c>
      <c r="R42" s="442">
        <v>1933.66</v>
      </c>
      <c r="S42" s="442">
        <v>1977.922</v>
      </c>
      <c r="T42" s="442">
        <v>2028.909</v>
      </c>
      <c r="U42" s="442">
        <v>2084.193</v>
      </c>
      <c r="V42" s="442">
        <v>2154.837</v>
      </c>
      <c r="W42" s="442">
        <v>2197.193</v>
      </c>
      <c r="X42" s="442">
        <v>2244</v>
      </c>
      <c r="Y42" s="442">
        <v>2308.548</v>
      </c>
      <c r="Z42" s="442">
        <v>2376</v>
      </c>
      <c r="AA42" s="442">
        <v>2443</v>
      </c>
      <c r="AB42" s="442">
        <f>2500.265</f>
        <v>2500.265</v>
      </c>
      <c r="AC42" s="442">
        <v>2555.443</v>
      </c>
      <c r="AD42" s="442">
        <v>2610.352</v>
      </c>
      <c r="AE42" s="442">
        <v>2662.91</v>
      </c>
      <c r="AF42" s="450">
        <v>2719.396</v>
      </c>
      <c r="AG42" s="858">
        <f t="shared" si="2"/>
        <v>2.1212132591788873</v>
      </c>
      <c r="AH42" s="402" t="s">
        <v>73</v>
      </c>
    </row>
    <row r="43" spans="1:34" ht="12.75" customHeight="1">
      <c r="A43" s="8"/>
      <c r="B43" s="156" t="s">
        <v>44</v>
      </c>
      <c r="C43" s="159">
        <v>1383.204</v>
      </c>
      <c r="D43" s="159">
        <v>2246.752</v>
      </c>
      <c r="E43" s="443">
        <v>2985.397</v>
      </c>
      <c r="F43" s="443">
        <v>3057.798</v>
      </c>
      <c r="G43" s="443">
        <v>3091.228</v>
      </c>
      <c r="H43" s="443">
        <v>3109.523</v>
      </c>
      <c r="I43" s="443">
        <v>3165.042</v>
      </c>
      <c r="J43" s="443">
        <v>3229.176</v>
      </c>
      <c r="K43" s="443">
        <v>3268.093</v>
      </c>
      <c r="L43" s="443">
        <v>3323.455</v>
      </c>
      <c r="M43" s="443">
        <v>3383.307</v>
      </c>
      <c r="N43" s="443">
        <v>3467.311</v>
      </c>
      <c r="O43" s="443">
        <v>3545.247</v>
      </c>
      <c r="P43" s="443">
        <v>3629.713</v>
      </c>
      <c r="Q43" s="443">
        <v>3700.951</v>
      </c>
      <c r="R43" s="443">
        <v>3753.89</v>
      </c>
      <c r="S43" s="443">
        <v>3811.351</v>
      </c>
      <c r="T43" s="443">
        <v>3861.442</v>
      </c>
      <c r="U43" s="443">
        <v>3900.014</v>
      </c>
      <c r="V43" s="443">
        <v>3955.787</v>
      </c>
      <c r="W43" s="443">
        <v>3989.811</v>
      </c>
      <c r="X43" s="443">
        <f>4009.602</f>
        <v>4009.602</v>
      </c>
      <c r="Y43" s="443">
        <v>4075.825</v>
      </c>
      <c r="Z43" s="443">
        <v>4163</v>
      </c>
      <c r="AA43" s="443">
        <v>4255</v>
      </c>
      <c r="AB43" s="443">
        <v>4320.885</v>
      </c>
      <c r="AC43" s="443">
        <v>4384.49</v>
      </c>
      <c r="AD43" s="443">
        <v>4458.069</v>
      </c>
      <c r="AE43" s="443">
        <v>4524</v>
      </c>
      <c r="AF43" s="449">
        <v>4570.8</v>
      </c>
      <c r="AG43" s="877">
        <f t="shared" si="2"/>
        <v>1.0344827586206975</v>
      </c>
      <c r="AH43" s="156" t="s">
        <v>44</v>
      </c>
    </row>
    <row r="44" spans="1:34" ht="12.75" customHeight="1">
      <c r="A44" s="8"/>
      <c r="B44" s="403" t="s">
        <v>83</v>
      </c>
      <c r="C44" s="433"/>
      <c r="D44" s="433"/>
      <c r="E44" s="456">
        <v>16.891</v>
      </c>
      <c r="F44" s="456">
        <v>17.328</v>
      </c>
      <c r="G44" s="456">
        <v>17.679</v>
      </c>
      <c r="H44" s="456">
        <v>17.767</v>
      </c>
      <c r="I44" s="456">
        <v>18.256</v>
      </c>
      <c r="J44" s="456">
        <v>18.82</v>
      </c>
      <c r="K44" s="456">
        <v>19.31</v>
      </c>
      <c r="L44" s="456">
        <v>19.926</v>
      </c>
      <c r="M44" s="456">
        <v>20.469</v>
      </c>
      <c r="N44" s="456">
        <v>21.15</v>
      </c>
      <c r="O44" s="456">
        <v>21.784</v>
      </c>
      <c r="P44" s="456">
        <v>22.626</v>
      </c>
      <c r="Q44" s="456">
        <v>23.265</v>
      </c>
      <c r="R44" s="456">
        <v>23.524</v>
      </c>
      <c r="S44" s="456">
        <v>23.935</v>
      </c>
      <c r="T44" s="456">
        <v>24.393</v>
      </c>
      <c r="U44" s="456">
        <v>24.293</v>
      </c>
      <c r="V44" s="456">
        <v>24.368</v>
      </c>
      <c r="W44" s="456">
        <v>25.462</v>
      </c>
      <c r="X44" s="456">
        <f>25.909</f>
        <v>25.909</v>
      </c>
      <c r="Y44" s="456">
        <v>26.89</v>
      </c>
      <c r="Z44" s="456">
        <v>27.327</v>
      </c>
      <c r="AA44" s="456">
        <v>28.004</v>
      </c>
      <c r="AB44" s="456">
        <v>28.102</v>
      </c>
      <c r="AC44" s="456">
        <v>28.474</v>
      </c>
      <c r="AD44" s="456">
        <v>28.802</v>
      </c>
      <c r="AE44" s="456">
        <v>29.241</v>
      </c>
      <c r="AF44" s="875">
        <v>29</v>
      </c>
      <c r="AG44" s="858">
        <f t="shared" si="2"/>
        <v>-0.8241852193837502</v>
      </c>
      <c r="AH44" s="403" t="s">
        <v>83</v>
      </c>
    </row>
    <row r="45" spans="1:34" ht="12.75" customHeight="1">
      <c r="A45" s="8"/>
      <c r="B45" s="1015" t="s">
        <v>227</v>
      </c>
      <c r="C45" s="1016"/>
      <c r="D45" s="1016"/>
      <c r="E45" s="1016"/>
      <c r="F45" s="1016"/>
      <c r="G45" s="1016"/>
      <c r="H45" s="1016"/>
      <c r="I45" s="1016"/>
      <c r="J45" s="1016"/>
      <c r="K45" s="1016"/>
      <c r="L45" s="1016"/>
      <c r="M45" s="1016"/>
      <c r="N45" s="1016"/>
      <c r="O45" s="1016"/>
      <c r="P45" s="1016"/>
      <c r="Q45" s="1016"/>
      <c r="R45" s="1016"/>
      <c r="S45" s="1016"/>
      <c r="T45" s="1016"/>
      <c r="U45" s="1016"/>
      <c r="V45" s="1016"/>
      <c r="W45" s="1016"/>
      <c r="X45" s="1016"/>
      <c r="Y45" s="1016"/>
      <c r="Z45" s="1016"/>
      <c r="AA45" s="1016"/>
      <c r="AB45" s="1016"/>
      <c r="AC45" s="1016"/>
      <c r="AD45" s="1017"/>
      <c r="AE45" s="1017"/>
      <c r="AF45" s="1017"/>
      <c r="AG45" s="1016"/>
      <c r="AH45" s="1016"/>
    </row>
    <row r="46" spans="1:34" ht="12.75" customHeight="1">
      <c r="A46" s="8"/>
      <c r="B46" s="1018" t="s">
        <v>0</v>
      </c>
      <c r="C46" s="1012"/>
      <c r="D46" s="1012"/>
      <c r="E46" s="1012"/>
      <c r="F46" s="1012"/>
      <c r="G46" s="1012"/>
      <c r="H46" s="1012"/>
      <c r="I46" s="1012"/>
      <c r="J46" s="1012"/>
      <c r="K46" s="1012"/>
      <c r="L46" s="1012"/>
      <c r="M46" s="1012"/>
      <c r="N46" s="1012"/>
      <c r="O46" s="1012"/>
      <c r="P46" s="1012"/>
      <c r="Q46" s="1012"/>
      <c r="R46" s="1012"/>
      <c r="S46" s="1012"/>
      <c r="T46" s="1012"/>
      <c r="U46" s="1012"/>
      <c r="V46" s="1012"/>
      <c r="W46" s="1012"/>
      <c r="X46" s="1012"/>
      <c r="Y46" s="1012"/>
      <c r="Z46" s="1012"/>
      <c r="AA46" s="1012"/>
      <c r="AB46" s="1012"/>
      <c r="AC46" s="1012"/>
      <c r="AD46" s="1012"/>
      <c r="AE46" s="1012"/>
      <c r="AF46" s="1012"/>
      <c r="AG46" s="1012"/>
      <c r="AH46" s="1013"/>
    </row>
    <row r="47" spans="2:34" ht="17.25" customHeight="1">
      <c r="B47" s="1012" t="s">
        <v>241</v>
      </c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2"/>
      <c r="U47" s="1012"/>
      <c r="V47" s="1012"/>
      <c r="W47" s="1012"/>
      <c r="X47" s="1012"/>
      <c r="Y47" s="1012"/>
      <c r="Z47" s="1012"/>
      <c r="AA47" s="1012"/>
      <c r="AB47" s="1012"/>
      <c r="AC47" s="1012"/>
      <c r="AD47" s="1012"/>
      <c r="AE47" s="1012"/>
      <c r="AF47" s="1012"/>
      <c r="AG47" s="1012"/>
      <c r="AH47" s="1013"/>
    </row>
    <row r="48" spans="2:34" ht="12.75" customHeight="1">
      <c r="B48" s="766" t="s">
        <v>166</v>
      </c>
      <c r="C48" s="766"/>
      <c r="D48" s="766"/>
      <c r="E48" s="766"/>
      <c r="F48" s="766"/>
      <c r="G48" s="766"/>
      <c r="H48" s="766"/>
      <c r="I48" s="766"/>
      <c r="J48" s="766"/>
      <c r="K48" s="766"/>
      <c r="L48" s="766"/>
      <c r="M48" s="766"/>
      <c r="N48" s="766"/>
      <c r="O48" s="766"/>
      <c r="P48" s="766"/>
      <c r="Q48" s="766"/>
      <c r="R48" s="766"/>
      <c r="S48" s="766"/>
      <c r="T48" s="766"/>
      <c r="U48" s="766"/>
      <c r="V48" s="766"/>
      <c r="W48" s="766"/>
      <c r="X48" s="766"/>
      <c r="Y48" s="766"/>
      <c r="Z48" s="766"/>
      <c r="AA48" s="766"/>
      <c r="AB48" s="766"/>
      <c r="AC48" s="766"/>
      <c r="AD48" s="766"/>
      <c r="AG48" s="766"/>
      <c r="AH48" s="766"/>
    </row>
    <row r="49" spans="2:34" ht="12.75" customHeight="1">
      <c r="B49" s="766" t="s">
        <v>242</v>
      </c>
      <c r="C49" s="766"/>
      <c r="D49" s="766"/>
      <c r="E49" s="766"/>
      <c r="F49" s="766"/>
      <c r="G49" s="766"/>
      <c r="H49" s="766"/>
      <c r="I49" s="766"/>
      <c r="J49" s="766"/>
      <c r="K49" s="766"/>
      <c r="L49" s="766"/>
      <c r="M49" s="766"/>
      <c r="N49" s="766"/>
      <c r="O49" s="766"/>
      <c r="P49" s="766"/>
      <c r="Q49" s="766"/>
      <c r="R49" s="766"/>
      <c r="S49" s="766"/>
      <c r="T49" s="766"/>
      <c r="U49" s="766"/>
      <c r="V49" s="766"/>
      <c r="W49" s="766"/>
      <c r="X49" s="766"/>
      <c r="Y49" s="766"/>
      <c r="Z49" s="766"/>
      <c r="AA49" s="766"/>
      <c r="AB49" s="766"/>
      <c r="AC49" s="766"/>
      <c r="AD49" s="766"/>
      <c r="AG49" s="766"/>
      <c r="AH49" s="766"/>
    </row>
    <row r="50" spans="2:34" ht="12.75" customHeight="1">
      <c r="B50" s="766"/>
      <c r="C50" s="766"/>
      <c r="D50" s="766"/>
      <c r="E50" s="766"/>
      <c r="F50" s="766"/>
      <c r="G50" s="766"/>
      <c r="H50" s="766"/>
      <c r="I50" s="766"/>
      <c r="J50" s="766"/>
      <c r="K50" s="766"/>
      <c r="L50" s="766"/>
      <c r="M50" s="766"/>
      <c r="N50" s="766"/>
      <c r="O50" s="766"/>
      <c r="P50" s="766"/>
      <c r="Q50" s="766"/>
      <c r="R50" s="766"/>
      <c r="S50" s="766"/>
      <c r="T50" s="766"/>
      <c r="U50" s="766"/>
      <c r="V50" s="766"/>
      <c r="W50" s="766"/>
      <c r="X50" s="766"/>
      <c r="Y50" s="766"/>
      <c r="Z50" s="766"/>
      <c r="AA50" s="766"/>
      <c r="AB50" s="766"/>
      <c r="AC50" s="766"/>
      <c r="AD50" s="766"/>
      <c r="AG50" s="766"/>
      <c r="AH50" s="766"/>
    </row>
    <row r="51" spans="2:34" ht="11.25">
      <c r="B51" s="766"/>
      <c r="C51" s="766"/>
      <c r="D51" s="766"/>
      <c r="E51" s="766"/>
      <c r="F51" s="766"/>
      <c r="G51" s="766"/>
      <c r="H51" s="766"/>
      <c r="I51" s="766"/>
      <c r="J51" s="766"/>
      <c r="K51" s="766"/>
      <c r="L51" s="766"/>
      <c r="M51" s="766"/>
      <c r="N51" s="766"/>
      <c r="O51" s="766"/>
      <c r="P51" s="766"/>
      <c r="Q51" s="766"/>
      <c r="R51" s="766"/>
      <c r="S51" s="766"/>
      <c r="T51" s="766"/>
      <c r="U51" s="766"/>
      <c r="V51" s="766"/>
      <c r="W51" s="766"/>
      <c r="X51" s="766"/>
      <c r="Y51" s="766"/>
      <c r="Z51" s="766"/>
      <c r="AA51" s="766"/>
      <c r="AB51" s="766"/>
      <c r="AC51" s="766"/>
      <c r="AD51" s="766"/>
      <c r="AG51" s="766"/>
      <c r="AH51" s="766"/>
    </row>
    <row r="52" spans="2:34" ht="11.25">
      <c r="B52" s="766"/>
      <c r="C52" s="766"/>
      <c r="D52" s="766"/>
      <c r="E52" s="766"/>
      <c r="F52" s="766"/>
      <c r="G52" s="766"/>
      <c r="H52" s="766"/>
      <c r="I52" s="766"/>
      <c r="J52" s="766"/>
      <c r="K52" s="766"/>
      <c r="L52" s="766"/>
      <c r="M52" s="766"/>
      <c r="N52" s="766"/>
      <c r="O52" s="766"/>
      <c r="P52" s="766"/>
      <c r="Q52" s="766"/>
      <c r="R52" s="766"/>
      <c r="S52" s="766"/>
      <c r="T52" s="766"/>
      <c r="U52" s="766"/>
      <c r="V52" s="766"/>
      <c r="W52" s="766"/>
      <c r="X52" s="766"/>
      <c r="Y52" s="766"/>
      <c r="Z52" s="766"/>
      <c r="AA52" s="766"/>
      <c r="AB52" s="766"/>
      <c r="AC52" s="766"/>
      <c r="AD52" s="766"/>
      <c r="AG52" s="766"/>
      <c r="AH52" s="766"/>
    </row>
    <row r="53" spans="2:34" ht="11.25">
      <c r="B53" s="766"/>
      <c r="C53" s="766"/>
      <c r="D53" s="766"/>
      <c r="E53" s="766"/>
      <c r="F53" s="766"/>
      <c r="G53" s="766"/>
      <c r="H53" s="766"/>
      <c r="I53" s="766"/>
      <c r="J53" s="766"/>
      <c r="K53" s="766"/>
      <c r="L53" s="766"/>
      <c r="M53" s="766"/>
      <c r="N53" s="766"/>
      <c r="O53" s="766"/>
      <c r="P53" s="766"/>
      <c r="Q53" s="766"/>
      <c r="R53" s="766"/>
      <c r="S53" s="766"/>
      <c r="T53" s="766"/>
      <c r="U53" s="766"/>
      <c r="V53" s="766"/>
      <c r="W53" s="766"/>
      <c r="X53" s="766"/>
      <c r="Y53" s="766"/>
      <c r="Z53" s="766"/>
      <c r="AA53" s="766"/>
      <c r="AB53" s="766"/>
      <c r="AC53" s="766"/>
      <c r="AD53" s="766"/>
      <c r="AG53" s="766"/>
      <c r="AH53" s="766"/>
    </row>
    <row r="54" spans="2:34" ht="11.25">
      <c r="B54" s="766"/>
      <c r="C54" s="766"/>
      <c r="D54" s="766"/>
      <c r="E54" s="766"/>
      <c r="F54" s="766"/>
      <c r="G54" s="766"/>
      <c r="H54" s="766"/>
      <c r="I54" s="766"/>
      <c r="J54" s="766"/>
      <c r="K54" s="766"/>
      <c r="L54" s="766"/>
      <c r="M54" s="766"/>
      <c r="N54" s="766"/>
      <c r="O54" s="766"/>
      <c r="P54" s="766"/>
      <c r="Q54" s="766"/>
      <c r="R54" s="766"/>
      <c r="S54" s="766"/>
      <c r="T54" s="766"/>
      <c r="U54" s="766"/>
      <c r="V54" s="766"/>
      <c r="W54" s="766"/>
      <c r="X54" s="766"/>
      <c r="Y54" s="766"/>
      <c r="Z54" s="766"/>
      <c r="AA54" s="766"/>
      <c r="AB54" s="766"/>
      <c r="AC54" s="766"/>
      <c r="AD54" s="766"/>
      <c r="AG54" s="766"/>
      <c r="AH54" s="766"/>
    </row>
    <row r="55" spans="2:34" ht="11.25">
      <c r="B55" s="766"/>
      <c r="C55" s="766"/>
      <c r="D55" s="766"/>
      <c r="E55" s="766"/>
      <c r="F55" s="766"/>
      <c r="G55" s="766"/>
      <c r="H55" s="766"/>
      <c r="I55" s="766"/>
      <c r="J55" s="766"/>
      <c r="K55" s="766"/>
      <c r="L55" s="766"/>
      <c r="M55" s="766"/>
      <c r="N55" s="766"/>
      <c r="O55" s="766"/>
      <c r="P55" s="766"/>
      <c r="Q55" s="766"/>
      <c r="R55" s="766"/>
      <c r="S55" s="766"/>
      <c r="T55" s="766"/>
      <c r="U55" s="766"/>
      <c r="V55" s="766"/>
      <c r="W55" s="766"/>
      <c r="X55" s="766"/>
      <c r="Y55" s="766"/>
      <c r="Z55" s="766"/>
      <c r="AA55" s="766"/>
      <c r="AB55" s="766"/>
      <c r="AC55" s="766"/>
      <c r="AD55" s="766"/>
      <c r="AG55" s="766"/>
      <c r="AH55" s="766"/>
    </row>
    <row r="56" spans="2:34" ht="11.25">
      <c r="B56" s="766"/>
      <c r="C56" s="766"/>
      <c r="D56" s="766"/>
      <c r="E56" s="766"/>
      <c r="F56" s="766"/>
      <c r="G56" s="766"/>
      <c r="H56" s="766"/>
      <c r="I56" s="766"/>
      <c r="J56" s="766"/>
      <c r="K56" s="766"/>
      <c r="L56" s="766"/>
      <c r="M56" s="766"/>
      <c r="N56" s="766"/>
      <c r="O56" s="766"/>
      <c r="P56" s="766"/>
      <c r="Q56" s="766"/>
      <c r="R56" s="766"/>
      <c r="S56" s="766"/>
      <c r="T56" s="766"/>
      <c r="U56" s="766"/>
      <c r="V56" s="766"/>
      <c r="W56" s="766"/>
      <c r="X56" s="766"/>
      <c r="Y56" s="766"/>
      <c r="Z56" s="766"/>
      <c r="AA56" s="766"/>
      <c r="AB56" s="766"/>
      <c r="AC56" s="766"/>
      <c r="AD56" s="766"/>
      <c r="AG56" s="766"/>
      <c r="AH56" s="766"/>
    </row>
    <row r="57" spans="2:34" ht="11.25">
      <c r="B57" s="766"/>
      <c r="C57" s="766"/>
      <c r="D57" s="766"/>
      <c r="E57" s="766"/>
      <c r="F57" s="766"/>
      <c r="G57" s="766"/>
      <c r="H57" s="766"/>
      <c r="I57" s="766"/>
      <c r="J57" s="766"/>
      <c r="K57" s="766"/>
      <c r="L57" s="766"/>
      <c r="M57" s="766"/>
      <c r="N57" s="766"/>
      <c r="O57" s="766"/>
      <c r="P57" s="766"/>
      <c r="Q57" s="766"/>
      <c r="R57" s="766"/>
      <c r="S57" s="766"/>
      <c r="T57" s="766"/>
      <c r="U57" s="766"/>
      <c r="V57" s="766"/>
      <c r="W57" s="766"/>
      <c r="X57" s="766"/>
      <c r="Y57" s="766"/>
      <c r="Z57" s="766"/>
      <c r="AA57" s="766"/>
      <c r="AB57" s="766"/>
      <c r="AC57" s="766"/>
      <c r="AD57" s="766"/>
      <c r="AG57" s="766"/>
      <c r="AH57" s="766"/>
    </row>
    <row r="58" spans="2:34" ht="11.25">
      <c r="B58" s="766"/>
      <c r="C58" s="766"/>
      <c r="D58" s="766"/>
      <c r="E58" s="766"/>
      <c r="F58" s="766"/>
      <c r="G58" s="766"/>
      <c r="H58" s="766"/>
      <c r="I58" s="766"/>
      <c r="J58" s="766"/>
      <c r="K58" s="766"/>
      <c r="L58" s="766"/>
      <c r="M58" s="766"/>
      <c r="N58" s="766"/>
      <c r="O58" s="766"/>
      <c r="P58" s="766"/>
      <c r="Q58" s="766"/>
      <c r="R58" s="766"/>
      <c r="S58" s="766"/>
      <c r="T58" s="766"/>
      <c r="U58" s="766"/>
      <c r="V58" s="766"/>
      <c r="W58" s="766"/>
      <c r="X58" s="766"/>
      <c r="Y58" s="766"/>
      <c r="Z58" s="766"/>
      <c r="AA58" s="766"/>
      <c r="AB58" s="766"/>
      <c r="AC58" s="766"/>
      <c r="AD58" s="766"/>
      <c r="AG58" s="766"/>
      <c r="AH58" s="766"/>
    </row>
    <row r="59" spans="2:34" ht="11.25">
      <c r="B59" s="766"/>
      <c r="C59" s="766"/>
      <c r="D59" s="766"/>
      <c r="E59" s="766"/>
      <c r="F59" s="766"/>
      <c r="G59" s="766"/>
      <c r="H59" s="766"/>
      <c r="I59" s="766"/>
      <c r="J59" s="766"/>
      <c r="K59" s="766"/>
      <c r="L59" s="766"/>
      <c r="M59" s="766"/>
      <c r="N59" s="766"/>
      <c r="O59" s="766"/>
      <c r="P59" s="766"/>
      <c r="Q59" s="766"/>
      <c r="R59" s="766"/>
      <c r="S59" s="766"/>
      <c r="T59" s="766"/>
      <c r="U59" s="766"/>
      <c r="V59" s="766"/>
      <c r="W59" s="766"/>
      <c r="X59" s="766"/>
      <c r="Y59" s="766"/>
      <c r="Z59" s="766"/>
      <c r="AA59" s="766"/>
      <c r="AB59" s="766"/>
      <c r="AC59" s="766"/>
      <c r="AD59" s="766"/>
      <c r="AG59" s="766"/>
      <c r="AH59" s="766"/>
    </row>
    <row r="60" spans="2:34" ht="11.25">
      <c r="B60" s="766"/>
      <c r="C60" s="766"/>
      <c r="D60" s="766"/>
      <c r="E60" s="766"/>
      <c r="F60" s="766"/>
      <c r="G60" s="766"/>
      <c r="H60" s="766"/>
      <c r="I60" s="766"/>
      <c r="J60" s="766"/>
      <c r="K60" s="766"/>
      <c r="L60" s="766"/>
      <c r="M60" s="766"/>
      <c r="N60" s="766"/>
      <c r="O60" s="766"/>
      <c r="P60" s="766"/>
      <c r="Q60" s="766"/>
      <c r="R60" s="766"/>
      <c r="S60" s="766"/>
      <c r="T60" s="766"/>
      <c r="U60" s="766"/>
      <c r="V60" s="766"/>
      <c r="W60" s="766"/>
      <c r="X60" s="766"/>
      <c r="Y60" s="766"/>
      <c r="Z60" s="766"/>
      <c r="AA60" s="766"/>
      <c r="AB60" s="766"/>
      <c r="AC60" s="766"/>
      <c r="AD60" s="766"/>
      <c r="AG60" s="766"/>
      <c r="AH60" s="766"/>
    </row>
    <row r="61" spans="2:34" ht="11.25">
      <c r="B61" s="766"/>
      <c r="C61" s="766"/>
      <c r="D61" s="766"/>
      <c r="E61" s="766"/>
      <c r="F61" s="766"/>
      <c r="G61" s="766"/>
      <c r="H61" s="766"/>
      <c r="I61" s="766"/>
      <c r="J61" s="766"/>
      <c r="K61" s="766"/>
      <c r="L61" s="766"/>
      <c r="M61" s="766"/>
      <c r="N61" s="766"/>
      <c r="O61" s="766"/>
      <c r="P61" s="766"/>
      <c r="Q61" s="766"/>
      <c r="R61" s="766"/>
      <c r="S61" s="766"/>
      <c r="T61" s="766"/>
      <c r="U61" s="766"/>
      <c r="V61" s="766"/>
      <c r="W61" s="766"/>
      <c r="X61" s="766"/>
      <c r="Y61" s="766"/>
      <c r="Z61" s="766"/>
      <c r="AA61" s="766"/>
      <c r="AB61" s="766"/>
      <c r="AC61" s="766"/>
      <c r="AD61" s="766"/>
      <c r="AG61" s="766"/>
      <c r="AH61" s="766"/>
    </row>
    <row r="62" spans="2:34" ht="11.25">
      <c r="B62" s="766"/>
      <c r="C62" s="766"/>
      <c r="D62" s="766"/>
      <c r="E62" s="766"/>
      <c r="F62" s="766"/>
      <c r="G62" s="766"/>
      <c r="H62" s="766"/>
      <c r="I62" s="766"/>
      <c r="J62" s="766"/>
      <c r="K62" s="766"/>
      <c r="L62" s="766"/>
      <c r="M62" s="766"/>
      <c r="N62" s="766"/>
      <c r="O62" s="766"/>
      <c r="P62" s="766"/>
      <c r="Q62" s="766"/>
      <c r="R62" s="766"/>
      <c r="S62" s="766"/>
      <c r="T62" s="766"/>
      <c r="U62" s="766"/>
      <c r="V62" s="766"/>
      <c r="W62" s="766"/>
      <c r="X62" s="766"/>
      <c r="Y62" s="766"/>
      <c r="Z62" s="766"/>
      <c r="AA62" s="766"/>
      <c r="AB62" s="766"/>
      <c r="AC62" s="766"/>
      <c r="AD62" s="766"/>
      <c r="AG62" s="766"/>
      <c r="AH62" s="766"/>
    </row>
    <row r="63" spans="2:34" ht="11.25">
      <c r="B63" s="766"/>
      <c r="C63" s="766"/>
      <c r="D63" s="766"/>
      <c r="E63" s="766"/>
      <c r="F63" s="766"/>
      <c r="G63" s="766"/>
      <c r="H63" s="766"/>
      <c r="I63" s="766"/>
      <c r="J63" s="766"/>
      <c r="K63" s="766"/>
      <c r="L63" s="766"/>
      <c r="M63" s="766"/>
      <c r="N63" s="766"/>
      <c r="O63" s="766"/>
      <c r="P63" s="766"/>
      <c r="Q63" s="766"/>
      <c r="R63" s="766"/>
      <c r="S63" s="766"/>
      <c r="T63" s="766"/>
      <c r="U63" s="766"/>
      <c r="V63" s="766"/>
      <c r="W63" s="766"/>
      <c r="X63" s="766"/>
      <c r="Y63" s="766"/>
      <c r="Z63" s="766"/>
      <c r="AA63" s="766"/>
      <c r="AB63" s="766"/>
      <c r="AC63" s="766"/>
      <c r="AD63" s="766"/>
      <c r="AG63" s="766"/>
      <c r="AH63" s="766"/>
    </row>
    <row r="64" spans="2:34" ht="11.25">
      <c r="B64" s="766"/>
      <c r="C64" s="766"/>
      <c r="D64" s="766"/>
      <c r="E64" s="766"/>
      <c r="F64" s="766"/>
      <c r="G64" s="766"/>
      <c r="H64" s="766"/>
      <c r="I64" s="766"/>
      <c r="J64" s="766"/>
      <c r="K64" s="766"/>
      <c r="L64" s="766"/>
      <c r="M64" s="766"/>
      <c r="N64" s="766"/>
      <c r="O64" s="766"/>
      <c r="P64" s="766"/>
      <c r="Q64" s="766"/>
      <c r="R64" s="766"/>
      <c r="S64" s="766"/>
      <c r="T64" s="766"/>
      <c r="U64" s="766"/>
      <c r="V64" s="766"/>
      <c r="W64" s="766"/>
      <c r="X64" s="766"/>
      <c r="Y64" s="766"/>
      <c r="AH64" s="766"/>
    </row>
    <row r="65" spans="2:34" ht="11.25">
      <c r="B65" s="766"/>
      <c r="C65" s="766"/>
      <c r="D65" s="766"/>
      <c r="E65" s="766"/>
      <c r="F65" s="766"/>
      <c r="G65" s="766"/>
      <c r="H65" s="766"/>
      <c r="I65" s="766"/>
      <c r="J65" s="766"/>
      <c r="K65" s="766"/>
      <c r="L65" s="766"/>
      <c r="M65" s="766"/>
      <c r="N65" s="766"/>
      <c r="O65" s="766"/>
      <c r="P65" s="766"/>
      <c r="Q65" s="766"/>
      <c r="R65" s="766"/>
      <c r="S65" s="766"/>
      <c r="T65" s="766"/>
      <c r="U65" s="766"/>
      <c r="V65" s="766"/>
      <c r="W65" s="766"/>
      <c r="X65" s="766"/>
      <c r="Y65" s="766"/>
      <c r="AH65" s="766"/>
    </row>
    <row r="66" spans="2:34" ht="11.25">
      <c r="B66" s="766"/>
      <c r="C66" s="766"/>
      <c r="D66" s="766"/>
      <c r="E66" s="766"/>
      <c r="F66" s="766"/>
      <c r="G66" s="766"/>
      <c r="H66" s="766"/>
      <c r="I66" s="766"/>
      <c r="J66" s="766"/>
      <c r="K66" s="766"/>
      <c r="L66" s="766"/>
      <c r="M66" s="766"/>
      <c r="N66" s="766"/>
      <c r="O66" s="766"/>
      <c r="P66" s="766"/>
      <c r="Q66" s="766"/>
      <c r="R66" s="766"/>
      <c r="S66" s="766"/>
      <c r="T66" s="766"/>
      <c r="U66" s="766"/>
      <c r="V66" s="766"/>
      <c r="W66" s="766"/>
      <c r="X66" s="766"/>
      <c r="Y66" s="766"/>
      <c r="AH66" s="766"/>
    </row>
    <row r="67" spans="2:34" ht="11.25">
      <c r="B67" s="766"/>
      <c r="C67" s="766"/>
      <c r="D67" s="766"/>
      <c r="E67" s="766"/>
      <c r="F67" s="766"/>
      <c r="G67" s="766"/>
      <c r="H67" s="766"/>
      <c r="I67" s="766"/>
      <c r="J67" s="766"/>
      <c r="K67" s="766"/>
      <c r="L67" s="766"/>
      <c r="M67" s="766"/>
      <c r="N67" s="766"/>
      <c r="O67" s="766"/>
      <c r="P67" s="766"/>
      <c r="Q67" s="766"/>
      <c r="R67" s="766"/>
      <c r="S67" s="766"/>
      <c r="T67" s="766"/>
      <c r="U67" s="766"/>
      <c r="V67" s="766"/>
      <c r="W67" s="766"/>
      <c r="X67" s="766"/>
      <c r="Y67" s="766"/>
      <c r="AH67" s="766"/>
    </row>
    <row r="68" spans="2:34" ht="11.25">
      <c r="B68" s="766"/>
      <c r="C68" s="766"/>
      <c r="D68" s="766"/>
      <c r="E68" s="766"/>
      <c r="F68" s="766"/>
      <c r="G68" s="766"/>
      <c r="H68" s="766"/>
      <c r="I68" s="766"/>
      <c r="J68" s="766"/>
      <c r="K68" s="766"/>
      <c r="L68" s="766"/>
      <c r="M68" s="766"/>
      <c r="N68" s="766"/>
      <c r="O68" s="766"/>
      <c r="P68" s="766"/>
      <c r="Q68" s="766"/>
      <c r="R68" s="766"/>
      <c r="S68" s="766"/>
      <c r="T68" s="766"/>
      <c r="U68" s="766"/>
      <c r="V68" s="766"/>
      <c r="W68" s="766"/>
      <c r="X68" s="766"/>
      <c r="Y68" s="766"/>
      <c r="AH68" s="766"/>
    </row>
    <row r="69" spans="2:34" ht="11.25">
      <c r="B69" s="766"/>
      <c r="C69" s="766"/>
      <c r="D69" s="766"/>
      <c r="E69" s="766"/>
      <c r="F69" s="766"/>
      <c r="G69" s="766"/>
      <c r="H69" s="766"/>
      <c r="I69" s="766"/>
      <c r="J69" s="766"/>
      <c r="K69" s="766"/>
      <c r="L69" s="766"/>
      <c r="M69" s="766"/>
      <c r="N69" s="766"/>
      <c r="O69" s="766"/>
      <c r="P69" s="766"/>
      <c r="Q69" s="766"/>
      <c r="R69" s="766"/>
      <c r="S69" s="766"/>
      <c r="T69" s="766"/>
      <c r="U69" s="766"/>
      <c r="V69" s="766"/>
      <c r="W69" s="766"/>
      <c r="X69" s="766"/>
      <c r="Y69" s="766"/>
      <c r="AH69" s="766"/>
    </row>
  </sheetData>
  <sheetProtection/>
  <mergeCells count="5">
    <mergeCell ref="B47:AH47"/>
    <mergeCell ref="B2:AH2"/>
    <mergeCell ref="B3:AH3"/>
    <mergeCell ref="B45:AH45"/>
    <mergeCell ref="B46:AH46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49"/>
  <sheetViews>
    <sheetView zoomScalePageLayoutView="0" workbookViewId="0" topLeftCell="A16">
      <selection activeCell="AJ9" sqref="AJ9"/>
    </sheetView>
  </sheetViews>
  <sheetFormatPr defaultColWidth="9.140625" defaultRowHeight="12.75"/>
  <cols>
    <col min="1" max="1" width="3.7109375" style="3" customWidth="1"/>
    <col min="2" max="2" width="4.421875" style="3" customWidth="1"/>
    <col min="3" max="12" width="6.7109375" style="2" customWidth="1"/>
    <col min="13" max="13" width="6.57421875" style="2" customWidth="1"/>
    <col min="14" max="20" width="6.7109375" style="2" customWidth="1"/>
    <col min="21" max="25" width="7.28125" style="2" customWidth="1"/>
    <col min="26" max="28" width="7.00390625" style="3" customWidth="1"/>
    <col min="29" max="29" width="7.00390625" style="725" customWidth="1"/>
    <col min="30" max="30" width="7.00390625" style="3" customWidth="1"/>
    <col min="31" max="32" width="7.00390625" style="766" customWidth="1"/>
    <col min="33" max="33" width="7.00390625" style="20" customWidth="1"/>
    <col min="34" max="34" width="4.7109375" style="3" customWidth="1"/>
    <col min="35" max="16384" width="9.140625" style="3" customWidth="1"/>
  </cols>
  <sheetData>
    <row r="1" spans="2:34" ht="14.25" customHeight="1">
      <c r="B1" s="1008"/>
      <c r="C1" s="1008"/>
      <c r="D1" s="8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T1" s="38"/>
      <c r="AH1" s="38" t="s">
        <v>147</v>
      </c>
    </row>
    <row r="2" spans="2:34" s="56" customFormat="1" ht="30" customHeight="1">
      <c r="B2" s="1009" t="s">
        <v>13</v>
      </c>
      <c r="C2" s="1009"/>
      <c r="D2" s="1009"/>
      <c r="E2" s="1009"/>
      <c r="F2" s="1009"/>
      <c r="G2" s="1009"/>
      <c r="H2" s="1009"/>
      <c r="I2" s="1009"/>
      <c r="J2" s="1009"/>
      <c r="K2" s="1009"/>
      <c r="L2" s="1009"/>
      <c r="M2" s="1009"/>
      <c r="N2" s="1009"/>
      <c r="O2" s="1009"/>
      <c r="P2" s="1009"/>
      <c r="Q2" s="1009"/>
      <c r="R2" s="1009"/>
      <c r="S2" s="1009"/>
      <c r="T2" s="1009"/>
      <c r="U2" s="1009"/>
      <c r="V2" s="1009"/>
      <c r="W2" s="1009"/>
      <c r="X2" s="1009"/>
      <c r="Y2" s="1009"/>
      <c r="Z2" s="1009"/>
      <c r="AA2" s="1009"/>
      <c r="AB2" s="1009"/>
      <c r="AC2" s="1009"/>
      <c r="AD2" s="1009"/>
      <c r="AE2" s="1009"/>
      <c r="AF2" s="1009"/>
      <c r="AG2" s="1009"/>
      <c r="AH2" s="1009"/>
    </row>
    <row r="3" spans="2:34" ht="15" customHeight="1">
      <c r="B3" s="1019" t="s">
        <v>112</v>
      </c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O3" s="1019"/>
      <c r="P3" s="1019"/>
      <c r="Q3" s="1019"/>
      <c r="R3" s="1019"/>
      <c r="S3" s="1019"/>
      <c r="T3" s="1019"/>
      <c r="U3" s="1019"/>
      <c r="V3" s="1019"/>
      <c r="W3" s="1019"/>
      <c r="X3" s="1019"/>
      <c r="Y3" s="1019"/>
      <c r="Z3" s="1019"/>
      <c r="AA3" s="1019"/>
      <c r="AB3" s="1019"/>
      <c r="AC3" s="1019"/>
      <c r="AD3" s="1019"/>
      <c r="AE3" s="1019"/>
      <c r="AF3" s="1019"/>
      <c r="AG3" s="1019"/>
      <c r="AH3" s="1019"/>
    </row>
    <row r="4" spans="2:34" ht="12.75" customHeight="1">
      <c r="B4" s="4"/>
      <c r="C4" s="4"/>
      <c r="E4" s="161"/>
      <c r="F4" s="161"/>
      <c r="G4" s="161"/>
      <c r="H4" s="161"/>
      <c r="I4" s="161"/>
      <c r="J4" s="22"/>
      <c r="K4" s="22"/>
      <c r="L4" s="22"/>
      <c r="M4" s="22"/>
      <c r="N4" s="22"/>
      <c r="O4" s="22"/>
      <c r="W4" s="34"/>
      <c r="Y4" s="57"/>
      <c r="AF4" s="34" t="s">
        <v>3</v>
      </c>
      <c r="AH4" s="39"/>
    </row>
    <row r="5" spans="2:34" ht="19.5" customHeight="1">
      <c r="B5" s="4"/>
      <c r="C5" s="86">
        <v>1970</v>
      </c>
      <c r="D5" s="101">
        <v>1980</v>
      </c>
      <c r="E5" s="86">
        <v>1990</v>
      </c>
      <c r="F5" s="87">
        <v>1991</v>
      </c>
      <c r="G5" s="87">
        <v>1992</v>
      </c>
      <c r="H5" s="87">
        <v>1993</v>
      </c>
      <c r="I5" s="87">
        <v>1994</v>
      </c>
      <c r="J5" s="87">
        <v>1995</v>
      </c>
      <c r="K5" s="87">
        <v>1996</v>
      </c>
      <c r="L5" s="87">
        <v>1997</v>
      </c>
      <c r="M5" s="87">
        <v>1998</v>
      </c>
      <c r="N5" s="87">
        <v>1999</v>
      </c>
      <c r="O5" s="87">
        <v>2000</v>
      </c>
      <c r="P5" s="87">
        <v>2001</v>
      </c>
      <c r="Q5" s="87">
        <v>2002</v>
      </c>
      <c r="R5" s="87">
        <v>2003</v>
      </c>
      <c r="S5" s="87">
        <v>2004</v>
      </c>
      <c r="T5" s="87">
        <v>2005</v>
      </c>
      <c r="U5" s="87">
        <v>2006</v>
      </c>
      <c r="V5" s="87">
        <v>2007</v>
      </c>
      <c r="W5" s="87">
        <v>2008</v>
      </c>
      <c r="X5" s="87">
        <v>2009</v>
      </c>
      <c r="Y5" s="87">
        <v>2010</v>
      </c>
      <c r="Z5" s="87">
        <v>2011</v>
      </c>
      <c r="AA5" s="87">
        <v>2012</v>
      </c>
      <c r="AB5" s="715">
        <v>2013</v>
      </c>
      <c r="AC5" s="87">
        <v>2014</v>
      </c>
      <c r="AD5" s="715">
        <v>2015</v>
      </c>
      <c r="AE5" s="715">
        <v>2016</v>
      </c>
      <c r="AF5" s="779">
        <v>2017</v>
      </c>
      <c r="AG5" s="153" t="s">
        <v>297</v>
      </c>
      <c r="AH5" s="6"/>
    </row>
    <row r="6" spans="2:34" ht="9.75" customHeight="1">
      <c r="B6" s="4"/>
      <c r="C6" s="128"/>
      <c r="D6" s="102"/>
      <c r="E6" s="128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325"/>
      <c r="Z6" s="327"/>
      <c r="AA6" s="327"/>
      <c r="AB6" s="325"/>
      <c r="AC6" s="325"/>
      <c r="AD6" s="325"/>
      <c r="AE6" s="325"/>
      <c r="AF6" s="154"/>
      <c r="AG6" s="154" t="s">
        <v>104</v>
      </c>
      <c r="AH6" s="6"/>
    </row>
    <row r="7" spans="2:34" ht="12.75" customHeight="1">
      <c r="B7" s="787" t="s">
        <v>253</v>
      </c>
      <c r="C7" s="788"/>
      <c r="D7" s="786"/>
      <c r="E7" s="789">
        <f aca="true" t="shared" si="0" ref="E7:AE7">SUM(E8:E35)</f>
        <v>740.3060000000002</v>
      </c>
      <c r="F7" s="789">
        <f t="shared" si="0"/>
        <v>736.8475333333331</v>
      </c>
      <c r="G7" s="789">
        <f t="shared" si="0"/>
        <v>741.9200666666666</v>
      </c>
      <c r="H7" s="789">
        <f t="shared" si="0"/>
        <v>748.0005999999998</v>
      </c>
      <c r="I7" s="789">
        <f t="shared" si="0"/>
        <v>752.1808000000001</v>
      </c>
      <c r="J7" s="790">
        <f t="shared" si="0"/>
        <v>754.02</v>
      </c>
      <c r="K7" s="790">
        <f t="shared" si="0"/>
        <v>761.125</v>
      </c>
      <c r="L7" s="790">
        <f t="shared" si="0"/>
        <v>759.501</v>
      </c>
      <c r="M7" s="790">
        <f t="shared" si="0"/>
        <v>762.2160000000001</v>
      </c>
      <c r="N7" s="790">
        <f t="shared" si="0"/>
        <v>769.9379999999999</v>
      </c>
      <c r="O7" s="790">
        <f t="shared" si="0"/>
        <v>781.5020000000001</v>
      </c>
      <c r="P7" s="790">
        <f t="shared" si="0"/>
        <v>788.7939999999999</v>
      </c>
      <c r="Q7" s="790">
        <f t="shared" si="0"/>
        <v>798.42</v>
      </c>
      <c r="R7" s="790">
        <f t="shared" si="0"/>
        <v>804.885</v>
      </c>
      <c r="S7" s="789">
        <f t="shared" si="0"/>
        <v>799.8720000000003</v>
      </c>
      <c r="T7" s="789">
        <f t="shared" si="0"/>
        <v>795.1690000000001</v>
      </c>
      <c r="U7" s="790">
        <f t="shared" si="0"/>
        <v>792.6880000000001</v>
      </c>
      <c r="V7" s="790">
        <f t="shared" si="0"/>
        <v>799.8980000000003</v>
      </c>
      <c r="W7" s="790">
        <f t="shared" si="0"/>
        <v>818.7009999999999</v>
      </c>
      <c r="X7" s="790">
        <f t="shared" si="0"/>
        <v>820.3990000000001</v>
      </c>
      <c r="Y7" s="790">
        <f t="shared" si="0"/>
        <v>819.1619999999999</v>
      </c>
      <c r="Z7" s="790">
        <f>SUM(Z8:Z35)</f>
        <v>820.2110000000001</v>
      </c>
      <c r="AA7" s="790">
        <f t="shared" si="0"/>
        <v>816.6599999999996</v>
      </c>
      <c r="AB7" s="790">
        <f t="shared" si="0"/>
        <v>821.047</v>
      </c>
      <c r="AC7" s="790">
        <f t="shared" si="0"/>
        <v>825.7310000000001</v>
      </c>
      <c r="AD7" s="790">
        <f t="shared" si="0"/>
        <v>840.2010000000001</v>
      </c>
      <c r="AE7" s="862">
        <f t="shared" si="0"/>
        <v>849.5919999999999</v>
      </c>
      <c r="AF7" s="791">
        <f>SUM(AF8:AF35)</f>
        <v>859.005</v>
      </c>
      <c r="AG7" s="885">
        <f>AF7/AE7*100-100</f>
        <v>1.1079435776231605</v>
      </c>
      <c r="AH7" s="787" t="s">
        <v>253</v>
      </c>
    </row>
    <row r="8" spans="2:34" ht="12.75" customHeight="1">
      <c r="B8" s="10" t="s">
        <v>62</v>
      </c>
      <c r="C8" s="732">
        <v>16.169</v>
      </c>
      <c r="D8" s="732">
        <v>17.176</v>
      </c>
      <c r="E8" s="126">
        <v>15.644</v>
      </c>
      <c r="F8" s="126">
        <v>15.378</v>
      </c>
      <c r="G8" s="126">
        <v>15.004</v>
      </c>
      <c r="H8" s="126">
        <v>14.982</v>
      </c>
      <c r="I8" s="126">
        <v>14.85</v>
      </c>
      <c r="J8" s="126">
        <v>14.646</v>
      </c>
      <c r="K8" s="126">
        <v>14.684</v>
      </c>
      <c r="L8" s="126">
        <v>14.667</v>
      </c>
      <c r="M8" s="126">
        <v>14.588</v>
      </c>
      <c r="N8" s="126">
        <v>14.673</v>
      </c>
      <c r="O8" s="126">
        <v>14.722</v>
      </c>
      <c r="P8" s="126">
        <v>14.676</v>
      </c>
      <c r="Q8" s="126">
        <v>14.769</v>
      </c>
      <c r="R8" s="126">
        <v>15.06</v>
      </c>
      <c r="S8" s="126">
        <v>15.328</v>
      </c>
      <c r="T8" s="126">
        <v>15.391</v>
      </c>
      <c r="U8" s="126">
        <v>15.329</v>
      </c>
      <c r="V8" s="126">
        <v>15.466</v>
      </c>
      <c r="W8" s="126">
        <v>15.997</v>
      </c>
      <c r="X8" s="126">
        <v>16.059</v>
      </c>
      <c r="Y8" s="126">
        <v>16.224</v>
      </c>
      <c r="Z8" s="126">
        <v>16.089</v>
      </c>
      <c r="AA8" s="126">
        <v>15.984</v>
      </c>
      <c r="AB8" s="126">
        <v>16.261</v>
      </c>
      <c r="AC8" s="126">
        <v>16.77</v>
      </c>
      <c r="AD8" s="126">
        <v>17.067</v>
      </c>
      <c r="AE8" s="126">
        <v>15.967</v>
      </c>
      <c r="AF8" s="169">
        <v>15.984</v>
      </c>
      <c r="AG8" s="886">
        <f aca="true" t="shared" si="1" ref="AG8:AG44">AF8/AE8*100-100</f>
        <v>0.10646959353665864</v>
      </c>
      <c r="AH8" s="312" t="s">
        <v>62</v>
      </c>
    </row>
    <row r="9" spans="2:34" ht="12.75" customHeight="1">
      <c r="B9" s="156" t="s">
        <v>45</v>
      </c>
      <c r="C9" s="731"/>
      <c r="D9" s="731">
        <v>21</v>
      </c>
      <c r="E9" s="166">
        <f>33.8+0.8</f>
        <v>34.599999999999994</v>
      </c>
      <c r="F9" s="166">
        <f>35.6+0.8</f>
        <v>36.4</v>
      </c>
      <c r="G9" s="166">
        <f>37.1+0.8</f>
        <v>37.9</v>
      </c>
      <c r="H9" s="166">
        <f>39.3+0.8</f>
        <v>40.099999999999994</v>
      </c>
      <c r="I9" s="166">
        <v>41.432</v>
      </c>
      <c r="J9" s="166">
        <v>41.839</v>
      </c>
      <c r="K9" s="166">
        <v>41.642</v>
      </c>
      <c r="L9" s="166">
        <v>41.202</v>
      </c>
      <c r="M9" s="166">
        <v>42.264</v>
      </c>
      <c r="N9" s="166">
        <v>42.721</v>
      </c>
      <c r="O9" s="166">
        <v>43.005</v>
      </c>
      <c r="P9" s="166">
        <v>43.566</v>
      </c>
      <c r="Q9" s="166">
        <v>43.86</v>
      </c>
      <c r="R9" s="313">
        <v>44.3</v>
      </c>
      <c r="S9" s="166">
        <v>36.6</v>
      </c>
      <c r="T9" s="313">
        <v>37.8</v>
      </c>
      <c r="U9" s="166">
        <v>22.8</v>
      </c>
      <c r="V9" s="166">
        <v>23.9</v>
      </c>
      <c r="W9" s="166">
        <v>25.2</v>
      </c>
      <c r="X9" s="166">
        <v>25.1</v>
      </c>
      <c r="Y9" s="166">
        <v>24.5</v>
      </c>
      <c r="Z9" s="166">
        <v>23.651</v>
      </c>
      <c r="AA9" s="166">
        <v>23.289</v>
      </c>
      <c r="AB9" s="166">
        <v>23.3</v>
      </c>
      <c r="AC9" s="166">
        <v>23.6</v>
      </c>
      <c r="AD9" s="166">
        <v>24.1</v>
      </c>
      <c r="AE9" s="166">
        <v>23.4</v>
      </c>
      <c r="AF9" s="168">
        <v>21</v>
      </c>
      <c r="AG9" s="887">
        <f t="shared" si="1"/>
        <v>-10.256410256410248</v>
      </c>
      <c r="AH9" s="311" t="s">
        <v>45</v>
      </c>
    </row>
    <row r="10" spans="1:34" ht="12.75" customHeight="1">
      <c r="A10" s="8"/>
      <c r="B10" s="10" t="s">
        <v>47</v>
      </c>
      <c r="C10" s="732"/>
      <c r="D10" s="732">
        <v>20.3</v>
      </c>
      <c r="E10" s="126">
        <v>20.474</v>
      </c>
      <c r="F10" s="345">
        <f>$E$10+($H$10-$E$10)/3</f>
        <v>20.050333333333334</v>
      </c>
      <c r="G10" s="345">
        <f>$E$10+($H$10-$E$10)/3*2</f>
        <v>19.626666666666665</v>
      </c>
      <c r="H10" s="126">
        <v>19.203</v>
      </c>
      <c r="I10" s="126">
        <f>19.071+0.685</f>
        <v>19.756</v>
      </c>
      <c r="J10" s="126">
        <f>19.756+0.718</f>
        <v>20.474</v>
      </c>
      <c r="K10" s="126">
        <f>20.489+0.711</f>
        <v>21.2</v>
      </c>
      <c r="L10" s="126">
        <f>20.755+0.721</f>
        <v>21.476</v>
      </c>
      <c r="M10" s="126">
        <f>19.96+0.708</f>
        <v>20.668</v>
      </c>
      <c r="N10" s="126">
        <f>18.981+0.721</f>
        <v>19.702</v>
      </c>
      <c r="O10" s="126">
        <f>18.259+0.727</f>
        <v>18.986</v>
      </c>
      <c r="P10" s="126">
        <f>18.384+0.739</f>
        <v>19.123</v>
      </c>
      <c r="Q10" s="126">
        <f>21.34+0.726</f>
        <v>22.066</v>
      </c>
      <c r="R10" s="126">
        <f>20.627+0.723</f>
        <v>21.349999999999998</v>
      </c>
      <c r="S10" s="126">
        <f>19.948+0.726</f>
        <v>20.674</v>
      </c>
      <c r="T10" s="126">
        <f>20.134+0.719</f>
        <v>20.853</v>
      </c>
      <c r="U10" s="126">
        <f>20.331+0.744</f>
        <v>21.075</v>
      </c>
      <c r="V10" s="126">
        <f>20.416+0.74</f>
        <v>21.156</v>
      </c>
      <c r="W10" s="126">
        <f>20.375+0.738</f>
        <v>21.113</v>
      </c>
      <c r="X10" s="126">
        <f>19.943+0.733</f>
        <v>20.676000000000002</v>
      </c>
      <c r="Y10" s="126">
        <f>19.653+0.735</f>
        <v>20.387999999999998</v>
      </c>
      <c r="Z10" s="126">
        <v>20.402</v>
      </c>
      <c r="AA10" s="126">
        <f>19.882+0.728</f>
        <v>20.610000000000003</v>
      </c>
      <c r="AB10" s="126">
        <f>19.619+0.699</f>
        <v>20.318</v>
      </c>
      <c r="AC10" s="126">
        <f>19.808+0.703</f>
        <v>20.511</v>
      </c>
      <c r="AD10" s="126">
        <f>19.95+0.717</f>
        <v>20.666999999999998</v>
      </c>
      <c r="AE10" s="126">
        <f>20.097+0.779</f>
        <v>20.876</v>
      </c>
      <c r="AF10" s="169">
        <v>21.4</v>
      </c>
      <c r="AG10" s="886">
        <f t="shared" si="1"/>
        <v>2.510059398352155</v>
      </c>
      <c r="AH10" s="312" t="s">
        <v>47</v>
      </c>
    </row>
    <row r="11" spans="1:34" ht="12.75" customHeight="1">
      <c r="A11" s="8"/>
      <c r="B11" s="156" t="s">
        <v>58</v>
      </c>
      <c r="C11" s="731">
        <v>5.039</v>
      </c>
      <c r="D11" s="731">
        <v>7.351</v>
      </c>
      <c r="E11" s="166">
        <v>8.109</v>
      </c>
      <c r="F11" s="166">
        <v>9.989</v>
      </c>
      <c r="G11" s="166">
        <v>11.259</v>
      </c>
      <c r="H11" s="166">
        <v>12.976</v>
      </c>
      <c r="I11" s="166">
        <v>13.614</v>
      </c>
      <c r="J11" s="166">
        <v>13.669</v>
      </c>
      <c r="K11" s="166">
        <v>13.786</v>
      </c>
      <c r="L11" s="166">
        <v>13.779</v>
      </c>
      <c r="M11" s="166">
        <v>13.911</v>
      </c>
      <c r="N11" s="166">
        <v>13.909</v>
      </c>
      <c r="O11" s="166">
        <v>13.968</v>
      </c>
      <c r="P11" s="166">
        <v>13.954</v>
      </c>
      <c r="Q11" s="166">
        <v>13.986</v>
      </c>
      <c r="R11" s="166">
        <v>14.132</v>
      </c>
      <c r="S11" s="166">
        <v>14.191</v>
      </c>
      <c r="T11" s="166">
        <v>14.402</v>
      </c>
      <c r="U11" s="166">
        <v>14.552</v>
      </c>
      <c r="V11" s="166">
        <v>14.482</v>
      </c>
      <c r="W11" s="166">
        <v>14.452</v>
      </c>
      <c r="X11" s="166">
        <f>14.51</f>
        <v>14.51</v>
      </c>
      <c r="Y11" s="166">
        <f>14.496</f>
        <v>14.496</v>
      </c>
      <c r="Z11" s="166">
        <v>14.014</v>
      </c>
      <c r="AA11" s="166">
        <v>13.485</v>
      </c>
      <c r="AB11" s="166">
        <v>13.27</v>
      </c>
      <c r="AC11" s="166">
        <v>13.408</v>
      </c>
      <c r="AD11" s="166">
        <v>13.383</v>
      </c>
      <c r="AE11" s="166">
        <v>13.417</v>
      </c>
      <c r="AF11" s="168">
        <v>13.5</v>
      </c>
      <c r="AG11" s="887">
        <f t="shared" si="1"/>
        <v>0.618618170977129</v>
      </c>
      <c r="AH11" s="311" t="s">
        <v>58</v>
      </c>
    </row>
    <row r="12" spans="1:34" ht="12.75" customHeight="1">
      <c r="A12" s="8"/>
      <c r="B12" s="10" t="s">
        <v>63</v>
      </c>
      <c r="C12" s="732">
        <v>63.939</v>
      </c>
      <c r="D12" s="732">
        <v>95.758</v>
      </c>
      <c r="E12" s="126">
        <v>100.37</v>
      </c>
      <c r="F12" s="126">
        <v>89.59</v>
      </c>
      <c r="G12" s="126">
        <v>88.433</v>
      </c>
      <c r="H12" s="126">
        <v>88.746</v>
      </c>
      <c r="I12" s="126">
        <v>87.421</v>
      </c>
      <c r="J12" s="126">
        <v>85.434</v>
      </c>
      <c r="K12" s="314">
        <v>84.654</v>
      </c>
      <c r="L12" s="126">
        <v>75.453</v>
      </c>
      <c r="M12" s="126">
        <v>75.594</v>
      </c>
      <c r="N12" s="126">
        <v>76.63</v>
      </c>
      <c r="O12" s="126">
        <v>77.183</v>
      </c>
      <c r="P12" s="126">
        <v>77.089</v>
      </c>
      <c r="Q12" s="126">
        <v>77.06</v>
      </c>
      <c r="R12" s="126">
        <v>76.664</v>
      </c>
      <c r="S12" s="126">
        <v>76.028</v>
      </c>
      <c r="T12" s="126">
        <v>75.203</v>
      </c>
      <c r="U12" s="126">
        <v>75.085</v>
      </c>
      <c r="V12" s="126">
        <v>75.068</v>
      </c>
      <c r="W12" s="126">
        <v>75.27</v>
      </c>
      <c r="X12" s="126">
        <v>76.433</v>
      </c>
      <c r="Y12" s="126">
        <f>76.463</f>
        <v>76.463</v>
      </c>
      <c r="Z12" s="126">
        <v>75.988</v>
      </c>
      <c r="AA12" s="126">
        <v>76.023</v>
      </c>
      <c r="AB12" s="126">
        <v>76.794</v>
      </c>
      <c r="AC12" s="126">
        <v>77.501</v>
      </c>
      <c r="AD12" s="126">
        <v>78.345</v>
      </c>
      <c r="AE12" s="126">
        <f>78.949</f>
        <v>78.949</v>
      </c>
      <c r="AF12" s="169">
        <v>79.4</v>
      </c>
      <c r="AG12" s="886">
        <f t="shared" si="1"/>
        <v>0.5712548607328785</v>
      </c>
      <c r="AH12" s="312" t="s">
        <v>63</v>
      </c>
    </row>
    <row r="13" spans="1:34" ht="12.75" customHeight="1">
      <c r="A13" s="8"/>
      <c r="B13" s="156" t="s">
        <v>48</v>
      </c>
      <c r="C13" s="731"/>
      <c r="D13" s="731">
        <v>6.4</v>
      </c>
      <c r="E13" s="166">
        <v>7.9</v>
      </c>
      <c r="F13" s="166">
        <v>8.6</v>
      </c>
      <c r="G13" s="166">
        <v>8.4</v>
      </c>
      <c r="H13" s="166">
        <v>8.7</v>
      </c>
      <c r="I13" s="166">
        <v>6.3</v>
      </c>
      <c r="J13" s="166">
        <v>7</v>
      </c>
      <c r="K13" s="166">
        <v>6.7</v>
      </c>
      <c r="L13" s="166">
        <v>6.5</v>
      </c>
      <c r="M13" s="166">
        <v>6.3</v>
      </c>
      <c r="N13" s="166">
        <v>6.2</v>
      </c>
      <c r="O13" s="166">
        <v>6.1</v>
      </c>
      <c r="P13" s="166">
        <v>5.5</v>
      </c>
      <c r="Q13" s="166">
        <v>5.3</v>
      </c>
      <c r="R13" s="166">
        <v>5.4</v>
      </c>
      <c r="S13" s="166">
        <v>5.3</v>
      </c>
      <c r="T13" s="166">
        <v>5.194</v>
      </c>
      <c r="U13" s="313">
        <v>5.378</v>
      </c>
      <c r="V13" s="166">
        <v>4.31</v>
      </c>
      <c r="W13" s="166">
        <v>4.292</v>
      </c>
      <c r="X13" s="166">
        <v>4.117</v>
      </c>
      <c r="Y13" s="166">
        <v>4.167</v>
      </c>
      <c r="Z13" s="166">
        <v>4.156</v>
      </c>
      <c r="AA13" s="166">
        <v>4.311</v>
      </c>
      <c r="AB13" s="166">
        <v>4.5</v>
      </c>
      <c r="AC13" s="166">
        <v>4.6</v>
      </c>
      <c r="AD13" s="166">
        <v>4.8</v>
      </c>
      <c r="AE13" s="166">
        <v>4.8</v>
      </c>
      <c r="AF13" s="168">
        <v>4.9</v>
      </c>
      <c r="AG13" s="887">
        <f t="shared" si="1"/>
        <v>2.083333333333343</v>
      </c>
      <c r="AH13" s="311" t="s">
        <v>48</v>
      </c>
    </row>
    <row r="14" spans="1:34" ht="12.75" customHeight="1">
      <c r="A14" s="8"/>
      <c r="B14" s="10" t="s">
        <v>66</v>
      </c>
      <c r="C14" s="732">
        <v>2.012</v>
      </c>
      <c r="D14" s="732">
        <v>2.722</v>
      </c>
      <c r="E14" s="126">
        <v>4.047</v>
      </c>
      <c r="F14" s="126">
        <v>4.388</v>
      </c>
      <c r="G14" s="126">
        <v>4.557</v>
      </c>
      <c r="H14" s="126">
        <v>4.835</v>
      </c>
      <c r="I14" s="126">
        <v>4.985</v>
      </c>
      <c r="J14" s="126">
        <v>5.282</v>
      </c>
      <c r="K14" s="126">
        <v>5.535</v>
      </c>
      <c r="L14" s="126">
        <v>5.845</v>
      </c>
      <c r="M14" s="126">
        <v>6.096</v>
      </c>
      <c r="N14" s="126">
        <v>6.564</v>
      </c>
      <c r="O14" s="126">
        <v>6.957</v>
      </c>
      <c r="P14" s="126">
        <v>7.084</v>
      </c>
      <c r="Q14" s="126">
        <v>7.09</v>
      </c>
      <c r="R14" s="126">
        <v>7.392</v>
      </c>
      <c r="S14" s="126">
        <v>7.43</v>
      </c>
      <c r="T14" s="126">
        <v>7.625</v>
      </c>
      <c r="U14" s="126">
        <v>7.997</v>
      </c>
      <c r="V14" s="126">
        <v>8.451</v>
      </c>
      <c r="W14" s="126">
        <v>8.911</v>
      </c>
      <c r="X14" s="126">
        <f>8.556</f>
        <v>8.556</v>
      </c>
      <c r="Y14" s="126">
        <f>8.245</f>
        <v>8.245</v>
      </c>
      <c r="Z14" s="126">
        <v>8.276</v>
      </c>
      <c r="AA14" s="126">
        <v>8.266</v>
      </c>
      <c r="AB14" s="126">
        <v>8.488</v>
      </c>
      <c r="AC14" s="126">
        <v>8.802</v>
      </c>
      <c r="AD14" s="126">
        <v>9.259</v>
      </c>
      <c r="AE14" s="126">
        <v>9.841</v>
      </c>
      <c r="AF14" s="169">
        <v>10.3</v>
      </c>
      <c r="AG14" s="886">
        <f t="shared" si="1"/>
        <v>4.664160146326594</v>
      </c>
      <c r="AH14" s="312" t="s">
        <v>66</v>
      </c>
    </row>
    <row r="15" spans="1:34" ht="12.75" customHeight="1">
      <c r="A15" s="8"/>
      <c r="B15" s="156" t="s">
        <v>59</v>
      </c>
      <c r="C15" s="731">
        <v>10.546</v>
      </c>
      <c r="D15" s="731">
        <v>18.011</v>
      </c>
      <c r="E15" s="166">
        <v>21.43</v>
      </c>
      <c r="F15" s="166">
        <v>22.08</v>
      </c>
      <c r="G15" s="166">
        <v>22.674</v>
      </c>
      <c r="H15" s="166">
        <v>23.206</v>
      </c>
      <c r="I15" s="166">
        <v>23.54</v>
      </c>
      <c r="J15" s="166">
        <v>24.6</v>
      </c>
      <c r="K15" s="166">
        <v>25.096</v>
      </c>
      <c r="L15" s="166">
        <v>25.622</v>
      </c>
      <c r="M15" s="166">
        <v>26.32</v>
      </c>
      <c r="N15" s="166">
        <v>26.769</v>
      </c>
      <c r="O15" s="166">
        <v>27.037</v>
      </c>
      <c r="P15" s="166">
        <v>27.115</v>
      </c>
      <c r="Q15" s="166">
        <v>27.247</v>
      </c>
      <c r="R15" s="166">
        <v>27.139</v>
      </c>
      <c r="S15" s="166">
        <v>26.78</v>
      </c>
      <c r="T15" s="166">
        <v>26.829</v>
      </c>
      <c r="U15" s="166">
        <v>26.938</v>
      </c>
      <c r="V15" s="166">
        <v>27.102</v>
      </c>
      <c r="W15" s="166">
        <v>27.186</v>
      </c>
      <c r="X15" s="166">
        <v>27.324</v>
      </c>
      <c r="Y15" s="166">
        <v>27.311</v>
      </c>
      <c r="Z15" s="166">
        <v>27.121</v>
      </c>
      <c r="AA15" s="166">
        <v>26.962</v>
      </c>
      <c r="AB15" s="166">
        <v>26.783</v>
      </c>
      <c r="AC15" s="166">
        <v>26.586</v>
      </c>
      <c r="AD15" s="166">
        <v>26.541</v>
      </c>
      <c r="AE15" s="166">
        <v>26.481</v>
      </c>
      <c r="AF15" s="168">
        <v>26.389</v>
      </c>
      <c r="AG15" s="887">
        <f t="shared" si="1"/>
        <v>-0.347418904119948</v>
      </c>
      <c r="AH15" s="311" t="s">
        <v>59</v>
      </c>
    </row>
    <row r="16" spans="1:34" ht="12.75" customHeight="1">
      <c r="A16" s="8"/>
      <c r="B16" s="10" t="s">
        <v>64</v>
      </c>
      <c r="C16" s="732">
        <v>30.728</v>
      </c>
      <c r="D16" s="732">
        <v>42.631</v>
      </c>
      <c r="E16" s="126">
        <v>45.767</v>
      </c>
      <c r="F16" s="126">
        <v>46.604</v>
      </c>
      <c r="G16" s="126">
        <v>47.18</v>
      </c>
      <c r="H16" s="126">
        <v>47.028</v>
      </c>
      <c r="I16" s="126">
        <v>47.088</v>
      </c>
      <c r="J16" s="126">
        <v>47.375</v>
      </c>
      <c r="K16" s="126">
        <v>48.405</v>
      </c>
      <c r="L16" s="126">
        <v>50.035</v>
      </c>
      <c r="M16" s="126">
        <v>51.805</v>
      </c>
      <c r="N16" s="126">
        <v>53.54</v>
      </c>
      <c r="O16" s="126">
        <v>54.732</v>
      </c>
      <c r="P16" s="126">
        <v>56.146</v>
      </c>
      <c r="Q16" s="126">
        <v>56.953</v>
      </c>
      <c r="R16" s="126">
        <v>55.993</v>
      </c>
      <c r="S16" s="126">
        <v>56.957</v>
      </c>
      <c r="T16" s="126">
        <v>58.248</v>
      </c>
      <c r="U16" s="126">
        <v>59.105</v>
      </c>
      <c r="V16" s="126">
        <v>61.039</v>
      </c>
      <c r="W16" s="126">
        <v>62.196</v>
      </c>
      <c r="X16" s="126">
        <v>62.663</v>
      </c>
      <c r="Y16" s="126">
        <v>62.445</v>
      </c>
      <c r="Z16" s="126">
        <v>62.358</v>
      </c>
      <c r="AA16" s="126">
        <v>61.127</v>
      </c>
      <c r="AB16" s="126">
        <v>59.892</v>
      </c>
      <c r="AC16" s="126">
        <v>59.799</v>
      </c>
      <c r="AD16" s="126">
        <v>60.252</v>
      </c>
      <c r="AE16" s="126">
        <v>61.838</v>
      </c>
      <c r="AF16" s="169">
        <v>63.589</v>
      </c>
      <c r="AG16" s="886">
        <f t="shared" si="1"/>
        <v>2.831592224845565</v>
      </c>
      <c r="AH16" s="312" t="s">
        <v>64</v>
      </c>
    </row>
    <row r="17" spans="1:34" ht="12.75" customHeight="1">
      <c r="A17" s="8"/>
      <c r="B17" s="156" t="s">
        <v>65</v>
      </c>
      <c r="C17" s="731">
        <v>41</v>
      </c>
      <c r="D17" s="731">
        <v>59</v>
      </c>
      <c r="E17" s="166">
        <v>70</v>
      </c>
      <c r="F17" s="166">
        <v>76</v>
      </c>
      <c r="G17" s="166">
        <v>76</v>
      </c>
      <c r="H17" s="166">
        <v>76</v>
      </c>
      <c r="I17" s="166">
        <v>78</v>
      </c>
      <c r="J17" s="166">
        <v>79</v>
      </c>
      <c r="K17" s="166">
        <v>82</v>
      </c>
      <c r="L17" s="166">
        <v>82</v>
      </c>
      <c r="M17" s="338">
        <v>84.961</v>
      </c>
      <c r="N17" s="166">
        <v>85.668</v>
      </c>
      <c r="O17" s="166">
        <v>85.749</v>
      </c>
      <c r="P17" s="166">
        <v>86.954</v>
      </c>
      <c r="Q17" s="166">
        <v>85.876</v>
      </c>
      <c r="R17" s="166">
        <v>87.101</v>
      </c>
      <c r="S17" s="166">
        <v>88.417</v>
      </c>
      <c r="T17" s="166">
        <v>90.055</v>
      </c>
      <c r="U17" s="166">
        <v>92.152</v>
      </c>
      <c r="V17" s="166">
        <v>94.392</v>
      </c>
      <c r="W17" s="166">
        <v>92.874</v>
      </c>
      <c r="X17" s="338">
        <v>90.65</v>
      </c>
      <c r="Y17" s="166">
        <v>91.451</v>
      </c>
      <c r="Z17" s="166">
        <v>93.029</v>
      </c>
      <c r="AA17" s="166">
        <v>94.099</v>
      </c>
      <c r="AB17" s="166">
        <v>96.041</v>
      </c>
      <c r="AC17" s="166">
        <v>96.746</v>
      </c>
      <c r="AD17" s="166">
        <v>99.002</v>
      </c>
      <c r="AE17" s="166">
        <v>100.303</v>
      </c>
      <c r="AF17" s="168">
        <v>100.853</v>
      </c>
      <c r="AG17" s="887">
        <f t="shared" si="1"/>
        <v>0.5483385342412532</v>
      </c>
      <c r="AH17" s="311" t="s">
        <v>65</v>
      </c>
    </row>
    <row r="18" spans="1:34" ht="12.75" customHeight="1">
      <c r="A18" s="8"/>
      <c r="B18" s="10" t="s">
        <v>76</v>
      </c>
      <c r="C18" s="732"/>
      <c r="D18" s="732"/>
      <c r="E18" s="126">
        <v>5.836</v>
      </c>
      <c r="F18" s="126">
        <v>4.876</v>
      </c>
      <c r="G18" s="126">
        <v>4.104</v>
      </c>
      <c r="H18" s="126">
        <v>3.895</v>
      </c>
      <c r="I18" s="126">
        <v>4.026</v>
      </c>
      <c r="J18" s="126">
        <v>3.897</v>
      </c>
      <c r="K18" s="126">
        <v>4.596</v>
      </c>
      <c r="L18" s="126">
        <v>4.771</v>
      </c>
      <c r="M18" s="126">
        <v>4.814</v>
      </c>
      <c r="N18" s="126">
        <v>4.743</v>
      </c>
      <c r="O18" s="126">
        <v>4.66</v>
      </c>
      <c r="P18" s="126">
        <v>4.77</v>
      </c>
      <c r="Q18" s="126">
        <v>4.792</v>
      </c>
      <c r="R18" s="126">
        <v>4.833</v>
      </c>
      <c r="S18" s="126">
        <v>4.869</v>
      </c>
      <c r="T18" s="126">
        <v>4.851</v>
      </c>
      <c r="U18" s="126">
        <v>4.914</v>
      </c>
      <c r="V18" s="126">
        <v>5.043</v>
      </c>
      <c r="W18" s="126">
        <v>5.099</v>
      </c>
      <c r="X18" s="126">
        <v>5.071</v>
      </c>
      <c r="Y18" s="345">
        <v>4.877</v>
      </c>
      <c r="Z18" s="126">
        <v>4.841</v>
      </c>
      <c r="AA18" s="126">
        <v>4.655</v>
      </c>
      <c r="AB18" s="126">
        <v>4.789</v>
      </c>
      <c r="AC18" s="126">
        <v>5.04</v>
      </c>
      <c r="AD18" s="126">
        <v>5.276</v>
      </c>
      <c r="AE18" s="126">
        <v>5.513</v>
      </c>
      <c r="AF18" s="169">
        <v>5.698</v>
      </c>
      <c r="AG18" s="886">
        <f t="shared" si="1"/>
        <v>3.3557046979865817</v>
      </c>
      <c r="AH18" s="312" t="s">
        <v>76</v>
      </c>
    </row>
    <row r="19" spans="1:34" ht="12.75" customHeight="1">
      <c r="A19" s="8"/>
      <c r="B19" s="156" t="s">
        <v>67</v>
      </c>
      <c r="C19" s="731">
        <v>32.899</v>
      </c>
      <c r="D19" s="731">
        <v>58.149</v>
      </c>
      <c r="E19" s="166">
        <v>77.731</v>
      </c>
      <c r="F19" s="166">
        <v>78</v>
      </c>
      <c r="G19" s="166">
        <v>78.179</v>
      </c>
      <c r="H19" s="166">
        <v>76.974</v>
      </c>
      <c r="I19" s="166">
        <v>76.076</v>
      </c>
      <c r="J19" s="166">
        <v>75.023</v>
      </c>
      <c r="K19" s="166">
        <v>78.183</v>
      </c>
      <c r="L19" s="166">
        <v>84.177</v>
      </c>
      <c r="M19" s="166">
        <v>84.822</v>
      </c>
      <c r="N19" s="166">
        <v>85.762</v>
      </c>
      <c r="O19" s="166">
        <v>87.956</v>
      </c>
      <c r="P19" s="166">
        <v>89.858</v>
      </c>
      <c r="Q19" s="166">
        <v>91.716</v>
      </c>
      <c r="R19" s="166">
        <v>92.701</v>
      </c>
      <c r="S19" s="166">
        <v>92.874</v>
      </c>
      <c r="T19" s="166">
        <v>94.437</v>
      </c>
      <c r="U19" s="166">
        <v>96.099</v>
      </c>
      <c r="V19" s="166">
        <v>96.419</v>
      </c>
      <c r="W19" s="166">
        <v>97.597</v>
      </c>
      <c r="X19" s="166">
        <v>98.724</v>
      </c>
      <c r="Y19" s="166">
        <v>99.895</v>
      </c>
      <c r="Z19" s="166">
        <v>100.438</v>
      </c>
      <c r="AA19" s="166">
        <v>99.537</v>
      </c>
      <c r="AB19" s="166">
        <v>98.551</v>
      </c>
      <c r="AC19" s="166">
        <v>97.914</v>
      </c>
      <c r="AD19" s="166">
        <v>97.991</v>
      </c>
      <c r="AE19" s="166">
        <v>97.817</v>
      </c>
      <c r="AF19" s="168">
        <v>99.1</v>
      </c>
      <c r="AG19" s="887">
        <f t="shared" si="1"/>
        <v>1.3116329472382233</v>
      </c>
      <c r="AH19" s="347" t="s">
        <v>67</v>
      </c>
    </row>
    <row r="20" spans="1:34" ht="12.75" customHeight="1">
      <c r="A20" s="8"/>
      <c r="B20" s="10" t="s">
        <v>46</v>
      </c>
      <c r="C20" s="732"/>
      <c r="D20" s="732">
        <v>1.6</v>
      </c>
      <c r="E20" s="126">
        <v>2.308</v>
      </c>
      <c r="F20" s="126">
        <v>2.176</v>
      </c>
      <c r="G20" s="126">
        <v>2.371</v>
      </c>
      <c r="H20" s="126">
        <v>2.438</v>
      </c>
      <c r="I20" s="126">
        <v>2.546</v>
      </c>
      <c r="J20" s="126">
        <v>2.67</v>
      </c>
      <c r="K20" s="126">
        <v>2.801</v>
      </c>
      <c r="L20" s="126">
        <v>2.8</v>
      </c>
      <c r="M20" s="126">
        <v>2.754</v>
      </c>
      <c r="N20" s="126">
        <v>2.835</v>
      </c>
      <c r="O20" s="126">
        <v>2.949</v>
      </c>
      <c r="P20" s="126">
        <v>3.003</v>
      </c>
      <c r="Q20" s="126">
        <v>2.997</v>
      </c>
      <c r="R20" s="126">
        <v>3.275</v>
      </c>
      <c r="S20" s="126">
        <v>3.199</v>
      </c>
      <c r="T20" s="126">
        <v>3.217</v>
      </c>
      <c r="U20" s="126">
        <v>3.221</v>
      </c>
      <c r="V20" s="126">
        <v>3.292</v>
      </c>
      <c r="W20" s="126">
        <v>3.402</v>
      </c>
      <c r="X20" s="126">
        <f>3.449</f>
        <v>3.449</v>
      </c>
      <c r="Y20" s="126">
        <v>3.403</v>
      </c>
      <c r="Z20" s="126">
        <v>3.461</v>
      </c>
      <c r="AA20" s="126">
        <v>3.557</v>
      </c>
      <c r="AB20" s="126">
        <v>3.495</v>
      </c>
      <c r="AC20" s="760">
        <v>2.581</v>
      </c>
      <c r="AD20" s="126">
        <v>2.712</v>
      </c>
      <c r="AE20" s="126">
        <v>2.842</v>
      </c>
      <c r="AF20" s="169">
        <v>3</v>
      </c>
      <c r="AG20" s="886">
        <f t="shared" si="1"/>
        <v>5.55946516537648</v>
      </c>
      <c r="AH20" s="312" t="s">
        <v>46</v>
      </c>
    </row>
    <row r="21" spans="1:34" ht="12.75" customHeight="1">
      <c r="A21" s="8"/>
      <c r="B21" s="156" t="s">
        <v>50</v>
      </c>
      <c r="C21" s="731"/>
      <c r="D21" s="731"/>
      <c r="E21" s="166">
        <v>12.138</v>
      </c>
      <c r="F21" s="167">
        <f>$E$21+($J$21-$E$21)/5</f>
        <v>13.0034</v>
      </c>
      <c r="G21" s="167">
        <f>$E$21+($J$21-$E$21)/5*2</f>
        <v>13.8688</v>
      </c>
      <c r="H21" s="167">
        <f>$E$21+($J$21-$E$21)/5*3</f>
        <v>14.7342</v>
      </c>
      <c r="I21" s="167">
        <f>$E$21+($J$21-$E$21)/5*4</f>
        <v>15.599599999999999</v>
      </c>
      <c r="J21" s="166">
        <v>16.465</v>
      </c>
      <c r="K21" s="166">
        <v>17.275</v>
      </c>
      <c r="L21" s="313">
        <v>18.558</v>
      </c>
      <c r="M21" s="166">
        <v>11.505</v>
      </c>
      <c r="N21" s="166">
        <v>11.556</v>
      </c>
      <c r="O21" s="166">
        <v>11.501</v>
      </c>
      <c r="P21" s="166">
        <v>11.294</v>
      </c>
      <c r="Q21" s="166">
        <v>11.164</v>
      </c>
      <c r="R21" s="166">
        <v>10.983</v>
      </c>
      <c r="S21" s="166">
        <v>10.74</v>
      </c>
      <c r="T21" s="166">
        <v>10.644</v>
      </c>
      <c r="U21" s="166">
        <v>10.628</v>
      </c>
      <c r="V21" s="166">
        <v>10.624</v>
      </c>
      <c r="W21" s="166">
        <v>10.543</v>
      </c>
      <c r="X21" s="166">
        <v>9.687</v>
      </c>
      <c r="Y21" s="338">
        <v>5.377</v>
      </c>
      <c r="Z21" s="166">
        <v>5.186</v>
      </c>
      <c r="AA21" s="166">
        <v>5.044</v>
      </c>
      <c r="AB21" s="166">
        <v>4.989</v>
      </c>
      <c r="AC21" s="166">
        <v>4.845</v>
      </c>
      <c r="AD21" s="166">
        <v>4.797</v>
      </c>
      <c r="AE21" s="166">
        <v>4.696</v>
      </c>
      <c r="AF21" s="168">
        <v>4.7</v>
      </c>
      <c r="AG21" s="887">
        <f t="shared" si="1"/>
        <v>0.08517887563886006</v>
      </c>
      <c r="AH21" s="347" t="s">
        <v>50</v>
      </c>
    </row>
    <row r="22" spans="1:34" ht="12.75" customHeight="1">
      <c r="A22" s="8"/>
      <c r="B22" s="10" t="s">
        <v>51</v>
      </c>
      <c r="C22" s="732"/>
      <c r="D22" s="732">
        <v>10.5</v>
      </c>
      <c r="E22" s="126">
        <v>15.2</v>
      </c>
      <c r="F22" s="345">
        <f>$E$22+($J$22-$E$22)/5</f>
        <v>15.6768</v>
      </c>
      <c r="G22" s="345">
        <f>$E$22+($J$22-$E$22)/5*2</f>
        <v>16.1536</v>
      </c>
      <c r="H22" s="345">
        <f>$E$22+($J$22-$E$22)/5*3</f>
        <v>16.630399999999998</v>
      </c>
      <c r="I22" s="345">
        <f>$E$22+($J$22-$E$22)/5*4</f>
        <v>17.1072</v>
      </c>
      <c r="J22" s="126">
        <f>17.052+0.532</f>
        <v>17.584</v>
      </c>
      <c r="K22" s="126">
        <f>15.482+0.544</f>
        <v>16.026</v>
      </c>
      <c r="L22" s="126">
        <f>14.888+0.547</f>
        <v>15.435</v>
      </c>
      <c r="M22" s="126">
        <f>15.156+0.523</f>
        <v>15.679</v>
      </c>
      <c r="N22" s="126">
        <f>15.59+0.5</f>
        <v>16.09</v>
      </c>
      <c r="O22" s="126">
        <f>15.069+0.474</f>
        <v>15.543000000000001</v>
      </c>
      <c r="P22" s="126">
        <f>15.171+0.47</f>
        <v>15.641</v>
      </c>
      <c r="Q22" s="126">
        <f>15.376+0.466</f>
        <v>15.841999999999999</v>
      </c>
      <c r="R22" s="126">
        <f>15.543+0.463</f>
        <v>16.006</v>
      </c>
      <c r="S22" s="126">
        <f>14.377+0.476</f>
        <v>14.853000000000002</v>
      </c>
      <c r="T22" s="126">
        <f>14.839+0.472</f>
        <v>15.311</v>
      </c>
      <c r="U22" s="126">
        <f>15.134+0.485</f>
        <v>15.619</v>
      </c>
      <c r="V22" s="126">
        <f>13.997+0.491</f>
        <v>14.488</v>
      </c>
      <c r="W22" s="126">
        <f>13.824+0.488</f>
        <v>14.312</v>
      </c>
      <c r="X22" s="126">
        <f>13.36+0.477</f>
        <v>13.837</v>
      </c>
      <c r="Y22" s="126">
        <f>13.261+0.467</f>
        <v>13.728</v>
      </c>
      <c r="Z22" s="126">
        <v>13.545</v>
      </c>
      <c r="AA22" s="126">
        <f>12.649+0.458</f>
        <v>13.107</v>
      </c>
      <c r="AB22" s="126">
        <f>12.606+0.457</f>
        <v>13.063</v>
      </c>
      <c r="AC22" s="760">
        <v>6.937</v>
      </c>
      <c r="AD22" s="126">
        <v>6.856</v>
      </c>
      <c r="AE22" s="126">
        <v>6.926</v>
      </c>
      <c r="AF22" s="169">
        <v>7.2</v>
      </c>
      <c r="AG22" s="886">
        <f t="shared" si="1"/>
        <v>3.9561074213110032</v>
      </c>
      <c r="AH22" s="312" t="s">
        <v>51</v>
      </c>
    </row>
    <row r="23" spans="1:34" ht="12.75" customHeight="1">
      <c r="A23" s="8"/>
      <c r="B23" s="156" t="s">
        <v>68</v>
      </c>
      <c r="C23" s="731">
        <v>0.56</v>
      </c>
      <c r="D23" s="731">
        <v>0.647</v>
      </c>
      <c r="E23" s="166">
        <v>0.76</v>
      </c>
      <c r="F23" s="166">
        <v>0.777</v>
      </c>
      <c r="G23" s="166">
        <v>0.814</v>
      </c>
      <c r="H23" s="166">
        <v>0.85</v>
      </c>
      <c r="I23" s="166">
        <v>0.846</v>
      </c>
      <c r="J23" s="166">
        <v>0.871</v>
      </c>
      <c r="K23" s="166">
        <v>0.914</v>
      </c>
      <c r="L23" s="166">
        <v>0.944</v>
      </c>
      <c r="M23" s="166">
        <v>0.945</v>
      </c>
      <c r="N23" s="166">
        <v>0.984</v>
      </c>
      <c r="O23" s="166">
        <v>1.051</v>
      </c>
      <c r="P23" s="166">
        <v>1.123</v>
      </c>
      <c r="Q23" s="166">
        <v>1.176</v>
      </c>
      <c r="R23" s="166">
        <v>1.227</v>
      </c>
      <c r="S23" s="166">
        <v>1.27</v>
      </c>
      <c r="T23" s="166">
        <v>1.34</v>
      </c>
      <c r="U23" s="166">
        <v>1.38</v>
      </c>
      <c r="V23" s="166">
        <v>1.456</v>
      </c>
      <c r="W23" s="166">
        <v>1.546</v>
      </c>
      <c r="X23" s="166">
        <f>1.624</f>
        <v>1.624</v>
      </c>
      <c r="Y23" s="166">
        <v>1.637</v>
      </c>
      <c r="Z23" s="166">
        <v>1.703</v>
      </c>
      <c r="AA23" s="166">
        <v>1.728</v>
      </c>
      <c r="AB23" s="166">
        <v>1.759</v>
      </c>
      <c r="AC23" s="166">
        <v>1.778</v>
      </c>
      <c r="AD23" s="781">
        <v>1.857</v>
      </c>
      <c r="AE23" s="781">
        <v>1.904</v>
      </c>
      <c r="AF23" s="764">
        <v>2</v>
      </c>
      <c r="AG23" s="887">
        <f t="shared" si="1"/>
        <v>5.0420168067227</v>
      </c>
      <c r="AH23" s="347" t="s">
        <v>68</v>
      </c>
    </row>
    <row r="24" spans="1:34" ht="12.75" customHeight="1">
      <c r="A24" s="8"/>
      <c r="B24" s="10" t="s">
        <v>49</v>
      </c>
      <c r="C24" s="732"/>
      <c r="D24" s="732">
        <v>22.2</v>
      </c>
      <c r="E24" s="126">
        <v>26.438</v>
      </c>
      <c r="F24" s="126">
        <v>24.497</v>
      </c>
      <c r="G24" s="126">
        <v>23.187</v>
      </c>
      <c r="H24" s="126">
        <v>22.186</v>
      </c>
      <c r="I24" s="126">
        <v>21.785</v>
      </c>
      <c r="J24" s="126">
        <v>20.464</v>
      </c>
      <c r="K24" s="126">
        <v>19.381</v>
      </c>
      <c r="L24" s="126">
        <v>18.89</v>
      </c>
      <c r="M24" s="126">
        <v>18.795</v>
      </c>
      <c r="N24" s="126">
        <v>17.733</v>
      </c>
      <c r="O24" s="126">
        <v>17.855</v>
      </c>
      <c r="P24" s="126">
        <v>17.817</v>
      </c>
      <c r="Q24" s="126">
        <v>17.873</v>
      </c>
      <c r="R24" s="126">
        <v>17.877</v>
      </c>
      <c r="S24" s="126">
        <v>17.428</v>
      </c>
      <c r="T24" s="126">
        <v>17.45</v>
      </c>
      <c r="U24" s="126">
        <v>17.721</v>
      </c>
      <c r="V24" s="126">
        <v>17.899</v>
      </c>
      <c r="W24" s="126">
        <v>17.955</v>
      </c>
      <c r="X24" s="126">
        <v>17.72</v>
      </c>
      <c r="Y24" s="126">
        <f>17.641</f>
        <v>17.641</v>
      </c>
      <c r="Z24" s="126">
        <v>17.366</v>
      </c>
      <c r="AA24" s="126">
        <v>17.301</v>
      </c>
      <c r="AB24" s="126">
        <v>17.569</v>
      </c>
      <c r="AC24" s="126">
        <v>17.923</v>
      </c>
      <c r="AD24" s="126">
        <v>18.135</v>
      </c>
      <c r="AE24" s="126">
        <v>18.482</v>
      </c>
      <c r="AF24" s="169">
        <v>18.7</v>
      </c>
      <c r="AG24" s="886">
        <f t="shared" si="1"/>
        <v>1.1795260253219482</v>
      </c>
      <c r="AH24" s="312" t="s">
        <v>49</v>
      </c>
    </row>
    <row r="25" spans="1:34" ht="12.75" customHeight="1">
      <c r="A25" s="8"/>
      <c r="B25" s="156" t="s">
        <v>52</v>
      </c>
      <c r="C25" s="731"/>
      <c r="D25" s="731"/>
      <c r="E25" s="166">
        <v>0.978</v>
      </c>
      <c r="F25" s="167">
        <f>$E$25+($H$25-$E$25)/3</f>
        <v>0.964</v>
      </c>
      <c r="G25" s="167">
        <f>$E$25+($H$25-$E$25)/3*2</f>
        <v>0.9500000000000001</v>
      </c>
      <c r="H25" s="166">
        <v>0.936</v>
      </c>
      <c r="I25" s="166">
        <v>0.964</v>
      </c>
      <c r="J25" s="166">
        <v>1.014</v>
      </c>
      <c r="K25" s="166">
        <v>0.967</v>
      </c>
      <c r="L25" s="166">
        <v>1.077</v>
      </c>
      <c r="M25" s="166">
        <f>0.162+0.375+0.57</f>
        <v>1.107</v>
      </c>
      <c r="N25" s="166">
        <f>0.157+0.39+0.572</f>
        <v>1.119</v>
      </c>
      <c r="O25" s="166">
        <f>0.156+0.397+0.573</f>
        <v>1.126</v>
      </c>
      <c r="P25" s="166">
        <f>0.156+0.398+0.571</f>
        <v>1.125</v>
      </c>
      <c r="Q25" s="166">
        <v>1.133</v>
      </c>
      <c r="R25" s="166">
        <v>1.15</v>
      </c>
      <c r="S25" s="166">
        <v>1.158</v>
      </c>
      <c r="T25" s="166">
        <f>0.144+0.422+0.577</f>
        <v>1.1429999999999998</v>
      </c>
      <c r="U25" s="166">
        <f>0.144+0.426+0.578</f>
        <v>1.148</v>
      </c>
      <c r="V25" s="166">
        <f>0.15+0.433+0.582</f>
        <v>1.165</v>
      </c>
      <c r="W25" s="166">
        <f>0.161+0.433+0.582</f>
        <v>1.176</v>
      </c>
      <c r="X25" s="166">
        <f>0.159+0.451+0.576</f>
        <v>1.186</v>
      </c>
      <c r="Y25" s="338">
        <f>0.214+0.318+0.737+0.566</f>
        <v>1.835</v>
      </c>
      <c r="Z25" s="166">
        <v>1.7420000000000002</v>
      </c>
      <c r="AA25" s="166">
        <f>0.344+0.27+0.843+0.289</f>
        <v>1.7459999999999998</v>
      </c>
      <c r="AB25" s="166">
        <f>0.239+0.866+0.263+0.344</f>
        <v>1.7119999999999997</v>
      </c>
      <c r="AC25" s="166">
        <f>0.284+0.913+0.236+0.362</f>
        <v>1.795</v>
      </c>
      <c r="AD25" s="166">
        <f>0.353+0.22+0.971+0.408</f>
        <v>1.952</v>
      </c>
      <c r="AE25" s="166">
        <f>0.405+1.029+0.199+0.363</f>
        <v>1.996</v>
      </c>
      <c r="AF25" s="168">
        <f>0.432+1.079+0.187+0.371</f>
        <v>2.069</v>
      </c>
      <c r="AG25" s="887">
        <f t="shared" si="1"/>
        <v>3.657314629258508</v>
      </c>
      <c r="AH25" s="347" t="s">
        <v>52</v>
      </c>
    </row>
    <row r="26" spans="1:34" ht="12.75" customHeight="1">
      <c r="A26" s="8"/>
      <c r="B26" s="10" t="s">
        <v>60</v>
      </c>
      <c r="C26" s="732">
        <v>9.5</v>
      </c>
      <c r="D26" s="732">
        <v>11.2</v>
      </c>
      <c r="E26" s="126">
        <v>12.1</v>
      </c>
      <c r="F26" s="126">
        <v>12.427</v>
      </c>
      <c r="G26" s="126">
        <v>12.341</v>
      </c>
      <c r="H26" s="126">
        <v>12.525</v>
      </c>
      <c r="I26" s="126">
        <v>12</v>
      </c>
      <c r="J26" s="126">
        <v>11.636</v>
      </c>
      <c r="K26" s="126">
        <v>11.334</v>
      </c>
      <c r="L26" s="126">
        <v>10.801</v>
      </c>
      <c r="M26" s="126">
        <v>11.006</v>
      </c>
      <c r="N26" s="126">
        <v>11.21</v>
      </c>
      <c r="O26" s="126">
        <v>11.374</v>
      </c>
      <c r="P26" s="126">
        <v>11.326</v>
      </c>
      <c r="Q26" s="126">
        <v>11.382</v>
      </c>
      <c r="R26" s="126">
        <v>11.344</v>
      </c>
      <c r="S26" s="126">
        <v>11.231</v>
      </c>
      <c r="T26" s="126">
        <v>10.995</v>
      </c>
      <c r="U26" s="126">
        <v>10.845</v>
      </c>
      <c r="V26" s="126">
        <v>11.091</v>
      </c>
      <c r="W26" s="126">
        <v>11.332</v>
      </c>
      <c r="X26" s="126">
        <v>11.634</v>
      </c>
      <c r="Y26" s="126">
        <f>11.277</f>
        <v>11.277</v>
      </c>
      <c r="Z26" s="126">
        <v>10.986</v>
      </c>
      <c r="AA26" s="126">
        <f>10.464</f>
        <v>10.464</v>
      </c>
      <c r="AB26" s="126">
        <f>9.922</f>
        <v>9.922</v>
      </c>
      <c r="AC26" s="126">
        <v>9.597</v>
      </c>
      <c r="AD26" s="126">
        <v>9.411</v>
      </c>
      <c r="AE26" s="126">
        <v>9.822</v>
      </c>
      <c r="AF26" s="169">
        <v>9.9</v>
      </c>
      <c r="AG26" s="886">
        <f t="shared" si="1"/>
        <v>0.794135613927935</v>
      </c>
      <c r="AH26" s="312" t="s">
        <v>60</v>
      </c>
    </row>
    <row r="27" spans="1:34" ht="12.75" customHeight="1">
      <c r="A27" s="8"/>
      <c r="B27" s="156" t="s">
        <v>69</v>
      </c>
      <c r="C27" s="731">
        <v>6.804</v>
      </c>
      <c r="D27" s="731">
        <v>8.89</v>
      </c>
      <c r="E27" s="166">
        <v>9.402</v>
      </c>
      <c r="F27" s="166">
        <v>9.269</v>
      </c>
      <c r="G27" s="166">
        <v>9.375</v>
      </c>
      <c r="H27" s="166">
        <v>9.483</v>
      </c>
      <c r="I27" s="166">
        <v>9.598</v>
      </c>
      <c r="J27" s="166">
        <v>9.752</v>
      </c>
      <c r="K27" s="166">
        <v>9.74</v>
      </c>
      <c r="L27" s="166">
        <v>9.7</v>
      </c>
      <c r="M27" s="166">
        <v>9.675</v>
      </c>
      <c r="N27" s="166">
        <v>9.834</v>
      </c>
      <c r="O27" s="166">
        <v>9.918</v>
      </c>
      <c r="P27" s="313">
        <v>9.902</v>
      </c>
      <c r="Q27" s="166">
        <v>9.179</v>
      </c>
      <c r="R27" s="166">
        <v>9.231</v>
      </c>
      <c r="S27" s="166">
        <v>9.408</v>
      </c>
      <c r="T27" s="166">
        <v>9.301</v>
      </c>
      <c r="U27" s="166">
        <v>9.297</v>
      </c>
      <c r="V27" s="166">
        <v>9.299</v>
      </c>
      <c r="W27" s="166">
        <v>9.368</v>
      </c>
      <c r="X27" s="166">
        <v>9.599</v>
      </c>
      <c r="Y27" s="166">
        <f>9.648</f>
        <v>9.648</v>
      </c>
      <c r="Z27" s="166">
        <v>9.602</v>
      </c>
      <c r="AA27" s="166">
        <v>9.546</v>
      </c>
      <c r="AB27" s="166">
        <v>9.579</v>
      </c>
      <c r="AC27" s="166">
        <v>9.585</v>
      </c>
      <c r="AD27" s="166">
        <v>9.679</v>
      </c>
      <c r="AE27" s="166">
        <v>9.825</v>
      </c>
      <c r="AF27" s="168">
        <v>10</v>
      </c>
      <c r="AG27" s="887">
        <f t="shared" si="1"/>
        <v>1.7811704834605564</v>
      </c>
      <c r="AH27" s="347" t="s">
        <v>69</v>
      </c>
    </row>
    <row r="28" spans="1:34" ht="12.75" customHeight="1">
      <c r="A28" s="8"/>
      <c r="B28" s="10" t="s">
        <v>53</v>
      </c>
      <c r="C28" s="732"/>
      <c r="D28" s="732">
        <v>66.4</v>
      </c>
      <c r="E28" s="126">
        <v>92.403</v>
      </c>
      <c r="F28" s="126">
        <v>86.951</v>
      </c>
      <c r="G28" s="126">
        <v>86.578</v>
      </c>
      <c r="H28" s="126">
        <v>86.154</v>
      </c>
      <c r="I28" s="126">
        <v>86.852</v>
      </c>
      <c r="J28" s="126">
        <v>85.413</v>
      </c>
      <c r="K28" s="126">
        <v>85.596</v>
      </c>
      <c r="L28" s="126">
        <v>81.788</v>
      </c>
      <c r="M28" s="126">
        <v>80.827</v>
      </c>
      <c r="N28" s="126">
        <v>78.958</v>
      </c>
      <c r="O28" s="126">
        <v>82.59</v>
      </c>
      <c r="P28" s="126">
        <v>82.5</v>
      </c>
      <c r="Q28" s="126">
        <v>83.389</v>
      </c>
      <c r="R28" s="126">
        <v>82.769</v>
      </c>
      <c r="S28" s="126">
        <v>82.676</v>
      </c>
      <c r="T28" s="126">
        <v>79.567</v>
      </c>
      <c r="U28" s="126">
        <v>83.496</v>
      </c>
      <c r="V28" s="126">
        <v>87.586</v>
      </c>
      <c r="W28" s="126">
        <v>92.401</v>
      </c>
      <c r="X28" s="126">
        <v>95.415</v>
      </c>
      <c r="Y28" s="126">
        <v>97.044</v>
      </c>
      <c r="Z28" s="126">
        <v>100.299</v>
      </c>
      <c r="AA28" s="126">
        <v>99.858</v>
      </c>
      <c r="AB28" s="126">
        <v>102.602</v>
      </c>
      <c r="AC28" s="126">
        <v>106.057</v>
      </c>
      <c r="AD28" s="126">
        <v>109.844</v>
      </c>
      <c r="AE28" s="126">
        <v>113.139</v>
      </c>
      <c r="AF28" s="169">
        <v>116.1</v>
      </c>
      <c r="AG28" s="886">
        <f t="shared" si="1"/>
        <v>2.6171346750457474</v>
      </c>
      <c r="AH28" s="312" t="s">
        <v>53</v>
      </c>
    </row>
    <row r="29" spans="1:34" ht="12.75" customHeight="1">
      <c r="A29" s="8"/>
      <c r="B29" s="156" t="s">
        <v>70</v>
      </c>
      <c r="C29" s="731">
        <v>5.873</v>
      </c>
      <c r="D29" s="731">
        <v>8.489</v>
      </c>
      <c r="E29" s="166">
        <v>12.099</v>
      </c>
      <c r="F29" s="166">
        <v>12.348</v>
      </c>
      <c r="G29" s="166">
        <v>12.961</v>
      </c>
      <c r="H29" s="166">
        <v>13.554</v>
      </c>
      <c r="I29" s="166">
        <v>14.353</v>
      </c>
      <c r="J29" s="166">
        <v>15.02</v>
      </c>
      <c r="K29" s="166">
        <v>15.681</v>
      </c>
      <c r="L29" s="166">
        <v>16.431</v>
      </c>
      <c r="M29" s="166">
        <v>17.513</v>
      </c>
      <c r="N29" s="166">
        <v>18.544</v>
      </c>
      <c r="O29" s="313">
        <v>19.78</v>
      </c>
      <c r="P29" s="166">
        <v>20.76</v>
      </c>
      <c r="Q29" s="166">
        <v>21.387</v>
      </c>
      <c r="R29" s="166">
        <v>21.653</v>
      </c>
      <c r="S29" s="348">
        <v>21.8</v>
      </c>
      <c r="T29" s="166">
        <v>14.674</v>
      </c>
      <c r="U29" s="166">
        <v>15</v>
      </c>
      <c r="V29" s="166">
        <v>15.1</v>
      </c>
      <c r="W29" s="166">
        <v>15.4</v>
      </c>
      <c r="X29" s="166">
        <f>15.5</f>
        <v>15.5</v>
      </c>
      <c r="Y29" s="338">
        <v>15.425</v>
      </c>
      <c r="Z29" s="166">
        <v>15.181</v>
      </c>
      <c r="AA29" s="166">
        <v>12.357</v>
      </c>
      <c r="AB29" s="166">
        <v>12.111</v>
      </c>
      <c r="AC29" s="166">
        <v>14.941</v>
      </c>
      <c r="AD29" s="166">
        <v>14.717</v>
      </c>
      <c r="AE29" s="166">
        <v>14.85</v>
      </c>
      <c r="AF29" s="168">
        <v>15.2</v>
      </c>
      <c r="AG29" s="887">
        <f t="shared" si="1"/>
        <v>2.356902356902353</v>
      </c>
      <c r="AH29" s="347" t="s">
        <v>70</v>
      </c>
    </row>
    <row r="30" spans="1:34" ht="12.75" customHeight="1">
      <c r="A30" s="8"/>
      <c r="B30" s="10" t="s">
        <v>54</v>
      </c>
      <c r="C30" s="732"/>
      <c r="D30" s="732">
        <v>25</v>
      </c>
      <c r="E30" s="126">
        <f>24.297+3.975</f>
        <v>28.272000000000002</v>
      </c>
      <c r="F30" s="126">
        <f>25.199+5.956</f>
        <v>31.155</v>
      </c>
      <c r="G30" s="126">
        <f>26.847+8.232</f>
        <v>35.079</v>
      </c>
      <c r="H30" s="126">
        <f>28.085+9.646</f>
        <v>37.731</v>
      </c>
      <c r="I30" s="126">
        <f>28.862+11.155</f>
        <v>40.016999999999996</v>
      </c>
      <c r="J30" s="126">
        <f>30.365+11.682</f>
        <v>42.047</v>
      </c>
      <c r="K30" s="126">
        <f>27.372+12.143</f>
        <v>39.515</v>
      </c>
      <c r="L30" s="126">
        <f>27.426+12.532</f>
        <v>39.958</v>
      </c>
      <c r="M30" s="126">
        <f>27.399+12.986</f>
        <v>40.385000000000005</v>
      </c>
      <c r="N30" s="126">
        <f>27.317+13.305</f>
        <v>40.622</v>
      </c>
      <c r="O30" s="126">
        <f>27.181+13.535</f>
        <v>40.716</v>
      </c>
      <c r="P30" s="126">
        <f>26.965+13.826</f>
        <v>40.791</v>
      </c>
      <c r="Q30" s="126">
        <f>26.672+14.108</f>
        <v>40.78</v>
      </c>
      <c r="R30" s="126">
        <f>25.829+16.118</f>
        <v>41.947</v>
      </c>
      <c r="S30" s="126">
        <f>25.421+17.771</f>
        <v>43.192</v>
      </c>
      <c r="T30" s="126">
        <f>21.976+17.297</f>
        <v>39.272999999999996</v>
      </c>
      <c r="U30" s="314">
        <f>22.663+17.755</f>
        <v>40.418</v>
      </c>
      <c r="V30" s="126">
        <f>17.151+17.051</f>
        <v>34.202</v>
      </c>
      <c r="W30" s="126">
        <v>41.514</v>
      </c>
      <c r="X30" s="126">
        <f>41.16</f>
        <v>41.16</v>
      </c>
      <c r="Y30" s="126">
        <v>40.877</v>
      </c>
      <c r="Z30" s="126">
        <v>40.887</v>
      </c>
      <c r="AA30" s="126">
        <v>42.01</v>
      </c>
      <c r="AB30" s="126">
        <v>42.836</v>
      </c>
      <c r="AC30" s="126">
        <v>44.283</v>
      </c>
      <c r="AD30" s="126">
        <v>47.347</v>
      </c>
      <c r="AE30" s="126">
        <v>48.803</v>
      </c>
      <c r="AF30" s="169">
        <v>50.3</v>
      </c>
      <c r="AG30" s="886">
        <f t="shared" si="1"/>
        <v>3.0674343790340686</v>
      </c>
      <c r="AH30" s="312" t="s">
        <v>54</v>
      </c>
    </row>
    <row r="31" spans="1:34" ht="12.75" customHeight="1">
      <c r="A31" s="8"/>
      <c r="B31" s="156" t="s">
        <v>56</v>
      </c>
      <c r="C31" s="731">
        <v>1.664</v>
      </c>
      <c r="D31" s="731">
        <v>2.505</v>
      </c>
      <c r="E31" s="166">
        <v>3.077</v>
      </c>
      <c r="F31" s="166">
        <v>2.855</v>
      </c>
      <c r="G31" s="166">
        <v>2.67</v>
      </c>
      <c r="H31" s="166">
        <v>2.597</v>
      </c>
      <c r="I31" s="166">
        <v>2.512</v>
      </c>
      <c r="J31" s="166">
        <v>2.473</v>
      </c>
      <c r="K31" s="166">
        <v>2.407</v>
      </c>
      <c r="L31" s="166">
        <v>2.369</v>
      </c>
      <c r="M31" s="166">
        <v>2.325</v>
      </c>
      <c r="N31" s="166">
        <v>2.315</v>
      </c>
      <c r="O31" s="166">
        <v>2.255</v>
      </c>
      <c r="P31" s="166">
        <v>2.213</v>
      </c>
      <c r="Q31" s="166">
        <v>2.196</v>
      </c>
      <c r="R31" s="166">
        <v>2.19</v>
      </c>
      <c r="S31" s="166">
        <v>2.269</v>
      </c>
      <c r="T31" s="166">
        <v>2.255</v>
      </c>
      <c r="U31" s="166">
        <v>2.277</v>
      </c>
      <c r="V31" s="166">
        <v>2.33</v>
      </c>
      <c r="W31" s="166">
        <v>2.378</v>
      </c>
      <c r="X31" s="166">
        <v>2.394</v>
      </c>
      <c r="Y31" s="166">
        <f>2.4</f>
        <v>2.4</v>
      </c>
      <c r="Z31" s="166">
        <v>2.422</v>
      </c>
      <c r="AA31" s="166">
        <v>2.41</v>
      </c>
      <c r="AB31" s="166">
        <f>2.465</f>
        <v>2.465</v>
      </c>
      <c r="AC31" s="166">
        <v>2.559</v>
      </c>
      <c r="AD31" s="166">
        <v>2.631</v>
      </c>
      <c r="AE31" s="166">
        <v>2.679</v>
      </c>
      <c r="AF31" s="168">
        <v>2.782</v>
      </c>
      <c r="AG31" s="887">
        <f t="shared" si="1"/>
        <v>3.844718178424799</v>
      </c>
      <c r="AH31" s="347" t="s">
        <v>56</v>
      </c>
    </row>
    <row r="32" spans="1:34" ht="12.75" customHeight="1">
      <c r="A32" s="8"/>
      <c r="B32" s="10" t="s">
        <v>55</v>
      </c>
      <c r="C32" s="732"/>
      <c r="D32" s="732">
        <v>10</v>
      </c>
      <c r="E32" s="126">
        <v>14.301</v>
      </c>
      <c r="F32" s="126">
        <v>13.77</v>
      </c>
      <c r="G32" s="126">
        <v>13.338</v>
      </c>
      <c r="H32" s="126">
        <v>12.655</v>
      </c>
      <c r="I32" s="126">
        <v>12.066</v>
      </c>
      <c r="J32" s="126">
        <v>11.812</v>
      </c>
      <c r="K32" s="126">
        <v>11.321</v>
      </c>
      <c r="L32" s="126">
        <v>11.235</v>
      </c>
      <c r="M32" s="126">
        <v>11.293</v>
      </c>
      <c r="N32" s="126">
        <v>11.101</v>
      </c>
      <c r="O32" s="126">
        <v>10.92</v>
      </c>
      <c r="P32" s="126">
        <v>10.649</v>
      </c>
      <c r="Q32" s="126">
        <v>10.589</v>
      </c>
      <c r="R32" s="126">
        <v>10.568</v>
      </c>
      <c r="S32" s="126">
        <v>8.921</v>
      </c>
      <c r="T32" s="126">
        <v>9.113</v>
      </c>
      <c r="U32" s="126">
        <v>8.782</v>
      </c>
      <c r="V32" s="126">
        <v>10.48</v>
      </c>
      <c r="W32" s="126">
        <v>10.537</v>
      </c>
      <c r="X32" s="346">
        <f>9.4</f>
        <v>9.4</v>
      </c>
      <c r="Y32" s="346">
        <f>9.35</f>
        <v>9.35</v>
      </c>
      <c r="Z32" s="346">
        <v>9.074</v>
      </c>
      <c r="AA32" s="346">
        <v>8.957</v>
      </c>
      <c r="AB32" s="346">
        <f>8.821</f>
        <v>8.821</v>
      </c>
      <c r="AC32" s="346">
        <v>9.159</v>
      </c>
      <c r="AD32" s="346">
        <v>9.27</v>
      </c>
      <c r="AE32" s="346">
        <v>9.091</v>
      </c>
      <c r="AF32" s="435">
        <v>9.241</v>
      </c>
      <c r="AG32" s="886">
        <f t="shared" si="1"/>
        <v>1.649983500165007</v>
      </c>
      <c r="AH32" s="312" t="s">
        <v>55</v>
      </c>
    </row>
    <row r="33" spans="1:34" ht="12.75" customHeight="1">
      <c r="A33" s="8"/>
      <c r="B33" s="156" t="s">
        <v>71</v>
      </c>
      <c r="C33" s="731">
        <v>8.116</v>
      </c>
      <c r="D33" s="731">
        <v>8.963</v>
      </c>
      <c r="E33" s="166">
        <v>9.327</v>
      </c>
      <c r="F33" s="166">
        <v>8.968</v>
      </c>
      <c r="G33" s="166">
        <v>8.665</v>
      </c>
      <c r="H33" s="166">
        <v>8.255</v>
      </c>
      <c r="I33" s="166">
        <v>8.054</v>
      </c>
      <c r="J33" s="166">
        <v>8.083</v>
      </c>
      <c r="K33" s="166">
        <v>8.233</v>
      </c>
      <c r="L33" s="166">
        <v>8.45</v>
      </c>
      <c r="M33" s="166">
        <v>9.04</v>
      </c>
      <c r="N33" s="166">
        <v>9.487</v>
      </c>
      <c r="O33" s="166">
        <v>9.852</v>
      </c>
      <c r="P33" s="166">
        <v>9.769</v>
      </c>
      <c r="Q33" s="166">
        <v>10.005</v>
      </c>
      <c r="R33" s="166">
        <v>10.358</v>
      </c>
      <c r="S33" s="166">
        <v>10.716</v>
      </c>
      <c r="T33" s="166">
        <v>10.921</v>
      </c>
      <c r="U33" s="166">
        <v>11.189</v>
      </c>
      <c r="V33" s="166">
        <v>11.543</v>
      </c>
      <c r="W33" s="166">
        <v>12.276</v>
      </c>
      <c r="X33" s="166">
        <f>13.017</f>
        <v>13.017</v>
      </c>
      <c r="Y33" s="166">
        <f>13.65</f>
        <v>13.65</v>
      </c>
      <c r="Z33" s="166">
        <v>14.226</v>
      </c>
      <c r="AA33" s="166">
        <v>14.93</v>
      </c>
      <c r="AB33" s="166">
        <f>15.536</f>
        <v>15.536</v>
      </c>
      <c r="AC33" s="166">
        <v>16.251</v>
      </c>
      <c r="AD33" s="166">
        <v>16.856</v>
      </c>
      <c r="AE33" s="166">
        <v>17.536</v>
      </c>
      <c r="AF33" s="168">
        <v>18.1</v>
      </c>
      <c r="AG33" s="887">
        <f t="shared" si="1"/>
        <v>3.216240875912419</v>
      </c>
      <c r="AH33" s="347" t="s">
        <v>71</v>
      </c>
    </row>
    <row r="34" spans="1:34" ht="12.75" customHeight="1">
      <c r="A34" s="8"/>
      <c r="B34" s="10" t="s">
        <v>72</v>
      </c>
      <c r="C34" s="732">
        <v>14.253</v>
      </c>
      <c r="D34" s="732">
        <v>12.796</v>
      </c>
      <c r="E34" s="126">
        <v>14.595</v>
      </c>
      <c r="F34" s="126">
        <v>14.555</v>
      </c>
      <c r="G34" s="126">
        <v>14.252</v>
      </c>
      <c r="H34" s="126">
        <v>14.127</v>
      </c>
      <c r="I34" s="126">
        <v>14.293</v>
      </c>
      <c r="J34" s="126">
        <v>14.577</v>
      </c>
      <c r="K34" s="126">
        <v>14.753</v>
      </c>
      <c r="L34" s="126">
        <v>14.838</v>
      </c>
      <c r="M34" s="126">
        <v>14.924</v>
      </c>
      <c r="N34" s="126">
        <v>14.869</v>
      </c>
      <c r="O34" s="126">
        <v>14.417</v>
      </c>
      <c r="P34" s="126">
        <v>14.246</v>
      </c>
      <c r="Q34" s="126">
        <v>14.013</v>
      </c>
      <c r="R34" s="126">
        <v>13.742</v>
      </c>
      <c r="S34" s="126">
        <v>13.363</v>
      </c>
      <c r="T34" s="126">
        <v>13.477</v>
      </c>
      <c r="U34" s="126">
        <v>13.643</v>
      </c>
      <c r="V34" s="126">
        <v>13.315</v>
      </c>
      <c r="W34" s="126">
        <v>13.474</v>
      </c>
      <c r="X34" s="126">
        <f>13.407</f>
        <v>13.407</v>
      </c>
      <c r="Y34" s="126">
        <v>13.873</v>
      </c>
      <c r="Z34" s="126">
        <v>13.947</v>
      </c>
      <c r="AA34" s="126">
        <v>14.203</v>
      </c>
      <c r="AB34" s="126">
        <v>13.986</v>
      </c>
      <c r="AC34" s="126">
        <v>13.992</v>
      </c>
      <c r="AD34" s="126">
        <v>14.114</v>
      </c>
      <c r="AE34" s="126">
        <v>13.89</v>
      </c>
      <c r="AF34" s="169">
        <v>14.4</v>
      </c>
      <c r="AG34" s="886">
        <f t="shared" si="1"/>
        <v>3.671706263498905</v>
      </c>
      <c r="AH34" s="312" t="s">
        <v>72</v>
      </c>
    </row>
    <row r="35" spans="1:34" ht="12.75" customHeight="1">
      <c r="A35" s="8"/>
      <c r="B35" s="157" t="s">
        <v>61</v>
      </c>
      <c r="C35" s="730">
        <v>84.2</v>
      </c>
      <c r="D35" s="730">
        <v>83.3</v>
      </c>
      <c r="E35" s="349">
        <v>75</v>
      </c>
      <c r="F35" s="349">
        <v>75.5</v>
      </c>
      <c r="G35" s="349">
        <v>76</v>
      </c>
      <c r="H35" s="350">
        <v>76.5</v>
      </c>
      <c r="I35" s="316">
        <f>74.5+2</f>
        <v>76.5</v>
      </c>
      <c r="J35" s="316">
        <f>73.8+2.1</f>
        <v>75.89999999999999</v>
      </c>
      <c r="K35" s="316">
        <f>76.6+2.1</f>
        <v>78.69999999999999</v>
      </c>
      <c r="L35" s="316">
        <f>78.6+2.1</f>
        <v>80.69999999999999</v>
      </c>
      <c r="M35" s="316">
        <f>80.1+2.2</f>
        <v>82.3</v>
      </c>
      <c r="N35" s="316">
        <f>83.6+2.2</f>
        <v>85.8</v>
      </c>
      <c r="O35" s="316">
        <f>86.3+2.3</f>
        <v>88.6</v>
      </c>
      <c r="P35" s="316">
        <f>88.5+2.3</f>
        <v>90.8</v>
      </c>
      <c r="Q35" s="316">
        <f>92.3+2.3</f>
        <v>94.6</v>
      </c>
      <c r="R35" s="316">
        <f>96.1+2.4</f>
        <v>98.5</v>
      </c>
      <c r="S35" s="316">
        <f>99.8+2.4</f>
        <v>102.2</v>
      </c>
      <c r="T35" s="316">
        <f>103+2.6</f>
        <v>105.6</v>
      </c>
      <c r="U35" s="316">
        <f>103.9+2.7</f>
        <v>106.60000000000001</v>
      </c>
      <c r="V35" s="316">
        <f>106.3+2.9</f>
        <v>109.2</v>
      </c>
      <c r="W35" s="316">
        <f>107.9+3</f>
        <v>110.9</v>
      </c>
      <c r="X35" s="316">
        <f>108.5+2.987</f>
        <v>111.487</v>
      </c>
      <c r="Y35" s="316">
        <f>108.5+3.035</f>
        <v>111.535</v>
      </c>
      <c r="Z35" s="316">
        <v>110.221</v>
      </c>
      <c r="AA35" s="316">
        <f>108+3.094</f>
        <v>111.094</v>
      </c>
      <c r="AB35" s="316">
        <f>108.3+3.315</f>
        <v>111.615</v>
      </c>
      <c r="AC35" s="316">
        <v>112.171</v>
      </c>
      <c r="AD35" s="316">
        <v>113.34</v>
      </c>
      <c r="AE35" s="316">
        <v>113.909</v>
      </c>
      <c r="AF35" s="170">
        <v>113.2</v>
      </c>
      <c r="AG35" s="351">
        <f t="shared" si="1"/>
        <v>-0.6224266739239255</v>
      </c>
      <c r="AH35" s="351" t="s">
        <v>61</v>
      </c>
    </row>
    <row r="36" spans="1:34" ht="12.75" customHeight="1">
      <c r="A36" s="8"/>
      <c r="B36" s="402" t="s">
        <v>252</v>
      </c>
      <c r="C36" s="162"/>
      <c r="D36" s="162"/>
      <c r="E36" s="345"/>
      <c r="F36" s="345"/>
      <c r="G36" s="345"/>
      <c r="H36" s="345">
        <v>7.582</v>
      </c>
      <c r="I36" s="126">
        <v>8.149</v>
      </c>
      <c r="J36" s="126">
        <v>6.651</v>
      </c>
      <c r="K36" s="126">
        <v>7.612</v>
      </c>
      <c r="L36" s="126">
        <v>8.747</v>
      </c>
      <c r="M36" s="126">
        <v>9.227</v>
      </c>
      <c r="N36" s="126">
        <v>12.306</v>
      </c>
      <c r="O36" s="126">
        <v>16.806</v>
      </c>
      <c r="P36" s="126">
        <v>20.813</v>
      </c>
      <c r="Q36" s="126">
        <v>21.026</v>
      </c>
      <c r="R36" s="126">
        <v>21.693</v>
      </c>
      <c r="S36" s="126">
        <v>25.066</v>
      </c>
      <c r="T36" s="126">
        <v>29.453</v>
      </c>
      <c r="U36" s="126">
        <v>35.973</v>
      </c>
      <c r="V36" s="126">
        <v>29.506</v>
      </c>
      <c r="W36" s="440">
        <v>6.645</v>
      </c>
      <c r="X36" s="126">
        <v>6.594</v>
      </c>
      <c r="Y36" s="126">
        <v>7.032</v>
      </c>
      <c r="Z36" s="126">
        <v>6.698</v>
      </c>
      <c r="AA36" s="126">
        <v>5.25</v>
      </c>
      <c r="AB36" s="126">
        <v>5.676</v>
      </c>
      <c r="AC36" s="126">
        <v>6.048</v>
      </c>
      <c r="AD36" s="126">
        <v>6.423</v>
      </c>
      <c r="AE36" s="126">
        <v>7.05</v>
      </c>
      <c r="AF36" s="169">
        <v>6.8</v>
      </c>
      <c r="AG36" s="886">
        <f t="shared" si="1"/>
        <v>-3.5460992907801483</v>
      </c>
      <c r="AH36" s="312" t="s">
        <v>252</v>
      </c>
    </row>
    <row r="37" spans="1:34" ht="12.75" customHeight="1">
      <c r="A37" s="8"/>
      <c r="B37" s="156" t="s">
        <v>240</v>
      </c>
      <c r="C37" s="163"/>
      <c r="D37" s="163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>
        <v>1.217</v>
      </c>
      <c r="AA37" s="166">
        <v>1.199</v>
      </c>
      <c r="AB37" s="166">
        <v>1.246</v>
      </c>
      <c r="AC37" s="166">
        <v>1.247</v>
      </c>
      <c r="AD37" s="166">
        <v>1.261</v>
      </c>
      <c r="AE37" s="166">
        <v>1.37</v>
      </c>
      <c r="AF37" s="168">
        <v>1.5</v>
      </c>
      <c r="AG37" s="887">
        <f t="shared" si="1"/>
        <v>9.489051094890513</v>
      </c>
      <c r="AH37" s="347" t="s">
        <v>240</v>
      </c>
    </row>
    <row r="38" spans="1:34" ht="12.75" customHeight="1">
      <c r="A38" s="8"/>
      <c r="B38" s="402" t="s">
        <v>1</v>
      </c>
      <c r="C38" s="162"/>
      <c r="D38" s="162"/>
      <c r="E38" s="126">
        <v>2.32</v>
      </c>
      <c r="F38" s="126">
        <v>2.576</v>
      </c>
      <c r="G38" s="126">
        <v>2.828</v>
      </c>
      <c r="H38" s="126">
        <v>2.921</v>
      </c>
      <c r="I38" s="126">
        <v>2.453</v>
      </c>
      <c r="J38" s="126">
        <v>2.541</v>
      </c>
      <c r="K38" s="126">
        <v>2.442</v>
      </c>
      <c r="L38" s="126">
        <v>2.43</v>
      </c>
      <c r="M38" s="126">
        <v>2.478</v>
      </c>
      <c r="N38" s="126">
        <v>2.479</v>
      </c>
      <c r="O38" s="126">
        <v>2.498</v>
      </c>
      <c r="P38" s="126">
        <v>2.62</v>
      </c>
      <c r="Q38" s="126">
        <v>2.497</v>
      </c>
      <c r="R38" s="126">
        <v>2.478</v>
      </c>
      <c r="S38" s="126">
        <v>2.176</v>
      </c>
      <c r="T38" s="126">
        <v>2.269</v>
      </c>
      <c r="U38" s="126">
        <v>2.22</v>
      </c>
      <c r="V38" s="126">
        <f>2.284</f>
        <v>2.284</v>
      </c>
      <c r="W38" s="126">
        <f>2.27</f>
        <v>2.27</v>
      </c>
      <c r="X38" s="126">
        <f>2.454</f>
        <v>2.454</v>
      </c>
      <c r="Y38" s="126">
        <f>2.695</f>
        <v>2.695</v>
      </c>
      <c r="Z38" s="126">
        <v>2.636</v>
      </c>
      <c r="AA38" s="126">
        <v>2.719</v>
      </c>
      <c r="AB38" s="126">
        <v>3.022</v>
      </c>
      <c r="AC38" s="126">
        <v>3.164</v>
      </c>
      <c r="AD38" s="126">
        <v>3.243</v>
      </c>
      <c r="AE38" s="126">
        <v>3.23</v>
      </c>
      <c r="AF38" s="169">
        <v>3.2</v>
      </c>
      <c r="AG38" s="886">
        <f t="shared" si="1"/>
        <v>-0.9287925696594357</v>
      </c>
      <c r="AH38" s="312" t="s">
        <v>1</v>
      </c>
    </row>
    <row r="39" spans="1:34" ht="12.75" customHeight="1">
      <c r="A39" s="8"/>
      <c r="B39" s="156" t="s">
        <v>239</v>
      </c>
      <c r="C39" s="163"/>
      <c r="D39" s="163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>
        <v>9.287</v>
      </c>
      <c r="Q39" s="166">
        <v>8.911</v>
      </c>
      <c r="R39" s="166">
        <v>9.144</v>
      </c>
      <c r="S39" s="166">
        <v>9.125</v>
      </c>
      <c r="T39" s="166">
        <v>9.696</v>
      </c>
      <c r="U39" s="166">
        <v>9.312</v>
      </c>
      <c r="V39" s="166">
        <v>8.887</v>
      </c>
      <c r="W39" s="166">
        <v>8.557</v>
      </c>
      <c r="X39" s="166">
        <v>8.853</v>
      </c>
      <c r="Y39" s="166">
        <v>8.034</v>
      </c>
      <c r="Z39" s="166">
        <v>8.805</v>
      </c>
      <c r="AA39" s="166">
        <v>8.834</v>
      </c>
      <c r="AB39" s="166">
        <v>9.019</v>
      </c>
      <c r="AC39" s="166">
        <v>9.044</v>
      </c>
      <c r="AD39" s="166">
        <v>9.482</v>
      </c>
      <c r="AE39" s="166">
        <v>9.626</v>
      </c>
      <c r="AF39" s="168">
        <v>9.9</v>
      </c>
      <c r="AG39" s="887">
        <f t="shared" si="1"/>
        <v>2.8464575109079675</v>
      </c>
      <c r="AH39" s="347" t="s">
        <v>239</v>
      </c>
    </row>
    <row r="40" spans="1:34" ht="12.75" customHeight="1">
      <c r="A40" s="8"/>
      <c r="B40" s="403" t="s">
        <v>57</v>
      </c>
      <c r="C40" s="164"/>
      <c r="D40" s="164"/>
      <c r="E40" s="127">
        <v>188.099</v>
      </c>
      <c r="F40" s="127">
        <v>202.605</v>
      </c>
      <c r="G40" s="127">
        <v>220.904</v>
      </c>
      <c r="H40" s="127">
        <v>244.154</v>
      </c>
      <c r="I40" s="127">
        <v>253.969</v>
      </c>
      <c r="J40" s="127">
        <v>263.248</v>
      </c>
      <c r="K40" s="127">
        <v>277.672</v>
      </c>
      <c r="L40" s="127">
        <v>298.953</v>
      </c>
      <c r="M40" s="127">
        <v>319.856</v>
      </c>
      <c r="N40" s="127">
        <v>333.869</v>
      </c>
      <c r="O40" s="127">
        <v>354.339</v>
      </c>
      <c r="P40" s="127">
        <v>358.687</v>
      </c>
      <c r="Q40" s="127">
        <v>361.797</v>
      </c>
      <c r="R40" s="127">
        <f>245.394+123.5</f>
        <v>368.894</v>
      </c>
      <c r="S40" s="127">
        <f>318.954+152.712</f>
        <v>471.666</v>
      </c>
      <c r="T40" s="127">
        <f>338.539+163.39</f>
        <v>501.929</v>
      </c>
      <c r="U40" s="127">
        <f>357.523+175.949</f>
        <v>533.472</v>
      </c>
      <c r="V40" s="127">
        <f>372.601+189.128</f>
        <v>561.729</v>
      </c>
      <c r="W40" s="127">
        <f>383.548+199.934</f>
        <v>583.482</v>
      </c>
      <c r="X40" s="127">
        <f>384.053+201.033</f>
        <v>585.086</v>
      </c>
      <c r="Y40" s="127">
        <f>386.973+208.51</f>
        <v>595.483</v>
      </c>
      <c r="Z40" s="127">
        <v>609.341</v>
      </c>
      <c r="AA40" s="127">
        <f>396.119+235.949</f>
        <v>632.068</v>
      </c>
      <c r="AB40" s="127">
        <f>421.848+219.885</f>
        <v>641.733</v>
      </c>
      <c r="AC40" s="127">
        <v>638.464</v>
      </c>
      <c r="AD40" s="127">
        <v>666.269</v>
      </c>
      <c r="AE40" s="127">
        <v>684.294</v>
      </c>
      <c r="AF40" s="184">
        <v>700.5</v>
      </c>
      <c r="AG40" s="315">
        <f t="shared" si="1"/>
        <v>2.3682803005725646</v>
      </c>
      <c r="AH40" s="315" t="s">
        <v>57</v>
      </c>
    </row>
    <row r="41" spans="1:34" ht="12.75" customHeight="1">
      <c r="A41" s="8"/>
      <c r="B41" s="156" t="s">
        <v>43</v>
      </c>
      <c r="C41" s="436"/>
      <c r="D41" s="436"/>
      <c r="E41" s="437">
        <v>1.328</v>
      </c>
      <c r="F41" s="437">
        <v>1.389</v>
      </c>
      <c r="G41" s="437">
        <v>1.157</v>
      </c>
      <c r="H41" s="437">
        <v>1.193</v>
      </c>
      <c r="I41" s="437">
        <v>1.249</v>
      </c>
      <c r="J41" s="437">
        <v>1.295</v>
      </c>
      <c r="K41" s="437">
        <v>1.363</v>
      </c>
      <c r="L41" s="437">
        <v>1.483</v>
      </c>
      <c r="M41" s="437">
        <v>1.544</v>
      </c>
      <c r="N41" s="437">
        <v>1.621</v>
      </c>
      <c r="O41" s="437">
        <v>1.673</v>
      </c>
      <c r="P41" s="437">
        <v>1.711</v>
      </c>
      <c r="Q41" s="437">
        <v>1.699</v>
      </c>
      <c r="R41" s="437">
        <v>1.709</v>
      </c>
      <c r="S41" s="437">
        <v>1.762</v>
      </c>
      <c r="T41" s="437">
        <v>1.899</v>
      </c>
      <c r="U41" s="437">
        <v>1.929</v>
      </c>
      <c r="V41" s="437">
        <v>1.943</v>
      </c>
      <c r="W41" s="437">
        <v>1.955</v>
      </c>
      <c r="X41" s="437">
        <v>1.888</v>
      </c>
      <c r="Y41" s="437">
        <v>1.916</v>
      </c>
      <c r="Z41" s="437">
        <v>1.972</v>
      </c>
      <c r="AA41" s="437">
        <v>2.084</v>
      </c>
      <c r="AB41" s="717">
        <v>2.179</v>
      </c>
      <c r="AC41" s="437">
        <v>2.3</v>
      </c>
      <c r="AD41" s="717">
        <v>2.463</v>
      </c>
      <c r="AE41" s="717">
        <v>2.862</v>
      </c>
      <c r="AF41" s="780">
        <v>3.13</v>
      </c>
      <c r="AG41" s="887">
        <f t="shared" si="1"/>
        <v>9.36408106219426</v>
      </c>
      <c r="AH41" s="347" t="s">
        <v>43</v>
      </c>
    </row>
    <row r="42" spans="1:34" ht="12.75" customHeight="1">
      <c r="A42" s="8"/>
      <c r="B42" s="402" t="s">
        <v>73</v>
      </c>
      <c r="C42" s="162"/>
      <c r="D42" s="162"/>
      <c r="E42" s="126">
        <v>21.222</v>
      </c>
      <c r="F42" s="126">
        <v>23.288</v>
      </c>
      <c r="G42" s="126">
        <v>26.76</v>
      </c>
      <c r="H42" s="126">
        <v>29.134</v>
      </c>
      <c r="I42" s="126">
        <v>30.547</v>
      </c>
      <c r="J42" s="126">
        <v>32.515</v>
      </c>
      <c r="K42" s="126">
        <v>33.959</v>
      </c>
      <c r="L42" s="126">
        <v>35.171</v>
      </c>
      <c r="M42" s="126">
        <v>36.218</v>
      </c>
      <c r="N42" s="126">
        <v>37.039</v>
      </c>
      <c r="O42" s="126">
        <v>36.686</v>
      </c>
      <c r="P42" s="126">
        <v>35.667</v>
      </c>
      <c r="Q42" s="126">
        <v>34.11</v>
      </c>
      <c r="R42" s="126">
        <v>32.374</v>
      </c>
      <c r="S42" s="126">
        <v>30.592</v>
      </c>
      <c r="T42" s="126">
        <v>28.783</v>
      </c>
      <c r="U42" s="126">
        <v>26.954</v>
      </c>
      <c r="V42" s="126">
        <v>25.204</v>
      </c>
      <c r="W42" s="126">
        <v>23.324</v>
      </c>
      <c r="X42" s="126">
        <v>21.474</v>
      </c>
      <c r="Y42" s="126">
        <v>20.348</v>
      </c>
      <c r="Z42" s="126">
        <v>19.24</v>
      </c>
      <c r="AA42" s="126">
        <v>18.22</v>
      </c>
      <c r="AB42" s="126">
        <f>17.584</f>
        <v>17.584</v>
      </c>
      <c r="AC42" s="126">
        <v>17.111</v>
      </c>
      <c r="AD42" s="126">
        <v>16.668</v>
      </c>
      <c r="AE42" s="126">
        <v>16.258</v>
      </c>
      <c r="AF42" s="169">
        <v>16</v>
      </c>
      <c r="AG42" s="886">
        <f t="shared" si="1"/>
        <v>-1.586911059170859</v>
      </c>
      <c r="AH42" s="312" t="s">
        <v>73</v>
      </c>
    </row>
    <row r="43" spans="1:34" ht="12.75" customHeight="1">
      <c r="A43" s="8"/>
      <c r="B43" s="156" t="s">
        <v>44</v>
      </c>
      <c r="C43" s="163"/>
      <c r="D43" s="163"/>
      <c r="E43" s="166">
        <v>31.18</v>
      </c>
      <c r="F43" s="166">
        <v>32.968</v>
      </c>
      <c r="G43" s="166">
        <v>34.136</v>
      </c>
      <c r="H43" s="166">
        <v>34.852</v>
      </c>
      <c r="I43" s="166">
        <v>35.676</v>
      </c>
      <c r="J43" s="166">
        <v>36.517</v>
      </c>
      <c r="K43" s="166">
        <v>37.662</v>
      </c>
      <c r="L43" s="166">
        <v>38.508</v>
      </c>
      <c r="M43" s="166">
        <v>39.012</v>
      </c>
      <c r="N43" s="166">
        <v>39.692</v>
      </c>
      <c r="O43" s="166">
        <v>40.26</v>
      </c>
      <c r="P43" s="166">
        <v>41.342</v>
      </c>
      <c r="Q43" s="166">
        <v>42.401</v>
      </c>
      <c r="R43" s="166">
        <v>43.629</v>
      </c>
      <c r="S43" s="166">
        <v>44.784</v>
      </c>
      <c r="T43" s="166">
        <v>45.785</v>
      </c>
      <c r="U43" s="166">
        <v>46.445</v>
      </c>
      <c r="V43" s="166">
        <v>48.026</v>
      </c>
      <c r="W43" s="166">
        <v>48.536</v>
      </c>
      <c r="X43" s="166">
        <f>50.675</f>
        <v>50.675</v>
      </c>
      <c r="Y43" s="166">
        <v>52.751</v>
      </c>
      <c r="Z43" s="166">
        <v>55.422</v>
      </c>
      <c r="AA43" s="166">
        <v>58.3</v>
      </c>
      <c r="AB43" s="166">
        <v>60.151</v>
      </c>
      <c r="AC43" s="166">
        <v>62.436</v>
      </c>
      <c r="AD43" s="166">
        <v>65.72</v>
      </c>
      <c r="AE43" s="166">
        <v>69.676</v>
      </c>
      <c r="AF43" s="168">
        <v>73.814</v>
      </c>
      <c r="AG43" s="887">
        <f t="shared" si="1"/>
        <v>5.938917274240765</v>
      </c>
      <c r="AH43" s="347" t="s">
        <v>44</v>
      </c>
    </row>
    <row r="44" spans="1:34" ht="12.75" customHeight="1">
      <c r="A44" s="8"/>
      <c r="B44" s="402" t="s">
        <v>83</v>
      </c>
      <c r="C44" s="164"/>
      <c r="D44" s="164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>
        <f>0.225-0.122</f>
        <v>0.10300000000000001</v>
      </c>
      <c r="P44" s="127">
        <f>0.224-0.111</f>
        <v>0.113</v>
      </c>
      <c r="Q44" s="127">
        <f>0.224-0.121</f>
        <v>0.10300000000000001</v>
      </c>
      <c r="R44" s="127">
        <f>0.226-0.127</f>
        <v>0.099</v>
      </c>
      <c r="S44" s="127">
        <f>0.237-0.135</f>
        <v>0.10199999999999998</v>
      </c>
      <c r="T44" s="127">
        <f>0.247-0.142</f>
        <v>0.10500000000000001</v>
      </c>
      <c r="U44" s="127">
        <f>0.239-0.133</f>
        <v>0.10599999999999998</v>
      </c>
      <c r="V44" s="127">
        <f>0.246-0.145</f>
        <v>0.101</v>
      </c>
      <c r="W44" s="127">
        <f>0.266-0.167</f>
        <v>0.099</v>
      </c>
      <c r="X44" s="127">
        <f>0.27-0.142-0.025</f>
        <v>0.10300000000000004</v>
      </c>
      <c r="Y44" s="127">
        <f>0.277-0.147-0.025</f>
        <v>0.10500000000000004</v>
      </c>
      <c r="Z44" s="127">
        <v>0.10499999999999998</v>
      </c>
      <c r="AA44" s="127">
        <f>0.057+0.029+0.019</f>
        <v>0.10500000000000001</v>
      </c>
      <c r="AB44" s="127">
        <f>0.059+0.023+0.019</f>
        <v>0.10099999999999999</v>
      </c>
      <c r="AC44" s="127">
        <v>0.101</v>
      </c>
      <c r="AD44" s="127">
        <v>0.103</v>
      </c>
      <c r="AE44" s="127">
        <v>0.098</v>
      </c>
      <c r="AF44" s="860">
        <v>0.1</v>
      </c>
      <c r="AG44" s="886">
        <f t="shared" si="1"/>
        <v>2.040816326530617</v>
      </c>
      <c r="AH44" s="315" t="s">
        <v>83</v>
      </c>
    </row>
    <row r="45" spans="1:34" ht="12.75" customHeight="1">
      <c r="A45" s="8"/>
      <c r="B45" s="1015" t="s">
        <v>228</v>
      </c>
      <c r="C45" s="1015"/>
      <c r="D45" s="1015"/>
      <c r="E45" s="1015"/>
      <c r="F45" s="1015"/>
      <c r="G45" s="1015"/>
      <c r="H45" s="1015"/>
      <c r="I45" s="1015"/>
      <c r="J45" s="1015"/>
      <c r="K45" s="1015"/>
      <c r="L45" s="1015"/>
      <c r="M45" s="1015"/>
      <c r="N45" s="1015"/>
      <c r="O45" s="1015"/>
      <c r="P45" s="1015"/>
      <c r="Q45" s="1015"/>
      <c r="R45" s="1015"/>
      <c r="S45" s="1015"/>
      <c r="T45" s="1015"/>
      <c r="U45" s="1015"/>
      <c r="V45" s="1015"/>
      <c r="W45" s="1015"/>
      <c r="X45" s="1015"/>
      <c r="Y45" s="1015"/>
      <c r="Z45" s="1015"/>
      <c r="AA45" s="1015"/>
      <c r="AB45" s="1015"/>
      <c r="AC45" s="1020"/>
      <c r="AD45" s="1020"/>
      <c r="AE45" s="1020"/>
      <c r="AF45" s="1020"/>
      <c r="AG45" s="1015"/>
      <c r="AH45" s="1015"/>
    </row>
    <row r="46" spans="1:34" ht="12.75" customHeight="1">
      <c r="A46" s="8"/>
      <c r="B46" s="1018" t="s">
        <v>175</v>
      </c>
      <c r="C46" s="1012"/>
      <c r="D46" s="1012"/>
      <c r="E46" s="1012"/>
      <c r="F46" s="1012"/>
      <c r="G46" s="1012"/>
      <c r="H46" s="1012"/>
      <c r="I46" s="1012"/>
      <c r="J46" s="1012"/>
      <c r="K46" s="1012"/>
      <c r="L46" s="1012"/>
      <c r="M46" s="1012"/>
      <c r="N46" s="1012"/>
      <c r="O46" s="1012"/>
      <c r="P46" s="1012"/>
      <c r="Q46" s="1012"/>
      <c r="R46" s="1012"/>
      <c r="S46" s="1012"/>
      <c r="T46" s="1012"/>
      <c r="U46" s="1012"/>
      <c r="V46" s="1012"/>
      <c r="W46" s="1012"/>
      <c r="X46" s="1012"/>
      <c r="Y46" s="1012"/>
      <c r="Z46" s="1012"/>
      <c r="AA46" s="1012"/>
      <c r="AB46" s="1012"/>
      <c r="AC46" s="1012"/>
      <c r="AD46" s="1012"/>
      <c r="AE46" s="1012"/>
      <c r="AF46" s="1012"/>
      <c r="AG46" s="1012"/>
      <c r="AH46" s="1012"/>
    </row>
    <row r="47" spans="2:34" ht="15.75" customHeight="1">
      <c r="B47" s="1012" t="s">
        <v>176</v>
      </c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2"/>
      <c r="U47" s="1012"/>
      <c r="V47" s="1012"/>
      <c r="W47" s="1012"/>
      <c r="X47" s="1012"/>
      <c r="Y47" s="1012"/>
      <c r="Z47" s="1012"/>
      <c r="AA47" s="1012"/>
      <c r="AB47" s="1012"/>
      <c r="AC47" s="1012"/>
      <c r="AD47" s="1012"/>
      <c r="AE47" s="1012"/>
      <c r="AF47" s="1012"/>
      <c r="AG47" s="1012"/>
      <c r="AH47" s="1012"/>
    </row>
    <row r="48" spans="2:34" ht="12.75" customHeight="1">
      <c r="B48" s="1012" t="s">
        <v>177</v>
      </c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2"/>
      <c r="U48" s="1012"/>
      <c r="V48" s="1012"/>
      <c r="W48" s="1012"/>
      <c r="X48" s="1012"/>
      <c r="Y48" s="1012"/>
      <c r="Z48" s="1012"/>
      <c r="AA48" s="1012"/>
      <c r="AB48" s="1012"/>
      <c r="AC48" s="1012"/>
      <c r="AD48" s="1012"/>
      <c r="AE48" s="1012"/>
      <c r="AF48" s="1012"/>
      <c r="AG48" s="1012"/>
      <c r="AH48" s="1012"/>
    </row>
    <row r="49" ht="12.75" customHeight="1">
      <c r="AC49" s="42"/>
    </row>
  </sheetData>
  <sheetProtection/>
  <mergeCells count="7">
    <mergeCell ref="B46:AH46"/>
    <mergeCell ref="B47:AH47"/>
    <mergeCell ref="B48:AH48"/>
    <mergeCell ref="B1:C1"/>
    <mergeCell ref="B2:AH2"/>
    <mergeCell ref="B3:AH3"/>
    <mergeCell ref="B45:AH45"/>
  </mergeCells>
  <printOptions horizontalCentered="1"/>
  <pageMargins left="0.39" right="0.39" top="0.5118110236220472" bottom="0.2755905511811024" header="0" footer="0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K99"/>
  <sheetViews>
    <sheetView zoomScalePageLayoutView="0" workbookViewId="0" topLeftCell="A18">
      <selection activeCell="AP18" sqref="AP18"/>
    </sheetView>
  </sheetViews>
  <sheetFormatPr defaultColWidth="9.140625" defaultRowHeight="12.75"/>
  <cols>
    <col min="1" max="1" width="3.7109375" style="3" customWidth="1"/>
    <col min="2" max="2" width="4.00390625" style="3" customWidth="1"/>
    <col min="3" max="3" width="6.7109375" style="2" customWidth="1"/>
    <col min="4" max="5" width="7.57421875" style="2" customWidth="1"/>
    <col min="6" max="18" width="7.57421875" style="3" customWidth="1"/>
    <col min="19" max="19" width="8.7109375" style="3" customWidth="1"/>
    <col min="20" max="20" width="8.57421875" style="3" customWidth="1"/>
    <col min="21" max="28" width="7.7109375" style="3" customWidth="1"/>
    <col min="29" max="29" width="7.7109375" style="2" customWidth="1"/>
    <col min="30" max="30" width="7.7109375" style="3" customWidth="1"/>
    <col min="31" max="31" width="7.7109375" style="766" customWidth="1"/>
    <col min="32" max="32" width="7.140625" style="766" customWidth="1"/>
    <col min="33" max="33" width="6.00390625" style="20" bestFit="1" customWidth="1"/>
    <col min="34" max="34" width="4.8515625" style="3" customWidth="1"/>
    <col min="35" max="16384" width="9.140625" style="3" customWidth="1"/>
  </cols>
  <sheetData>
    <row r="1" spans="2:34" ht="14.25" customHeight="1">
      <c r="B1" s="1008"/>
      <c r="C1" s="1008"/>
      <c r="D1" s="81"/>
      <c r="E1" s="132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AH1" s="17" t="s">
        <v>148</v>
      </c>
    </row>
    <row r="2" spans="2:34" s="56" customFormat="1" ht="30" customHeight="1">
      <c r="B2" s="1009" t="s">
        <v>14</v>
      </c>
      <c r="C2" s="1009"/>
      <c r="D2" s="1009"/>
      <c r="E2" s="1009"/>
      <c r="F2" s="1009"/>
      <c r="G2" s="1009"/>
      <c r="H2" s="1009"/>
      <c r="I2" s="1009"/>
      <c r="J2" s="1009"/>
      <c r="K2" s="1009"/>
      <c r="L2" s="1009"/>
      <c r="M2" s="1009"/>
      <c r="N2" s="1009"/>
      <c r="O2" s="1009"/>
      <c r="P2" s="1009"/>
      <c r="Q2" s="1009"/>
      <c r="R2" s="1009"/>
      <c r="S2" s="1009"/>
      <c r="T2" s="1009"/>
      <c r="U2" s="1009"/>
      <c r="V2" s="1009"/>
      <c r="W2" s="1009"/>
      <c r="X2" s="1009"/>
      <c r="Y2" s="1009"/>
      <c r="Z2" s="1009"/>
      <c r="AA2" s="1009"/>
      <c r="AB2" s="1009"/>
      <c r="AC2" s="1009"/>
      <c r="AD2" s="1009"/>
      <c r="AE2" s="1009"/>
      <c r="AF2" s="1009"/>
      <c r="AG2" s="1009"/>
      <c r="AH2" s="1009"/>
    </row>
    <row r="3" spans="2:34" s="82" customFormat="1" ht="15" customHeight="1">
      <c r="B3" s="1019" t="s">
        <v>112</v>
      </c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O3" s="1019"/>
      <c r="P3" s="1019"/>
      <c r="Q3" s="1019"/>
      <c r="R3" s="1019"/>
      <c r="S3" s="1019"/>
      <c r="T3" s="1019"/>
      <c r="U3" s="1019"/>
      <c r="V3" s="1019"/>
      <c r="W3" s="1019"/>
      <c r="X3" s="1019"/>
      <c r="Y3" s="1019"/>
      <c r="Z3" s="1019"/>
      <c r="AA3" s="1019"/>
      <c r="AB3" s="1019"/>
      <c r="AC3" s="1019"/>
      <c r="AD3" s="1019"/>
      <c r="AE3" s="1019"/>
      <c r="AF3" s="1019"/>
      <c r="AG3" s="1019"/>
      <c r="AH3" s="1019"/>
    </row>
    <row r="4" spans="2:34" ht="12.75" customHeight="1">
      <c r="B4" s="4"/>
      <c r="C4" s="4"/>
      <c r="E4" s="161"/>
      <c r="F4" s="161"/>
      <c r="G4" s="161"/>
      <c r="H4" s="161"/>
      <c r="I4" s="161"/>
      <c r="J4" s="22"/>
      <c r="K4" s="22"/>
      <c r="L4" s="22"/>
      <c r="M4" s="22"/>
      <c r="N4" s="22"/>
      <c r="O4" s="22"/>
      <c r="W4" s="34"/>
      <c r="X4" s="34"/>
      <c r="Y4" s="57"/>
      <c r="Z4" s="57"/>
      <c r="AA4" s="57"/>
      <c r="AB4" s="57"/>
      <c r="AC4" s="57"/>
      <c r="AD4" s="57"/>
      <c r="AF4" s="34" t="s">
        <v>3</v>
      </c>
      <c r="AH4" s="57"/>
    </row>
    <row r="5" spans="2:34" ht="19.5" customHeight="1">
      <c r="B5" s="98"/>
      <c r="C5" s="86">
        <v>1970</v>
      </c>
      <c r="D5" s="101">
        <v>1980</v>
      </c>
      <c r="E5" s="87">
        <v>1990</v>
      </c>
      <c r="F5" s="87">
        <v>1991</v>
      </c>
      <c r="G5" s="87">
        <v>1992</v>
      </c>
      <c r="H5" s="87">
        <v>1993</v>
      </c>
      <c r="I5" s="87">
        <v>1994</v>
      </c>
      <c r="J5" s="87">
        <v>1995</v>
      </c>
      <c r="K5" s="87">
        <v>1996</v>
      </c>
      <c r="L5" s="87">
        <v>1997</v>
      </c>
      <c r="M5" s="87">
        <v>1998</v>
      </c>
      <c r="N5" s="87">
        <v>1999</v>
      </c>
      <c r="O5" s="87">
        <v>2000</v>
      </c>
      <c r="P5" s="87">
        <v>2001</v>
      </c>
      <c r="Q5" s="87">
        <v>2002</v>
      </c>
      <c r="R5" s="87">
        <v>2003</v>
      </c>
      <c r="S5" s="87">
        <v>2004</v>
      </c>
      <c r="T5" s="87">
        <v>2005</v>
      </c>
      <c r="U5" s="87">
        <v>2006</v>
      </c>
      <c r="V5" s="87">
        <v>2007</v>
      </c>
      <c r="W5" s="87">
        <v>2008</v>
      </c>
      <c r="X5" s="87">
        <v>2009</v>
      </c>
      <c r="Y5" s="87">
        <v>2010</v>
      </c>
      <c r="Z5" s="87">
        <v>2011</v>
      </c>
      <c r="AA5" s="87">
        <v>2012</v>
      </c>
      <c r="AB5" s="87">
        <v>2013</v>
      </c>
      <c r="AC5" s="87">
        <v>2014</v>
      </c>
      <c r="AD5" s="87">
        <v>2015</v>
      </c>
      <c r="AE5" s="715">
        <v>2016</v>
      </c>
      <c r="AF5" s="715">
        <v>2017</v>
      </c>
      <c r="AG5" s="100" t="s">
        <v>297</v>
      </c>
      <c r="AH5" s="6"/>
    </row>
    <row r="6" spans="2:34" ht="9.75" customHeight="1">
      <c r="B6" s="99"/>
      <c r="C6" s="128"/>
      <c r="D6" s="102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165" t="s">
        <v>104</v>
      </c>
      <c r="AH6" s="6"/>
    </row>
    <row r="7" spans="2:34" ht="12.75" customHeight="1">
      <c r="B7" s="52" t="s">
        <v>253</v>
      </c>
      <c r="C7" s="459"/>
      <c r="D7" s="726"/>
      <c r="E7" s="460"/>
      <c r="F7" s="461"/>
      <c r="G7" s="461"/>
      <c r="H7" s="461"/>
      <c r="I7" s="461"/>
      <c r="J7" s="461">
        <f aca="true" t="shared" si="0" ref="J7:AA7">SUM(J8:J35)</f>
        <v>22862.21099999999</v>
      </c>
      <c r="K7" s="461">
        <f t="shared" si="0"/>
        <v>23596.626</v>
      </c>
      <c r="L7" s="461">
        <f t="shared" si="0"/>
        <v>24179.090000000007</v>
      </c>
      <c r="M7" s="461">
        <f t="shared" si="0"/>
        <v>24732.969999999998</v>
      </c>
      <c r="N7" s="461">
        <f t="shared" si="0"/>
        <v>25831.301</v>
      </c>
      <c r="O7" s="461">
        <f t="shared" si="0"/>
        <v>26957.101</v>
      </c>
      <c r="P7" s="461">
        <f t="shared" si="0"/>
        <v>27907.001999999997</v>
      </c>
      <c r="Q7" s="461">
        <f t="shared" si="0"/>
        <v>28682.799000000003</v>
      </c>
      <c r="R7" s="461">
        <f t="shared" si="0"/>
        <v>29317.591999999993</v>
      </c>
      <c r="S7" s="462">
        <f t="shared" si="0"/>
        <v>30211.679000000004</v>
      </c>
      <c r="T7" s="462">
        <f t="shared" si="0"/>
        <v>30941.732</v>
      </c>
      <c r="U7" s="461">
        <f t="shared" si="0"/>
        <v>31775.967</v>
      </c>
      <c r="V7" s="461">
        <f t="shared" si="0"/>
        <v>32860.403999999995</v>
      </c>
      <c r="W7" s="462">
        <f t="shared" si="0"/>
        <v>33378.856</v>
      </c>
      <c r="X7" s="461">
        <f t="shared" si="0"/>
        <v>35013.65200000001</v>
      </c>
      <c r="Y7" s="461">
        <f t="shared" si="0"/>
        <v>35205.447</v>
      </c>
      <c r="Z7" s="461">
        <f t="shared" si="0"/>
        <v>35562.051</v>
      </c>
      <c r="AA7" s="461">
        <f t="shared" si="0"/>
        <v>35580.83899999999</v>
      </c>
      <c r="AB7" s="461">
        <f>SUM(AB8:AB35)</f>
        <v>35763.353</v>
      </c>
      <c r="AC7" s="461">
        <f>SUM(AC8:AC35)</f>
        <v>36269.268000000004</v>
      </c>
      <c r="AD7" s="461">
        <f>SUM(AD8:AD35)</f>
        <v>36888.60300000001</v>
      </c>
      <c r="AE7" s="792">
        <f>SUM(AE8:AE35)</f>
        <v>37626.732</v>
      </c>
      <c r="AF7" s="792">
        <f>SUM(AF8:AF35)</f>
        <v>38387.509999999995</v>
      </c>
      <c r="AG7" s="897">
        <f>AF7/AE7*100-100</f>
        <v>2.021908253950926</v>
      </c>
      <c r="AH7" s="52" t="s">
        <v>253</v>
      </c>
    </row>
    <row r="8" spans="2:34" ht="12.75" customHeight="1">
      <c r="B8" s="9" t="s">
        <v>62</v>
      </c>
      <c r="C8" s="463">
        <v>251.405</v>
      </c>
      <c r="D8" s="727">
        <v>299.084</v>
      </c>
      <c r="E8" s="464">
        <v>380.37899999999996</v>
      </c>
      <c r="F8" s="465">
        <v>401.452</v>
      </c>
      <c r="G8" s="465">
        <v>404.325</v>
      </c>
      <c r="H8" s="465">
        <v>426.915</v>
      </c>
      <c r="I8" s="465">
        <v>442.055</v>
      </c>
      <c r="J8" s="465">
        <v>442.463</v>
      </c>
      <c r="K8" s="465">
        <v>457.16</v>
      </c>
      <c r="L8" s="465">
        <v>476.583</v>
      </c>
      <c r="M8" s="465">
        <v>495.464</v>
      </c>
      <c r="N8" s="465">
        <v>524.088</v>
      </c>
      <c r="O8" s="466">
        <v>588.843</v>
      </c>
      <c r="P8" s="465">
        <v>615.037</v>
      </c>
      <c r="Q8" s="465">
        <v>591.383</v>
      </c>
      <c r="R8" s="465">
        <v>610.322</v>
      </c>
      <c r="S8" s="465">
        <v>637.259</v>
      </c>
      <c r="T8" s="465">
        <v>662.346</v>
      </c>
      <c r="U8" s="465">
        <v>678.551</v>
      </c>
      <c r="V8" s="465">
        <f>537.64+106.108+48.04</f>
        <v>691.788</v>
      </c>
      <c r="W8" s="465">
        <f>557.457+106.141+49.088</f>
        <v>712.6859999999999</v>
      </c>
      <c r="X8" s="465">
        <f>572.074+105.372+47.408</f>
        <v>724.8539999999999</v>
      </c>
      <c r="Y8" s="465">
        <f>586.889+111.209+46.663</f>
        <v>744.761</v>
      </c>
      <c r="Z8" s="465">
        <f>610.315+111.249+46.816</f>
        <v>768.3800000000001</v>
      </c>
      <c r="AA8" s="465">
        <f>622.29+109.963+45.999</f>
        <v>778.252</v>
      </c>
      <c r="AB8" s="465">
        <f>641.224+108.78+47.978</f>
        <v>797.982</v>
      </c>
      <c r="AC8" s="465">
        <f>657.398+108.013+48.41</f>
        <v>813.821</v>
      </c>
      <c r="AD8" s="465">
        <f>680.834+107.514+49.741</f>
        <v>838.0889999999999</v>
      </c>
      <c r="AE8" s="793">
        <f>709.836+103.916+46.006</f>
        <v>859.7579999999999</v>
      </c>
      <c r="AF8" s="861">
        <f>741.045+103.131+43.308</f>
        <v>887.4839999999999</v>
      </c>
      <c r="AG8" s="898">
        <f aca="true" t="shared" si="1" ref="AG8:AG44">AF8/AE8*100-100</f>
        <v>3.224860949243862</v>
      </c>
      <c r="AH8" s="9" t="s">
        <v>62</v>
      </c>
    </row>
    <row r="9" spans="2:34" ht="12.75" customHeight="1">
      <c r="B9" s="51" t="s">
        <v>45</v>
      </c>
      <c r="C9" s="468"/>
      <c r="D9" s="471" t="s">
        <v>82</v>
      </c>
      <c r="E9" s="469">
        <v>161.6</v>
      </c>
      <c r="F9" s="469">
        <v>174.2</v>
      </c>
      <c r="G9" s="469">
        <v>187.4</v>
      </c>
      <c r="H9" s="469">
        <v>203.942</v>
      </c>
      <c r="I9" s="469">
        <v>214.756</v>
      </c>
      <c r="J9" s="469">
        <v>223.17700000000002</v>
      </c>
      <c r="K9" s="469">
        <v>229.84</v>
      </c>
      <c r="L9" s="469">
        <v>232.76600000000002</v>
      </c>
      <c r="M9" s="469">
        <v>242.268</v>
      </c>
      <c r="N9" s="469">
        <v>251.5</v>
      </c>
      <c r="O9" s="469">
        <v>259.39</v>
      </c>
      <c r="P9" s="469">
        <v>269.586</v>
      </c>
      <c r="Q9" s="469">
        <v>279.858</v>
      </c>
      <c r="R9" s="469">
        <v>293.487</v>
      </c>
      <c r="S9" s="469">
        <v>317.681</v>
      </c>
      <c r="T9" s="470">
        <v>333.866</v>
      </c>
      <c r="U9" s="469">
        <v>226.09199999999998</v>
      </c>
      <c r="V9" s="469">
        <v>261.31600000000003</v>
      </c>
      <c r="W9" s="469">
        <v>299.161</v>
      </c>
      <c r="X9" s="469">
        <v>317.808</v>
      </c>
      <c r="Y9" s="469">
        <v>333.5</v>
      </c>
      <c r="Z9" s="469">
        <v>347.561</v>
      </c>
      <c r="AA9" s="469">
        <v>367.029</v>
      </c>
      <c r="AB9" s="469">
        <v>388</v>
      </c>
      <c r="AC9" s="469">
        <v>411.8</v>
      </c>
      <c r="AD9" s="469">
        <v>444.40000000000003</v>
      </c>
      <c r="AE9" s="469">
        <v>456.8</v>
      </c>
      <c r="AF9" s="505">
        <v>423.2</v>
      </c>
      <c r="AG9" s="899">
        <f t="shared" si="1"/>
        <v>-7.355516637478104</v>
      </c>
      <c r="AH9" s="51" t="s">
        <v>45</v>
      </c>
    </row>
    <row r="10" spans="1:34" ht="12.75" customHeight="1">
      <c r="A10" s="8"/>
      <c r="B10" s="10" t="s">
        <v>47</v>
      </c>
      <c r="C10" s="472"/>
      <c r="D10" s="728"/>
      <c r="E10" s="473"/>
      <c r="F10" s="474"/>
      <c r="G10" s="474"/>
      <c r="H10" s="474">
        <v>183.964</v>
      </c>
      <c r="I10" s="475">
        <v>199.635</v>
      </c>
      <c r="J10" s="475">
        <v>219.311</v>
      </c>
      <c r="K10" s="475">
        <v>242.959</v>
      </c>
      <c r="L10" s="475">
        <v>265.372</v>
      </c>
      <c r="M10" s="475">
        <v>280.31100000000004</v>
      </c>
      <c r="N10" s="475">
        <v>289.41</v>
      </c>
      <c r="O10" s="475">
        <v>298.286</v>
      </c>
      <c r="P10" s="475">
        <v>321.23499999999996</v>
      </c>
      <c r="Q10" s="475">
        <v>349.495</v>
      </c>
      <c r="R10" s="475">
        <v>365.746</v>
      </c>
      <c r="S10" s="475">
        <v>396.206</v>
      </c>
      <c r="T10" s="475">
        <v>439.161</v>
      </c>
      <c r="U10" s="475">
        <v>490.904</v>
      </c>
      <c r="V10" s="475">
        <v>554.831</v>
      </c>
      <c r="W10" s="475">
        <v>607.4119999999999</v>
      </c>
      <c r="X10" s="475">
        <v>601.767</v>
      </c>
      <c r="Y10" s="475">
        <v>597.966</v>
      </c>
      <c r="Z10" s="475">
        <v>597.2320000000001</v>
      </c>
      <c r="AA10" s="475">
        <v>604.155</v>
      </c>
      <c r="AB10" s="475">
        <f>593.439+7.626</f>
        <v>601.0649999999999</v>
      </c>
      <c r="AC10" s="475">
        <f>608.711+6.621</f>
        <v>615.332</v>
      </c>
      <c r="AD10" s="475">
        <f>646.792+5.283</f>
        <v>652.075</v>
      </c>
      <c r="AE10" s="475">
        <f>667.705+4.488</f>
        <v>672.1930000000001</v>
      </c>
      <c r="AF10" s="894">
        <v>693.5</v>
      </c>
      <c r="AG10" s="898">
        <f t="shared" si="1"/>
        <v>3.1697741571244933</v>
      </c>
      <c r="AH10" s="10" t="s">
        <v>47</v>
      </c>
    </row>
    <row r="11" spans="1:34" ht="12.75" customHeight="1">
      <c r="A11" s="8"/>
      <c r="B11" s="51" t="s">
        <v>58</v>
      </c>
      <c r="C11" s="468">
        <v>245</v>
      </c>
      <c r="D11" s="471">
        <v>249</v>
      </c>
      <c r="E11" s="469">
        <v>286.613</v>
      </c>
      <c r="F11" s="469">
        <v>298.312</v>
      </c>
      <c r="G11" s="469">
        <v>304.205</v>
      </c>
      <c r="H11" s="469">
        <v>312.274</v>
      </c>
      <c r="I11" s="469">
        <v>322.032</v>
      </c>
      <c r="J11" s="469">
        <v>333.758</v>
      </c>
      <c r="K11" s="469">
        <v>339.897</v>
      </c>
      <c r="L11" s="469">
        <v>345.972</v>
      </c>
      <c r="M11" s="469">
        <v>357.633</v>
      </c>
      <c r="N11" s="469">
        <v>373.258</v>
      </c>
      <c r="O11" s="469">
        <v>384.85</v>
      </c>
      <c r="P11" s="469">
        <v>392.26</v>
      </c>
      <c r="Q11" s="469">
        <v>401.762</v>
      </c>
      <c r="R11" s="469">
        <v>412.813</v>
      </c>
      <c r="S11" s="469">
        <v>436.147</v>
      </c>
      <c r="T11" s="469">
        <v>469.52299999999997</v>
      </c>
      <c r="U11" s="469">
        <v>508.774</v>
      </c>
      <c r="V11" s="469">
        <v>536.55</v>
      </c>
      <c r="W11" s="469">
        <v>531.403</v>
      </c>
      <c r="X11" s="469">
        <v>507.861</v>
      </c>
      <c r="Y11" s="469">
        <v>485.109</v>
      </c>
      <c r="Z11" s="469">
        <v>469.248</v>
      </c>
      <c r="AA11" s="469">
        <v>459.557</v>
      </c>
      <c r="AB11" s="469">
        <f>402.352+29.215+12.858</f>
        <v>444.42499999999995</v>
      </c>
      <c r="AC11" s="469">
        <f>398.066+28.628+12.867</f>
        <v>439.561</v>
      </c>
      <c r="AD11" s="469">
        <f>395.649+28.309+13.127</f>
        <v>437.08500000000004</v>
      </c>
      <c r="AE11" s="469">
        <f>397.001+28.326+13.64</f>
        <v>438.967</v>
      </c>
      <c r="AF11" s="505">
        <v>437.939</v>
      </c>
      <c r="AG11" s="899">
        <f t="shared" si="1"/>
        <v>-0.2341861688919522</v>
      </c>
      <c r="AH11" s="51" t="s">
        <v>58</v>
      </c>
    </row>
    <row r="12" spans="1:34" ht="12.75" customHeight="1">
      <c r="A12" s="8"/>
      <c r="B12" s="10" t="s">
        <v>63</v>
      </c>
      <c r="C12" s="476">
        <v>1188</v>
      </c>
      <c r="D12" s="480">
        <v>1511</v>
      </c>
      <c r="E12" s="474">
        <v>1653</v>
      </c>
      <c r="F12" s="474">
        <v>1660</v>
      </c>
      <c r="G12" s="477">
        <v>1849</v>
      </c>
      <c r="H12" s="474">
        <v>2188.983</v>
      </c>
      <c r="I12" s="474">
        <v>2289.4100000000003</v>
      </c>
      <c r="J12" s="474">
        <v>2378.712</v>
      </c>
      <c r="K12" s="477">
        <v>2428.959</v>
      </c>
      <c r="L12" s="474">
        <v>2181.9970000000003</v>
      </c>
      <c r="M12" s="474">
        <v>2267.022</v>
      </c>
      <c r="N12" s="474">
        <v>2361.722</v>
      </c>
      <c r="O12" s="474">
        <v>2419.107</v>
      </c>
      <c r="P12" s="474">
        <v>2427.686</v>
      </c>
      <c r="Q12" s="474">
        <v>2397.622</v>
      </c>
      <c r="R12" s="474">
        <v>2385.0750000000003</v>
      </c>
      <c r="S12" s="474">
        <v>2385.286</v>
      </c>
      <c r="T12" s="477">
        <v>2404.9049999999997</v>
      </c>
      <c r="U12" s="477">
        <v>2471.221</v>
      </c>
      <c r="V12" s="478">
        <v>2502.999</v>
      </c>
      <c r="W12" s="474">
        <v>2523.5609999999997</v>
      </c>
      <c r="X12" s="474">
        <v>2556.01</v>
      </c>
      <c r="Y12" s="474">
        <v>2619.427</v>
      </c>
      <c r="Z12" s="474">
        <v>2712.977</v>
      </c>
      <c r="AA12" s="474">
        <v>2761.396</v>
      </c>
      <c r="AB12" s="474">
        <f>2629.209+184.589</f>
        <v>2813.798</v>
      </c>
      <c r="AC12" s="474">
        <f>2701.343+188.481</f>
        <v>2889.8239999999996</v>
      </c>
      <c r="AD12" s="474">
        <f>2800.78+194.386</f>
        <v>2995.166</v>
      </c>
      <c r="AE12" s="795">
        <f>2911.907+201.984</f>
        <v>3113.891</v>
      </c>
      <c r="AF12" s="895">
        <v>3242.08</v>
      </c>
      <c r="AG12" s="898">
        <f t="shared" si="1"/>
        <v>4.116682311615904</v>
      </c>
      <c r="AH12" s="10" t="s">
        <v>63</v>
      </c>
    </row>
    <row r="13" spans="1:34" ht="12.75" customHeight="1">
      <c r="A13" s="8"/>
      <c r="B13" s="51" t="s">
        <v>48</v>
      </c>
      <c r="C13" s="468"/>
      <c r="D13" s="471">
        <v>51.1</v>
      </c>
      <c r="E13" s="469">
        <v>67.7</v>
      </c>
      <c r="F13" s="469">
        <v>77.1</v>
      </c>
      <c r="G13" s="469">
        <v>74.6</v>
      </c>
      <c r="H13" s="469">
        <v>74.1</v>
      </c>
      <c r="I13" s="469">
        <v>53.7</v>
      </c>
      <c r="J13" s="469">
        <v>65.598</v>
      </c>
      <c r="K13" s="469">
        <v>71.304</v>
      </c>
      <c r="L13" s="469">
        <v>76.605</v>
      </c>
      <c r="M13" s="469">
        <v>80.617</v>
      </c>
      <c r="N13" s="469">
        <v>81.03</v>
      </c>
      <c r="O13" s="469">
        <v>82.119</v>
      </c>
      <c r="P13" s="469">
        <v>80.535</v>
      </c>
      <c r="Q13" s="469">
        <v>80.179</v>
      </c>
      <c r="R13" s="469">
        <v>83.43</v>
      </c>
      <c r="S13" s="469">
        <v>85.732</v>
      </c>
      <c r="T13" s="470">
        <v>86.201</v>
      </c>
      <c r="U13" s="470">
        <v>92.86</v>
      </c>
      <c r="V13" s="469">
        <v>80.28</v>
      </c>
      <c r="W13" s="469">
        <v>83.35</v>
      </c>
      <c r="X13" s="469">
        <v>81.1</v>
      </c>
      <c r="Y13" s="469">
        <v>81.2</v>
      </c>
      <c r="Z13" s="469">
        <v>84.337</v>
      </c>
      <c r="AA13" s="469">
        <v>88.045</v>
      </c>
      <c r="AB13" s="469">
        <v>92.2</v>
      </c>
      <c r="AC13" s="469">
        <v>96.6</v>
      </c>
      <c r="AD13" s="469">
        <v>101.8</v>
      </c>
      <c r="AE13" s="469">
        <f>108.2</f>
        <v>108.2</v>
      </c>
      <c r="AF13" s="505">
        <v>114.8</v>
      </c>
      <c r="AG13" s="899">
        <f t="shared" si="1"/>
        <v>6.0998151571164385</v>
      </c>
      <c r="AH13" s="51" t="s">
        <v>48</v>
      </c>
    </row>
    <row r="14" spans="1:34" ht="12.75" customHeight="1">
      <c r="A14" s="8"/>
      <c r="B14" s="10" t="s">
        <v>66</v>
      </c>
      <c r="C14" s="476">
        <v>49</v>
      </c>
      <c r="D14" s="480">
        <v>65</v>
      </c>
      <c r="E14" s="474">
        <v>143.166</v>
      </c>
      <c r="F14" s="474">
        <v>148.331</v>
      </c>
      <c r="G14" s="474">
        <v>144.798</v>
      </c>
      <c r="H14" s="474">
        <v>135.225</v>
      </c>
      <c r="I14" s="474">
        <v>135.809</v>
      </c>
      <c r="J14" s="474">
        <v>141.785</v>
      </c>
      <c r="K14" s="474">
        <v>146.601</v>
      </c>
      <c r="L14" s="474">
        <v>158.158</v>
      </c>
      <c r="M14" s="474">
        <v>170.866</v>
      </c>
      <c r="N14" s="474">
        <v>188.814</v>
      </c>
      <c r="O14" s="474">
        <v>205.575</v>
      </c>
      <c r="P14" s="474">
        <v>219.51</v>
      </c>
      <c r="Q14" s="474">
        <v>233.069</v>
      </c>
      <c r="R14" s="474">
        <v>251.13</v>
      </c>
      <c r="S14" s="474">
        <v>268.082</v>
      </c>
      <c r="T14" s="474">
        <v>286.548</v>
      </c>
      <c r="U14" s="474">
        <v>318.604</v>
      </c>
      <c r="V14" s="474">
        <v>345.874</v>
      </c>
      <c r="W14" s="474">
        <v>351.307</v>
      </c>
      <c r="X14" s="474">
        <v>343.94</v>
      </c>
      <c r="Y14" s="474">
        <v>327.096</v>
      </c>
      <c r="Z14" s="474">
        <v>320.996</v>
      </c>
      <c r="AA14" s="474">
        <v>309.219</v>
      </c>
      <c r="AB14" s="474">
        <v>317.849</v>
      </c>
      <c r="AC14" s="474">
        <v>317.378</v>
      </c>
      <c r="AD14" s="474">
        <v>330.541</v>
      </c>
      <c r="AE14" s="474">
        <v>342.259</v>
      </c>
      <c r="AF14" s="479">
        <v>349.143</v>
      </c>
      <c r="AG14" s="898">
        <f t="shared" si="1"/>
        <v>2.0113422875658387</v>
      </c>
      <c r="AH14" s="10" t="s">
        <v>66</v>
      </c>
    </row>
    <row r="15" spans="1:34" ht="12.75" customHeight="1">
      <c r="A15" s="8"/>
      <c r="B15" s="51" t="s">
        <v>59</v>
      </c>
      <c r="C15" s="468">
        <v>105</v>
      </c>
      <c r="D15" s="471">
        <v>401</v>
      </c>
      <c r="E15" s="469">
        <v>766.429</v>
      </c>
      <c r="F15" s="469">
        <v>792.77</v>
      </c>
      <c r="G15" s="469">
        <v>797.788</v>
      </c>
      <c r="H15" s="469">
        <v>825.697</v>
      </c>
      <c r="I15" s="469">
        <v>849.033</v>
      </c>
      <c r="J15" s="469">
        <v>883.823</v>
      </c>
      <c r="K15" s="469">
        <v>914.827</v>
      </c>
      <c r="L15" s="469">
        <v>951.785</v>
      </c>
      <c r="M15" s="469">
        <v>987.357</v>
      </c>
      <c r="N15" s="469">
        <v>1023.987</v>
      </c>
      <c r="O15" s="469">
        <v>1057.422</v>
      </c>
      <c r="P15" s="469">
        <v>1085.811</v>
      </c>
      <c r="Q15" s="469">
        <v>1109.137</v>
      </c>
      <c r="R15" s="469">
        <v>1131.027</v>
      </c>
      <c r="S15" s="469">
        <v>1159.137</v>
      </c>
      <c r="T15" s="469">
        <v>1186.483</v>
      </c>
      <c r="U15" s="469">
        <v>1219.889</v>
      </c>
      <c r="V15" s="469">
        <v>1255.945</v>
      </c>
      <c r="W15" s="469">
        <v>1289.525</v>
      </c>
      <c r="X15" s="469">
        <v>1302.43</v>
      </c>
      <c r="Y15" s="469">
        <v>1318.768</v>
      </c>
      <c r="Z15" s="469">
        <v>1321.296</v>
      </c>
      <c r="AA15" s="469">
        <v>1318.918</v>
      </c>
      <c r="AB15" s="469">
        <v>1315.836</v>
      </c>
      <c r="AC15" s="469">
        <v>1322.604</v>
      </c>
      <c r="AD15" s="469">
        <v>1332.823</v>
      </c>
      <c r="AE15" s="469">
        <v>1343.83</v>
      </c>
      <c r="AF15" s="505">
        <v>1344.062</v>
      </c>
      <c r="AG15" s="899">
        <f t="shared" si="1"/>
        <v>0.017264088463562643</v>
      </c>
      <c r="AH15" s="51" t="s">
        <v>59</v>
      </c>
    </row>
    <row r="16" spans="1:34" ht="12.75" customHeight="1">
      <c r="A16" s="8"/>
      <c r="B16" s="10" t="s">
        <v>64</v>
      </c>
      <c r="C16" s="476">
        <v>710</v>
      </c>
      <c r="D16" s="480">
        <v>1362.424</v>
      </c>
      <c r="E16" s="474">
        <v>2401.085</v>
      </c>
      <c r="F16" s="474">
        <v>2568.429</v>
      </c>
      <c r="G16" s="474">
        <v>2726.191</v>
      </c>
      <c r="H16" s="474">
        <v>2812.6099999999997</v>
      </c>
      <c r="I16" s="474">
        <v>2905.75</v>
      </c>
      <c r="J16" s="474">
        <v>3024.246</v>
      </c>
      <c r="K16" s="474">
        <v>3151.904</v>
      </c>
      <c r="L16" s="474">
        <v>3310.0950000000003</v>
      </c>
      <c r="M16" s="474">
        <v>3509.7509999999997</v>
      </c>
      <c r="N16" s="474">
        <v>3735.188</v>
      </c>
      <c r="O16" s="474">
        <v>3923.176</v>
      </c>
      <c r="P16" s="474">
        <v>4104.9580000000005</v>
      </c>
      <c r="Q16" s="477">
        <v>4258.889</v>
      </c>
      <c r="R16" s="474">
        <v>4363.4169999999995</v>
      </c>
      <c r="S16" s="474">
        <v>4603.418</v>
      </c>
      <c r="T16" s="474">
        <v>4849.619</v>
      </c>
      <c r="U16" s="474">
        <v>5087.311</v>
      </c>
      <c r="V16" s="474">
        <v>5353.283</v>
      </c>
      <c r="W16" s="474">
        <v>5405.585</v>
      </c>
      <c r="X16" s="474">
        <v>5342.9439999999995</v>
      </c>
      <c r="Y16" s="474">
        <v>5303.465999999999</v>
      </c>
      <c r="Z16" s="474">
        <v>5256.751</v>
      </c>
      <c r="AA16" s="474">
        <f>4984.722+186.964</f>
        <v>5171.686</v>
      </c>
      <c r="AB16" s="474">
        <f>4887.352+182.822</f>
        <v>5070.174</v>
      </c>
      <c r="AC16" s="474">
        <f>4839.484+186.06</f>
        <v>5025.544000000001</v>
      </c>
      <c r="AD16" s="474">
        <f>4851.518+195.657</f>
        <v>5047.175</v>
      </c>
      <c r="AE16" s="474">
        <f>4879.48+207.889</f>
        <v>5087.369</v>
      </c>
      <c r="AF16" s="479">
        <f>4924.476+218.154</f>
        <v>5142.629999999999</v>
      </c>
      <c r="AG16" s="898">
        <f t="shared" si="1"/>
        <v>1.0862392722053187</v>
      </c>
      <c r="AH16" s="10" t="s">
        <v>64</v>
      </c>
    </row>
    <row r="17" spans="1:34" ht="12.75" customHeight="1">
      <c r="A17" s="8"/>
      <c r="B17" s="51" t="s">
        <v>65</v>
      </c>
      <c r="C17" s="468">
        <v>1504</v>
      </c>
      <c r="D17" s="471">
        <v>2591</v>
      </c>
      <c r="E17" s="469">
        <v>4840</v>
      </c>
      <c r="F17" s="469">
        <v>4941</v>
      </c>
      <c r="G17" s="469">
        <v>4959</v>
      </c>
      <c r="H17" s="469">
        <v>4989</v>
      </c>
      <c r="I17" s="469">
        <v>5062</v>
      </c>
      <c r="J17" s="469">
        <v>5116</v>
      </c>
      <c r="K17" s="469">
        <v>5173</v>
      </c>
      <c r="L17" s="469">
        <v>5298</v>
      </c>
      <c r="M17" s="481">
        <v>4951.165</v>
      </c>
      <c r="N17" s="469">
        <v>5038.224</v>
      </c>
      <c r="O17" s="469">
        <v>5151.686</v>
      </c>
      <c r="P17" s="469">
        <v>5252.29</v>
      </c>
      <c r="Q17" s="469">
        <v>5292.553</v>
      </c>
      <c r="R17" s="469">
        <v>5298.447</v>
      </c>
      <c r="S17" s="469">
        <v>5314.842</v>
      </c>
      <c r="T17" s="469">
        <v>5346.693</v>
      </c>
      <c r="U17" s="469">
        <v>5344.792</v>
      </c>
      <c r="V17" s="469">
        <v>5476.045</v>
      </c>
      <c r="W17" s="469">
        <v>5212.01</v>
      </c>
      <c r="X17" s="481">
        <v>6747.689</v>
      </c>
      <c r="Y17" s="469">
        <v>6704.587</v>
      </c>
      <c r="Z17" s="469">
        <v>6689.435</v>
      </c>
      <c r="AA17" s="469">
        <v>6699.391</v>
      </c>
      <c r="AB17" s="469">
        <v>6785.348</v>
      </c>
      <c r="AC17" s="469">
        <v>6813.338</v>
      </c>
      <c r="AD17" s="469">
        <v>6791.636</v>
      </c>
      <c r="AE17" s="469">
        <v>6739.579</v>
      </c>
      <c r="AF17" s="505">
        <f>6536.558+205.602</f>
        <v>6742.16</v>
      </c>
      <c r="AG17" s="899">
        <f t="shared" si="1"/>
        <v>0.03829616063555363</v>
      </c>
      <c r="AH17" s="51" t="s">
        <v>65</v>
      </c>
    </row>
    <row r="18" spans="1:34" ht="12.75" customHeight="1">
      <c r="A18" s="8"/>
      <c r="B18" s="10" t="s">
        <v>76</v>
      </c>
      <c r="C18" s="476"/>
      <c r="D18" s="480"/>
      <c r="E18" s="474"/>
      <c r="F18" s="474"/>
      <c r="G18" s="474"/>
      <c r="H18" s="474">
        <v>51.117000000000004</v>
      </c>
      <c r="I18" s="474">
        <v>64.438</v>
      </c>
      <c r="J18" s="474">
        <v>73.497</v>
      </c>
      <c r="K18" s="474">
        <v>94.921</v>
      </c>
      <c r="L18" s="474">
        <v>109.73400000000001</v>
      </c>
      <c r="M18" s="474">
        <v>115.768</v>
      </c>
      <c r="N18" s="474">
        <v>118.70400000000001</v>
      </c>
      <c r="O18" s="474">
        <v>122.516</v>
      </c>
      <c r="P18" s="474">
        <v>129.497</v>
      </c>
      <c r="Q18" s="474">
        <v>138.74300000000002</v>
      </c>
      <c r="R18" s="474">
        <v>148.27499999999998</v>
      </c>
      <c r="S18" s="474">
        <v>154.79</v>
      </c>
      <c r="T18" s="474">
        <v>162.877</v>
      </c>
      <c r="U18" s="474">
        <v>169.69799999999998</v>
      </c>
      <c r="V18" s="474">
        <v>176.703</v>
      </c>
      <c r="W18" s="474">
        <v>180.30100000000002</v>
      </c>
      <c r="X18" s="474">
        <v>164.761</v>
      </c>
      <c r="Y18" s="474">
        <v>157.731</v>
      </c>
      <c r="Z18" s="474">
        <v>154.884</v>
      </c>
      <c r="AA18" s="474">
        <v>141.567</v>
      </c>
      <c r="AB18" s="474">
        <v>141.491</v>
      </c>
      <c r="AC18" s="474">
        <v>143.66</v>
      </c>
      <c r="AD18" s="474">
        <v>149.006</v>
      </c>
      <c r="AE18" s="474">
        <f>146.23+10.443</f>
        <v>156.673</v>
      </c>
      <c r="AF18" s="479">
        <f>156.724+11.334</f>
        <v>168.058</v>
      </c>
      <c r="AG18" s="898">
        <f t="shared" si="1"/>
        <v>7.266727515270645</v>
      </c>
      <c r="AH18" s="10" t="s">
        <v>76</v>
      </c>
    </row>
    <row r="19" spans="1:34" ht="12.75" customHeight="1">
      <c r="A19" s="8"/>
      <c r="B19" s="156" t="s">
        <v>67</v>
      </c>
      <c r="C19" s="483"/>
      <c r="D19" s="482">
        <v>1290.687</v>
      </c>
      <c r="E19" s="484">
        <v>2207.903</v>
      </c>
      <c r="F19" s="484">
        <v>2292.928</v>
      </c>
      <c r="G19" s="484">
        <v>2359.847</v>
      </c>
      <c r="H19" s="484">
        <v>2389.17</v>
      </c>
      <c r="I19" s="484">
        <v>2446.323</v>
      </c>
      <c r="J19" s="484">
        <v>2509.893</v>
      </c>
      <c r="K19" s="484">
        <v>2640.102</v>
      </c>
      <c r="L19" s="484">
        <v>2719.804</v>
      </c>
      <c r="M19" s="484">
        <v>2828.003</v>
      </c>
      <c r="N19" s="484">
        <v>2946.806</v>
      </c>
      <c r="O19" s="484">
        <v>3087.008</v>
      </c>
      <c r="P19" s="484">
        <v>3234.466</v>
      </c>
      <c r="Q19" s="484">
        <v>3429.882</v>
      </c>
      <c r="R19" s="484">
        <v>3590.305</v>
      </c>
      <c r="S19" s="484">
        <v>3645.046</v>
      </c>
      <c r="T19" s="484">
        <v>3785.913</v>
      </c>
      <c r="U19" s="484">
        <v>3914.797</v>
      </c>
      <c r="V19" s="484">
        <v>3996.907</v>
      </c>
      <c r="W19" s="484">
        <v>4072.005</v>
      </c>
      <c r="X19" s="484">
        <v>4102.589</v>
      </c>
      <c r="Y19" s="484">
        <v>4141.791</v>
      </c>
      <c r="Z19" s="484">
        <v>4181.895</v>
      </c>
      <c r="AA19" s="484">
        <v>4143.766</v>
      </c>
      <c r="AB19" s="484">
        <f>3938.026+149.563</f>
        <v>4087.589</v>
      </c>
      <c r="AC19" s="484">
        <f>3930.858+150.086</f>
        <v>4080.9440000000004</v>
      </c>
      <c r="AD19" s="484">
        <f>3943.964+153.858</f>
        <v>4097.822</v>
      </c>
      <c r="AE19" s="484">
        <f>4018.708+162.092</f>
        <v>4180.8</v>
      </c>
      <c r="AF19" s="516">
        <f>4083.348+173.057</f>
        <v>4256.405</v>
      </c>
      <c r="AG19" s="899">
        <f t="shared" si="1"/>
        <v>1.8083859548411567</v>
      </c>
      <c r="AH19" s="156" t="s">
        <v>67</v>
      </c>
    </row>
    <row r="20" spans="1:34" ht="12.75" customHeight="1">
      <c r="A20" s="8"/>
      <c r="B20" s="10" t="s">
        <v>46</v>
      </c>
      <c r="C20" s="476"/>
      <c r="D20" s="480">
        <v>23.6</v>
      </c>
      <c r="E20" s="474">
        <v>74.325</v>
      </c>
      <c r="F20" s="474"/>
      <c r="G20" s="474"/>
      <c r="H20" s="474"/>
      <c r="I20" s="474"/>
      <c r="J20" s="474">
        <v>101.184</v>
      </c>
      <c r="K20" s="474">
        <v>104.04</v>
      </c>
      <c r="L20" s="474">
        <v>105.657</v>
      </c>
      <c r="M20" s="474">
        <v>109.294</v>
      </c>
      <c r="N20" s="474">
        <v>111.135</v>
      </c>
      <c r="O20" s="474">
        <v>114.666</v>
      </c>
      <c r="P20" s="474">
        <v>117.947</v>
      </c>
      <c r="Q20" s="474">
        <v>117.792</v>
      </c>
      <c r="R20" s="474">
        <v>119.646</v>
      </c>
      <c r="S20" s="474">
        <v>117.825</v>
      </c>
      <c r="T20" s="474">
        <v>118.355</v>
      </c>
      <c r="U20" s="474">
        <v>115.723</v>
      </c>
      <c r="V20" s="474">
        <v>117.498</v>
      </c>
      <c r="W20" s="474">
        <v>121.779</v>
      </c>
      <c r="X20" s="474">
        <v>124.097</v>
      </c>
      <c r="Y20" s="474">
        <v>120.69</v>
      </c>
      <c r="Z20" s="474">
        <v>118.003</v>
      </c>
      <c r="AA20" s="474">
        <v>113.743</v>
      </c>
      <c r="AB20" s="474">
        <v>109.069</v>
      </c>
      <c r="AC20" s="474">
        <v>104.446</v>
      </c>
      <c r="AD20" s="474">
        <v>103.836</v>
      </c>
      <c r="AE20" s="474">
        <v>106.304</v>
      </c>
      <c r="AF20" s="479">
        <v>107.745</v>
      </c>
      <c r="AG20" s="898">
        <f t="shared" si="1"/>
        <v>1.355546357615907</v>
      </c>
      <c r="AH20" s="10" t="s">
        <v>46</v>
      </c>
    </row>
    <row r="21" spans="1:34" ht="12.75" customHeight="1">
      <c r="A21" s="8"/>
      <c r="B21" s="156" t="s">
        <v>50</v>
      </c>
      <c r="C21" s="483"/>
      <c r="D21" s="482"/>
      <c r="E21" s="484"/>
      <c r="F21" s="484"/>
      <c r="G21" s="484"/>
      <c r="H21" s="484"/>
      <c r="I21" s="484">
        <v>66.436</v>
      </c>
      <c r="J21" s="484">
        <v>68.668</v>
      </c>
      <c r="K21" s="484">
        <v>72.909</v>
      </c>
      <c r="L21" s="484">
        <v>76.771</v>
      </c>
      <c r="M21" s="484">
        <v>84.942</v>
      </c>
      <c r="N21" s="484">
        <v>90.22</v>
      </c>
      <c r="O21" s="484">
        <v>97.081</v>
      </c>
      <c r="P21" s="484">
        <v>99.708</v>
      </c>
      <c r="Q21" s="484">
        <v>102.734</v>
      </c>
      <c r="R21" s="484">
        <v>104.626</v>
      </c>
      <c r="S21" s="484">
        <v>107.553</v>
      </c>
      <c r="T21" s="484">
        <v>113.113</v>
      </c>
      <c r="U21" s="484">
        <v>121.12</v>
      </c>
      <c r="V21" s="484">
        <v>129.614</v>
      </c>
      <c r="W21" s="484">
        <v>129.805</v>
      </c>
      <c r="X21" s="484">
        <v>120.571</v>
      </c>
      <c r="Y21" s="485">
        <v>71.575</v>
      </c>
      <c r="Z21" s="484">
        <v>72.622</v>
      </c>
      <c r="AA21" s="484">
        <v>76.303</v>
      </c>
      <c r="AB21" s="484">
        <v>79.899</v>
      </c>
      <c r="AC21" s="484">
        <v>83.205</v>
      </c>
      <c r="AD21" s="484">
        <v>85.998</v>
      </c>
      <c r="AE21" s="484">
        <v>84.067</v>
      </c>
      <c r="AF21" s="516">
        <v>87.1</v>
      </c>
      <c r="AG21" s="899">
        <f t="shared" si="1"/>
        <v>3.60783660651623</v>
      </c>
      <c r="AH21" s="156" t="s">
        <v>50</v>
      </c>
    </row>
    <row r="22" spans="1:34" ht="12.75" customHeight="1">
      <c r="A22" s="8"/>
      <c r="B22" s="10" t="s">
        <v>51</v>
      </c>
      <c r="C22" s="476"/>
      <c r="D22" s="480">
        <v>65.7</v>
      </c>
      <c r="E22" s="474">
        <v>83</v>
      </c>
      <c r="F22" s="486">
        <f>E22+(H22-E22)*1/3</f>
        <v>88.257</v>
      </c>
      <c r="G22" s="486">
        <f>E22+(H22-E22)*2/3</f>
        <v>93.514</v>
      </c>
      <c r="H22" s="474">
        <v>98.771</v>
      </c>
      <c r="I22" s="474">
        <v>101.06</v>
      </c>
      <c r="J22" s="474">
        <v>108.89099999999999</v>
      </c>
      <c r="K22" s="474">
        <v>89.283</v>
      </c>
      <c r="L22" s="474">
        <v>93.66999999999999</v>
      </c>
      <c r="M22" s="474">
        <v>99.454</v>
      </c>
      <c r="N22" s="474">
        <v>96.576</v>
      </c>
      <c r="O22" s="474">
        <v>98.613</v>
      </c>
      <c r="P22" s="474">
        <v>100.38900000000001</v>
      </c>
      <c r="Q22" s="474">
        <v>105.545</v>
      </c>
      <c r="R22" s="474">
        <v>110.517</v>
      </c>
      <c r="S22" s="474">
        <v>115.677</v>
      </c>
      <c r="T22" s="474">
        <v>122.486</v>
      </c>
      <c r="U22" s="474">
        <v>135.546</v>
      </c>
      <c r="V22" s="474">
        <v>147.583</v>
      </c>
      <c r="W22" s="474">
        <v>150.108</v>
      </c>
      <c r="X22" s="474">
        <v>146.32500000000002</v>
      </c>
      <c r="Y22" s="474">
        <v>133.921</v>
      </c>
      <c r="Z22" s="474">
        <v>136.779</v>
      </c>
      <c r="AA22" s="474">
        <v>138.935</v>
      </c>
      <c r="AB22" s="474">
        <f>115.367+27.671</f>
        <v>143.038</v>
      </c>
      <c r="AC22" s="478">
        <f>76.169+23.51</f>
        <v>99.679</v>
      </c>
      <c r="AD22" s="474">
        <f>78.115+24.781</f>
        <v>102.89599999999999</v>
      </c>
      <c r="AE22" s="474">
        <f>81.258+28.138</f>
        <v>109.396</v>
      </c>
      <c r="AF22" s="479">
        <f>84.6+30.9</f>
        <v>115.5</v>
      </c>
      <c r="AG22" s="898">
        <f t="shared" si="1"/>
        <v>5.579728692091109</v>
      </c>
      <c r="AH22" s="10" t="s">
        <v>51</v>
      </c>
    </row>
    <row r="23" spans="1:34" ht="12.75" customHeight="1">
      <c r="A23" s="8"/>
      <c r="B23" s="156" t="s">
        <v>68</v>
      </c>
      <c r="C23" s="483">
        <v>9</v>
      </c>
      <c r="D23" s="482">
        <v>9</v>
      </c>
      <c r="E23" s="484">
        <v>11.275</v>
      </c>
      <c r="F23" s="484">
        <v>12</v>
      </c>
      <c r="G23" s="484">
        <v>13</v>
      </c>
      <c r="H23" s="484">
        <v>14.641</v>
      </c>
      <c r="I23" s="484">
        <v>15.398</v>
      </c>
      <c r="J23" s="484">
        <v>15.794</v>
      </c>
      <c r="K23" s="484">
        <v>18.380000000000003</v>
      </c>
      <c r="L23" s="484">
        <v>19.378</v>
      </c>
      <c r="M23" s="484">
        <v>20.796</v>
      </c>
      <c r="N23" s="484">
        <v>22.563</v>
      </c>
      <c r="O23" s="484">
        <v>24.667</v>
      </c>
      <c r="P23" s="484">
        <v>26.304000000000002</v>
      </c>
      <c r="Q23" s="484">
        <v>26.953</v>
      </c>
      <c r="R23" s="484">
        <v>27.929</v>
      </c>
      <c r="S23" s="484">
        <v>28.426</v>
      </c>
      <c r="T23" s="484">
        <v>29.588</v>
      </c>
      <c r="U23" s="484">
        <v>30.735000000000003</v>
      </c>
      <c r="V23" s="484">
        <v>32.519999999999996</v>
      </c>
      <c r="W23" s="484">
        <v>34.408</v>
      </c>
      <c r="X23" s="484">
        <v>34.736</v>
      </c>
      <c r="Y23" s="484">
        <v>35.628</v>
      </c>
      <c r="Z23" s="484">
        <v>36.813</v>
      </c>
      <c r="AA23" s="484">
        <f>27.046+5.339+4.934</f>
        <v>37.318999999999996</v>
      </c>
      <c r="AB23" s="484">
        <f>27.635+5.298+4.726</f>
        <v>37.659</v>
      </c>
      <c r="AC23" s="484">
        <f>28.521+5.311+4.602</f>
        <v>38.434</v>
      </c>
      <c r="AD23" s="484">
        <f>29.668+5.404+4.502</f>
        <v>39.574000000000005</v>
      </c>
      <c r="AE23" s="484">
        <f>31.138+5.594+4.516</f>
        <v>41.248</v>
      </c>
      <c r="AF23" s="516">
        <v>43.2</v>
      </c>
      <c r="AG23" s="899">
        <f t="shared" si="1"/>
        <v>4.732350659425919</v>
      </c>
      <c r="AH23" s="156" t="s">
        <v>68</v>
      </c>
    </row>
    <row r="24" spans="1:34" ht="12.75" customHeight="1">
      <c r="A24" s="8"/>
      <c r="B24" s="10" t="s">
        <v>49</v>
      </c>
      <c r="C24" s="476"/>
      <c r="D24" s="480">
        <v>197</v>
      </c>
      <c r="E24" s="474">
        <v>262</v>
      </c>
      <c r="F24" s="474"/>
      <c r="G24" s="474"/>
      <c r="H24" s="474"/>
      <c r="I24" s="474"/>
      <c r="J24" s="487">
        <v>277.97400000000005</v>
      </c>
      <c r="K24" s="488">
        <v>282.204</v>
      </c>
      <c r="L24" s="488">
        <v>295.383</v>
      </c>
      <c r="M24" s="488">
        <v>319.779</v>
      </c>
      <c r="N24" s="488">
        <v>332.503</v>
      </c>
      <c r="O24" s="488">
        <v>352.628</v>
      </c>
      <c r="P24" s="488">
        <v>366.213</v>
      </c>
      <c r="Q24" s="488">
        <v>381.432</v>
      </c>
      <c r="R24" s="488">
        <v>392.029</v>
      </c>
      <c r="S24" s="488">
        <v>395.96200000000005</v>
      </c>
      <c r="T24" s="488">
        <v>412.92100000000005</v>
      </c>
      <c r="U24" s="488">
        <v>429.457</v>
      </c>
      <c r="V24" s="488">
        <v>444.495</v>
      </c>
      <c r="W24" s="488">
        <v>455.891</v>
      </c>
      <c r="X24" s="488">
        <v>452.523</v>
      </c>
      <c r="Y24" s="488">
        <v>451.321</v>
      </c>
      <c r="Z24" s="488">
        <f>402.501+50.262</f>
        <v>452.763</v>
      </c>
      <c r="AA24" s="488">
        <f>401.723+52.596</f>
        <v>454.319</v>
      </c>
      <c r="AB24" s="488">
        <f>406.56+56.089</f>
        <v>462.649</v>
      </c>
      <c r="AC24" s="761">
        <f>417.536+60.875</f>
        <v>478.411</v>
      </c>
      <c r="AD24" s="488">
        <f>431.795+64.442</f>
        <v>496.237</v>
      </c>
      <c r="AE24" s="488">
        <f>448.961+68.117</f>
        <v>517.078</v>
      </c>
      <c r="AF24" s="896">
        <f>469.948+72.579</f>
        <v>542.5269999999999</v>
      </c>
      <c r="AG24" s="898">
        <f t="shared" si="1"/>
        <v>4.921694599267411</v>
      </c>
      <c r="AH24" s="10" t="s">
        <v>49</v>
      </c>
    </row>
    <row r="25" spans="1:34" ht="12.75" customHeight="1">
      <c r="A25" s="8"/>
      <c r="B25" s="156" t="s">
        <v>52</v>
      </c>
      <c r="C25" s="483"/>
      <c r="D25" s="482" t="s">
        <v>82</v>
      </c>
      <c r="E25" s="484" t="s">
        <v>82</v>
      </c>
      <c r="F25" s="484"/>
      <c r="G25" s="484"/>
      <c r="H25" s="484">
        <v>34.024</v>
      </c>
      <c r="I25" s="484">
        <v>37.601</v>
      </c>
      <c r="J25" s="484">
        <v>40.835</v>
      </c>
      <c r="K25" s="484">
        <v>38.431</v>
      </c>
      <c r="L25" s="484">
        <v>46.312</v>
      </c>
      <c r="M25" s="484">
        <v>48.403</v>
      </c>
      <c r="N25" s="484">
        <v>50.047</v>
      </c>
      <c r="O25" s="484">
        <v>51.463</v>
      </c>
      <c r="P25" s="484">
        <v>43.663</v>
      </c>
      <c r="Q25" s="484">
        <v>43.852000000000004</v>
      </c>
      <c r="R25" s="484">
        <v>44.657</v>
      </c>
      <c r="S25" s="484">
        <v>44.575</v>
      </c>
      <c r="T25" s="484">
        <v>44.371</v>
      </c>
      <c r="U25" s="484">
        <v>45.505</v>
      </c>
      <c r="V25" s="484">
        <v>46.853</v>
      </c>
      <c r="W25" s="484">
        <v>48.21</v>
      </c>
      <c r="X25" s="484">
        <v>47.212</v>
      </c>
      <c r="Y25" s="485">
        <f>41.257+1.197</f>
        <v>42.454</v>
      </c>
      <c r="Z25" s="484">
        <f>41.391+1.148</f>
        <v>42.539</v>
      </c>
      <c r="AA25" s="484">
        <f>41.155+1.09</f>
        <v>42.245000000000005</v>
      </c>
      <c r="AB25" s="484">
        <f>41.72+1.13</f>
        <v>42.85</v>
      </c>
      <c r="AC25" s="484">
        <f>42.417+1.157</f>
        <v>43.574</v>
      </c>
      <c r="AD25" s="484">
        <f>43.281+1.125</f>
        <v>44.406</v>
      </c>
      <c r="AE25" s="484">
        <f>44.194+1.144</f>
        <v>45.338</v>
      </c>
      <c r="AF25" s="516">
        <f>45.94+1.131</f>
        <v>47.071</v>
      </c>
      <c r="AG25" s="899">
        <f t="shared" si="1"/>
        <v>3.8224006352287176</v>
      </c>
      <c r="AH25" s="156" t="s">
        <v>52</v>
      </c>
    </row>
    <row r="26" spans="1:34" ht="12.75" customHeight="1">
      <c r="A26" s="8"/>
      <c r="B26" s="10" t="s">
        <v>60</v>
      </c>
      <c r="C26" s="476">
        <v>286</v>
      </c>
      <c r="D26" s="480">
        <v>314</v>
      </c>
      <c r="E26" s="474">
        <v>553</v>
      </c>
      <c r="F26" s="474">
        <v>578</v>
      </c>
      <c r="G26" s="474">
        <v>619</v>
      </c>
      <c r="H26" s="474">
        <v>641</v>
      </c>
      <c r="I26" s="474">
        <v>644</v>
      </c>
      <c r="J26" s="474">
        <v>654</v>
      </c>
      <c r="K26" s="474">
        <v>684</v>
      </c>
      <c r="L26" s="474">
        <v>727</v>
      </c>
      <c r="M26" s="474">
        <v>795</v>
      </c>
      <c r="N26" s="474">
        <v>836.047</v>
      </c>
      <c r="O26" s="474">
        <v>898.9979999999999</v>
      </c>
      <c r="P26" s="474">
        <v>942.3130000000001</v>
      </c>
      <c r="Q26" s="474">
        <v>980.267</v>
      </c>
      <c r="R26" s="474">
        <v>1009.642</v>
      </c>
      <c r="S26" s="474">
        <v>1035.593</v>
      </c>
      <c r="T26" s="474">
        <v>1004.5060000000001</v>
      </c>
      <c r="U26" s="474">
        <v>995.733</v>
      </c>
      <c r="V26" s="474">
        <v>1010.402</v>
      </c>
      <c r="W26" s="474">
        <v>1025.906</v>
      </c>
      <c r="X26" s="474">
        <v>1017.2829999999999</v>
      </c>
      <c r="Y26" s="474">
        <v>1003.9649999999999</v>
      </c>
      <c r="Z26" s="474">
        <v>990.698</v>
      </c>
      <c r="AA26" s="474">
        <v>969.639</v>
      </c>
      <c r="AB26" s="474">
        <f>815.169+65.046+71.063</f>
        <v>951.278</v>
      </c>
      <c r="AC26" s="474">
        <f>814.954+63.356+70.533</f>
        <v>948.843</v>
      </c>
      <c r="AD26" s="474">
        <f>828.383+62.436+72.245</f>
        <v>963.0640000000001</v>
      </c>
      <c r="AE26" s="474">
        <f>852.632+62.155+74.218</f>
        <v>989.0049999999999</v>
      </c>
      <c r="AF26" s="479">
        <f>883.35+62.581+77.075</f>
        <v>1023.0060000000001</v>
      </c>
      <c r="AG26" s="898">
        <f t="shared" si="1"/>
        <v>3.437899707281588</v>
      </c>
      <c r="AH26" s="10" t="s">
        <v>60</v>
      </c>
    </row>
    <row r="27" spans="1:34" ht="12.75" customHeight="1">
      <c r="A27" s="8"/>
      <c r="B27" s="156" t="s">
        <v>69</v>
      </c>
      <c r="C27" s="483">
        <v>122.29</v>
      </c>
      <c r="D27" s="482">
        <v>189.25</v>
      </c>
      <c r="E27" s="484">
        <v>261.84</v>
      </c>
      <c r="F27" s="484">
        <v>269.279</v>
      </c>
      <c r="G27" s="484">
        <v>279.945</v>
      </c>
      <c r="H27" s="484">
        <v>286.67900000000003</v>
      </c>
      <c r="I27" s="484">
        <v>294.92499999999995</v>
      </c>
      <c r="J27" s="484">
        <v>302.90700000000004</v>
      </c>
      <c r="K27" s="484">
        <v>306.917</v>
      </c>
      <c r="L27" s="484">
        <v>315.058</v>
      </c>
      <c r="M27" s="484">
        <v>325.335</v>
      </c>
      <c r="N27" s="484">
        <v>335.772</v>
      </c>
      <c r="O27" s="484">
        <v>344.466</v>
      </c>
      <c r="P27" s="489">
        <v>349.67</v>
      </c>
      <c r="Q27" s="484">
        <v>338.794</v>
      </c>
      <c r="R27" s="484">
        <v>345.621</v>
      </c>
      <c r="S27" s="484">
        <v>353.055</v>
      </c>
      <c r="T27" s="484">
        <v>358.049</v>
      </c>
      <c r="U27" s="484">
        <v>364.32300000000004</v>
      </c>
      <c r="V27" s="484">
        <v>372.64500000000004</v>
      </c>
      <c r="W27" s="484">
        <v>381.338</v>
      </c>
      <c r="X27" s="484">
        <v>387.972</v>
      </c>
      <c r="Y27" s="484">
        <v>396.78799999999995</v>
      </c>
      <c r="Z27" s="484">
        <v>407.452</v>
      </c>
      <c r="AA27" s="484">
        <v>416.535</v>
      </c>
      <c r="AB27" s="484">
        <f>408.56+16.192</f>
        <v>424.752</v>
      </c>
      <c r="AC27" s="484">
        <f>418.594+16.321</f>
        <v>434.915</v>
      </c>
      <c r="AD27" s="484">
        <f>427.515+16.508</f>
        <v>444.02299999999997</v>
      </c>
      <c r="AE27" s="484">
        <f>440.368+16.846</f>
        <v>457.214</v>
      </c>
      <c r="AF27" s="516">
        <v>476.3</v>
      </c>
      <c r="AG27" s="899">
        <f t="shared" si="1"/>
        <v>4.174412856999126</v>
      </c>
      <c r="AH27" s="156" t="s">
        <v>69</v>
      </c>
    </row>
    <row r="28" spans="1:34" ht="12.75" customHeight="1">
      <c r="A28" s="8"/>
      <c r="B28" s="10" t="s">
        <v>53</v>
      </c>
      <c r="C28" s="476"/>
      <c r="D28" s="480" t="s">
        <v>82</v>
      </c>
      <c r="E28" s="474" t="s">
        <v>82</v>
      </c>
      <c r="F28" s="474"/>
      <c r="G28" s="474"/>
      <c r="H28" s="474">
        <v>999.845</v>
      </c>
      <c r="I28" s="474">
        <v>1053.979</v>
      </c>
      <c r="J28" s="474">
        <v>1354.099</v>
      </c>
      <c r="K28" s="474">
        <v>1431.357</v>
      </c>
      <c r="L28" s="474">
        <v>1487.4389999999999</v>
      </c>
      <c r="M28" s="474">
        <v>1562.814</v>
      </c>
      <c r="N28" s="474">
        <v>1682.887</v>
      </c>
      <c r="O28" s="474">
        <v>1879.068</v>
      </c>
      <c r="P28" s="474">
        <v>1979.293</v>
      </c>
      <c r="Q28" s="474">
        <v>2162.614</v>
      </c>
      <c r="R28" s="474">
        <v>2313.4190000000003</v>
      </c>
      <c r="S28" s="474">
        <v>2391.605</v>
      </c>
      <c r="T28" s="474">
        <v>2304.505</v>
      </c>
      <c r="U28" s="474">
        <v>2392.658</v>
      </c>
      <c r="V28" s="474">
        <v>2520.5480000000002</v>
      </c>
      <c r="W28" s="474">
        <v>2709.697</v>
      </c>
      <c r="X28" s="474">
        <v>2796.7670000000003</v>
      </c>
      <c r="Y28" s="474">
        <v>2981.616</v>
      </c>
      <c r="Z28" s="474">
        <v>3130.729</v>
      </c>
      <c r="AA28" s="474">
        <v>3178.005</v>
      </c>
      <c r="AB28" s="474">
        <f>2962.064+280.42</f>
        <v>3242.484</v>
      </c>
      <c r="AC28" s="474">
        <f>3037.427+303.189</f>
        <v>3340.616</v>
      </c>
      <c r="AD28" s="474">
        <f>3098.376+329.589</f>
        <v>3427.965</v>
      </c>
      <c r="AE28" s="474">
        <f>3179.655+362.624</f>
        <v>3542.2790000000005</v>
      </c>
      <c r="AF28" s="479">
        <v>3640</v>
      </c>
      <c r="AG28" s="898">
        <f t="shared" si="1"/>
        <v>2.7587042127398718</v>
      </c>
      <c r="AH28" s="10" t="s">
        <v>53</v>
      </c>
    </row>
    <row r="29" spans="1:34" ht="12.75" customHeight="1">
      <c r="A29" s="8"/>
      <c r="B29" s="156" t="s">
        <v>70</v>
      </c>
      <c r="C29" s="483">
        <v>157</v>
      </c>
      <c r="D29" s="482">
        <v>350</v>
      </c>
      <c r="E29" s="484">
        <v>781</v>
      </c>
      <c r="F29" s="484">
        <v>847</v>
      </c>
      <c r="G29" s="484">
        <v>928</v>
      </c>
      <c r="H29" s="489">
        <v>1011</v>
      </c>
      <c r="I29" s="484">
        <v>868.246</v>
      </c>
      <c r="J29" s="484">
        <v>912.29</v>
      </c>
      <c r="K29" s="484">
        <v>969.699</v>
      </c>
      <c r="L29" s="484">
        <v>1076.556</v>
      </c>
      <c r="M29" s="484">
        <v>1105.287</v>
      </c>
      <c r="N29" s="484">
        <v>1232.312</v>
      </c>
      <c r="O29" s="484">
        <v>1313.223</v>
      </c>
      <c r="P29" s="484">
        <v>1401.305</v>
      </c>
      <c r="Q29" s="484">
        <v>1377.335</v>
      </c>
      <c r="R29" s="484">
        <v>1256.858</v>
      </c>
      <c r="S29" s="490">
        <v>1300</v>
      </c>
      <c r="T29" s="490">
        <v>1308</v>
      </c>
      <c r="U29" s="484">
        <v>1320</v>
      </c>
      <c r="V29" s="484">
        <v>1333</v>
      </c>
      <c r="W29" s="490">
        <v>1335</v>
      </c>
      <c r="X29" s="484">
        <v>1337</v>
      </c>
      <c r="Y29" s="484">
        <v>1337</v>
      </c>
      <c r="Z29" s="484">
        <v>1335.5</v>
      </c>
      <c r="AA29" s="484">
        <f>1170+125</f>
        <v>1295</v>
      </c>
      <c r="AB29" s="485">
        <v>1246.447</v>
      </c>
      <c r="AC29" s="484">
        <v>1348.599</v>
      </c>
      <c r="AD29" s="484">
        <v>1313.219</v>
      </c>
      <c r="AE29" s="484">
        <v>1310.474</v>
      </c>
      <c r="AF29" s="516">
        <v>1336.8</v>
      </c>
      <c r="AG29" s="899">
        <f t="shared" si="1"/>
        <v>2.0088914392807595</v>
      </c>
      <c r="AH29" s="156" t="s">
        <v>70</v>
      </c>
    </row>
    <row r="30" spans="1:34" ht="12.75" customHeight="1">
      <c r="A30" s="8"/>
      <c r="B30" s="10" t="s">
        <v>54</v>
      </c>
      <c r="C30" s="476"/>
      <c r="D30" s="480">
        <v>250</v>
      </c>
      <c r="E30" s="474">
        <v>258.701</v>
      </c>
      <c r="F30" s="474">
        <v>259.566</v>
      </c>
      <c r="G30" s="474">
        <v>275.487</v>
      </c>
      <c r="H30" s="474">
        <v>298.318</v>
      </c>
      <c r="I30" s="474">
        <v>322.417</v>
      </c>
      <c r="J30" s="474">
        <v>343.064</v>
      </c>
      <c r="K30" s="474">
        <v>376.817</v>
      </c>
      <c r="L30" s="474">
        <v>390.181</v>
      </c>
      <c r="M30" s="474">
        <v>405.743</v>
      </c>
      <c r="N30" s="474">
        <v>417.78</v>
      </c>
      <c r="O30" s="474">
        <v>427.152</v>
      </c>
      <c r="P30" s="474">
        <v>437.968</v>
      </c>
      <c r="Q30" s="474">
        <v>447.299</v>
      </c>
      <c r="R30" s="474">
        <v>463.099</v>
      </c>
      <c r="S30" s="474">
        <v>482.425</v>
      </c>
      <c r="T30" s="474">
        <v>493.821</v>
      </c>
      <c r="U30" s="477">
        <v>545.3</v>
      </c>
      <c r="V30" s="474">
        <v>501.957</v>
      </c>
      <c r="W30" s="474">
        <v>645.34</v>
      </c>
      <c r="X30" s="474">
        <v>661.9</v>
      </c>
      <c r="Y30" s="474">
        <v>667.219</v>
      </c>
      <c r="Z30" s="474">
        <v>696.26</v>
      </c>
      <c r="AA30" s="474">
        <f>642.241+77.685</f>
        <v>719.9259999999999</v>
      </c>
      <c r="AB30" s="474">
        <v>761.554</v>
      </c>
      <c r="AC30" s="474">
        <f>712.317+94.206</f>
        <v>806.523</v>
      </c>
      <c r="AD30" s="474">
        <f>750.497+105.76</f>
        <v>856.257</v>
      </c>
      <c r="AE30" s="474">
        <f>794.578+118.212</f>
        <v>912.79</v>
      </c>
      <c r="AF30" s="479">
        <v>975.2</v>
      </c>
      <c r="AG30" s="898">
        <f t="shared" si="1"/>
        <v>6.837279111296141</v>
      </c>
      <c r="AH30" s="10" t="s">
        <v>54</v>
      </c>
    </row>
    <row r="31" spans="1:34" ht="12.75" customHeight="1">
      <c r="A31" s="8"/>
      <c r="B31" s="156" t="s">
        <v>56</v>
      </c>
      <c r="C31" s="483">
        <v>15.946</v>
      </c>
      <c r="D31" s="482">
        <v>28.455</v>
      </c>
      <c r="E31" s="484">
        <v>30.767</v>
      </c>
      <c r="F31" s="489">
        <v>30.772</v>
      </c>
      <c r="G31" s="484">
        <v>34.535000000000004</v>
      </c>
      <c r="H31" s="484">
        <v>36.976000000000006</v>
      </c>
      <c r="I31" s="484">
        <v>38.852000000000004</v>
      </c>
      <c r="J31" s="484">
        <v>42.867</v>
      </c>
      <c r="K31" s="484">
        <v>45.589</v>
      </c>
      <c r="L31" s="484">
        <v>47.88</v>
      </c>
      <c r="M31" s="484">
        <v>49.513000000000005</v>
      </c>
      <c r="N31" s="484">
        <v>51.741</v>
      </c>
      <c r="O31" s="484">
        <v>54.263</v>
      </c>
      <c r="P31" s="484">
        <v>56.114999999999995</v>
      </c>
      <c r="Q31" s="484">
        <v>57.9</v>
      </c>
      <c r="R31" s="484">
        <v>59.801</v>
      </c>
      <c r="S31" s="484">
        <v>63.178</v>
      </c>
      <c r="T31" s="484">
        <v>66.447</v>
      </c>
      <c r="U31" s="484">
        <v>70.132</v>
      </c>
      <c r="V31" s="484">
        <v>77.568</v>
      </c>
      <c r="W31" s="484">
        <v>83.909</v>
      </c>
      <c r="X31" s="484">
        <v>83.633</v>
      </c>
      <c r="Y31" s="484">
        <v>84.107</v>
      </c>
      <c r="Z31" s="484">
        <v>84.644</v>
      </c>
      <c r="AA31" s="484">
        <v>84.408</v>
      </c>
      <c r="AB31" s="720">
        <f>68.264+9.638+7.036</f>
        <v>84.938</v>
      </c>
      <c r="AC31" s="484">
        <f>77.103+10.162</f>
        <v>87.265</v>
      </c>
      <c r="AD31" s="484">
        <f>79.95+11.326</f>
        <v>91.27600000000001</v>
      </c>
      <c r="AE31" s="484">
        <f>83.911+12.981</f>
        <v>96.892</v>
      </c>
      <c r="AF31" s="516">
        <v>103.3</v>
      </c>
      <c r="AG31" s="899">
        <f t="shared" si="1"/>
        <v>6.613549106221356</v>
      </c>
      <c r="AH31" s="156" t="s">
        <v>56</v>
      </c>
    </row>
    <row r="32" spans="1:34" ht="12.75" customHeight="1">
      <c r="A32" s="8"/>
      <c r="B32" s="10" t="s">
        <v>55</v>
      </c>
      <c r="C32" s="472"/>
      <c r="D32" s="728"/>
      <c r="E32" s="473">
        <v>91.994</v>
      </c>
      <c r="F32" s="474">
        <v>95.336</v>
      </c>
      <c r="G32" s="474">
        <v>102.295</v>
      </c>
      <c r="H32" s="474">
        <v>101.552</v>
      </c>
      <c r="I32" s="474">
        <v>102.47</v>
      </c>
      <c r="J32" s="474">
        <v>102.634</v>
      </c>
      <c r="K32" s="474">
        <v>97.078</v>
      </c>
      <c r="L32" s="474">
        <v>103.68</v>
      </c>
      <c r="M32" s="474">
        <v>112.802</v>
      </c>
      <c r="N32" s="474">
        <v>118.28699999999999</v>
      </c>
      <c r="O32" s="474">
        <v>113.995</v>
      </c>
      <c r="P32" s="474">
        <v>125.393</v>
      </c>
      <c r="Q32" s="474">
        <v>137.171</v>
      </c>
      <c r="R32" s="474">
        <v>150.99099999999999</v>
      </c>
      <c r="S32" s="474">
        <v>151.83</v>
      </c>
      <c r="T32" s="474">
        <v>174.23</v>
      </c>
      <c r="U32" s="474">
        <v>189.256</v>
      </c>
      <c r="V32" s="474">
        <v>215.697</v>
      </c>
      <c r="W32" s="474">
        <v>248.66199999999998</v>
      </c>
      <c r="X32" s="474">
        <v>269.322</v>
      </c>
      <c r="Y32" s="474">
        <v>276.04900000000004</v>
      </c>
      <c r="Z32" s="474">
        <v>281.81100000000004</v>
      </c>
      <c r="AA32" s="474">
        <v>285.978</v>
      </c>
      <c r="AB32" s="474">
        <f>261.84+27.561</f>
        <v>289.40099999999995</v>
      </c>
      <c r="AC32" s="474">
        <f>265.424+28.429</f>
        <v>293.85299999999995</v>
      </c>
      <c r="AD32" s="474">
        <f>272.955+29.928</f>
        <v>302.883</v>
      </c>
      <c r="AE32" s="474">
        <f>278.274+31.016</f>
        <v>309.29</v>
      </c>
      <c r="AF32" s="479">
        <v>316.7</v>
      </c>
      <c r="AG32" s="898">
        <f t="shared" si="1"/>
        <v>2.3958097578324384</v>
      </c>
      <c r="AH32" s="10" t="s">
        <v>55</v>
      </c>
    </row>
    <row r="33" spans="1:34" ht="12.75" customHeight="1">
      <c r="A33" s="8"/>
      <c r="B33" s="156" t="s">
        <v>71</v>
      </c>
      <c r="C33" s="483">
        <v>103</v>
      </c>
      <c r="D33" s="482">
        <v>149</v>
      </c>
      <c r="E33" s="484">
        <v>264.157</v>
      </c>
      <c r="F33" s="484">
        <v>263.8</v>
      </c>
      <c r="G33" s="484">
        <v>263</v>
      </c>
      <c r="H33" s="484">
        <v>253.109</v>
      </c>
      <c r="I33" s="484">
        <v>246.553</v>
      </c>
      <c r="J33" s="484">
        <v>252.032</v>
      </c>
      <c r="K33" s="484">
        <v>258.697</v>
      </c>
      <c r="L33" s="484">
        <v>266.944</v>
      </c>
      <c r="M33" s="484">
        <v>280.61</v>
      </c>
      <c r="N33" s="484">
        <v>293.707</v>
      </c>
      <c r="O33" s="484">
        <v>304.318</v>
      </c>
      <c r="P33" s="484">
        <v>312.557</v>
      </c>
      <c r="Q33" s="484">
        <v>319.699</v>
      </c>
      <c r="R33" s="484">
        <v>327.122</v>
      </c>
      <c r="S33" s="484">
        <v>355.16400000000004</v>
      </c>
      <c r="T33" s="484">
        <v>363.644</v>
      </c>
      <c r="U33" s="484">
        <v>376.092</v>
      </c>
      <c r="V33" s="484">
        <f>394.718</f>
        <v>394.718</v>
      </c>
      <c r="W33" s="484">
        <f>424.498</f>
        <v>424.498</v>
      </c>
      <c r="X33" s="484">
        <f>443.912</f>
        <v>443.912</v>
      </c>
      <c r="Y33" s="484">
        <f>464.408</f>
        <v>464.408</v>
      </c>
      <c r="Z33" s="484">
        <f>488.939</f>
        <v>488.939</v>
      </c>
      <c r="AA33" s="484">
        <f>508.011</f>
        <v>508.011</v>
      </c>
      <c r="AB33" s="719">
        <f>391.952+134.146</f>
        <v>526.098</v>
      </c>
      <c r="AC33" s="484">
        <f>404.817+138.077</f>
        <v>542.894</v>
      </c>
      <c r="AD33" s="484">
        <f>418.87+142.02</f>
        <v>560.89</v>
      </c>
      <c r="AE33" s="484">
        <f>435.436+146.624</f>
        <v>582.06</v>
      </c>
      <c r="AF33" s="516">
        <v>604.5</v>
      </c>
      <c r="AG33" s="899">
        <f t="shared" si="1"/>
        <v>3.8552726523038956</v>
      </c>
      <c r="AH33" s="156" t="s">
        <v>71</v>
      </c>
    </row>
    <row r="34" spans="1:34" ht="12.75" customHeight="1">
      <c r="A34" s="8"/>
      <c r="B34" s="10" t="s">
        <v>72</v>
      </c>
      <c r="C34" s="476">
        <v>145</v>
      </c>
      <c r="D34" s="480">
        <v>181.57</v>
      </c>
      <c r="E34" s="474">
        <v>309.52</v>
      </c>
      <c r="F34" s="474">
        <v>309.81</v>
      </c>
      <c r="G34" s="474">
        <v>304.99</v>
      </c>
      <c r="H34" s="474">
        <v>305.68600000000004</v>
      </c>
      <c r="I34" s="474">
        <v>307.916</v>
      </c>
      <c r="J34" s="474">
        <v>307.709</v>
      </c>
      <c r="K34" s="474">
        <v>311.751</v>
      </c>
      <c r="L34" s="474">
        <v>321.31</v>
      </c>
      <c r="M34" s="474">
        <v>337.973</v>
      </c>
      <c r="N34" s="474">
        <v>354.293</v>
      </c>
      <c r="O34" s="474">
        <v>374.222</v>
      </c>
      <c r="P34" s="474">
        <v>395.693</v>
      </c>
      <c r="Q34" s="474">
        <v>408.94</v>
      </c>
      <c r="R34" s="474">
        <v>421.561</v>
      </c>
      <c r="S34" s="474">
        <v>439.985</v>
      </c>
      <c r="T34" s="474">
        <v>461.161</v>
      </c>
      <c r="U34" s="474">
        <v>479.794</v>
      </c>
      <c r="V34" s="474">
        <v>504.085</v>
      </c>
      <c r="W34" s="474">
        <v>510.199</v>
      </c>
      <c r="X34" s="474">
        <v>514.576</v>
      </c>
      <c r="Y34" s="474">
        <v>526.441</v>
      </c>
      <c r="Z34" s="474">
        <v>548.272</v>
      </c>
      <c r="AA34" s="474">
        <v>556.821</v>
      </c>
      <c r="AB34" s="474">
        <v>565.182</v>
      </c>
      <c r="AC34" s="474">
        <v>581.205</v>
      </c>
      <c r="AD34" s="474">
        <v>596.214</v>
      </c>
      <c r="AE34" s="474">
        <v>616.178</v>
      </c>
      <c r="AF34" s="479">
        <v>632.5</v>
      </c>
      <c r="AG34" s="898">
        <f t="shared" si="1"/>
        <v>2.6489098929205426</v>
      </c>
      <c r="AH34" s="10" t="s">
        <v>72</v>
      </c>
    </row>
    <row r="35" spans="1:34" ht="12.75" customHeight="1">
      <c r="A35" s="8"/>
      <c r="B35" s="157" t="s">
        <v>61</v>
      </c>
      <c r="C35" s="491">
        <v>1749</v>
      </c>
      <c r="D35" s="494">
        <v>1828</v>
      </c>
      <c r="E35" s="492">
        <v>2706</v>
      </c>
      <c r="F35" s="492">
        <v>2640</v>
      </c>
      <c r="G35" s="492">
        <v>2639</v>
      </c>
      <c r="H35" s="492">
        <v>2589</v>
      </c>
      <c r="I35" s="492">
        <v>2585</v>
      </c>
      <c r="J35" s="492">
        <v>2565</v>
      </c>
      <c r="K35" s="492">
        <v>2618</v>
      </c>
      <c r="L35" s="493">
        <v>2679</v>
      </c>
      <c r="M35" s="492">
        <v>2789</v>
      </c>
      <c r="N35" s="492">
        <v>2872.7</v>
      </c>
      <c r="O35" s="492">
        <v>2928.3</v>
      </c>
      <c r="P35" s="492">
        <v>3019.6</v>
      </c>
      <c r="Q35" s="492">
        <v>3111.9</v>
      </c>
      <c r="R35" s="492">
        <v>3236.6</v>
      </c>
      <c r="S35" s="492">
        <v>3425.2</v>
      </c>
      <c r="T35" s="492">
        <v>3552.4</v>
      </c>
      <c r="U35" s="492">
        <v>3641.1</v>
      </c>
      <c r="V35" s="492">
        <v>3778.7000000000003</v>
      </c>
      <c r="W35" s="492">
        <v>3805.8</v>
      </c>
      <c r="X35" s="492">
        <v>3782.07</v>
      </c>
      <c r="Y35" s="492">
        <v>3796.8630000000003</v>
      </c>
      <c r="Z35" s="492">
        <v>3833.235</v>
      </c>
      <c r="AA35" s="492">
        <f>3280.6+460.6+97.087+22.384</f>
        <v>3860.671</v>
      </c>
      <c r="AB35" s="492">
        <f>3353.9+468.9+117.498</f>
        <v>3940.2980000000002</v>
      </c>
      <c r="AC35" s="492">
        <f>3569.6+496.8</f>
        <v>4066.4</v>
      </c>
      <c r="AD35" s="492">
        <f>3736.036+506.211</f>
        <v>4242.247</v>
      </c>
      <c r="AE35" s="492">
        <f>3889.7+517.1</f>
        <v>4406.8</v>
      </c>
      <c r="AF35" s="518">
        <f>4011.3+523.3</f>
        <v>4534.6</v>
      </c>
      <c r="AG35" s="891">
        <f t="shared" si="1"/>
        <v>2.900063538168297</v>
      </c>
      <c r="AH35" s="157" t="s">
        <v>61</v>
      </c>
    </row>
    <row r="36" spans="1:34" ht="12.75" customHeight="1">
      <c r="A36" s="8"/>
      <c r="B36" s="401" t="s">
        <v>252</v>
      </c>
      <c r="C36" s="495"/>
      <c r="D36" s="467"/>
      <c r="E36" s="474"/>
      <c r="F36" s="474"/>
      <c r="G36" s="474"/>
      <c r="H36" s="474">
        <v>39.335</v>
      </c>
      <c r="I36" s="474">
        <v>51.113</v>
      </c>
      <c r="J36" s="474">
        <v>29.124</v>
      </c>
      <c r="K36" s="474">
        <v>30.612000000000002</v>
      </c>
      <c r="L36" s="474">
        <v>33.256</v>
      </c>
      <c r="M36" s="474">
        <v>37.109</v>
      </c>
      <c r="N36" s="474">
        <v>37.126</v>
      </c>
      <c r="O36" s="474">
        <v>45.575</v>
      </c>
      <c r="P36" s="474">
        <v>52.321</v>
      </c>
      <c r="Q36" s="474">
        <v>54.63</v>
      </c>
      <c r="R36" s="474">
        <v>56.857</v>
      </c>
      <c r="S36" s="474">
        <v>48.775</v>
      </c>
      <c r="T36" s="474">
        <v>47.333</v>
      </c>
      <c r="U36" s="474">
        <v>41.318000000000005</v>
      </c>
      <c r="V36" s="474">
        <v>61.621</v>
      </c>
      <c r="W36" s="474">
        <v>79.054</v>
      </c>
      <c r="X36" s="474">
        <v>79.307</v>
      </c>
      <c r="Y36" s="474">
        <v>83.719</v>
      </c>
      <c r="Z36" s="474">
        <v>71.209</v>
      </c>
      <c r="AA36" s="474">
        <v>60</v>
      </c>
      <c r="AB36" s="474">
        <v>65.26</v>
      </c>
      <c r="AC36" s="474">
        <v>68.676</v>
      </c>
      <c r="AD36" s="474">
        <v>71.011</v>
      </c>
      <c r="AE36" s="474">
        <v>74.973</v>
      </c>
      <c r="AF36" s="479">
        <v>66.6</v>
      </c>
      <c r="AG36" s="898">
        <f t="shared" si="1"/>
        <v>-11.168020487375458</v>
      </c>
      <c r="AH36" s="402" t="s">
        <v>252</v>
      </c>
    </row>
    <row r="37" spans="1:34" ht="12.75" customHeight="1">
      <c r="A37" s="8"/>
      <c r="B37" s="156" t="s">
        <v>240</v>
      </c>
      <c r="C37" s="483"/>
      <c r="D37" s="482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>
        <f>12.394+1.095</f>
        <v>13.489</v>
      </c>
      <c r="AA37" s="484">
        <f>1.03+12.638</f>
        <v>13.668</v>
      </c>
      <c r="AB37" s="484">
        <f>12.848+0.959</f>
        <v>13.807</v>
      </c>
      <c r="AC37" s="484">
        <f>11.992+0.769+1.069</f>
        <v>13.830000000000002</v>
      </c>
      <c r="AD37" s="484">
        <f>12.517+0.661+1.163</f>
        <v>14.341</v>
      </c>
      <c r="AE37" s="484">
        <f>14.579+0.562+1.405</f>
        <v>16.546</v>
      </c>
      <c r="AF37" s="516">
        <f>16.158+0.513+1.562</f>
        <v>18.233000000000004</v>
      </c>
      <c r="AG37" s="899">
        <f t="shared" si="1"/>
        <v>10.195817720294968</v>
      </c>
      <c r="AH37" s="156" t="s">
        <v>240</v>
      </c>
    </row>
    <row r="38" spans="1:34" ht="12.75" customHeight="1">
      <c r="A38" s="8"/>
      <c r="B38" s="402" t="s">
        <v>1</v>
      </c>
      <c r="C38" s="476"/>
      <c r="D38" s="480"/>
      <c r="E38" s="474"/>
      <c r="F38" s="474"/>
      <c r="G38" s="474"/>
      <c r="H38" s="474">
        <v>20.104</v>
      </c>
      <c r="I38" s="474">
        <v>20.026</v>
      </c>
      <c r="J38" s="474">
        <v>22.558</v>
      </c>
      <c r="K38" s="474">
        <v>21.937</v>
      </c>
      <c r="L38" s="474">
        <v>23.286</v>
      </c>
      <c r="M38" s="474">
        <v>23.44</v>
      </c>
      <c r="N38" s="474">
        <v>23.47</v>
      </c>
      <c r="O38" s="474">
        <v>24.628</v>
      </c>
      <c r="P38" s="474">
        <v>25.896</v>
      </c>
      <c r="Q38" s="474">
        <v>24.318</v>
      </c>
      <c r="R38" s="474">
        <f>19.042+3.952</f>
        <v>22.994</v>
      </c>
      <c r="S38" s="474">
        <f>15.196+3.194</f>
        <v>18.39</v>
      </c>
      <c r="T38" s="474">
        <f>14.702+3.339</f>
        <v>18.041</v>
      </c>
      <c r="U38" s="474">
        <f>13.545+3.411</f>
        <v>16.956</v>
      </c>
      <c r="V38" s="474">
        <f>12.981+3.575</f>
        <v>16.556</v>
      </c>
      <c r="W38" s="474">
        <f>13.325+3.94</f>
        <v>17.265</v>
      </c>
      <c r="X38" s="478">
        <f>27.771+4.263</f>
        <v>32.034</v>
      </c>
      <c r="Y38" s="474">
        <f>28.795+4.505</f>
        <v>33.300000000000004</v>
      </c>
      <c r="Z38" s="474">
        <f>27.917+4.636</f>
        <v>32.553000000000004</v>
      </c>
      <c r="AA38" s="474">
        <f>26.542+4.219</f>
        <v>30.761000000000003</v>
      </c>
      <c r="AB38" s="474">
        <f>30.167+4.934</f>
        <v>35.101</v>
      </c>
      <c r="AC38" s="474">
        <f>32.123+5.248</f>
        <v>37.370999999999995</v>
      </c>
      <c r="AD38" s="474">
        <f>33.237+5.451</f>
        <v>38.688</v>
      </c>
      <c r="AE38" s="474">
        <f>34.669+5.64</f>
        <v>40.309</v>
      </c>
      <c r="AF38" s="479">
        <v>41.7</v>
      </c>
      <c r="AG38" s="898">
        <f t="shared" si="1"/>
        <v>3.4508422436676796</v>
      </c>
      <c r="AH38" s="402" t="s">
        <v>1</v>
      </c>
    </row>
    <row r="39" spans="1:34" ht="12.75" customHeight="1">
      <c r="A39" s="8"/>
      <c r="B39" s="156" t="s">
        <v>239</v>
      </c>
      <c r="C39" s="483"/>
      <c r="D39" s="482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>
        <v>100.724</v>
      </c>
      <c r="Q39" s="484">
        <v>98.242</v>
      </c>
      <c r="R39" s="484">
        <v>102.916</v>
      </c>
      <c r="S39" s="484">
        <v>110.912</v>
      </c>
      <c r="T39" s="484">
        <v>118.259</v>
      </c>
      <c r="U39" s="484">
        <v>127.909</v>
      </c>
      <c r="V39" s="484">
        <v>131.459</v>
      </c>
      <c r="W39" s="484">
        <v>140.921</v>
      </c>
      <c r="X39" s="484">
        <v>149.689</v>
      </c>
      <c r="Y39" s="485">
        <v>151.687</v>
      </c>
      <c r="Z39" s="484">
        <v>159.455</v>
      </c>
      <c r="AA39" s="484">
        <v>144.075</v>
      </c>
      <c r="AB39" s="484">
        <v>140.854</v>
      </c>
      <c r="AC39" s="484">
        <v>139.22</v>
      </c>
      <c r="AD39" s="484">
        <v>139.886</v>
      </c>
      <c r="AE39" s="484">
        <v>140.11</v>
      </c>
      <c r="AF39" s="516">
        <v>223.6</v>
      </c>
      <c r="AG39" s="899">
        <f t="shared" si="1"/>
        <v>59.58889444008278</v>
      </c>
      <c r="AH39" s="156" t="s">
        <v>239</v>
      </c>
    </row>
    <row r="40" spans="1:34" ht="12.75" customHeight="1">
      <c r="A40" s="8"/>
      <c r="B40" s="403" t="s">
        <v>57</v>
      </c>
      <c r="C40" s="496"/>
      <c r="D40" s="498" t="s">
        <v>82</v>
      </c>
      <c r="E40" s="497" t="s">
        <v>82</v>
      </c>
      <c r="F40" s="497"/>
      <c r="G40" s="497">
        <f>308.18+379.41</f>
        <v>687.59</v>
      </c>
      <c r="H40" s="497">
        <f>354.29+406.398</f>
        <v>760.6880000000001</v>
      </c>
      <c r="I40" s="497">
        <f>374.473+419.374</f>
        <v>793.847</v>
      </c>
      <c r="J40" s="497">
        <f>397.743+432.216</f>
        <v>829.9590000000001</v>
      </c>
      <c r="K40" s="497">
        <f>442.788+453.796</f>
        <v>896.5840000000001</v>
      </c>
      <c r="L40" s="497">
        <f>529.838+489.071</f>
        <v>1018.909</v>
      </c>
      <c r="M40" s="497">
        <f>626.004+519.749</f>
        <v>1145.7530000000002</v>
      </c>
      <c r="N40" s="497">
        <f>692.935+531.69</f>
        <v>1224.625</v>
      </c>
      <c r="O40" s="497">
        <f>794.459+557.295</f>
        <v>1351.754</v>
      </c>
      <c r="P40" s="497">
        <f>833.175+562.063</f>
        <v>1395.2379999999998</v>
      </c>
      <c r="Q40" s="497">
        <f>875.381+567.152</f>
        <v>1442.533</v>
      </c>
      <c r="R40" s="497">
        <f>973.457+579.01</f>
        <v>1552.467</v>
      </c>
      <c r="S40" s="497">
        <f>1259.867+647.42</f>
        <v>1907.2869999999998</v>
      </c>
      <c r="T40" s="497">
        <f>1475.057+676.929</f>
        <v>2151.986</v>
      </c>
      <c r="U40" s="497">
        <f>1695.624+709.535</f>
        <v>2405.159</v>
      </c>
      <c r="V40" s="497">
        <f>1890.459+729.202</f>
        <v>2619.661</v>
      </c>
      <c r="W40" s="497">
        <f>2066.007+744.217</f>
        <v>2810.224</v>
      </c>
      <c r="X40" s="497">
        <f>2204.951+727.302</f>
        <v>2932.253</v>
      </c>
      <c r="Y40" s="497">
        <f>2399.038+726.359</f>
        <v>3125.397</v>
      </c>
      <c r="Z40" s="497">
        <f>2611.104+728.458</f>
        <v>3339.562</v>
      </c>
      <c r="AA40" s="497">
        <f>2794.606+751.65</f>
        <v>3546.2560000000003</v>
      </c>
      <c r="AB40" s="497">
        <f>2933.05+755.95</f>
        <v>3689</v>
      </c>
      <c r="AC40" s="497">
        <f>3638.989+197.218</f>
        <v>3836.207</v>
      </c>
      <c r="AD40" s="497">
        <f>3844.725+214.893</f>
        <v>4059.618</v>
      </c>
      <c r="AE40" s="497">
        <f>4042.218+225.599</f>
        <v>4267.817</v>
      </c>
      <c r="AF40" s="520">
        <v>4481.3</v>
      </c>
      <c r="AG40" s="900">
        <f t="shared" si="1"/>
        <v>5.002159183488899</v>
      </c>
      <c r="AH40" s="403" t="s">
        <v>57</v>
      </c>
    </row>
    <row r="41" spans="1:34" ht="12.75" customHeight="1">
      <c r="A41" s="8"/>
      <c r="B41" s="155" t="s">
        <v>43</v>
      </c>
      <c r="C41" s="499"/>
      <c r="D41" s="501" t="s">
        <v>82</v>
      </c>
      <c r="E41" s="500">
        <f>7.707+5.415</f>
        <v>13.122</v>
      </c>
      <c r="F41" s="500">
        <f>7.615+7.008</f>
        <v>14.623000000000001</v>
      </c>
      <c r="G41" s="500">
        <f>6.777+8.068</f>
        <v>14.844999999999999</v>
      </c>
      <c r="H41" s="500">
        <f>6.506+7.945</f>
        <v>14.451</v>
      </c>
      <c r="I41" s="500">
        <f>6.392+7.956</f>
        <v>14.348</v>
      </c>
      <c r="J41" s="500">
        <f>6.445+8.312</f>
        <v>14.757</v>
      </c>
      <c r="K41" s="500">
        <f>6.594+8.666</f>
        <v>15.260000000000002</v>
      </c>
      <c r="L41" s="500">
        <f>6.812+9.216</f>
        <v>16.028</v>
      </c>
      <c r="M41" s="500">
        <f>6.76+9.79</f>
        <v>16.549999999999997</v>
      </c>
      <c r="N41" s="500">
        <f>7.028+10.779</f>
        <v>17.807</v>
      </c>
      <c r="O41" s="500">
        <f>7.466+11.966</f>
        <v>19.432</v>
      </c>
      <c r="P41" s="500">
        <f>7.618+12.372</f>
        <v>19.990000000000002</v>
      </c>
      <c r="Q41" s="500">
        <f>7.664+12.614</f>
        <v>20.278</v>
      </c>
      <c r="R41" s="500">
        <f>8.04+13.195</f>
        <v>21.235</v>
      </c>
      <c r="S41" s="500">
        <v>23.035</v>
      </c>
      <c r="T41" s="500">
        <f>9.508+16.036</f>
        <v>25.544</v>
      </c>
      <c r="U41" s="500">
        <v>28.087</v>
      </c>
      <c r="V41" s="500">
        <v>31.095</v>
      </c>
      <c r="W41" s="500">
        <v>31.819</v>
      </c>
      <c r="X41" s="500">
        <f>10.458+20.465</f>
        <v>30.923000000000002</v>
      </c>
      <c r="Y41" s="500">
        <v>30.437</v>
      </c>
      <c r="Z41" s="500">
        <v>30.209</v>
      </c>
      <c r="AA41" s="500">
        <v>30.338</v>
      </c>
      <c r="AB41" s="500">
        <v>30.657</v>
      </c>
      <c r="AC41" s="500">
        <v>31.364</v>
      </c>
      <c r="AD41" s="500">
        <v>33.023</v>
      </c>
      <c r="AE41" s="794">
        <v>35.572</v>
      </c>
      <c r="AF41" s="866">
        <v>37.39</v>
      </c>
      <c r="AG41" s="899">
        <f t="shared" si="1"/>
        <v>5.110761272911276</v>
      </c>
      <c r="AH41" s="155" t="s">
        <v>43</v>
      </c>
    </row>
    <row r="42" spans="1:34" ht="12.75" customHeight="1">
      <c r="A42" s="8"/>
      <c r="B42" s="402" t="s">
        <v>73</v>
      </c>
      <c r="C42" s="476"/>
      <c r="D42" s="480" t="s">
        <v>82</v>
      </c>
      <c r="E42" s="474">
        <v>308.299</v>
      </c>
      <c r="F42" s="474">
        <v>311.063</v>
      </c>
      <c r="G42" s="474">
        <v>314.882</v>
      </c>
      <c r="H42" s="474">
        <v>323.387</v>
      </c>
      <c r="I42" s="474">
        <v>335.779</v>
      </c>
      <c r="J42" s="474">
        <v>349.504</v>
      </c>
      <c r="K42" s="474">
        <v>358.128</v>
      </c>
      <c r="L42" s="474">
        <v>377.01200000000006</v>
      </c>
      <c r="M42" s="474">
        <v>390.829</v>
      </c>
      <c r="N42" s="474">
        <v>403.039</v>
      </c>
      <c r="O42" s="474">
        <v>414.34</v>
      </c>
      <c r="P42" s="474">
        <v>426.977</v>
      </c>
      <c r="Q42" s="474">
        <v>431.028</v>
      </c>
      <c r="R42" s="474">
        <v>438.28200000000004</v>
      </c>
      <c r="S42" s="474">
        <v>449.801</v>
      </c>
      <c r="T42" s="474">
        <f>302.956+82.778+79.705</f>
        <v>465.439</v>
      </c>
      <c r="U42" s="474">
        <f>331.052+73.904+83.609</f>
        <v>488.565</v>
      </c>
      <c r="V42" s="474">
        <f>361.911+84.742+67.02</f>
        <v>513.673</v>
      </c>
      <c r="W42" s="474">
        <f>379.343+84.35+59.657</f>
        <v>523.35</v>
      </c>
      <c r="X42" s="474">
        <f>387.546+53.911+82.694</f>
        <v>524.151</v>
      </c>
      <c r="Y42" s="474">
        <f>397.279+48.432+81.33</f>
        <v>527.041</v>
      </c>
      <c r="Z42" s="474">
        <f>410.73+43.371+80.16</f>
        <v>534.261</v>
      </c>
      <c r="AA42" s="474">
        <v>542.528</v>
      </c>
      <c r="AB42" s="474">
        <f>434.636+79.437+34.232</f>
        <v>548.305</v>
      </c>
      <c r="AC42" s="474">
        <f>441.967+78.668+30.247</f>
        <v>550.882</v>
      </c>
      <c r="AD42" s="474">
        <f>450.385+77.12+26.605</f>
        <v>554.11</v>
      </c>
      <c r="AE42" s="474">
        <v>556.36</v>
      </c>
      <c r="AF42" s="479">
        <v>564.287</v>
      </c>
      <c r="AG42" s="898">
        <f t="shared" si="1"/>
        <v>1.424796894097355</v>
      </c>
      <c r="AH42" s="402" t="s">
        <v>73</v>
      </c>
    </row>
    <row r="43" spans="1:34" ht="12.75" customHeight="1">
      <c r="A43" s="8"/>
      <c r="B43" s="156" t="s">
        <v>44</v>
      </c>
      <c r="C43" s="483">
        <v>106.997</v>
      </c>
      <c r="D43" s="482">
        <v>169.402</v>
      </c>
      <c r="E43" s="484">
        <v>252.136</v>
      </c>
      <c r="F43" s="484">
        <v>257.646</v>
      </c>
      <c r="G43" s="484">
        <v>256.611</v>
      </c>
      <c r="H43" s="484">
        <v>253.461</v>
      </c>
      <c r="I43" s="484">
        <v>256.285</v>
      </c>
      <c r="J43" s="484">
        <v>262.352</v>
      </c>
      <c r="K43" s="484">
        <v>263.02</v>
      </c>
      <c r="L43" s="484">
        <v>264.2</v>
      </c>
      <c r="M43" s="484">
        <v>267.38</v>
      </c>
      <c r="N43" s="484">
        <v>273.954</v>
      </c>
      <c r="O43" s="484">
        <v>278.518</v>
      </c>
      <c r="P43" s="484">
        <v>285.246</v>
      </c>
      <c r="Q43" s="484">
        <v>290.142</v>
      </c>
      <c r="R43" s="484">
        <v>292.329</v>
      </c>
      <c r="S43" s="484">
        <v>298.193</v>
      </c>
      <c r="T43" s="484">
        <v>307.161</v>
      </c>
      <c r="U43" s="484">
        <v>314.04</v>
      </c>
      <c r="V43" s="484">
        <v>324.153</v>
      </c>
      <c r="W43" s="484">
        <v>326.232</v>
      </c>
      <c r="X43" s="484">
        <f>327.808</f>
        <v>327.808</v>
      </c>
      <c r="Y43" s="484">
        <v>335.2</v>
      </c>
      <c r="Z43" s="484">
        <v>348.553</v>
      </c>
      <c r="AA43" s="484">
        <v>361.926</v>
      </c>
      <c r="AB43" s="484">
        <v>371.361</v>
      </c>
      <c r="AC43" s="484">
        <v>382.281</v>
      </c>
      <c r="AD43" s="484">
        <v>393.598</v>
      </c>
      <c r="AE43" s="484">
        <v>405.566</v>
      </c>
      <c r="AF43" s="516">
        <v>416.501</v>
      </c>
      <c r="AG43" s="899">
        <f t="shared" si="1"/>
        <v>2.6962319326570707</v>
      </c>
      <c r="AH43" s="156" t="s">
        <v>44</v>
      </c>
    </row>
    <row r="44" spans="1:34" ht="12.75" customHeight="1">
      <c r="A44" s="8"/>
      <c r="B44" s="403" t="s">
        <v>83</v>
      </c>
      <c r="C44" s="496"/>
      <c r="D44" s="498"/>
      <c r="E44" s="497"/>
      <c r="F44" s="497"/>
      <c r="G44" s="497"/>
      <c r="H44" s="497"/>
      <c r="I44" s="497"/>
      <c r="J44" s="497"/>
      <c r="K44" s="497"/>
      <c r="L44" s="497"/>
      <c r="M44" s="497"/>
      <c r="N44" s="497">
        <v>2.884</v>
      </c>
      <c r="O44" s="497">
        <v>2.46</v>
      </c>
      <c r="P44" s="497">
        <v>2.6</v>
      </c>
      <c r="Q44" s="497">
        <v>2.665</v>
      </c>
      <c r="R44" s="497">
        <v>2.56</v>
      </c>
      <c r="S44" s="497">
        <v>2.591</v>
      </c>
      <c r="T44" s="497">
        <v>2.579</v>
      </c>
      <c r="U44" s="497">
        <v>2.525</v>
      </c>
      <c r="V44" s="497">
        <v>2.566</v>
      </c>
      <c r="W44" s="497">
        <v>2.696</v>
      </c>
      <c r="X44" s="497">
        <f>2.712</f>
        <v>2.712</v>
      </c>
      <c r="Y44" s="497">
        <v>2.791</v>
      </c>
      <c r="Z44" s="497">
        <v>2.89</v>
      </c>
      <c r="AA44" s="497">
        <v>3.022</v>
      </c>
      <c r="AB44" s="497">
        <v>3.086</v>
      </c>
      <c r="AC44" s="765">
        <f>2.846+0.263</f>
        <v>3.109</v>
      </c>
      <c r="AD44" s="497">
        <v>3.183</v>
      </c>
      <c r="AE44" s="497">
        <v>3.286</v>
      </c>
      <c r="AF44" s="520">
        <v>3.4</v>
      </c>
      <c r="AG44" s="898">
        <f t="shared" si="1"/>
        <v>3.4692635423006664</v>
      </c>
      <c r="AH44" s="403" t="s">
        <v>83</v>
      </c>
    </row>
    <row r="45" spans="1:34" ht="12.75" customHeight="1">
      <c r="A45" s="8"/>
      <c r="B45" s="1022" t="s">
        <v>231</v>
      </c>
      <c r="C45" s="1022"/>
      <c r="D45" s="1022"/>
      <c r="E45" s="1022"/>
      <c r="F45" s="1022"/>
      <c r="G45" s="1022"/>
      <c r="H45" s="1022"/>
      <c r="I45" s="1022"/>
      <c r="J45" s="1022"/>
      <c r="K45" s="1022"/>
      <c r="L45" s="1022"/>
      <c r="M45" s="1022"/>
      <c r="N45" s="1022"/>
      <c r="O45" s="1022"/>
      <c r="P45" s="1022"/>
      <c r="Q45" s="1022"/>
      <c r="R45" s="1022"/>
      <c r="S45" s="1022"/>
      <c r="T45" s="1022"/>
      <c r="U45" s="1023"/>
      <c r="V45" s="1023"/>
      <c r="W45" s="1023"/>
      <c r="X45" s="1023"/>
      <c r="Y45" s="1023"/>
      <c r="Z45" s="1023"/>
      <c r="AA45" s="1023"/>
      <c r="AB45" s="1023"/>
      <c r="AC45" s="1023"/>
      <c r="AD45" s="1024"/>
      <c r="AE45" s="1024"/>
      <c r="AF45" s="1024"/>
      <c r="AG45" s="1023"/>
      <c r="AH45" s="1023"/>
    </row>
    <row r="46" spans="1:34" ht="12.75" customHeight="1">
      <c r="A46" s="8"/>
      <c r="B46" s="1018" t="s">
        <v>178</v>
      </c>
      <c r="C46" s="1012"/>
      <c r="D46" s="1012"/>
      <c r="E46" s="1012"/>
      <c r="F46" s="1012"/>
      <c r="G46" s="1012"/>
      <c r="H46" s="1012"/>
      <c r="I46" s="1012"/>
      <c r="J46" s="1012"/>
      <c r="K46" s="1012"/>
      <c r="L46" s="1012"/>
      <c r="M46" s="1012"/>
      <c r="N46" s="1012"/>
      <c r="O46" s="1012"/>
      <c r="P46" s="1012"/>
      <c r="Q46" s="1012"/>
      <c r="R46" s="1012"/>
      <c r="S46" s="1012"/>
      <c r="T46" s="1012"/>
      <c r="U46" s="1012"/>
      <c r="V46" s="1012"/>
      <c r="W46" s="1012"/>
      <c r="X46" s="1012"/>
      <c r="Y46" s="1012"/>
      <c r="Z46" s="1012"/>
      <c r="AA46" s="1012"/>
      <c r="AB46" s="1012"/>
      <c r="AC46" s="1012"/>
      <c r="AD46" s="1012"/>
      <c r="AE46" s="1012"/>
      <c r="AF46" s="1012"/>
      <c r="AG46" s="1012"/>
      <c r="AH46" s="1012"/>
    </row>
    <row r="47" spans="2:34" ht="13.5" customHeight="1">
      <c r="B47" s="1021" t="s">
        <v>247</v>
      </c>
      <c r="C47" s="1021"/>
      <c r="D47" s="1021"/>
      <c r="E47" s="1021"/>
      <c r="F47" s="1021"/>
      <c r="G47" s="1021"/>
      <c r="H47" s="1021"/>
      <c r="I47" s="1021"/>
      <c r="J47" s="1021"/>
      <c r="K47" s="1021"/>
      <c r="L47" s="1021"/>
      <c r="M47" s="1021"/>
      <c r="N47" s="1021"/>
      <c r="O47" s="1021"/>
      <c r="P47" s="1021"/>
      <c r="Q47" s="1021"/>
      <c r="R47" s="1021"/>
      <c r="S47" s="1021"/>
      <c r="T47" s="1021"/>
      <c r="U47" s="1021"/>
      <c r="V47" s="1021"/>
      <c r="W47" s="1021"/>
      <c r="X47" s="1021"/>
      <c r="Y47" s="1021"/>
      <c r="Z47" s="1021"/>
      <c r="AA47" s="1021"/>
      <c r="AB47" s="1021"/>
      <c r="AC47" s="1021"/>
      <c r="AD47" s="1021"/>
      <c r="AE47" s="1021"/>
      <c r="AF47" s="1021"/>
      <c r="AG47" s="1021"/>
      <c r="AH47" s="1021"/>
    </row>
    <row r="48" spans="2:34" ht="12.75" customHeight="1">
      <c r="B48" s="1021" t="s">
        <v>179</v>
      </c>
      <c r="C48" s="1021"/>
      <c r="D48" s="1021"/>
      <c r="E48" s="1021"/>
      <c r="F48" s="1021"/>
      <c r="G48" s="1021"/>
      <c r="H48" s="1021"/>
      <c r="I48" s="1021"/>
      <c r="J48" s="1021"/>
      <c r="K48" s="1021"/>
      <c r="L48" s="1021"/>
      <c r="M48" s="1021"/>
      <c r="N48" s="1021"/>
      <c r="O48" s="1021"/>
      <c r="P48" s="1021"/>
      <c r="Q48" s="1021"/>
      <c r="R48" s="1021"/>
      <c r="S48" s="1021"/>
      <c r="T48" s="1021"/>
      <c r="U48" s="1021"/>
      <c r="V48" s="1021"/>
      <c r="W48" s="1021"/>
      <c r="X48" s="1021"/>
      <c r="Y48" s="1021"/>
      <c r="Z48" s="1021"/>
      <c r="AA48" s="1021"/>
      <c r="AB48" s="1021"/>
      <c r="AC48" s="1021"/>
      <c r="AD48" s="1021"/>
      <c r="AE48" s="1021"/>
      <c r="AF48" s="1021"/>
      <c r="AG48" s="1021"/>
      <c r="AH48" s="1021"/>
    </row>
    <row r="49" spans="2:29" ht="12.75" customHeight="1">
      <c r="B49" s="3" t="s">
        <v>242</v>
      </c>
      <c r="U49" s="330"/>
      <c r="AC49" s="767"/>
    </row>
    <row r="50" spans="2:29" ht="12" customHeight="1">
      <c r="B50" s="3" t="s">
        <v>273</v>
      </c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AC50" s="767"/>
    </row>
    <row r="51" spans="5:29" ht="11.25">
      <c r="E51" s="358"/>
      <c r="X51" s="330"/>
      <c r="AC51" s="767"/>
    </row>
    <row r="52" spans="5:29" ht="14.25">
      <c r="E52" s="358"/>
      <c r="K52" s="353"/>
      <c r="L52" s="352"/>
      <c r="M52" s="352"/>
      <c r="N52" s="352"/>
      <c r="O52" s="352"/>
      <c r="P52" s="352"/>
      <c r="Q52" s="352"/>
      <c r="AC52" s="767"/>
    </row>
    <row r="53" ht="11.25">
      <c r="E53" s="3"/>
    </row>
    <row r="54" spans="5:17" ht="14.25">
      <c r="E54" s="358"/>
      <c r="K54" s="353"/>
      <c r="L54" s="354"/>
      <c r="M54" s="352"/>
      <c r="N54" s="352"/>
      <c r="O54" s="352"/>
      <c r="P54" s="352"/>
      <c r="Q54" s="352"/>
    </row>
    <row r="55" spans="5:17" ht="14.25">
      <c r="E55" s="358"/>
      <c r="K55" s="353"/>
      <c r="L55" s="354"/>
      <c r="M55" s="352"/>
      <c r="N55" s="352"/>
      <c r="O55" s="352"/>
      <c r="P55" s="352"/>
      <c r="Q55" s="352"/>
    </row>
    <row r="56" spans="5:37" ht="14.25">
      <c r="E56" s="358"/>
      <c r="K56" s="353"/>
      <c r="L56" s="353"/>
      <c r="M56" s="352"/>
      <c r="N56" s="352"/>
      <c r="O56" s="352"/>
      <c r="P56" s="352"/>
      <c r="Q56" s="352"/>
      <c r="AK56" s="330"/>
    </row>
    <row r="57" spans="5:37" ht="11.25">
      <c r="E57" s="358"/>
      <c r="AK57" s="330"/>
    </row>
    <row r="58" spans="5:22" ht="14.25">
      <c r="E58" s="358"/>
      <c r="K58" s="353"/>
      <c r="L58" s="353"/>
      <c r="M58" s="352"/>
      <c r="N58" s="352"/>
      <c r="O58" s="352"/>
      <c r="P58" s="352"/>
      <c r="Q58" s="352"/>
      <c r="V58" s="328"/>
    </row>
    <row r="59" spans="5:17" ht="14.25">
      <c r="E59" s="358"/>
      <c r="K59" s="353"/>
      <c r="L59" s="353"/>
      <c r="M59" s="352"/>
      <c r="N59" s="352"/>
      <c r="O59" s="352"/>
      <c r="P59" s="352"/>
      <c r="Q59" s="352"/>
    </row>
    <row r="60" ht="11.25">
      <c r="E60" s="358"/>
    </row>
    <row r="61" spans="5:17" ht="12.75">
      <c r="E61" s="358"/>
      <c r="K61" s="355" t="s">
        <v>243</v>
      </c>
      <c r="L61" s="355" t="s">
        <v>190</v>
      </c>
      <c r="M61" s="355" t="s">
        <v>190</v>
      </c>
      <c r="N61" s="355" t="s">
        <v>191</v>
      </c>
      <c r="O61" s="355" t="s">
        <v>191</v>
      </c>
      <c r="P61" s="355" t="s">
        <v>244</v>
      </c>
      <c r="Q61" s="355" t="s">
        <v>244</v>
      </c>
    </row>
    <row r="62" spans="5:17" ht="12.75">
      <c r="E62" s="358"/>
      <c r="K62" s="355" t="s">
        <v>245</v>
      </c>
      <c r="L62" s="355" t="s">
        <v>229</v>
      </c>
      <c r="M62" s="355" t="s">
        <v>230</v>
      </c>
      <c r="N62" s="355" t="s">
        <v>229</v>
      </c>
      <c r="O62" s="355" t="s">
        <v>230</v>
      </c>
      <c r="P62" s="355" t="s">
        <v>229</v>
      </c>
      <c r="Q62" s="355" t="s">
        <v>230</v>
      </c>
    </row>
    <row r="63" spans="5:17" ht="12.75">
      <c r="E63" s="358"/>
      <c r="K63" s="355" t="s">
        <v>192</v>
      </c>
      <c r="L63" s="356">
        <v>690837</v>
      </c>
      <c r="M63" s="356">
        <v>46673</v>
      </c>
      <c r="N63" s="356">
        <v>714370</v>
      </c>
      <c r="O63" s="356">
        <v>46844</v>
      </c>
      <c r="P63" s="357" t="s">
        <v>195</v>
      </c>
      <c r="Q63" s="357" t="s">
        <v>195</v>
      </c>
    </row>
    <row r="64" spans="5:21" ht="12.75">
      <c r="E64" s="358"/>
      <c r="K64" s="355" t="s">
        <v>193</v>
      </c>
      <c r="L64" s="356">
        <v>304436</v>
      </c>
      <c r="M64" s="356">
        <v>29021</v>
      </c>
      <c r="N64" s="356">
        <v>315505</v>
      </c>
      <c r="O64" s="356">
        <v>32056</v>
      </c>
      <c r="P64" s="356">
        <v>331763</v>
      </c>
      <c r="Q64" s="356">
        <v>35266</v>
      </c>
      <c r="S64" s="328">
        <f>L64+M64</f>
        <v>333457</v>
      </c>
      <c r="T64" s="328">
        <f>N64+O64</f>
        <v>347561</v>
      </c>
      <c r="U64" s="328">
        <f>P64+Q64</f>
        <v>367029</v>
      </c>
    </row>
    <row r="65" spans="5:21" ht="12.75">
      <c r="E65" s="358"/>
      <c r="K65" s="355" t="s">
        <v>194</v>
      </c>
      <c r="L65" s="356">
        <v>584921</v>
      </c>
      <c r="M65" s="356">
        <v>13045</v>
      </c>
      <c r="N65" s="356">
        <v>585729</v>
      </c>
      <c r="O65" s="356">
        <v>11503</v>
      </c>
      <c r="P65" s="356">
        <v>595438</v>
      </c>
      <c r="Q65" s="356">
        <v>8717</v>
      </c>
      <c r="S65" s="328">
        <f>L65+M65</f>
        <v>597966</v>
      </c>
      <c r="T65" s="328">
        <f>N65+O65</f>
        <v>597232</v>
      </c>
      <c r="U65" s="328">
        <f>P65+Q65</f>
        <v>604155</v>
      </c>
    </row>
    <row r="66" spans="5:21" ht="12.75">
      <c r="E66" s="358"/>
      <c r="K66" s="355" t="s">
        <v>196</v>
      </c>
      <c r="L66" s="357" t="s">
        <v>195</v>
      </c>
      <c r="M66" s="357" t="s">
        <v>195</v>
      </c>
      <c r="N66" s="357" t="s">
        <v>195</v>
      </c>
      <c r="O66" s="357" t="s">
        <v>195</v>
      </c>
      <c r="P66" s="357" t="s">
        <v>195</v>
      </c>
      <c r="Q66" s="357" t="s">
        <v>195</v>
      </c>
      <c r="S66" s="328"/>
      <c r="T66" s="328"/>
      <c r="U66" s="328"/>
    </row>
    <row r="67" spans="5:21" ht="12.75">
      <c r="E67" s="358"/>
      <c r="K67" s="355" t="s">
        <v>246</v>
      </c>
      <c r="L67" s="356">
        <v>2441377</v>
      </c>
      <c r="M67" s="356">
        <v>178050</v>
      </c>
      <c r="N67" s="356">
        <v>2528656</v>
      </c>
      <c r="O67" s="356">
        <v>184321</v>
      </c>
      <c r="P67" s="356">
        <v>2578567</v>
      </c>
      <c r="Q67" s="356">
        <v>182829</v>
      </c>
      <c r="S67" s="328">
        <f>L67+M67</f>
        <v>2619427</v>
      </c>
      <c r="T67" s="328">
        <f>N67+O67</f>
        <v>2712977</v>
      </c>
      <c r="U67" s="328">
        <f>P67+Q67</f>
        <v>2761396</v>
      </c>
    </row>
    <row r="68" spans="5:21" ht="12.75">
      <c r="E68" s="358"/>
      <c r="K68" s="355" t="s">
        <v>197</v>
      </c>
      <c r="L68" s="356">
        <v>72934</v>
      </c>
      <c r="M68" s="356">
        <v>8270</v>
      </c>
      <c r="N68" s="356">
        <v>75234</v>
      </c>
      <c r="O68" s="356">
        <v>9103</v>
      </c>
      <c r="P68" s="356">
        <v>78380</v>
      </c>
      <c r="Q68" s="356">
        <v>9665</v>
      </c>
      <c r="S68" s="328">
        <f>L68+M68</f>
        <v>81204</v>
      </c>
      <c r="T68" s="328">
        <f>N68+O68</f>
        <v>84337</v>
      </c>
      <c r="U68" s="328">
        <f>P68+Q68</f>
        <v>88045</v>
      </c>
    </row>
    <row r="69" spans="5:21" ht="12.75">
      <c r="E69" s="358"/>
      <c r="K69" s="355" t="s">
        <v>198</v>
      </c>
      <c r="L69" s="357" t="s">
        <v>195</v>
      </c>
      <c r="M69" s="357" t="s">
        <v>195</v>
      </c>
      <c r="N69" s="357" t="s">
        <v>195</v>
      </c>
      <c r="O69" s="357" t="s">
        <v>195</v>
      </c>
      <c r="P69" s="357" t="s">
        <v>195</v>
      </c>
      <c r="Q69" s="357" t="s">
        <v>195</v>
      </c>
      <c r="S69" s="328"/>
      <c r="T69" s="328"/>
      <c r="U69" s="328"/>
    </row>
    <row r="70" spans="11:21" ht="12.75">
      <c r="K70" s="355" t="s">
        <v>199</v>
      </c>
      <c r="L70" s="357" t="s">
        <v>195</v>
      </c>
      <c r="M70" s="357" t="s">
        <v>195</v>
      </c>
      <c r="N70" s="357" t="s">
        <v>195</v>
      </c>
      <c r="O70" s="357" t="s">
        <v>195</v>
      </c>
      <c r="P70" s="357" t="s">
        <v>195</v>
      </c>
      <c r="Q70" s="357" t="s">
        <v>195</v>
      </c>
      <c r="S70" s="328"/>
      <c r="T70" s="328"/>
      <c r="U70" s="328"/>
    </row>
    <row r="71" spans="11:21" ht="12.75">
      <c r="K71" s="355" t="s">
        <v>200</v>
      </c>
      <c r="L71" s="356">
        <v>5103980</v>
      </c>
      <c r="M71" s="356">
        <v>199486</v>
      </c>
      <c r="N71" s="356">
        <v>5060791</v>
      </c>
      <c r="O71" s="356">
        <v>195960</v>
      </c>
      <c r="P71" s="356">
        <v>4984722</v>
      </c>
      <c r="Q71" s="356">
        <v>161037</v>
      </c>
      <c r="S71" s="328">
        <f aca="true" t="shared" si="2" ref="S71:S96">L71+M71</f>
        <v>5303466</v>
      </c>
      <c r="T71" s="328">
        <f aca="true" t="shared" si="3" ref="T71:T96">N71+O71</f>
        <v>5256751</v>
      </c>
      <c r="U71" s="328">
        <f aca="true" t="shared" si="4" ref="U71:U96">P71+Q71</f>
        <v>5145759</v>
      </c>
    </row>
    <row r="72" spans="11:21" ht="12.75">
      <c r="K72" s="355" t="s">
        <v>201</v>
      </c>
      <c r="L72" s="357" t="s">
        <v>195</v>
      </c>
      <c r="M72" s="357" t="s">
        <v>195</v>
      </c>
      <c r="N72" s="357" t="s">
        <v>195</v>
      </c>
      <c r="O72" s="357" t="s">
        <v>195</v>
      </c>
      <c r="P72" s="357" t="s">
        <v>195</v>
      </c>
      <c r="Q72" s="357" t="s">
        <v>195</v>
      </c>
      <c r="S72" s="328"/>
      <c r="T72" s="328"/>
      <c r="U72" s="328"/>
    </row>
    <row r="73" spans="11:21" ht="12.75">
      <c r="K73" s="355" t="s">
        <v>223</v>
      </c>
      <c r="L73" s="356">
        <v>147058</v>
      </c>
      <c r="M73" s="356">
        <v>8352</v>
      </c>
      <c r="N73" s="356">
        <v>143495</v>
      </c>
      <c r="O73" s="356">
        <v>8223</v>
      </c>
      <c r="P73" s="356">
        <v>130903</v>
      </c>
      <c r="Q73" s="356">
        <v>7673</v>
      </c>
      <c r="S73" s="328">
        <f t="shared" si="2"/>
        <v>155410</v>
      </c>
      <c r="T73" s="328">
        <f t="shared" si="3"/>
        <v>151718</v>
      </c>
      <c r="U73" s="328">
        <f t="shared" si="4"/>
        <v>138576</v>
      </c>
    </row>
    <row r="74" spans="11:21" ht="12.75">
      <c r="K74" s="355" t="s">
        <v>202</v>
      </c>
      <c r="L74" s="356">
        <v>3983502</v>
      </c>
      <c r="M74" s="356">
        <v>158289</v>
      </c>
      <c r="N74" s="356">
        <v>4022129</v>
      </c>
      <c r="O74" s="356">
        <v>159766</v>
      </c>
      <c r="P74" s="356">
        <v>3989009</v>
      </c>
      <c r="Q74" s="356">
        <v>154757</v>
      </c>
      <c r="S74" s="328">
        <f t="shared" si="2"/>
        <v>4141791</v>
      </c>
      <c r="T74" s="328">
        <f t="shared" si="3"/>
        <v>4181895</v>
      </c>
      <c r="U74" s="328">
        <f t="shared" si="4"/>
        <v>4143766</v>
      </c>
    </row>
    <row r="75" spans="11:21" ht="12.75">
      <c r="K75" s="355" t="s">
        <v>203</v>
      </c>
      <c r="L75" s="356">
        <v>118528</v>
      </c>
      <c r="M75" s="356">
        <v>2162</v>
      </c>
      <c r="N75" s="356">
        <v>115967</v>
      </c>
      <c r="O75" s="356">
        <v>2036</v>
      </c>
      <c r="P75" s="356">
        <v>111840</v>
      </c>
      <c r="Q75" s="356">
        <v>1903</v>
      </c>
      <c r="S75" s="328">
        <f t="shared" si="2"/>
        <v>120690</v>
      </c>
      <c r="T75" s="328">
        <f t="shared" si="3"/>
        <v>118003</v>
      </c>
      <c r="U75" s="328">
        <f t="shared" si="4"/>
        <v>113743</v>
      </c>
    </row>
    <row r="76" spans="11:21" ht="12.75">
      <c r="K76" s="355" t="s">
        <v>204</v>
      </c>
      <c r="L76" s="356">
        <v>61057</v>
      </c>
      <c r="M76" s="356">
        <v>10518</v>
      </c>
      <c r="N76" s="356">
        <v>60977</v>
      </c>
      <c r="O76" s="356">
        <v>11645</v>
      </c>
      <c r="P76" s="356">
        <v>63623</v>
      </c>
      <c r="Q76" s="356">
        <v>12680</v>
      </c>
      <c r="S76" s="328">
        <f t="shared" si="2"/>
        <v>71575</v>
      </c>
      <c r="T76" s="328">
        <f t="shared" si="3"/>
        <v>72622</v>
      </c>
      <c r="U76" s="328">
        <f t="shared" si="4"/>
        <v>76303</v>
      </c>
    </row>
    <row r="77" spans="11:21" ht="12.75">
      <c r="K77" s="355" t="s">
        <v>205</v>
      </c>
      <c r="L77" s="356">
        <v>113113</v>
      </c>
      <c r="M77" s="356">
        <v>20808</v>
      </c>
      <c r="N77" s="356">
        <v>113452</v>
      </c>
      <c r="O77" s="356">
        <v>23327</v>
      </c>
      <c r="P77" s="357" t="s">
        <v>195</v>
      </c>
      <c r="Q77" s="357" t="s">
        <v>195</v>
      </c>
      <c r="S77" s="328">
        <f t="shared" si="2"/>
        <v>133921</v>
      </c>
      <c r="T77" s="328">
        <f t="shared" si="3"/>
        <v>136779</v>
      </c>
      <c r="U77" s="328"/>
    </row>
    <row r="78" spans="11:21" ht="12.75">
      <c r="K78" s="355" t="s">
        <v>206</v>
      </c>
      <c r="L78" s="357" t="s">
        <v>195</v>
      </c>
      <c r="M78" s="357" t="s">
        <v>195</v>
      </c>
      <c r="N78" s="357" t="s">
        <v>195</v>
      </c>
      <c r="O78" s="357" t="s">
        <v>195</v>
      </c>
      <c r="P78" s="357" t="s">
        <v>195</v>
      </c>
      <c r="Q78" s="357" t="s">
        <v>195</v>
      </c>
      <c r="S78" s="328"/>
      <c r="T78" s="328"/>
      <c r="U78" s="328"/>
    </row>
    <row r="79" spans="11:21" ht="12.75">
      <c r="K79" s="355" t="s">
        <v>207</v>
      </c>
      <c r="L79" s="357" t="s">
        <v>195</v>
      </c>
      <c r="M79" s="357" t="s">
        <v>195</v>
      </c>
      <c r="N79" s="357" t="s">
        <v>195</v>
      </c>
      <c r="O79" s="357" t="s">
        <v>195</v>
      </c>
      <c r="P79" s="357" t="s">
        <v>195</v>
      </c>
      <c r="Q79" s="357" t="s">
        <v>195</v>
      </c>
      <c r="S79" s="328"/>
      <c r="T79" s="328"/>
      <c r="U79" s="328"/>
    </row>
    <row r="80" spans="11:21" ht="12.75">
      <c r="K80" s="355" t="s">
        <v>208</v>
      </c>
      <c r="L80" s="357" t="s">
        <v>195</v>
      </c>
      <c r="M80" s="357" t="s">
        <v>195</v>
      </c>
      <c r="N80" s="357" t="s">
        <v>195</v>
      </c>
      <c r="O80" s="357" t="s">
        <v>195</v>
      </c>
      <c r="P80" s="357" t="s">
        <v>195</v>
      </c>
      <c r="Q80" s="357" t="s">
        <v>195</v>
      </c>
      <c r="S80" s="328"/>
      <c r="T80" s="328"/>
      <c r="U80" s="328"/>
    </row>
    <row r="81" spans="11:21" ht="12.75">
      <c r="K81" s="355" t="s">
        <v>209</v>
      </c>
      <c r="L81" s="356">
        <v>932636</v>
      </c>
      <c r="M81" s="356">
        <v>71329</v>
      </c>
      <c r="N81" s="356">
        <v>919211</v>
      </c>
      <c r="O81" s="356">
        <v>71487</v>
      </c>
      <c r="P81" s="357" t="s">
        <v>195</v>
      </c>
      <c r="Q81" s="357" t="s">
        <v>195</v>
      </c>
      <c r="S81" s="328">
        <f t="shared" si="2"/>
        <v>1003965</v>
      </c>
      <c r="T81" s="328">
        <f t="shared" si="3"/>
        <v>990698</v>
      </c>
      <c r="U81" s="328"/>
    </row>
    <row r="82" spans="11:21" ht="12.75">
      <c r="K82" s="355" t="s">
        <v>210</v>
      </c>
      <c r="L82" s="356">
        <v>379965</v>
      </c>
      <c r="M82" s="356">
        <v>16823</v>
      </c>
      <c r="N82" s="357" t="s">
        <v>195</v>
      </c>
      <c r="O82" s="357" t="s">
        <v>195</v>
      </c>
      <c r="P82" s="357" t="s">
        <v>195</v>
      </c>
      <c r="Q82" s="357" t="s">
        <v>195</v>
      </c>
      <c r="S82" s="328">
        <f t="shared" si="2"/>
        <v>396788</v>
      </c>
      <c r="T82" s="328"/>
      <c r="U82" s="328"/>
    </row>
    <row r="83" spans="11:21" ht="12.75">
      <c r="K83" s="355" t="s">
        <v>211</v>
      </c>
      <c r="L83" s="356">
        <v>2767035</v>
      </c>
      <c r="M83" s="356">
        <v>214581</v>
      </c>
      <c r="N83" s="356">
        <v>2892064</v>
      </c>
      <c r="O83" s="356">
        <v>238665</v>
      </c>
      <c r="P83" s="356">
        <v>2920779</v>
      </c>
      <c r="Q83" s="356">
        <v>257226</v>
      </c>
      <c r="S83" s="328">
        <f t="shared" si="2"/>
        <v>2981616</v>
      </c>
      <c r="T83" s="328">
        <f t="shared" si="3"/>
        <v>3130729</v>
      </c>
      <c r="U83" s="328">
        <f t="shared" si="4"/>
        <v>3178005</v>
      </c>
    </row>
    <row r="84" spans="11:21" ht="12.75">
      <c r="K84" s="355" t="s">
        <v>212</v>
      </c>
      <c r="L84" s="356">
        <v>1402609</v>
      </c>
      <c r="M84" s="356">
        <v>41657</v>
      </c>
      <c r="N84" s="356">
        <v>1383193</v>
      </c>
      <c r="O84" s="356">
        <v>40358</v>
      </c>
      <c r="P84" s="356">
        <v>1223877</v>
      </c>
      <c r="Q84" s="356">
        <v>34009</v>
      </c>
      <c r="S84" s="328">
        <f t="shared" si="2"/>
        <v>1444266</v>
      </c>
      <c r="T84" s="328">
        <f t="shared" si="3"/>
        <v>1423551</v>
      </c>
      <c r="U84" s="328">
        <f t="shared" si="4"/>
        <v>1257886</v>
      </c>
    </row>
    <row r="85" spans="11:21" ht="12.75">
      <c r="K85" s="355" t="s">
        <v>213</v>
      </c>
      <c r="L85" s="356">
        <v>636077</v>
      </c>
      <c r="M85" s="356">
        <v>31142</v>
      </c>
      <c r="N85" s="356">
        <v>665990</v>
      </c>
      <c r="O85" s="356">
        <v>30270</v>
      </c>
      <c r="P85" s="356">
        <v>690589</v>
      </c>
      <c r="Q85" s="356">
        <v>29337</v>
      </c>
      <c r="S85" s="328">
        <f t="shared" si="2"/>
        <v>667219</v>
      </c>
      <c r="T85" s="328">
        <f t="shared" si="3"/>
        <v>696260</v>
      </c>
      <c r="U85" s="328">
        <f t="shared" si="4"/>
        <v>719926</v>
      </c>
    </row>
    <row r="86" spans="11:21" ht="12.75">
      <c r="K86" s="355" t="s">
        <v>214</v>
      </c>
      <c r="L86" s="356">
        <v>75121</v>
      </c>
      <c r="M86" s="356">
        <v>8986</v>
      </c>
      <c r="N86" s="356">
        <v>75508</v>
      </c>
      <c r="O86" s="356">
        <v>9136</v>
      </c>
      <c r="P86" s="356">
        <v>75096</v>
      </c>
      <c r="Q86" s="356">
        <v>9312</v>
      </c>
      <c r="S86" s="328">
        <f t="shared" si="2"/>
        <v>84107</v>
      </c>
      <c r="T86" s="328">
        <f t="shared" si="3"/>
        <v>84644</v>
      </c>
      <c r="U86" s="328">
        <f t="shared" si="4"/>
        <v>84408</v>
      </c>
    </row>
    <row r="87" spans="11:21" ht="12.75">
      <c r="K87" s="355" t="s">
        <v>215</v>
      </c>
      <c r="L87" s="356">
        <v>273328</v>
      </c>
      <c r="M87" s="356">
        <v>23183</v>
      </c>
      <c r="N87" s="356">
        <v>278822</v>
      </c>
      <c r="O87" s="356">
        <v>24942</v>
      </c>
      <c r="P87" s="356">
        <v>284009</v>
      </c>
      <c r="Q87" s="356">
        <v>26139</v>
      </c>
      <c r="S87" s="328">
        <f t="shared" si="2"/>
        <v>296511</v>
      </c>
      <c r="T87" s="328">
        <f t="shared" si="3"/>
        <v>303764</v>
      </c>
      <c r="U87" s="328">
        <f t="shared" si="4"/>
        <v>310148</v>
      </c>
    </row>
    <row r="88" spans="11:21" ht="12.75">
      <c r="K88" s="355" t="s">
        <v>216</v>
      </c>
      <c r="L88" s="356">
        <v>464408</v>
      </c>
      <c r="M88" s="356">
        <v>9601</v>
      </c>
      <c r="N88" s="356">
        <v>488939</v>
      </c>
      <c r="O88" s="356">
        <v>10431</v>
      </c>
      <c r="P88" s="357" t="s">
        <v>195</v>
      </c>
      <c r="Q88" s="357" t="s">
        <v>195</v>
      </c>
      <c r="S88" s="328">
        <f t="shared" si="2"/>
        <v>474009</v>
      </c>
      <c r="T88" s="328">
        <f t="shared" si="3"/>
        <v>499370</v>
      </c>
      <c r="U88" s="328"/>
    </row>
    <row r="89" spans="11:21" ht="12.75">
      <c r="K89" s="355" t="s">
        <v>217</v>
      </c>
      <c r="L89" s="357" t="s">
        <v>195</v>
      </c>
      <c r="M89" s="357" t="s">
        <v>195</v>
      </c>
      <c r="N89" s="357" t="s">
        <v>195</v>
      </c>
      <c r="O89" s="357" t="s">
        <v>195</v>
      </c>
      <c r="P89" s="357" t="s">
        <v>195</v>
      </c>
      <c r="Q89" s="357" t="s">
        <v>195</v>
      </c>
      <c r="S89" s="328"/>
      <c r="T89" s="328"/>
      <c r="U89" s="328"/>
    </row>
    <row r="90" spans="11:21" ht="12.75">
      <c r="K90" s="355" t="s">
        <v>218</v>
      </c>
      <c r="L90" s="356">
        <v>3576452</v>
      </c>
      <c r="M90" s="356">
        <v>101467</v>
      </c>
      <c r="N90" s="356">
        <v>3607601</v>
      </c>
      <c r="O90" s="356">
        <v>106165</v>
      </c>
      <c r="P90" s="357" t="s">
        <v>195</v>
      </c>
      <c r="Q90" s="357" t="s">
        <v>195</v>
      </c>
      <c r="S90" s="328">
        <f t="shared" si="2"/>
        <v>3677919</v>
      </c>
      <c r="T90" s="328">
        <f t="shared" si="3"/>
        <v>3713766</v>
      </c>
      <c r="U90" s="328"/>
    </row>
    <row r="91" spans="11:21" ht="12.75">
      <c r="K91" s="355" t="s">
        <v>219</v>
      </c>
      <c r="L91" s="357" t="s">
        <v>195</v>
      </c>
      <c r="M91" s="357" t="s">
        <v>195</v>
      </c>
      <c r="N91" s="357" t="s">
        <v>195</v>
      </c>
      <c r="O91" s="357" t="s">
        <v>195</v>
      </c>
      <c r="P91" s="357" t="s">
        <v>195</v>
      </c>
      <c r="Q91" s="357" t="s">
        <v>195</v>
      </c>
      <c r="S91" s="328"/>
      <c r="T91" s="328"/>
      <c r="U91" s="328"/>
    </row>
    <row r="92" spans="11:21" ht="12.75">
      <c r="K92" s="355" t="s">
        <v>220</v>
      </c>
      <c r="L92" s="357" t="s">
        <v>195</v>
      </c>
      <c r="M92" s="357" t="s">
        <v>195</v>
      </c>
      <c r="N92" s="357" t="s">
        <v>195</v>
      </c>
      <c r="O92" s="357" t="s">
        <v>195</v>
      </c>
      <c r="P92" s="357" t="s">
        <v>195</v>
      </c>
      <c r="Q92" s="357" t="s">
        <v>195</v>
      </c>
      <c r="S92" s="328"/>
      <c r="T92" s="328"/>
      <c r="U92" s="328"/>
    </row>
    <row r="93" spans="11:21" ht="12.75">
      <c r="K93" s="355" t="s">
        <v>221</v>
      </c>
      <c r="L93" s="356">
        <v>518819</v>
      </c>
      <c r="M93" s="356">
        <v>7543</v>
      </c>
      <c r="N93" s="356">
        <v>525889</v>
      </c>
      <c r="O93" s="356">
        <v>7697</v>
      </c>
      <c r="P93" s="356">
        <v>534434</v>
      </c>
      <c r="Q93" s="356">
        <v>8094</v>
      </c>
      <c r="S93" s="328">
        <f t="shared" si="2"/>
        <v>526362</v>
      </c>
      <c r="T93" s="328">
        <f t="shared" si="3"/>
        <v>533586</v>
      </c>
      <c r="U93" s="328">
        <f t="shared" si="4"/>
        <v>542528</v>
      </c>
    </row>
    <row r="94" spans="11:21" ht="12.75">
      <c r="K94" s="355" t="s">
        <v>222</v>
      </c>
      <c r="L94" s="356">
        <v>324000</v>
      </c>
      <c r="M94" s="356">
        <v>10900</v>
      </c>
      <c r="N94" s="356">
        <v>337300</v>
      </c>
      <c r="O94" s="356">
        <v>11200</v>
      </c>
      <c r="P94" s="356">
        <v>350700</v>
      </c>
      <c r="Q94" s="356">
        <v>11200</v>
      </c>
      <c r="S94" s="328">
        <f t="shared" si="2"/>
        <v>334900</v>
      </c>
      <c r="T94" s="328">
        <f t="shared" si="3"/>
        <v>348500</v>
      </c>
      <c r="U94" s="328">
        <f t="shared" si="4"/>
        <v>361900</v>
      </c>
    </row>
    <row r="95" spans="11:21" ht="12.75">
      <c r="K95" s="355" t="s">
        <v>224</v>
      </c>
      <c r="L95" s="356">
        <v>13744</v>
      </c>
      <c r="M95" s="356">
        <v>4505</v>
      </c>
      <c r="N95" s="356">
        <v>27917</v>
      </c>
      <c r="O95" s="356">
        <v>4636</v>
      </c>
      <c r="P95" s="357" t="s">
        <v>195</v>
      </c>
      <c r="Q95" s="357" t="s">
        <v>195</v>
      </c>
      <c r="S95" s="328">
        <f t="shared" si="2"/>
        <v>18249</v>
      </c>
      <c r="T95" s="328">
        <f t="shared" si="3"/>
        <v>32553</v>
      </c>
      <c r="U95" s="328"/>
    </row>
    <row r="96" spans="11:21" ht="12.75">
      <c r="K96" s="355" t="s">
        <v>225</v>
      </c>
      <c r="L96" s="356">
        <v>599813</v>
      </c>
      <c r="M96" s="356">
        <v>126546</v>
      </c>
      <c r="N96" s="356">
        <v>581933</v>
      </c>
      <c r="O96" s="356">
        <v>146525</v>
      </c>
      <c r="P96" s="356">
        <v>587233</v>
      </c>
      <c r="Q96" s="356">
        <v>164417</v>
      </c>
      <c r="S96" s="328">
        <f t="shared" si="2"/>
        <v>726359</v>
      </c>
      <c r="T96" s="328">
        <f t="shared" si="3"/>
        <v>728458</v>
      </c>
      <c r="U96" s="328">
        <f t="shared" si="4"/>
        <v>751650</v>
      </c>
    </row>
    <row r="98" spans="11:17" ht="14.25">
      <c r="K98" s="353" t="s">
        <v>235</v>
      </c>
      <c r="L98" s="352"/>
      <c r="M98" s="352"/>
      <c r="N98" s="352"/>
      <c r="O98" s="352"/>
      <c r="P98" s="352"/>
      <c r="Q98" s="352"/>
    </row>
    <row r="99" spans="11:17" ht="14.25">
      <c r="K99" s="353" t="s">
        <v>195</v>
      </c>
      <c r="L99" s="353" t="s">
        <v>226</v>
      </c>
      <c r="M99" s="352"/>
      <c r="N99" s="352"/>
      <c r="O99" s="352"/>
      <c r="P99" s="352"/>
      <c r="Q99" s="352"/>
    </row>
  </sheetData>
  <sheetProtection/>
  <mergeCells count="7">
    <mergeCell ref="B46:AH46"/>
    <mergeCell ref="B47:AH47"/>
    <mergeCell ref="B48:AH48"/>
    <mergeCell ref="B1:C1"/>
    <mergeCell ref="B2:AH2"/>
    <mergeCell ref="B3:AH3"/>
    <mergeCell ref="B45:AH45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U66"/>
  <sheetViews>
    <sheetView zoomScale="85" zoomScaleNormal="85" zoomScalePageLayoutView="0" workbookViewId="0" topLeftCell="A13">
      <selection activeCell="AF10" sqref="AF10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7" width="7.28125" style="1" customWidth="1"/>
    <col min="8" max="13" width="7.28125" style="0" customWidth="1"/>
    <col min="14" max="20" width="7.7109375" style="0" customWidth="1"/>
    <col min="21" max="21" width="7.7109375" style="398" customWidth="1"/>
    <col min="22" max="22" width="7.7109375" style="1" customWidth="1"/>
    <col min="23" max="23" width="7.7109375" style="398" customWidth="1"/>
    <col min="24" max="25" width="7.7109375" style="763" customWidth="1"/>
    <col min="26" max="26" width="8.7109375" style="888" customWidth="1"/>
    <col min="27" max="27" width="5.140625" style="0" customWidth="1"/>
    <col min="28" max="47" width="9.140625" style="398" customWidth="1"/>
  </cols>
  <sheetData>
    <row r="1" spans="2:27" ht="14.25" customHeight="1">
      <c r="B1" s="29"/>
      <c r="C1" s="81"/>
      <c r="D1" s="81"/>
      <c r="E1" s="81"/>
      <c r="F1" s="81"/>
      <c r="G1" s="81"/>
      <c r="H1" s="24"/>
      <c r="I1" s="24"/>
      <c r="AA1" s="17" t="s">
        <v>149</v>
      </c>
    </row>
    <row r="2" spans="2:47" s="43" customFormat="1" ht="30" customHeight="1">
      <c r="B2" s="1026" t="s">
        <v>15</v>
      </c>
      <c r="C2" s="1026"/>
      <c r="D2" s="1026"/>
      <c r="E2" s="1026"/>
      <c r="F2" s="1026"/>
      <c r="G2" s="1026"/>
      <c r="H2" s="1026"/>
      <c r="I2" s="1026"/>
      <c r="J2" s="1026"/>
      <c r="K2" s="1026"/>
      <c r="L2" s="1026"/>
      <c r="M2" s="1026"/>
      <c r="N2" s="1026"/>
      <c r="O2" s="1026"/>
      <c r="P2" s="1026"/>
      <c r="Q2" s="1026"/>
      <c r="R2" s="1026"/>
      <c r="S2" s="1026"/>
      <c r="T2" s="1026"/>
      <c r="U2" s="1026"/>
      <c r="V2" s="1026"/>
      <c r="W2" s="1026"/>
      <c r="X2" s="1026"/>
      <c r="Y2" s="1026"/>
      <c r="Z2" s="1026"/>
      <c r="AA2" s="1026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  <c r="AP2" s="432"/>
      <c r="AQ2" s="432"/>
      <c r="AR2" s="432"/>
      <c r="AS2" s="432"/>
      <c r="AT2" s="432"/>
      <c r="AU2" s="432"/>
    </row>
    <row r="3" spans="2:27" ht="15" customHeight="1">
      <c r="B3" s="1027" t="s">
        <v>112</v>
      </c>
      <c r="C3" s="1027"/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027"/>
      <c r="P3" s="1027"/>
      <c r="Q3" s="1027"/>
      <c r="R3" s="1027"/>
      <c r="S3" s="1027"/>
      <c r="T3" s="1027"/>
      <c r="U3" s="1027"/>
      <c r="V3" s="1027"/>
      <c r="W3" s="1027"/>
      <c r="X3" s="1027"/>
      <c r="Y3" s="1027"/>
      <c r="Z3" s="1027"/>
      <c r="AA3" s="1027"/>
    </row>
    <row r="4" spans="2:27" ht="12.75" customHeight="1">
      <c r="B4" s="4"/>
      <c r="C4" s="4"/>
      <c r="D4" s="4"/>
      <c r="E4" s="4"/>
      <c r="F4" s="4"/>
      <c r="G4" s="4"/>
      <c r="H4" s="22"/>
      <c r="P4" s="34"/>
      <c r="R4" s="57"/>
      <c r="S4" s="57"/>
      <c r="T4" s="57"/>
      <c r="U4" s="57"/>
      <c r="V4" s="57"/>
      <c r="W4" s="57"/>
      <c r="Y4" s="34" t="s">
        <v>3</v>
      </c>
      <c r="AA4" s="57"/>
    </row>
    <row r="5" spans="2:27" ht="19.5" customHeight="1">
      <c r="B5" s="4"/>
      <c r="C5" s="86">
        <v>1995</v>
      </c>
      <c r="D5" s="87">
        <v>1996</v>
      </c>
      <c r="E5" s="87">
        <v>1997</v>
      </c>
      <c r="F5" s="87">
        <v>1998</v>
      </c>
      <c r="G5" s="87">
        <v>1999</v>
      </c>
      <c r="H5" s="87">
        <v>2000</v>
      </c>
      <c r="I5" s="87">
        <v>2001</v>
      </c>
      <c r="J5" s="87">
        <v>2002</v>
      </c>
      <c r="K5" s="87">
        <v>2003</v>
      </c>
      <c r="L5" s="87">
        <v>2004</v>
      </c>
      <c r="M5" s="87">
        <v>2005</v>
      </c>
      <c r="N5" s="87">
        <v>2006</v>
      </c>
      <c r="O5" s="87">
        <v>2007</v>
      </c>
      <c r="P5" s="87">
        <v>2008</v>
      </c>
      <c r="Q5" s="87">
        <v>2009</v>
      </c>
      <c r="R5" s="87">
        <v>2010</v>
      </c>
      <c r="S5" s="87">
        <v>2011</v>
      </c>
      <c r="T5" s="87">
        <v>2012</v>
      </c>
      <c r="U5" s="87">
        <v>2013</v>
      </c>
      <c r="V5" s="87">
        <v>2014</v>
      </c>
      <c r="W5" s="87">
        <v>2015</v>
      </c>
      <c r="X5" s="715">
        <v>2016</v>
      </c>
      <c r="Y5" s="715">
        <v>2017</v>
      </c>
      <c r="Z5" s="100" t="s">
        <v>297</v>
      </c>
      <c r="AA5" s="6"/>
    </row>
    <row r="6" spans="2:27" ht="9.75" customHeight="1">
      <c r="B6" s="4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171" t="s">
        <v>104</v>
      </c>
      <c r="AA6" s="6"/>
    </row>
    <row r="7" spans="2:27" ht="12.75" customHeight="1">
      <c r="B7" s="52" t="s">
        <v>253</v>
      </c>
      <c r="C7" s="502"/>
      <c r="D7" s="503"/>
      <c r="E7" s="503"/>
      <c r="F7" s="503"/>
      <c r="G7" s="503"/>
      <c r="H7" s="461">
        <f aca="true" t="shared" si="0" ref="H7:M7">SUM(H8:H35)</f>
        <v>23389.220999999994</v>
      </c>
      <c r="I7" s="461">
        <f t="shared" si="0"/>
        <v>26129.616000000005</v>
      </c>
      <c r="J7" s="461">
        <f t="shared" si="0"/>
        <v>27147.53900000001</v>
      </c>
      <c r="K7" s="461">
        <f t="shared" si="0"/>
        <v>28044.076999999994</v>
      </c>
      <c r="L7" s="461">
        <f t="shared" si="0"/>
        <v>28563.183000000005</v>
      </c>
      <c r="M7" s="461">
        <f t="shared" si="0"/>
        <v>29831.85</v>
      </c>
      <c r="N7" s="461">
        <f>SUM(N8:N35)</f>
        <v>30861.67099999999</v>
      </c>
      <c r="O7" s="461">
        <f>SUM(O8:O35)</f>
        <v>32954.861000000004</v>
      </c>
      <c r="P7" s="796">
        <f>SUM(P8:P35)</f>
        <v>31977.988999999998</v>
      </c>
      <c r="Q7" s="461">
        <f>SUM(Q8:Q35)</f>
        <v>32149.766000000003</v>
      </c>
      <c r="R7" s="461">
        <f>SUM(R8:R35)</f>
        <v>32385.068100000004</v>
      </c>
      <c r="S7" s="461">
        <f aca="true" t="shared" si="1" ref="S7:X7">SUM(S8:S35)</f>
        <v>32857.350999999995</v>
      </c>
      <c r="T7" s="461">
        <f t="shared" si="1"/>
        <v>32453.769999999997</v>
      </c>
      <c r="U7" s="461">
        <f t="shared" si="1"/>
        <v>32707.031</v>
      </c>
      <c r="V7" s="461">
        <f t="shared" si="1"/>
        <v>33222.407</v>
      </c>
      <c r="W7" s="461">
        <f t="shared" si="1"/>
        <v>33547.218</v>
      </c>
      <c r="X7" s="792">
        <f t="shared" si="1"/>
        <v>34015.602999999996</v>
      </c>
      <c r="Y7" s="792">
        <f>SUM(Y8:Y35)</f>
        <v>35117.59300000001</v>
      </c>
      <c r="Z7" s="787">
        <f>Y7/X7*100-100</f>
        <v>3.2396603405796327</v>
      </c>
      <c r="AA7" s="52" t="s">
        <v>253</v>
      </c>
    </row>
    <row r="8" spans="1:27" ht="12" customHeight="1">
      <c r="A8" s="3"/>
      <c r="B8" s="9" t="s">
        <v>62</v>
      </c>
      <c r="C8" s="495"/>
      <c r="D8" s="465">
        <v>212.432</v>
      </c>
      <c r="E8" s="465">
        <v>225.317</v>
      </c>
      <c r="F8" s="465">
        <v>241.11</v>
      </c>
      <c r="G8" s="465">
        <v>260.567</v>
      </c>
      <c r="H8" s="465">
        <v>277.838</v>
      </c>
      <c r="I8" s="465">
        <v>293.63</v>
      </c>
      <c r="J8" s="465">
        <v>305.51</v>
      </c>
      <c r="K8" s="465">
        <v>319.48</v>
      </c>
      <c r="L8" s="465">
        <v>322.762</v>
      </c>
      <c r="M8" s="465">
        <v>346.293</v>
      </c>
      <c r="N8" s="466">
        <v>353.716</v>
      </c>
      <c r="O8" s="793">
        <v>369.382</v>
      </c>
      <c r="P8" s="465">
        <v>382.265</v>
      </c>
      <c r="Q8" s="465">
        <v>398.561</v>
      </c>
      <c r="R8" s="465">
        <v>412.947</v>
      </c>
      <c r="S8" s="465">
        <v>424.113</v>
      </c>
      <c r="T8" s="465">
        <v>438.588</v>
      </c>
      <c r="U8" s="465">
        <v>444.742</v>
      </c>
      <c r="V8" s="465">
        <v>453.011</v>
      </c>
      <c r="W8" s="465">
        <v>461.823</v>
      </c>
      <c r="X8" s="863">
        <v>471.766</v>
      </c>
      <c r="Y8" s="864">
        <f>478.711+151.942</f>
        <v>630.653</v>
      </c>
      <c r="Z8" s="890" t="s">
        <v>310</v>
      </c>
      <c r="AA8" s="66" t="s">
        <v>62</v>
      </c>
    </row>
    <row r="9" spans="1:27" ht="12.75" customHeight="1">
      <c r="A9" s="3"/>
      <c r="B9" s="51" t="s">
        <v>45</v>
      </c>
      <c r="C9" s="468">
        <v>519.3</v>
      </c>
      <c r="D9" s="469">
        <v>521.7</v>
      </c>
      <c r="E9" s="469">
        <v>525</v>
      </c>
      <c r="F9" s="469">
        <v>515.7</v>
      </c>
      <c r="G9" s="469">
        <v>519.2</v>
      </c>
      <c r="H9" s="469">
        <v>520.5</v>
      </c>
      <c r="I9" s="469">
        <v>524.1</v>
      </c>
      <c r="J9" s="469">
        <v>528.3</v>
      </c>
      <c r="K9" s="470">
        <v>533.7</v>
      </c>
      <c r="L9" s="469">
        <v>137.7</v>
      </c>
      <c r="M9" s="470">
        <v>146.5</v>
      </c>
      <c r="N9" s="469">
        <v>76.254</v>
      </c>
      <c r="O9" s="469">
        <v>90.318</v>
      </c>
      <c r="P9" s="469">
        <v>106.911</v>
      </c>
      <c r="Q9" s="469">
        <f>117.595</f>
        <v>117.595</v>
      </c>
      <c r="R9" s="469">
        <v>125.4</v>
      </c>
      <c r="S9" s="469">
        <v>131.8</v>
      </c>
      <c r="T9" s="469">
        <v>139.8</v>
      </c>
      <c r="U9" s="469">
        <v>147.9</v>
      </c>
      <c r="V9" s="469">
        <v>154.8</v>
      </c>
      <c r="W9" s="469">
        <v>163.3</v>
      </c>
      <c r="X9" s="469">
        <v>171.7</v>
      </c>
      <c r="Y9" s="505">
        <v>180.9</v>
      </c>
      <c r="Z9" s="889">
        <f aca="true" t="shared" si="2" ref="Z9:Z44">Y9/X9*100-100</f>
        <v>5.358182877111247</v>
      </c>
      <c r="AA9" s="65" t="s">
        <v>45</v>
      </c>
    </row>
    <row r="10" spans="1:27" ht="14.25" customHeight="1">
      <c r="A10" s="8"/>
      <c r="B10" s="10" t="s">
        <v>47</v>
      </c>
      <c r="C10" s="476">
        <v>915.229</v>
      </c>
      <c r="D10" s="474">
        <v>918.159</v>
      </c>
      <c r="E10" s="474">
        <v>929.627</v>
      </c>
      <c r="F10" s="477">
        <v>927.08</v>
      </c>
      <c r="G10" s="474">
        <v>799.647</v>
      </c>
      <c r="H10" s="474">
        <v>748.14</v>
      </c>
      <c r="I10" s="474">
        <v>755.482</v>
      </c>
      <c r="J10" s="474">
        <v>760.219</v>
      </c>
      <c r="K10" s="474">
        <v>751.634</v>
      </c>
      <c r="L10" s="474">
        <v>756.559</v>
      </c>
      <c r="M10" s="474">
        <v>794</v>
      </c>
      <c r="N10" s="474">
        <v>822.703</v>
      </c>
      <c r="O10" s="474">
        <v>860.131</v>
      </c>
      <c r="P10" s="474">
        <v>892.796</v>
      </c>
      <c r="Q10" s="474">
        <v>903.346</v>
      </c>
      <c r="R10" s="474">
        <v>924.291</v>
      </c>
      <c r="S10" s="474">
        <v>944.171</v>
      </c>
      <c r="T10" s="474">
        <v>976.911</v>
      </c>
      <c r="U10" s="474">
        <v>977.197</v>
      </c>
      <c r="V10" s="474">
        <v>998.816</v>
      </c>
      <c r="W10" s="474">
        <v>1046.467</v>
      </c>
      <c r="X10" s="474">
        <v>1074.88</v>
      </c>
      <c r="Y10" s="479">
        <v>1102.4</v>
      </c>
      <c r="Z10" s="890">
        <f t="shared" si="2"/>
        <v>2.5602857993450385</v>
      </c>
      <c r="AA10" s="67" t="s">
        <v>47</v>
      </c>
    </row>
    <row r="11" spans="1:27" ht="12.75" customHeight="1">
      <c r="A11" s="8"/>
      <c r="B11" s="51" t="s">
        <v>58</v>
      </c>
      <c r="C11" s="468">
        <v>58.014</v>
      </c>
      <c r="D11" s="469">
        <v>73.85</v>
      </c>
      <c r="E11" s="469">
        <v>93.875</v>
      </c>
      <c r="F11" s="469">
        <v>112.12</v>
      </c>
      <c r="G11" s="469">
        <v>126.938</v>
      </c>
      <c r="H11" s="469">
        <v>138.31</v>
      </c>
      <c r="I11" s="469">
        <v>146.365</v>
      </c>
      <c r="J11" s="469">
        <v>151.322</v>
      </c>
      <c r="K11" s="469">
        <v>155.74</v>
      </c>
      <c r="L11" s="469">
        <v>162.128</v>
      </c>
      <c r="M11" s="470">
        <f>105.264+66.653</f>
        <v>171.917</v>
      </c>
      <c r="N11" s="469">
        <f>118.752+65.284</f>
        <v>184.036</v>
      </c>
      <c r="O11" s="469">
        <f>133.914+63.263</f>
        <v>197.177</v>
      </c>
      <c r="P11" s="469">
        <v>204.76999999999998</v>
      </c>
      <c r="Q11" s="469">
        <f>147.373+57.866</f>
        <v>205.23899999999998</v>
      </c>
      <c r="R11" s="469">
        <f>148.766+54.842</f>
        <v>203.608</v>
      </c>
      <c r="S11" s="469">
        <v>200.597</v>
      </c>
      <c r="T11" s="469">
        <v>199.243</v>
      </c>
      <c r="U11" s="469">
        <v>198.076</v>
      </c>
      <c r="V11" s="469">
        <f>151.542+45.97</f>
        <v>197.512</v>
      </c>
      <c r="W11" s="469">
        <f>153.411+44.624</f>
        <v>198.035</v>
      </c>
      <c r="X11" s="469">
        <v>197.5</v>
      </c>
      <c r="Y11" s="505">
        <v>198</v>
      </c>
      <c r="Z11" s="889">
        <f t="shared" si="2"/>
        <v>0.25316455696201956</v>
      </c>
      <c r="AA11" s="65" t="s">
        <v>58</v>
      </c>
    </row>
    <row r="12" spans="1:27" ht="12.75" customHeight="1">
      <c r="A12" s="8"/>
      <c r="B12" s="10" t="s">
        <v>63</v>
      </c>
      <c r="C12" s="476">
        <f>1728.057+2267.428</f>
        <v>3995.4849999999997</v>
      </c>
      <c r="D12" s="477">
        <f>1666.995+2470.451</f>
        <v>4137.446</v>
      </c>
      <c r="E12" s="474">
        <f>1634.083+2096.673</f>
        <v>3730.756</v>
      </c>
      <c r="F12" s="474">
        <f>1747.139+2427.207</f>
        <v>4174.346</v>
      </c>
      <c r="G12" s="474">
        <f>1742.704+2646.497</f>
        <v>4389.201</v>
      </c>
      <c r="H12" s="474">
        <f>1594.749+2843.333</f>
        <v>4438.082</v>
      </c>
      <c r="I12" s="474">
        <f>1682.523+2984.626</f>
        <v>4667.149</v>
      </c>
      <c r="J12" s="474">
        <f>1583.917+3093.968</f>
        <v>4677.885</v>
      </c>
      <c r="K12" s="474">
        <f>1662.765+3201.042</f>
        <v>4863.807</v>
      </c>
      <c r="L12" s="474">
        <f>1785.62+3292.362</f>
        <v>5077.982</v>
      </c>
      <c r="M12" s="474">
        <f>1818.629+3384.272</f>
        <v>5202.901</v>
      </c>
      <c r="N12" s="474">
        <f>1930.185+3475.715</f>
        <v>5405.9</v>
      </c>
      <c r="O12" s="474">
        <f>1983.845+3566.122</f>
        <v>5549.967</v>
      </c>
      <c r="P12" s="478">
        <f>3658.59</f>
        <v>3658.59</v>
      </c>
      <c r="Q12" s="474">
        <f>3762.561</f>
        <v>3762.561</v>
      </c>
      <c r="R12" s="474">
        <f>3827.894</f>
        <v>3827.894</v>
      </c>
      <c r="S12" s="474">
        <f>3908.072</f>
        <v>3908.072</v>
      </c>
      <c r="T12" s="474">
        <f>3982.978</f>
        <v>3982.978</v>
      </c>
      <c r="U12" s="474">
        <f>4054.946</f>
        <v>4054.946</v>
      </c>
      <c r="V12" s="474">
        <f>4145.392</f>
        <v>4145.392</v>
      </c>
      <c r="W12" s="474">
        <f>4228.238</f>
        <v>4228.238</v>
      </c>
      <c r="X12" s="474">
        <f>4314.493</f>
        <v>4314.493</v>
      </c>
      <c r="Y12" s="479">
        <v>4372.978</v>
      </c>
      <c r="Z12" s="890">
        <f t="shared" si="2"/>
        <v>1.355547453663732</v>
      </c>
      <c r="AA12" s="67" t="s">
        <v>63</v>
      </c>
    </row>
    <row r="13" spans="1:27" ht="12.75" customHeight="1">
      <c r="A13" s="8"/>
      <c r="B13" s="51" t="s">
        <v>48</v>
      </c>
      <c r="C13" s="468">
        <v>3.3</v>
      </c>
      <c r="D13" s="469">
        <v>4.7</v>
      </c>
      <c r="E13" s="469">
        <v>5.3</v>
      </c>
      <c r="F13" s="469">
        <v>6.1</v>
      </c>
      <c r="G13" s="469">
        <v>6.7</v>
      </c>
      <c r="H13" s="469">
        <v>6.7</v>
      </c>
      <c r="I13" s="469">
        <v>6.8</v>
      </c>
      <c r="J13" s="469">
        <v>7.3</v>
      </c>
      <c r="K13" s="469">
        <v>8.1</v>
      </c>
      <c r="L13" s="469">
        <v>9.1</v>
      </c>
      <c r="M13" s="469">
        <v>10.234</v>
      </c>
      <c r="N13" s="469">
        <v>12.594</v>
      </c>
      <c r="O13" s="469">
        <v>14.78</v>
      </c>
      <c r="P13" s="469">
        <v>17.622</v>
      </c>
      <c r="Q13" s="469">
        <f>18.6</f>
        <v>18.6</v>
      </c>
      <c r="R13" s="469">
        <v>19.7</v>
      </c>
      <c r="S13" s="481">
        <v>23.217</v>
      </c>
      <c r="T13" s="469">
        <v>35.273</v>
      </c>
      <c r="U13" s="469">
        <f>24.8+13.9</f>
        <v>38.7</v>
      </c>
      <c r="V13" s="469">
        <f>27+15.3</f>
        <v>42.3</v>
      </c>
      <c r="W13" s="469">
        <f>16.5+29</f>
        <v>45.5</v>
      </c>
      <c r="X13" s="469">
        <f>31.2+17.6</f>
        <v>48.8</v>
      </c>
      <c r="Y13" s="505">
        <v>51.7</v>
      </c>
      <c r="Z13" s="889">
        <f t="shared" si="2"/>
        <v>5.942622950819683</v>
      </c>
      <c r="AA13" s="65" t="s">
        <v>48</v>
      </c>
    </row>
    <row r="14" spans="1:27" ht="12.75" customHeight="1">
      <c r="A14" s="8"/>
      <c r="B14" s="10" t="s">
        <v>66</v>
      </c>
      <c r="C14" s="476">
        <v>23.452</v>
      </c>
      <c r="D14" s="474">
        <v>23.847</v>
      </c>
      <c r="E14" s="474">
        <v>24.424</v>
      </c>
      <c r="F14" s="474">
        <v>24.398</v>
      </c>
      <c r="G14" s="474">
        <v>26.677</v>
      </c>
      <c r="H14" s="474">
        <v>30.638</v>
      </c>
      <c r="I14" s="474">
        <v>32.913</v>
      </c>
      <c r="J14" s="474">
        <v>33.147</v>
      </c>
      <c r="K14" s="474">
        <v>35.094</v>
      </c>
      <c r="L14" s="474">
        <v>34.854</v>
      </c>
      <c r="M14" s="474">
        <v>34.3</v>
      </c>
      <c r="N14" s="474">
        <v>34.927</v>
      </c>
      <c r="O14" s="474">
        <v>37.178</v>
      </c>
      <c r="P14" s="474">
        <v>39.409</v>
      </c>
      <c r="Q14" s="474">
        <v>39.552</v>
      </c>
      <c r="R14" s="474">
        <f>38.145</f>
        <v>38.145</v>
      </c>
      <c r="S14" s="474">
        <v>36.582</v>
      </c>
      <c r="T14" s="474">
        <v>35.106</v>
      </c>
      <c r="U14" s="474">
        <v>36.623</v>
      </c>
      <c r="V14" s="474">
        <v>36.573</v>
      </c>
      <c r="W14" s="474">
        <v>36.974</v>
      </c>
      <c r="X14" s="474">
        <v>38.023</v>
      </c>
      <c r="Y14" s="479">
        <v>39.873</v>
      </c>
      <c r="Z14" s="890">
        <f t="shared" si="2"/>
        <v>4.865476159166818</v>
      </c>
      <c r="AA14" s="67" t="s">
        <v>66</v>
      </c>
    </row>
    <row r="15" spans="1:27" ht="12.75" customHeight="1">
      <c r="A15" s="8"/>
      <c r="B15" s="51" t="s">
        <v>59</v>
      </c>
      <c r="C15" s="468"/>
      <c r="D15" s="469"/>
      <c r="E15" s="469"/>
      <c r="F15" s="469"/>
      <c r="G15" s="469"/>
      <c r="H15" s="469">
        <v>781.361</v>
      </c>
      <c r="I15" s="469">
        <v>853.366</v>
      </c>
      <c r="J15" s="469">
        <v>910.555</v>
      </c>
      <c r="K15" s="469">
        <v>969.895</v>
      </c>
      <c r="L15" s="469">
        <v>1042.605</v>
      </c>
      <c r="M15" s="469">
        <v>1124.172</v>
      </c>
      <c r="N15" s="469">
        <v>1205.816</v>
      </c>
      <c r="O15" s="469">
        <v>1298.688</v>
      </c>
      <c r="P15" s="469">
        <v>1388.607</v>
      </c>
      <c r="Q15" s="469">
        <v>1448.851</v>
      </c>
      <c r="R15" s="469">
        <v>1499.133</v>
      </c>
      <c r="S15" s="469">
        <v>1534.902</v>
      </c>
      <c r="T15" s="469">
        <v>1556.435</v>
      </c>
      <c r="U15" s="469">
        <f>1568.596</f>
        <v>1568.596</v>
      </c>
      <c r="V15" s="469">
        <v>1619.621</v>
      </c>
      <c r="W15" s="469">
        <v>1653.528</v>
      </c>
      <c r="X15" s="469">
        <v>1656.657</v>
      </c>
      <c r="Y15" s="505">
        <v>1583.491</v>
      </c>
      <c r="Z15" s="889">
        <f t="shared" si="2"/>
        <v>-4.416484522746714</v>
      </c>
      <c r="AA15" s="65" t="s">
        <v>59</v>
      </c>
    </row>
    <row r="16" spans="1:27" ht="12.75" customHeight="1">
      <c r="A16" s="8"/>
      <c r="B16" s="10" t="s">
        <v>64</v>
      </c>
      <c r="C16" s="476">
        <v>1301.18</v>
      </c>
      <c r="D16" s="474">
        <v>1308.208</v>
      </c>
      <c r="E16" s="474">
        <v>1326.333</v>
      </c>
      <c r="F16" s="474">
        <v>1361.155</v>
      </c>
      <c r="G16" s="474">
        <v>1403.771</v>
      </c>
      <c r="H16" s="477">
        <v>1445.644</v>
      </c>
      <c r="I16" s="474">
        <f>1483.442+1806.758</f>
        <v>3290.2</v>
      </c>
      <c r="J16" s="474">
        <f>1517.208+2044.242</f>
        <v>3561.45</v>
      </c>
      <c r="K16" s="474">
        <f>1513.526+2143.593</f>
        <v>3657.1189999999997</v>
      </c>
      <c r="L16" s="474">
        <f>1612.082+2242.046</f>
        <v>3854.1279999999997</v>
      </c>
      <c r="M16" s="474">
        <f>1805.827+2311.773</f>
        <v>4117.6</v>
      </c>
      <c r="N16" s="474">
        <f>2058.022+2343.124</f>
        <v>4401.146</v>
      </c>
      <c r="O16" s="474">
        <f>2311.346+2430.414</f>
        <v>4741.76</v>
      </c>
      <c r="P16" s="474">
        <f>2500.819+2410.685</f>
        <v>4911.504</v>
      </c>
      <c r="Q16" s="474">
        <f>2352.205+2606.674</f>
        <v>4958.879</v>
      </c>
      <c r="R16" s="474">
        <f>2290.207+2707.482</f>
        <v>4997.689</v>
      </c>
      <c r="S16" s="474">
        <f>2229.418+2798.043</f>
        <v>5027.461</v>
      </c>
      <c r="T16" s="474">
        <f>2852.297+2169.668</f>
        <v>5021.965</v>
      </c>
      <c r="U16" s="474">
        <f>2107.116+2891.204</f>
        <v>4998.32</v>
      </c>
      <c r="V16" s="474">
        <f>2061.044+2972.165</f>
        <v>5033.209</v>
      </c>
      <c r="W16" s="474">
        <f>3079.463+2023.211</f>
        <v>5102.674</v>
      </c>
      <c r="X16" s="474">
        <f>3211.47+1987.542</f>
        <v>5199.012</v>
      </c>
      <c r="Y16" s="479">
        <f>3327.048+1957.756</f>
        <v>5284.804</v>
      </c>
      <c r="Z16" s="890">
        <f t="shared" si="2"/>
        <v>1.650159684186164</v>
      </c>
      <c r="AA16" s="67" t="s">
        <v>64</v>
      </c>
    </row>
    <row r="17" spans="1:27" ht="12.75" customHeight="1">
      <c r="A17" s="8"/>
      <c r="B17" s="51" t="s">
        <v>65</v>
      </c>
      <c r="C17" s="468">
        <f>1562+727</f>
        <v>2289</v>
      </c>
      <c r="D17" s="469">
        <f>1540+738</f>
        <v>2278</v>
      </c>
      <c r="E17" s="469">
        <f>1518+780</f>
        <v>2298</v>
      </c>
      <c r="F17" s="469">
        <f>1482+839</f>
        <v>2321</v>
      </c>
      <c r="G17" s="469">
        <f>1461+912</f>
        <v>2373</v>
      </c>
      <c r="H17" s="469">
        <f>1442+968</f>
        <v>2410</v>
      </c>
      <c r="I17" s="469">
        <f>1421+1019</f>
        <v>2440</v>
      </c>
      <c r="J17" s="469">
        <f>1387+1054</f>
        <v>2441</v>
      </c>
      <c r="K17" s="469">
        <f>1357+1091</f>
        <v>2448</v>
      </c>
      <c r="L17" s="469">
        <f>1331+1131</f>
        <v>2462</v>
      </c>
      <c r="M17" s="469">
        <f>1297.698+1177.608</f>
        <v>2475.306</v>
      </c>
      <c r="N17" s="469">
        <f>1295.316+1248.245</f>
        <v>2543.5609999999997</v>
      </c>
      <c r="O17" s="481">
        <f>1939+1801</f>
        <v>3740</v>
      </c>
      <c r="P17" s="469">
        <v>3857</v>
      </c>
      <c r="Q17" s="469">
        <f>1748+1784</f>
        <v>3532</v>
      </c>
      <c r="R17" s="469">
        <f>1713+1847.951</f>
        <v>3560.951</v>
      </c>
      <c r="S17" s="469">
        <f>1591.636+1847.781</f>
        <v>3439.417</v>
      </c>
      <c r="T17" s="469">
        <v>3089.125</v>
      </c>
      <c r="U17" s="469">
        <f>1343.411+1592.882</f>
        <v>2936.293</v>
      </c>
      <c r="V17" s="469">
        <f>1272.214+1542.88</f>
        <v>2815.094</v>
      </c>
      <c r="W17" s="469">
        <f>1197.031+1497.135</f>
        <v>2694.166</v>
      </c>
      <c r="X17" s="469">
        <v>2553</v>
      </c>
      <c r="Y17" s="901">
        <v>3034</v>
      </c>
      <c r="Z17" s="889">
        <f t="shared" si="2"/>
        <v>18.840579710144922</v>
      </c>
      <c r="AA17" s="65" t="s">
        <v>65</v>
      </c>
    </row>
    <row r="18" spans="1:27" ht="12.75" customHeight="1">
      <c r="A18" s="8"/>
      <c r="B18" s="10" t="s">
        <v>76</v>
      </c>
      <c r="C18" s="474">
        <v>9.933</v>
      </c>
      <c r="D18" s="474">
        <v>14.128</v>
      </c>
      <c r="E18" s="474">
        <v>17.401</v>
      </c>
      <c r="F18" s="474">
        <v>18.957</v>
      </c>
      <c r="G18" s="474">
        <v>20.499</v>
      </c>
      <c r="H18" s="474">
        <v>21.868</v>
      </c>
      <c r="I18" s="477">
        <v>24.305</v>
      </c>
      <c r="J18" s="474">
        <v>85.217</v>
      </c>
      <c r="K18" s="474">
        <v>99.137</v>
      </c>
      <c r="L18" s="474">
        <v>112.907</v>
      </c>
      <c r="M18" s="474">
        <v>128.382</v>
      </c>
      <c r="N18" s="474">
        <v>143.486</v>
      </c>
      <c r="O18" s="474">
        <f>56.401+106.343</f>
        <v>162.744</v>
      </c>
      <c r="P18" s="474">
        <v>183.814</v>
      </c>
      <c r="Q18" s="474">
        <f>63.691+120.792</f>
        <v>184.483</v>
      </c>
      <c r="R18" s="474">
        <f>62.21+114.563</f>
        <v>176.773</v>
      </c>
      <c r="S18" s="474">
        <f>112.166+62.876</f>
        <v>175.042</v>
      </c>
      <c r="T18" s="474">
        <v>156.981</v>
      </c>
      <c r="U18" s="474">
        <v>154.782</v>
      </c>
      <c r="V18" s="474">
        <v>153.053</v>
      </c>
      <c r="W18" s="474">
        <v>151.277</v>
      </c>
      <c r="X18" s="474">
        <f>65.366+87.507</f>
        <v>152.873</v>
      </c>
      <c r="Y18" s="479">
        <f>85.121+69.148</f>
        <v>154.269</v>
      </c>
      <c r="Z18" s="890">
        <f t="shared" si="2"/>
        <v>0.9131762966645596</v>
      </c>
      <c r="AA18" s="67" t="s">
        <v>76</v>
      </c>
    </row>
    <row r="19" spans="1:27" ht="12.75" customHeight="1">
      <c r="A19" s="8"/>
      <c r="B19" s="156" t="s">
        <v>67</v>
      </c>
      <c r="C19" s="483">
        <f>2530.75+3697.545</f>
        <v>6228.295</v>
      </c>
      <c r="D19" s="484">
        <f>2572.926+3818.309</f>
        <v>6391.235000000001</v>
      </c>
      <c r="E19" s="484">
        <f>2597.857+3831.657</f>
        <v>6429.514</v>
      </c>
      <c r="F19" s="484">
        <f>2723.002+4100.321</f>
        <v>6823.323</v>
      </c>
      <c r="G19" s="484">
        <f>2975.651+4431.146</f>
        <v>7406.797</v>
      </c>
      <c r="H19" s="484">
        <f>3375.782+4451.124</f>
        <v>7826.906</v>
      </c>
      <c r="I19" s="484">
        <f>3732.306+4495.813</f>
        <v>8228.119</v>
      </c>
      <c r="J19" s="484">
        <f>4037.48+4540.906</f>
        <v>8578.386</v>
      </c>
      <c r="K19" s="484">
        <f>4375.947+4586.452</f>
        <v>8962.399000000001</v>
      </c>
      <c r="L19" s="484">
        <f>4632.399+4574.644</f>
        <v>9207.043000000001</v>
      </c>
      <c r="M19" s="484">
        <f>4360+4938.359</f>
        <v>9298.359</v>
      </c>
      <c r="N19" s="484">
        <f>4050+5288.818</f>
        <v>9338.818</v>
      </c>
      <c r="O19" s="484">
        <f>3690+5590.259</f>
        <v>9280.259</v>
      </c>
      <c r="P19" s="484">
        <v>9180.094000000001</v>
      </c>
      <c r="Q19" s="484">
        <f>6118.098+2900</f>
        <v>9018.098</v>
      </c>
      <c r="R19" s="484">
        <f>6305.032+2550</f>
        <v>8855.032</v>
      </c>
      <c r="S19" s="484">
        <f>6428.476+2550</f>
        <v>8978.475999999999</v>
      </c>
      <c r="T19" s="484">
        <f>6428.796+2153.454</f>
        <v>8582.25</v>
      </c>
      <c r="U19" s="484">
        <f>6481.77+2256.078</f>
        <v>8737.848</v>
      </c>
      <c r="V19" s="484">
        <f>6505.62+2516.612</f>
        <v>9022.232</v>
      </c>
      <c r="W19" s="484">
        <f>6543.612+2421.947</f>
        <v>8965.559000000001</v>
      </c>
      <c r="X19" s="484">
        <f>6606.844+2476.819</f>
        <v>9083.663</v>
      </c>
      <c r="Y19" s="516">
        <f>6689.911+2528.419</f>
        <v>9218.33</v>
      </c>
      <c r="Z19" s="889">
        <f t="shared" si="2"/>
        <v>1.4825186711572087</v>
      </c>
      <c r="AA19" s="359" t="s">
        <v>67</v>
      </c>
    </row>
    <row r="20" spans="1:27" ht="12.75" customHeight="1">
      <c r="A20" s="8"/>
      <c r="B20" s="10" t="s">
        <v>46</v>
      </c>
      <c r="C20" s="476">
        <v>50.393</v>
      </c>
      <c r="D20" s="474"/>
      <c r="E20" s="474"/>
      <c r="F20" s="474">
        <v>44.337</v>
      </c>
      <c r="G20" s="474">
        <v>44.756</v>
      </c>
      <c r="H20" s="474">
        <v>43.315</v>
      </c>
      <c r="I20" s="474">
        <v>41.985</v>
      </c>
      <c r="J20" s="474">
        <v>40.276</v>
      </c>
      <c r="K20" s="474">
        <v>41.516</v>
      </c>
      <c r="L20" s="474">
        <v>41.396</v>
      </c>
      <c r="M20" s="474">
        <v>40.381</v>
      </c>
      <c r="N20" s="474">
        <v>40.359</v>
      </c>
      <c r="O20" s="474">
        <v>41.211</v>
      </c>
      <c r="P20" s="474">
        <v>43.219</v>
      </c>
      <c r="Q20" s="474">
        <f>23.473+19.217</f>
        <v>42.69</v>
      </c>
      <c r="R20" s="474">
        <f>23.677+17.05</f>
        <v>40.727000000000004</v>
      </c>
      <c r="S20" s="474">
        <f>23.864+15.939</f>
        <v>39.803</v>
      </c>
      <c r="T20" s="474">
        <f>25.293+15.812</f>
        <v>41.105</v>
      </c>
      <c r="U20" s="718">
        <f>14.745+25.224</f>
        <v>39.969</v>
      </c>
      <c r="V20" s="474">
        <f>14.392+26.578</f>
        <v>40.97</v>
      </c>
      <c r="W20" s="474">
        <f>13.48+25.802</f>
        <v>39.282</v>
      </c>
      <c r="X20" s="474">
        <f>12.828+26.414</f>
        <v>39.242000000000004</v>
      </c>
      <c r="Y20" s="479">
        <v>39.4</v>
      </c>
      <c r="Z20" s="890">
        <f t="shared" si="2"/>
        <v>0.40262983538043784</v>
      </c>
      <c r="AA20" s="67" t="s">
        <v>46</v>
      </c>
    </row>
    <row r="21" spans="1:27" ht="12.75" customHeight="1">
      <c r="A21" s="8"/>
      <c r="B21" s="156" t="s">
        <v>50</v>
      </c>
      <c r="C21" s="483">
        <v>15.792</v>
      </c>
      <c r="D21" s="484">
        <v>18.444</v>
      </c>
      <c r="E21" s="484">
        <v>19.267</v>
      </c>
      <c r="F21" s="484">
        <v>19.409</v>
      </c>
      <c r="G21" s="484">
        <v>20.057</v>
      </c>
      <c r="H21" s="489">
        <v>20.732</v>
      </c>
      <c r="I21" s="484">
        <v>21.37</v>
      </c>
      <c r="J21" s="484">
        <v>22.16</v>
      </c>
      <c r="K21" s="489">
        <v>22.88</v>
      </c>
      <c r="L21" s="484">
        <f>23.982+5.943</f>
        <v>29.924999999999997</v>
      </c>
      <c r="M21" s="484">
        <f>25.193+7.284</f>
        <v>32.477000000000004</v>
      </c>
      <c r="N21" s="484">
        <f>27.21+9.664</f>
        <v>36.874</v>
      </c>
      <c r="O21" s="484">
        <f>30.87+13.542</f>
        <v>44.412</v>
      </c>
      <c r="P21" s="484">
        <v>51.284000000000006</v>
      </c>
      <c r="Q21" s="484">
        <f>18.373+33.59</f>
        <v>51.96300000000001</v>
      </c>
      <c r="R21" s="485">
        <v>36.674</v>
      </c>
      <c r="S21" s="484">
        <v>38.623</v>
      </c>
      <c r="T21" s="484">
        <v>41.088</v>
      </c>
      <c r="U21" s="484">
        <v>43.588</v>
      </c>
      <c r="V21" s="484">
        <v>46.422</v>
      </c>
      <c r="W21" s="484">
        <v>49.288</v>
      </c>
      <c r="X21" s="484">
        <v>49.581</v>
      </c>
      <c r="Y21" s="516">
        <v>52.8</v>
      </c>
      <c r="Z21" s="889">
        <f t="shared" si="2"/>
        <v>6.492406365341537</v>
      </c>
      <c r="AA21" s="359" t="s">
        <v>50</v>
      </c>
    </row>
    <row r="22" spans="1:27" ht="12.75" customHeight="1">
      <c r="A22" s="8"/>
      <c r="B22" s="10" t="s">
        <v>51</v>
      </c>
      <c r="C22" s="476">
        <v>20.033</v>
      </c>
      <c r="D22" s="474">
        <v>19.402</v>
      </c>
      <c r="E22" s="474">
        <v>19.128</v>
      </c>
      <c r="F22" s="474">
        <v>19.266</v>
      </c>
      <c r="G22" s="474">
        <v>19.515</v>
      </c>
      <c r="H22" s="474">
        <v>19.842</v>
      </c>
      <c r="I22" s="474">
        <v>20.244</v>
      </c>
      <c r="J22" s="474">
        <v>21.017</v>
      </c>
      <c r="K22" s="474">
        <v>21.873</v>
      </c>
      <c r="L22" s="474">
        <v>22.861</v>
      </c>
      <c r="M22" s="474">
        <v>24.027</v>
      </c>
      <c r="N22" s="477">
        <v>25.478</v>
      </c>
      <c r="O22" s="478">
        <f>28.826+6.444</f>
        <v>35.27</v>
      </c>
      <c r="P22" s="474">
        <v>45.617000000000004</v>
      </c>
      <c r="Q22" s="474">
        <f>14.81+36.562</f>
        <v>51.372</v>
      </c>
      <c r="R22" s="474">
        <f>38.995+17.276</f>
        <v>56.271</v>
      </c>
      <c r="S22" s="474">
        <f>41.349+18.775</f>
        <v>60.123999999999995</v>
      </c>
      <c r="T22" s="474">
        <v>64.249</v>
      </c>
      <c r="U22" s="474">
        <f>22.169+45.983</f>
        <v>68.152</v>
      </c>
      <c r="V22" s="478">
        <f>23.374+9.789</f>
        <v>33.163</v>
      </c>
      <c r="W22" s="474">
        <f>26.651+11.102</f>
        <v>37.753</v>
      </c>
      <c r="X22" s="474">
        <f>10.929+28.784</f>
        <v>39.713</v>
      </c>
      <c r="Y22" s="479">
        <f>11+31.1</f>
        <v>42.1</v>
      </c>
      <c r="Z22" s="890">
        <f t="shared" si="2"/>
        <v>6.010626243295647</v>
      </c>
      <c r="AA22" s="67" t="s">
        <v>51</v>
      </c>
    </row>
    <row r="23" spans="1:27" ht="12.75" customHeight="1">
      <c r="A23" s="8"/>
      <c r="B23" s="156" t="s">
        <v>68</v>
      </c>
      <c r="C23" s="507">
        <f>8.405+20</f>
        <v>28.405</v>
      </c>
      <c r="D23" s="484">
        <f>8.716+20.185</f>
        <v>28.900999999999996</v>
      </c>
      <c r="E23" s="484">
        <f>9.297+20.377</f>
        <v>29.674</v>
      </c>
      <c r="F23" s="484">
        <f>9.947+20.641</f>
        <v>30.587999999999997</v>
      </c>
      <c r="G23" s="484">
        <f>10.819+20.943</f>
        <v>31.762</v>
      </c>
      <c r="H23" s="484">
        <f>11.488+21.286</f>
        <v>32.774</v>
      </c>
      <c r="I23" s="484">
        <f>11.961+21.615</f>
        <v>33.576</v>
      </c>
      <c r="J23" s="484">
        <f>12.671+22.03</f>
        <v>34.701</v>
      </c>
      <c r="K23" s="484">
        <f>13.38+22.579</f>
        <v>35.959</v>
      </c>
      <c r="L23" s="484">
        <f>13.901+23.008</f>
        <v>36.909</v>
      </c>
      <c r="M23" s="484">
        <f>23.471+14.268</f>
        <v>37.739000000000004</v>
      </c>
      <c r="N23" s="484">
        <f>24.029+14.609</f>
        <v>38.638</v>
      </c>
      <c r="O23" s="484">
        <f>24.532+14.947</f>
        <v>39.479</v>
      </c>
      <c r="P23" s="484">
        <v>40.285</v>
      </c>
      <c r="Q23" s="484">
        <f>25.7+15.551</f>
        <v>41.251</v>
      </c>
      <c r="R23" s="484">
        <f>26.34+15.753</f>
        <v>42.093</v>
      </c>
      <c r="S23" s="484">
        <f>27.11+16.225</f>
        <v>43.335</v>
      </c>
      <c r="T23" s="484">
        <v>44.526</v>
      </c>
      <c r="U23" s="485">
        <f>8.527+17.226</f>
        <v>25.753</v>
      </c>
      <c r="V23" s="484">
        <f>9.385+17.89</f>
        <v>27.275</v>
      </c>
      <c r="W23" s="484">
        <f>18.569+9.69</f>
        <v>28.259</v>
      </c>
      <c r="X23" s="484">
        <f>19.485+9.768</f>
        <v>29.253</v>
      </c>
      <c r="Y23" s="516">
        <v>30.3</v>
      </c>
      <c r="Z23" s="889">
        <f t="shared" si="2"/>
        <v>3.5791200902471445</v>
      </c>
      <c r="AA23" s="359" t="s">
        <v>68</v>
      </c>
    </row>
    <row r="24" spans="1:27" ht="12.75" customHeight="1">
      <c r="A24" s="8"/>
      <c r="B24" s="10" t="s">
        <v>49</v>
      </c>
      <c r="C24" s="476"/>
      <c r="D24" s="474"/>
      <c r="E24" s="474"/>
      <c r="F24" s="474"/>
      <c r="G24" s="474">
        <v>87.573</v>
      </c>
      <c r="H24" s="474">
        <v>91.193</v>
      </c>
      <c r="I24" s="474">
        <v>93.088</v>
      </c>
      <c r="J24" s="474">
        <v>97.593</v>
      </c>
      <c r="K24" s="474">
        <v>103.493</v>
      </c>
      <c r="L24" s="474">
        <v>114.038</v>
      </c>
      <c r="M24" s="474">
        <v>122.705</v>
      </c>
      <c r="N24" s="474">
        <v>130.188</v>
      </c>
      <c r="O24" s="474">
        <v>135.865</v>
      </c>
      <c r="P24" s="474">
        <v>141.54</v>
      </c>
      <c r="Q24" s="474">
        <f>141.956</f>
        <v>141.956</v>
      </c>
      <c r="R24" s="474">
        <v>142.251</v>
      </c>
      <c r="S24" s="474">
        <f>147.382</f>
        <v>147.382</v>
      </c>
      <c r="T24" s="474">
        <f>151.405</f>
        <v>151.405</v>
      </c>
      <c r="U24" s="474">
        <f>157.178</f>
        <v>157.178</v>
      </c>
      <c r="V24" s="474">
        <v>161.54</v>
      </c>
      <c r="W24" s="474">
        <v>162.828</v>
      </c>
      <c r="X24" s="474">
        <v>162.148</v>
      </c>
      <c r="Y24" s="479">
        <v>167.4</v>
      </c>
      <c r="Z24" s="890">
        <f t="shared" si="2"/>
        <v>3.239016207415446</v>
      </c>
      <c r="AA24" s="67" t="s">
        <v>49</v>
      </c>
    </row>
    <row r="25" spans="1:27" ht="12.75" customHeight="1">
      <c r="A25" s="8"/>
      <c r="B25" s="156" t="s">
        <v>52</v>
      </c>
      <c r="C25" s="483">
        <v>17.411</v>
      </c>
      <c r="D25" s="484">
        <v>11.663</v>
      </c>
      <c r="E25" s="484">
        <v>13.881</v>
      </c>
      <c r="F25" s="484">
        <v>14.847</v>
      </c>
      <c r="G25" s="484">
        <v>11.87</v>
      </c>
      <c r="H25" s="484">
        <v>12.402</v>
      </c>
      <c r="I25" s="484">
        <v>12.83</v>
      </c>
      <c r="J25" s="484">
        <v>13.324</v>
      </c>
      <c r="K25" s="484">
        <v>13.667</v>
      </c>
      <c r="L25" s="484">
        <f>12.639+0.143</f>
        <v>12.782</v>
      </c>
      <c r="M25" s="484">
        <f>11.905+0.088</f>
        <v>11.992999999999999</v>
      </c>
      <c r="N25" s="484">
        <f>12.192+0.094</f>
        <v>12.286</v>
      </c>
      <c r="O25" s="484">
        <v>12.791</v>
      </c>
      <c r="P25" s="484">
        <v>14.413000000000002</v>
      </c>
      <c r="Q25" s="484">
        <f>14.301+0.005+0.074</f>
        <v>14.38</v>
      </c>
      <c r="R25" s="485">
        <f>14.635+0.067+0.0141</f>
        <v>14.716099999999999</v>
      </c>
      <c r="S25" s="484">
        <f>15.314+0.068+0.181</f>
        <v>15.562999999999999</v>
      </c>
      <c r="T25" s="484">
        <f>15.568+0.062+0.185</f>
        <v>15.815</v>
      </c>
      <c r="U25" s="484">
        <f>16.62+0.231+0.05</f>
        <v>16.901000000000003</v>
      </c>
      <c r="V25" s="484">
        <f>0.032+0.236+17.287</f>
        <v>17.555</v>
      </c>
      <c r="W25" s="484">
        <f>18.898+0.289+0.019</f>
        <v>19.206</v>
      </c>
      <c r="X25" s="484">
        <f>21.874+0.398+0.014</f>
        <v>22.285999999999998</v>
      </c>
      <c r="Y25" s="516">
        <f>0.011+0.464+24.131</f>
        <v>24.606</v>
      </c>
      <c r="Z25" s="889">
        <f t="shared" si="2"/>
        <v>10.410122947141716</v>
      </c>
      <c r="AA25" s="359" t="s">
        <v>52</v>
      </c>
    </row>
    <row r="26" spans="1:27" ht="12.75" customHeight="1">
      <c r="A26" s="8"/>
      <c r="B26" s="10" t="s">
        <v>60</v>
      </c>
      <c r="C26" s="476">
        <f>307.993+547</f>
        <v>854.9929999999999</v>
      </c>
      <c r="D26" s="474">
        <f>335+553</f>
        <v>888</v>
      </c>
      <c r="E26" s="474">
        <f>373+543</f>
        <v>916</v>
      </c>
      <c r="F26" s="474">
        <f>451.425+546</f>
        <v>997.425</v>
      </c>
      <c r="G26" s="474">
        <f>413.989+520</f>
        <v>933.989</v>
      </c>
      <c r="H26" s="474">
        <f>437.798+533</f>
        <v>970.798</v>
      </c>
      <c r="I26" s="474">
        <f>460.822+504</f>
        <v>964.822</v>
      </c>
      <c r="J26" s="474">
        <f>494.45+508</f>
        <v>1002.45</v>
      </c>
      <c r="K26" s="474">
        <f>516.567+499</f>
        <v>1015.567</v>
      </c>
      <c r="L26" s="474">
        <f>536.934+502</f>
        <v>1038.934</v>
      </c>
      <c r="M26" s="474">
        <f>552.949+560</f>
        <v>1112.949</v>
      </c>
      <c r="N26" s="474">
        <f>567.911+711.792</f>
        <v>1279.703</v>
      </c>
      <c r="O26" s="474">
        <f>585.204+786.408</f>
        <v>1371.612</v>
      </c>
      <c r="P26" s="474">
        <v>1479.476</v>
      </c>
      <c r="Q26" s="474">
        <f>623.442+955.701</f>
        <v>1579.143</v>
      </c>
      <c r="R26" s="474">
        <f>636.199+1028.096</f>
        <v>1664.295</v>
      </c>
      <c r="S26" s="474">
        <f>1061.676+646.995</f>
        <v>1708.6709999999998</v>
      </c>
      <c r="T26" s="474">
        <f>1085.243+653.245</f>
        <v>1738.4879999999998</v>
      </c>
      <c r="U26" s="474">
        <f>653.991+1101.978</f>
        <v>1755.969</v>
      </c>
      <c r="V26" s="474">
        <f>652.336+1124.795</f>
        <v>1777.131</v>
      </c>
      <c r="W26" s="474">
        <f>652.544+1150.833</f>
        <v>1803.377</v>
      </c>
      <c r="X26" s="474">
        <f>655.991+1178.3</f>
        <v>1834.291</v>
      </c>
      <c r="Y26" s="479">
        <f>661.639+1211.522</f>
        <v>1873.161</v>
      </c>
      <c r="Z26" s="890">
        <f t="shared" si="2"/>
        <v>2.1190748905162877</v>
      </c>
      <c r="AA26" s="67" t="s">
        <v>60</v>
      </c>
    </row>
    <row r="27" spans="1:27" ht="12.75" customHeight="1">
      <c r="A27" s="8"/>
      <c r="B27" s="156" t="s">
        <v>69</v>
      </c>
      <c r="C27" s="483">
        <f>371.505+174.907</f>
        <v>546.412</v>
      </c>
      <c r="D27" s="484">
        <f>366.506+193.685</f>
        <v>560.191</v>
      </c>
      <c r="E27" s="484">
        <f>362.953+212.767</f>
        <v>575.72</v>
      </c>
      <c r="F27" s="484">
        <f>362.964+237.767</f>
        <v>600.731</v>
      </c>
      <c r="G27" s="484">
        <f>359.63+263.297</f>
        <v>622.927</v>
      </c>
      <c r="H27" s="484">
        <f>352.984+279.728</f>
        <v>632.712</v>
      </c>
      <c r="I27" s="489">
        <f>346.591+294.843</f>
        <v>641.434</v>
      </c>
      <c r="J27" s="484">
        <f>304.255+292.569</f>
        <v>596.8240000000001</v>
      </c>
      <c r="K27" s="484">
        <f>301.387+305.481</f>
        <v>606.8679999999999</v>
      </c>
      <c r="L27" s="484">
        <f>296.522+315.638</f>
        <v>612.16</v>
      </c>
      <c r="M27" s="484">
        <f>301.425+326.286</f>
        <v>627.711</v>
      </c>
      <c r="N27" s="484">
        <f>306.592+338.721</f>
        <v>645.313</v>
      </c>
      <c r="O27" s="484">
        <f>312.658+354.919</f>
        <v>667.577</v>
      </c>
      <c r="P27" s="484">
        <v>691.2429999999999</v>
      </c>
      <c r="Q27" s="484">
        <f>218.135+158.745+305.042+1.234+12.694+16.242</f>
        <v>712.092</v>
      </c>
      <c r="R27" s="484">
        <f>224.717+168.089+303.908+1.247+14.016+15.875</f>
        <v>727.852</v>
      </c>
      <c r="S27" s="484">
        <f>301.65+1.31+179.279+230.396+14.106+1.298+0.578+14.812</f>
        <v>743.429</v>
      </c>
      <c r="T27" s="484">
        <f>299.586+1.458+192.577+236.807+15.522+1.441+0.623+14.378</f>
        <v>762.3920000000002</v>
      </c>
      <c r="U27" s="484">
        <f>743.648+16.572+1.582+0.674+13.861</f>
        <v>776.337</v>
      </c>
      <c r="V27" s="484">
        <f>754.739+17.566+1.809+0.708+13.362</f>
        <v>788.184</v>
      </c>
      <c r="W27" s="484">
        <f>765.576+18.67+1.985+0.744+12.931</f>
        <v>799.9060000000001</v>
      </c>
      <c r="X27" s="484">
        <f>781.379+2.185+0.808+19.629+12.476</f>
        <v>816.477</v>
      </c>
      <c r="Y27" s="516">
        <v>832.2</v>
      </c>
      <c r="Z27" s="889">
        <f t="shared" si="2"/>
        <v>1.9257125430355018</v>
      </c>
      <c r="AA27" s="359" t="s">
        <v>69</v>
      </c>
    </row>
    <row r="28" spans="1:27" ht="12.75" customHeight="1">
      <c r="A28" s="8"/>
      <c r="B28" s="10" t="s">
        <v>53</v>
      </c>
      <c r="C28" s="476">
        <v>929</v>
      </c>
      <c r="D28" s="474"/>
      <c r="E28" s="474"/>
      <c r="F28" s="474">
        <v>820</v>
      </c>
      <c r="G28" s="474">
        <v>804</v>
      </c>
      <c r="H28" s="477">
        <v>803</v>
      </c>
      <c r="I28" s="474">
        <v>803</v>
      </c>
      <c r="J28" s="474">
        <v>869</v>
      </c>
      <c r="K28" s="474">
        <v>845.456</v>
      </c>
      <c r="L28" s="477">
        <v>835.79</v>
      </c>
      <c r="M28" s="474">
        <f>753.648+337.511</f>
        <v>1091.159</v>
      </c>
      <c r="N28" s="474">
        <f>784.176+405.917</f>
        <v>1190.093</v>
      </c>
      <c r="O28" s="474">
        <f>825.305+525.484</f>
        <v>1350.789</v>
      </c>
      <c r="P28" s="474">
        <v>1607.316</v>
      </c>
      <c r="Q28" s="474">
        <f>974.906+833.817</f>
        <v>1808.723</v>
      </c>
      <c r="R28" s="474">
        <f>1013.014+922.126</f>
        <v>1935.1399999999999</v>
      </c>
      <c r="S28" s="474">
        <f>1069.195+1032.98</f>
        <v>2102.175</v>
      </c>
      <c r="T28" s="474">
        <v>2207.556</v>
      </c>
      <c r="U28" s="474">
        <f>1153.169+1163.441</f>
        <v>2316.61</v>
      </c>
      <c r="V28" s="474">
        <f>1189.527+1216.578</f>
        <v>2406.105</v>
      </c>
      <c r="W28" s="474">
        <f>1272.333+1259.187</f>
        <v>2531.52</v>
      </c>
      <c r="X28" s="474">
        <f>1355.625+1292.2</f>
        <v>2647.825</v>
      </c>
      <c r="Y28" s="479">
        <v>2755</v>
      </c>
      <c r="Z28" s="890">
        <f t="shared" si="2"/>
        <v>4.047661760123873</v>
      </c>
      <c r="AA28" s="67" t="s">
        <v>53</v>
      </c>
    </row>
    <row r="29" spans="1:27" ht="12.75" customHeight="1">
      <c r="A29" s="8"/>
      <c r="B29" s="156" t="s">
        <v>70</v>
      </c>
      <c r="C29" s="483">
        <v>216.296</v>
      </c>
      <c r="D29" s="484">
        <v>240.946</v>
      </c>
      <c r="E29" s="484">
        <v>271.708</v>
      </c>
      <c r="F29" s="484">
        <v>301.045</v>
      </c>
      <c r="G29" s="484">
        <v>323.854</v>
      </c>
      <c r="H29" s="484">
        <v>345.903</v>
      </c>
      <c r="I29" s="484">
        <v>368.063</v>
      </c>
      <c r="J29" s="484">
        <v>386.969</v>
      </c>
      <c r="K29" s="484">
        <v>402.759</v>
      </c>
      <c r="L29" s="489">
        <v>418.704</v>
      </c>
      <c r="M29" s="484">
        <v>588.42</v>
      </c>
      <c r="N29" s="484">
        <f>401+157.72</f>
        <v>558.72</v>
      </c>
      <c r="O29" s="484">
        <f>377+159.645</f>
        <v>536.645</v>
      </c>
      <c r="P29" s="484">
        <v>535</v>
      </c>
      <c r="Q29" s="484">
        <f>199.27+334</f>
        <v>533.27</v>
      </c>
      <c r="R29" s="484">
        <f>292+206</f>
        <v>498</v>
      </c>
      <c r="S29" s="484">
        <f>287+210</f>
        <v>497</v>
      </c>
      <c r="T29" s="485">
        <v>500.815</v>
      </c>
      <c r="U29" s="484">
        <v>508.456</v>
      </c>
      <c r="V29" s="484">
        <v>509.671</v>
      </c>
      <c r="W29" s="484">
        <v>527.583</v>
      </c>
      <c r="X29" s="484">
        <v>552.097</v>
      </c>
      <c r="Y29" s="516">
        <v>592.517</v>
      </c>
      <c r="Z29" s="889">
        <f t="shared" si="2"/>
        <v>7.321177256895098</v>
      </c>
      <c r="AA29" s="359" t="s">
        <v>70</v>
      </c>
    </row>
    <row r="30" spans="1:27" ht="12.75" customHeight="1">
      <c r="A30" s="8"/>
      <c r="B30" s="10" t="s">
        <v>54</v>
      </c>
      <c r="C30" s="476">
        <f>205.032+122.692</f>
        <v>327.724</v>
      </c>
      <c r="D30" s="474">
        <f>160.073+94.923</f>
        <v>254.996</v>
      </c>
      <c r="E30" s="474">
        <f>153.768+96.742</f>
        <v>250.51</v>
      </c>
      <c r="F30" s="474">
        <f>146.725+98.994</f>
        <v>245.719</v>
      </c>
      <c r="G30" s="474">
        <f>141.49+101.093</f>
        <v>242.58300000000003</v>
      </c>
      <c r="H30" s="474">
        <f>137.103+102.105</f>
        <v>239.20800000000003</v>
      </c>
      <c r="I30" s="474">
        <f>134.152+103.749</f>
        <v>237.90099999999998</v>
      </c>
      <c r="J30" s="474">
        <f>132.955+105.525</f>
        <v>238.48000000000002</v>
      </c>
      <c r="K30" s="474">
        <f>132.88+102.97</f>
        <v>235.85</v>
      </c>
      <c r="L30" s="474">
        <f>130.193+104.509</f>
        <v>234.702</v>
      </c>
      <c r="M30" s="474">
        <f>103.556+93.845</f>
        <v>197.401</v>
      </c>
      <c r="N30" s="477">
        <f>101.474+92.507</f>
        <v>193.981</v>
      </c>
      <c r="O30" s="478">
        <f>29.403+27.076</f>
        <v>56.479</v>
      </c>
      <c r="P30" s="474">
        <v>71.827</v>
      </c>
      <c r="Q30" s="474">
        <f>79.99</f>
        <v>79.99</v>
      </c>
      <c r="R30" s="474">
        <f>85.171</f>
        <v>85.171</v>
      </c>
      <c r="S30" s="474">
        <v>90.082</v>
      </c>
      <c r="T30" s="474">
        <v>95.45</v>
      </c>
      <c r="U30" s="474">
        <v>101.622</v>
      </c>
      <c r="V30" s="474">
        <v>107.338</v>
      </c>
      <c r="W30" s="474">
        <v>112.866</v>
      </c>
      <c r="X30" s="474">
        <v>119.534</v>
      </c>
      <c r="Y30" s="479">
        <v>127.3</v>
      </c>
      <c r="Z30" s="890">
        <f t="shared" si="2"/>
        <v>6.496896280556143</v>
      </c>
      <c r="AA30" s="67" t="s">
        <v>54</v>
      </c>
    </row>
    <row r="31" spans="1:27" ht="12.75" customHeight="1">
      <c r="A31" s="8"/>
      <c r="B31" s="156" t="s">
        <v>56</v>
      </c>
      <c r="C31" s="483">
        <v>8.546</v>
      </c>
      <c r="D31" s="484">
        <v>8.173</v>
      </c>
      <c r="E31" s="484">
        <v>8.283</v>
      </c>
      <c r="F31" s="484">
        <v>9.14</v>
      </c>
      <c r="G31" s="484">
        <v>9.906</v>
      </c>
      <c r="H31" s="489">
        <v>11.217</v>
      </c>
      <c r="I31" s="489">
        <v>11.622</v>
      </c>
      <c r="J31" s="484">
        <f>11.93+38.678</f>
        <v>50.608</v>
      </c>
      <c r="K31" s="484">
        <f>12.048+30.344</f>
        <v>42.392</v>
      </c>
      <c r="L31" s="484">
        <f>11.574+28.626</f>
        <v>40.2</v>
      </c>
      <c r="M31" s="484">
        <f>14.473+34.198</f>
        <v>48.671</v>
      </c>
      <c r="N31" s="484">
        <f>18.801+34.392</f>
        <v>53.193</v>
      </c>
      <c r="O31" s="484">
        <f>34.162+37.331</f>
        <v>71.493</v>
      </c>
      <c r="P31" s="484">
        <v>81.99600000000001</v>
      </c>
      <c r="Q31" s="484">
        <f>46.185+42.243</f>
        <v>88.428</v>
      </c>
      <c r="R31" s="484">
        <f>48.686+42.322</f>
        <v>91.00800000000001</v>
      </c>
      <c r="S31" s="484">
        <f>49.887+42.296</f>
        <v>92.18299999999999</v>
      </c>
      <c r="T31" s="484">
        <v>93.1</v>
      </c>
      <c r="U31" s="484">
        <f>41.05+51.936</f>
        <v>92.98599999999999</v>
      </c>
      <c r="V31" s="484">
        <f>41.165+54.631</f>
        <v>95.79599999999999</v>
      </c>
      <c r="W31" s="484">
        <v>100.32</v>
      </c>
      <c r="X31" s="484">
        <v>103.684</v>
      </c>
      <c r="Y31" s="516">
        <v>125.127</v>
      </c>
      <c r="Z31" s="889">
        <f t="shared" si="2"/>
        <v>20.681107981945132</v>
      </c>
      <c r="AA31" s="359" t="s">
        <v>56</v>
      </c>
    </row>
    <row r="32" spans="1:27" ht="12.75" customHeight="1">
      <c r="A32" s="8"/>
      <c r="B32" s="10" t="s">
        <v>55</v>
      </c>
      <c r="C32" s="476">
        <v>81.847</v>
      </c>
      <c r="D32" s="474">
        <v>79.479</v>
      </c>
      <c r="E32" s="474">
        <v>81.062</v>
      </c>
      <c r="F32" s="477">
        <v>100.891</v>
      </c>
      <c r="G32" s="474">
        <v>44.215</v>
      </c>
      <c r="H32" s="474">
        <v>45.647</v>
      </c>
      <c r="I32" s="474">
        <v>46.676</v>
      </c>
      <c r="J32" s="474">
        <v>47.9</v>
      </c>
      <c r="K32" s="474">
        <v>48.709</v>
      </c>
      <c r="L32" s="474">
        <v>51.977</v>
      </c>
      <c r="M32" s="474">
        <v>56.366</v>
      </c>
      <c r="N32" s="474">
        <v>58.101</v>
      </c>
      <c r="O32" s="474">
        <v>63.897</v>
      </c>
      <c r="P32" s="477">
        <v>70.318</v>
      </c>
      <c r="Q32" s="474">
        <v>81.9</v>
      </c>
      <c r="R32" s="474">
        <v>87.9</v>
      </c>
      <c r="S32" s="474">
        <v>93.8</v>
      </c>
      <c r="T32" s="474">
        <v>99.5</v>
      </c>
      <c r="U32" s="474">
        <v>105.9</v>
      </c>
      <c r="V32" s="474">
        <v>112.7</v>
      </c>
      <c r="W32" s="474">
        <v>120.624</v>
      </c>
      <c r="X32" s="474">
        <v>126.128</v>
      </c>
      <c r="Y32" s="479">
        <v>133.309</v>
      </c>
      <c r="Z32" s="890">
        <f t="shared" si="2"/>
        <v>5.693422554864895</v>
      </c>
      <c r="AA32" s="67" t="s">
        <v>55</v>
      </c>
    </row>
    <row r="33" spans="1:27" ht="12.75" customHeight="1">
      <c r="A33" s="8"/>
      <c r="B33" s="156" t="s">
        <v>71</v>
      </c>
      <c r="C33" s="483">
        <f>65.095+94.43</f>
        <v>159.525</v>
      </c>
      <c r="D33" s="484">
        <f>66.468+96.32</f>
        <v>162.788</v>
      </c>
      <c r="E33" s="484">
        <f>68.552+98.062</f>
        <v>166.614</v>
      </c>
      <c r="F33" s="484">
        <f>72.704+100.621</f>
        <v>173.325</v>
      </c>
      <c r="G33" s="484">
        <f>80.178+103.01</f>
        <v>183.188</v>
      </c>
      <c r="H33" s="484">
        <f>90.877+102.545</f>
        <v>193.422</v>
      </c>
      <c r="I33" s="484">
        <f>102.811+103.424</f>
        <v>206.235</v>
      </c>
      <c r="J33" s="484">
        <f>116.021+107.556</f>
        <v>223.577</v>
      </c>
      <c r="K33" s="484">
        <f>129.67+115.712</f>
        <v>245.382</v>
      </c>
      <c r="L33" s="484">
        <f>142.703+129.017</f>
        <v>271.72</v>
      </c>
      <c r="M33" s="484">
        <f>156.487+145.318</f>
        <v>301.805</v>
      </c>
      <c r="N33" s="484">
        <f>172.283+166.16</f>
        <v>338.443</v>
      </c>
      <c r="O33" s="484">
        <f>188.144+188.388</f>
        <v>376.53200000000004</v>
      </c>
      <c r="P33" s="484">
        <v>421.544</v>
      </c>
      <c r="Q33" s="484">
        <f>216.443+239.754</f>
        <v>456.197</v>
      </c>
      <c r="R33" s="484">
        <f>226.877+259.889</f>
        <v>486.766</v>
      </c>
      <c r="S33" s="484">
        <f>279+237</f>
        <v>516</v>
      </c>
      <c r="T33" s="484">
        <f>244.968+293.051</f>
        <v>538.019</v>
      </c>
      <c r="U33" s="484">
        <f>302.727+251.525</f>
        <v>554.252</v>
      </c>
      <c r="V33" s="484">
        <f>257.094+311.097</f>
        <v>568.191</v>
      </c>
      <c r="W33" s="484">
        <f>261.826+319.321</f>
        <v>581.147</v>
      </c>
      <c r="X33" s="484">
        <f>325.835+265.96</f>
        <v>591.795</v>
      </c>
      <c r="Y33" s="516">
        <v>603.8</v>
      </c>
      <c r="Z33" s="889">
        <f t="shared" si="2"/>
        <v>2.0285740839310904</v>
      </c>
      <c r="AA33" s="359" t="s">
        <v>71</v>
      </c>
    </row>
    <row r="34" spans="1:27" ht="12.75" customHeight="1">
      <c r="A34" s="8"/>
      <c r="B34" s="10" t="s">
        <v>72</v>
      </c>
      <c r="C34" s="476">
        <f>117.387+146.793</f>
        <v>264.18</v>
      </c>
      <c r="D34" s="474">
        <f>121.95+150.765</f>
        <v>272.715</v>
      </c>
      <c r="E34" s="474">
        <f>130.041+149.38</f>
        <v>279.421</v>
      </c>
      <c r="F34" s="474">
        <f>137.466+148.454</f>
        <v>285.92</v>
      </c>
      <c r="G34" s="474">
        <f>149.97+150.49</f>
        <v>300.46000000000004</v>
      </c>
      <c r="H34" s="474">
        <f>167.346+142.723</f>
        <v>310.069</v>
      </c>
      <c r="I34" s="474">
        <f>190.607+145.734</f>
        <v>336.341</v>
      </c>
      <c r="J34" s="474">
        <f>220.75+151.619</f>
        <v>372.369</v>
      </c>
      <c r="K34" s="474">
        <f>247.129+148.472</f>
        <v>395.601</v>
      </c>
      <c r="L34" s="474">
        <f>205.567+155.754+41.996</f>
        <v>403.317</v>
      </c>
      <c r="M34" s="474">
        <f>225.038+169.574+58.47</f>
        <v>453.082</v>
      </c>
      <c r="N34" s="474">
        <f>245.039+177.306+75.399</f>
        <v>497.744</v>
      </c>
      <c r="O34" s="474">
        <f>259.017+184.231+84.877</f>
        <v>528.125</v>
      </c>
      <c r="P34" s="474">
        <v>553.929</v>
      </c>
      <c r="Q34" s="474">
        <f>277.626+91.677+202.587</f>
        <v>571.89</v>
      </c>
      <c r="R34" s="474">
        <f>277.745+78.348+214.147</f>
        <v>570.24</v>
      </c>
      <c r="S34" s="474">
        <f>280.562+222.764+75.169</f>
        <v>578.495</v>
      </c>
      <c r="T34" s="474">
        <f>236.704+73.163+283.942</f>
        <v>593.809</v>
      </c>
      <c r="U34" s="474">
        <f>284.969+73.176+247.445</f>
        <v>605.5899999999999</v>
      </c>
      <c r="V34" s="474">
        <f>288.629+75.211+254.713</f>
        <v>618.553</v>
      </c>
      <c r="W34" s="474">
        <f>292.368+75.678+264.572</f>
        <v>632.6179999999999</v>
      </c>
      <c r="X34" s="474">
        <f>298.484+76.704+273.794</f>
        <v>648.982</v>
      </c>
      <c r="Y34" s="479">
        <f>244.505+83.079+283.731</f>
        <v>611.315</v>
      </c>
      <c r="Z34" s="890">
        <f t="shared" si="2"/>
        <v>-5.804013054291175</v>
      </c>
      <c r="AA34" s="67" t="s">
        <v>72</v>
      </c>
    </row>
    <row r="35" spans="1:27" ht="12.75" customHeight="1">
      <c r="A35" s="8"/>
      <c r="B35" s="157" t="s">
        <v>61</v>
      </c>
      <c r="C35" s="491">
        <v>714</v>
      </c>
      <c r="D35" s="492">
        <v>752</v>
      </c>
      <c r="E35" s="492">
        <v>766</v>
      </c>
      <c r="F35" s="492">
        <v>828</v>
      </c>
      <c r="G35" s="492">
        <v>905</v>
      </c>
      <c r="H35" s="492">
        <v>971</v>
      </c>
      <c r="I35" s="492">
        <v>1028</v>
      </c>
      <c r="J35" s="492">
        <v>1090</v>
      </c>
      <c r="K35" s="492">
        <v>1162</v>
      </c>
      <c r="L35" s="492">
        <v>1218</v>
      </c>
      <c r="M35" s="492">
        <v>1235</v>
      </c>
      <c r="N35" s="492">
        <f>1209.6+30</f>
        <v>1239.6</v>
      </c>
      <c r="O35" s="492">
        <f>1248.3+32</f>
        <v>1280.3</v>
      </c>
      <c r="P35" s="492">
        <v>1305.6</v>
      </c>
      <c r="Q35" s="492">
        <f>1275.6+31.156</f>
        <v>1306.7559999999999</v>
      </c>
      <c r="R35" s="492">
        <f>30.001+1234.4</f>
        <v>1264.401</v>
      </c>
      <c r="S35" s="492">
        <f>1238.3+28.536</f>
        <v>1266.836</v>
      </c>
      <c r="T35" s="492">
        <f>1224.8+26.998</f>
        <v>1251.798</v>
      </c>
      <c r="U35" s="492">
        <f>1219.4+24.345</f>
        <v>1243.7450000000001</v>
      </c>
      <c r="V35" s="492">
        <v>1240.2</v>
      </c>
      <c r="W35" s="492">
        <v>1253.1</v>
      </c>
      <c r="X35" s="492">
        <v>1270.2</v>
      </c>
      <c r="Y35" s="518">
        <v>1255.86</v>
      </c>
      <c r="Z35" s="891">
        <f t="shared" si="2"/>
        <v>-1.1289560699102594</v>
      </c>
      <c r="AA35" s="157" t="s">
        <v>61</v>
      </c>
    </row>
    <row r="36" spans="1:29" ht="12.75" customHeight="1">
      <c r="A36" s="8"/>
      <c r="B36" s="402" t="s">
        <v>252</v>
      </c>
      <c r="C36" s="474">
        <v>6.946</v>
      </c>
      <c r="D36" s="474">
        <v>5.541</v>
      </c>
      <c r="E36" s="474">
        <v>3.645</v>
      </c>
      <c r="F36" s="474">
        <v>4.109</v>
      </c>
      <c r="G36" s="474">
        <v>3.214</v>
      </c>
      <c r="H36" s="474">
        <v>3.808</v>
      </c>
      <c r="I36" s="474">
        <v>3.447</v>
      </c>
      <c r="J36" s="474">
        <v>3.4</v>
      </c>
      <c r="K36" s="474">
        <v>3.896</v>
      </c>
      <c r="L36" s="474">
        <v>4.877</v>
      </c>
      <c r="M36" s="474">
        <v>7.17</v>
      </c>
      <c r="N36" s="474">
        <v>11.639</v>
      </c>
      <c r="O36" s="474">
        <v>13.859</v>
      </c>
      <c r="P36" s="474">
        <v>18.329</v>
      </c>
      <c r="Q36" s="474">
        <v>20.874</v>
      </c>
      <c r="R36" s="474">
        <v>24.022</v>
      </c>
      <c r="S36" s="474">
        <v>24.009</v>
      </c>
      <c r="T36" s="474">
        <v>25.492</v>
      </c>
      <c r="U36" s="474">
        <v>26.664</v>
      </c>
      <c r="V36" s="474">
        <v>30.975</v>
      </c>
      <c r="W36" s="474">
        <v>33.07</v>
      </c>
      <c r="X36" s="474">
        <v>36.096</v>
      </c>
      <c r="Y36" s="865">
        <v>39.956</v>
      </c>
      <c r="Z36" s="890">
        <f t="shared" si="2"/>
        <v>10.693705673758885</v>
      </c>
      <c r="AA36" s="67" t="s">
        <v>252</v>
      </c>
      <c r="AC36" s="1"/>
    </row>
    <row r="37" spans="1:27" ht="12.75" customHeight="1">
      <c r="A37" s="8"/>
      <c r="B37" s="156" t="s">
        <v>240</v>
      </c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>
        <v>4.661</v>
      </c>
      <c r="T37" s="484">
        <v>4.576</v>
      </c>
      <c r="U37" s="484">
        <v>5.046</v>
      </c>
      <c r="V37" s="484">
        <v>3.703</v>
      </c>
      <c r="W37" s="484">
        <v>4.201</v>
      </c>
      <c r="X37" s="484">
        <v>4.744</v>
      </c>
      <c r="Y37" s="516">
        <v>5.7</v>
      </c>
      <c r="Z37" s="889">
        <f t="shared" si="2"/>
        <v>20.15177065767287</v>
      </c>
      <c r="AA37" s="359" t="s">
        <v>240</v>
      </c>
    </row>
    <row r="38" spans="1:27" s="398" customFormat="1" ht="12.75" customHeight="1">
      <c r="A38" s="8"/>
      <c r="B38" s="402" t="s">
        <v>1</v>
      </c>
      <c r="C38" s="474"/>
      <c r="D38" s="474"/>
      <c r="E38" s="474"/>
      <c r="F38" s="474"/>
      <c r="G38" s="474"/>
      <c r="H38" s="474"/>
      <c r="I38" s="474"/>
      <c r="J38" s="474"/>
      <c r="K38" s="474">
        <v>2.142</v>
      </c>
      <c r="L38" s="474">
        <v>1.382</v>
      </c>
      <c r="M38" s="474">
        <v>1.724</v>
      </c>
      <c r="N38" s="474">
        <v>3.442</v>
      </c>
      <c r="O38" s="474">
        <v>4.437</v>
      </c>
      <c r="P38" s="474">
        <v>8.626</v>
      </c>
      <c r="Q38" s="474">
        <f>9.097</f>
        <v>9.097</v>
      </c>
      <c r="R38" s="474">
        <f>7.761</f>
        <v>7.761</v>
      </c>
      <c r="S38" s="474">
        <f>8.373</f>
        <v>8.373</v>
      </c>
      <c r="T38" s="474">
        <v>8.473</v>
      </c>
      <c r="U38" s="474">
        <v>8.093</v>
      </c>
      <c r="V38" s="474">
        <v>8.634</v>
      </c>
      <c r="W38" s="474">
        <v>10.05</v>
      </c>
      <c r="X38" s="474">
        <v>11.697</v>
      </c>
      <c r="Y38" s="479">
        <v>14.13</v>
      </c>
      <c r="Z38" s="890">
        <f t="shared" si="2"/>
        <v>20.800205180815595</v>
      </c>
      <c r="AA38" s="67" t="s">
        <v>1</v>
      </c>
    </row>
    <row r="39" spans="1:27" ht="12.75" customHeight="1">
      <c r="A39" s="8"/>
      <c r="B39" s="156" t="s">
        <v>239</v>
      </c>
      <c r="C39" s="484"/>
      <c r="D39" s="484"/>
      <c r="E39" s="484"/>
      <c r="F39" s="484"/>
      <c r="G39" s="484"/>
      <c r="H39" s="484"/>
      <c r="I39" s="484">
        <v>13.097</v>
      </c>
      <c r="J39" s="484">
        <v>12.339</v>
      </c>
      <c r="K39" s="484">
        <v>13.287</v>
      </c>
      <c r="L39" s="484">
        <v>14.771</v>
      </c>
      <c r="M39" s="484">
        <v>16.042</v>
      </c>
      <c r="N39" s="484">
        <v>20.38</v>
      </c>
      <c r="O39" s="484">
        <v>24.897</v>
      </c>
      <c r="P39" s="484">
        <v>31.803</v>
      </c>
      <c r="Q39" s="484">
        <v>34.5</v>
      </c>
      <c r="R39" s="485">
        <v>37.946</v>
      </c>
      <c r="S39" s="484">
        <v>39.135</v>
      </c>
      <c r="T39" s="484">
        <v>47.237</v>
      </c>
      <c r="U39" s="484">
        <f>22.294+36.403</f>
        <v>58.697</v>
      </c>
      <c r="V39" s="484">
        <f>25.065+38.102</f>
        <v>63.167</v>
      </c>
      <c r="W39" s="484">
        <f>24.845+39.396</f>
        <v>64.241</v>
      </c>
      <c r="X39" s="484">
        <f>24.384+40.007</f>
        <v>64.39099999999999</v>
      </c>
      <c r="Y39" s="516">
        <f>22.294+39.709</f>
        <v>62.003</v>
      </c>
      <c r="Z39" s="889">
        <f t="shared" si="2"/>
        <v>-3.708592815766167</v>
      </c>
      <c r="AA39" s="359" t="s">
        <v>239</v>
      </c>
    </row>
    <row r="40" spans="1:27" ht="12.75" customHeight="1">
      <c r="A40" s="8"/>
      <c r="B40" s="403" t="s">
        <v>57</v>
      </c>
      <c r="C40" s="474">
        <v>819.922</v>
      </c>
      <c r="D40" s="474">
        <v>854.15</v>
      </c>
      <c r="E40" s="474">
        <v>905.121</v>
      </c>
      <c r="F40" s="474">
        <v>940.935</v>
      </c>
      <c r="G40" s="474">
        <v>975.746</v>
      </c>
      <c r="H40" s="474">
        <v>1011.284</v>
      </c>
      <c r="I40" s="474">
        <v>1031.221</v>
      </c>
      <c r="J40" s="474">
        <v>1046.907</v>
      </c>
      <c r="K40" s="474">
        <v>1073.415</v>
      </c>
      <c r="L40" s="474">
        <v>1218.677</v>
      </c>
      <c r="M40" s="474">
        <v>1441.066</v>
      </c>
      <c r="N40" s="474">
        <v>1822.831</v>
      </c>
      <c r="O40" s="474">
        <v>2003.492</v>
      </c>
      <c r="P40" s="474">
        <v>2181.383</v>
      </c>
      <c r="Q40" s="474">
        <v>2303.261</v>
      </c>
      <c r="R40" s="474">
        <f>2389.488</f>
        <v>2389.488</v>
      </c>
      <c r="S40" s="474">
        <f>2527.19</f>
        <v>2527.19</v>
      </c>
      <c r="T40" s="474">
        <v>2657.722</v>
      </c>
      <c r="U40" s="474">
        <f>2722.826</f>
        <v>2722.826</v>
      </c>
      <c r="V40" s="474">
        <v>2828.466</v>
      </c>
      <c r="W40" s="474">
        <v>2938.364</v>
      </c>
      <c r="X40" s="474">
        <v>3003.733</v>
      </c>
      <c r="Y40" s="479">
        <v>3103</v>
      </c>
      <c r="Z40" s="892">
        <f t="shared" si="2"/>
        <v>3.3047877424524614</v>
      </c>
      <c r="AA40" s="68" t="s">
        <v>57</v>
      </c>
    </row>
    <row r="41" spans="1:27" ht="12.75" customHeight="1">
      <c r="A41" s="8"/>
      <c r="B41" s="155" t="s">
        <v>43</v>
      </c>
      <c r="C41" s="500">
        <v>1.881</v>
      </c>
      <c r="D41" s="500">
        <v>1.95</v>
      </c>
      <c r="E41" s="500">
        <v>2.047</v>
      </c>
      <c r="F41" s="500">
        <v>1.906</v>
      </c>
      <c r="G41" s="500">
        <v>2.084</v>
      </c>
      <c r="H41" s="500">
        <v>2.278</v>
      </c>
      <c r="I41" s="500">
        <v>2.444</v>
      </c>
      <c r="J41" s="500">
        <v>2.557</v>
      </c>
      <c r="K41" s="500">
        <v>2.747</v>
      </c>
      <c r="L41" s="500">
        <v>3.105</v>
      </c>
      <c r="M41" s="500">
        <v>4.183</v>
      </c>
      <c r="N41" s="500">
        <v>5.699</v>
      </c>
      <c r="O41" s="500">
        <v>8.074</v>
      </c>
      <c r="P41" s="500">
        <v>9.009</v>
      </c>
      <c r="Q41" s="500">
        <v>9.42</v>
      </c>
      <c r="R41" s="500">
        <v>9.651</v>
      </c>
      <c r="S41" s="500">
        <f>9.922</f>
        <v>9.922</v>
      </c>
      <c r="T41" s="500">
        <v>10.135</v>
      </c>
      <c r="U41" s="500">
        <v>10.213</v>
      </c>
      <c r="V41" s="500">
        <v>10.306</v>
      </c>
      <c r="W41" s="500">
        <v>10.399</v>
      </c>
      <c r="X41" s="794">
        <v>10.573</v>
      </c>
      <c r="Y41" s="866">
        <v>10.69</v>
      </c>
      <c r="Z41" s="902">
        <f t="shared" si="2"/>
        <v>1.1065922633121943</v>
      </c>
      <c r="AA41" s="359" t="s">
        <v>43</v>
      </c>
    </row>
    <row r="42" spans="1:27" ht="12.75" customHeight="1">
      <c r="A42" s="8"/>
      <c r="B42" s="402" t="s">
        <v>73</v>
      </c>
      <c r="C42" s="474">
        <v>158.624</v>
      </c>
      <c r="D42" s="474">
        <v>164.775</v>
      </c>
      <c r="E42" s="474">
        <v>174.603</v>
      </c>
      <c r="F42" s="474">
        <v>184.34699999999998</v>
      </c>
      <c r="G42" s="474">
        <v>193.00099999999998</v>
      </c>
      <c r="H42" s="474">
        <v>201.564</v>
      </c>
      <c r="I42" s="474">
        <v>211.42700000000002</v>
      </c>
      <c r="J42" s="474">
        <v>225.173</v>
      </c>
      <c r="K42" s="474">
        <v>239.596</v>
      </c>
      <c r="L42" s="474">
        <v>248.57099999999997</v>
      </c>
      <c r="M42" s="474">
        <f>148.161+13.63+95.708</f>
        <v>257.499</v>
      </c>
      <c r="N42" s="474">
        <f>116.875+151.67</f>
        <v>268.54499999999996</v>
      </c>
      <c r="O42" s="474">
        <f>156.287+16.589+109.618</f>
        <v>282.494</v>
      </c>
      <c r="P42" s="474">
        <f>161.662+17.677+117.044</f>
        <v>296.383</v>
      </c>
      <c r="Q42" s="474">
        <f>141.235+165.557</f>
        <v>306.79200000000003</v>
      </c>
      <c r="R42" s="474">
        <f>146.592+168.904</f>
        <v>315.496</v>
      </c>
      <c r="S42" s="474">
        <f>151.65+171.846</f>
        <v>323.496</v>
      </c>
      <c r="T42" s="474">
        <v>331.699</v>
      </c>
      <c r="U42" s="474">
        <f>176.087+21.349+140.474</f>
        <v>337.90999999999997</v>
      </c>
      <c r="V42" s="474">
        <f>177.502+22.115+145.534</f>
        <v>345.151</v>
      </c>
      <c r="W42" s="718">
        <f>178.235+23.509+152.531</f>
        <v>354.27500000000003</v>
      </c>
      <c r="X42" s="474">
        <f>178.382+24.792+159.218</f>
        <v>362.392</v>
      </c>
      <c r="Y42" s="479">
        <v>362.057</v>
      </c>
      <c r="Z42" s="890">
        <f t="shared" si="2"/>
        <v>-0.09244133424579104</v>
      </c>
      <c r="AA42" s="67" t="s">
        <v>73</v>
      </c>
    </row>
    <row r="43" spans="1:27" ht="12.75" customHeight="1">
      <c r="A43" s="8"/>
      <c r="B43" s="156" t="s">
        <v>44</v>
      </c>
      <c r="C43" s="484">
        <v>688.4833449318011</v>
      </c>
      <c r="D43" s="484">
        <v>682.9949516840975</v>
      </c>
      <c r="E43" s="484">
        <v>691.217</v>
      </c>
      <c r="F43" s="484">
        <v>700.464</v>
      </c>
      <c r="G43" s="484">
        <v>710.375</v>
      </c>
      <c r="H43" s="484">
        <v>712.713</v>
      </c>
      <c r="I43" s="484">
        <v>720.423</v>
      </c>
      <c r="J43" s="484">
        <v>731.943</v>
      </c>
      <c r="K43" s="484">
        <v>740.844</v>
      </c>
      <c r="L43" s="484">
        <v>748.01</v>
      </c>
      <c r="M43" s="484">
        <v>747.96</v>
      </c>
      <c r="N43" s="484">
        <v>759.223</v>
      </c>
      <c r="O43" s="484">
        <v>763.87</v>
      </c>
      <c r="P43" s="484">
        <v>778.089</v>
      </c>
      <c r="Q43" s="484">
        <v>781.997</v>
      </c>
      <c r="R43" s="484">
        <v>790.75</v>
      </c>
      <c r="S43" s="484">
        <v>808.704</v>
      </c>
      <c r="T43" s="484">
        <v>825.806</v>
      </c>
      <c r="U43" s="484">
        <v>835.237</v>
      </c>
      <c r="V43" s="484">
        <v>852.181</v>
      </c>
      <c r="W43" s="484">
        <f>871.314</f>
        <v>871.314</v>
      </c>
      <c r="X43" s="484">
        <f>720.381+176.03</f>
        <v>896.411</v>
      </c>
      <c r="Y43" s="516">
        <v>917.019</v>
      </c>
      <c r="Z43" s="889">
        <f t="shared" si="2"/>
        <v>2.2989454614010754</v>
      </c>
      <c r="AA43" s="359" t="s">
        <v>44</v>
      </c>
    </row>
    <row r="44" spans="1:27" ht="12.75" customHeight="1">
      <c r="A44" s="8"/>
      <c r="B44" s="403" t="s">
        <v>83</v>
      </c>
      <c r="C44" s="497"/>
      <c r="D44" s="497"/>
      <c r="E44" s="497"/>
      <c r="F44" s="497"/>
      <c r="G44" s="497">
        <v>2.443</v>
      </c>
      <c r="H44" s="497">
        <v>2.594</v>
      </c>
      <c r="I44" s="497">
        <v>2.754</v>
      </c>
      <c r="J44" s="497">
        <v>2.878</v>
      </c>
      <c r="K44" s="497">
        <v>2.98</v>
      </c>
      <c r="L44" s="497">
        <v>3.003</v>
      </c>
      <c r="M44" s="497">
        <v>3.11</v>
      </c>
      <c r="N44" s="497">
        <v>3.17</v>
      </c>
      <c r="O44" s="497">
        <v>3.256</v>
      </c>
      <c r="P44" s="497">
        <v>3.438</v>
      </c>
      <c r="Q44" s="497">
        <f>3.577</f>
        <v>3.577</v>
      </c>
      <c r="R44" s="497">
        <v>3.734</v>
      </c>
      <c r="S44" s="497">
        <f>3.753</f>
        <v>3.753</v>
      </c>
      <c r="T44" s="497">
        <v>3.931</v>
      </c>
      <c r="U44" s="497">
        <f>3.999</f>
        <v>3.999</v>
      </c>
      <c r="V44" s="497">
        <v>4.154</v>
      </c>
      <c r="W44" s="497">
        <v>4.262</v>
      </c>
      <c r="X44" s="497">
        <v>4.441</v>
      </c>
      <c r="Y44" s="520">
        <v>4.561</v>
      </c>
      <c r="Z44" s="892">
        <f t="shared" si="2"/>
        <v>2.702094122945283</v>
      </c>
      <c r="AA44" s="68" t="s">
        <v>83</v>
      </c>
    </row>
    <row r="45" spans="1:27" ht="12.75" customHeight="1">
      <c r="A45" s="8"/>
      <c r="B45" s="1028" t="s">
        <v>315</v>
      </c>
      <c r="C45" s="1029"/>
      <c r="D45" s="1029"/>
      <c r="E45" s="1029"/>
      <c r="F45" s="1029"/>
      <c r="G45" s="1029"/>
      <c r="H45" s="1029"/>
      <c r="I45" s="1029"/>
      <c r="J45" s="1029"/>
      <c r="K45" s="1029"/>
      <c r="L45" s="1029"/>
      <c r="M45" s="1029"/>
      <c r="N45" s="1029"/>
      <c r="O45" s="1029"/>
      <c r="P45" s="1029"/>
      <c r="Q45" s="1029"/>
      <c r="R45" s="1029"/>
      <c r="S45" s="1029"/>
      <c r="T45" s="1029"/>
      <c r="U45" s="1029"/>
      <c r="V45" s="1029"/>
      <c r="W45" s="1030"/>
      <c r="X45" s="1030"/>
      <c r="Y45" s="1030"/>
      <c r="Z45" s="1029"/>
      <c r="AA45" s="1029"/>
    </row>
    <row r="46" spans="1:27" ht="12.75" customHeight="1">
      <c r="A46" s="8"/>
      <c r="B46" s="1031" t="s">
        <v>175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2"/>
      <c r="X46" s="1032"/>
      <c r="Y46" s="1032"/>
      <c r="Z46" s="1032"/>
      <c r="AA46" s="1032"/>
    </row>
    <row r="47" spans="2:29" ht="11.25" customHeight="1">
      <c r="B47" s="1025" t="s">
        <v>176</v>
      </c>
      <c r="C47" s="1025"/>
      <c r="D47" s="1025"/>
      <c r="E47" s="1025"/>
      <c r="F47" s="1025"/>
      <c r="G47" s="1025"/>
      <c r="H47" s="1025"/>
      <c r="I47" s="1025"/>
      <c r="J47" s="1025"/>
      <c r="K47" s="1025"/>
      <c r="L47" s="1025"/>
      <c r="M47" s="1025"/>
      <c r="N47" s="1025"/>
      <c r="O47" s="1025"/>
      <c r="P47" s="1025"/>
      <c r="Q47" s="1025"/>
      <c r="R47" s="1025"/>
      <c r="S47" s="1025"/>
      <c r="T47" s="1025"/>
      <c r="U47" s="1025"/>
      <c r="V47" s="1025"/>
      <c r="W47" s="1025"/>
      <c r="X47" s="1025"/>
      <c r="Y47" s="1025"/>
      <c r="Z47" s="1025"/>
      <c r="AA47" s="1025"/>
      <c r="AC47" s="1"/>
    </row>
    <row r="48" spans="2:27" ht="12.75" customHeight="1">
      <c r="B48" s="1025" t="s">
        <v>180</v>
      </c>
      <c r="C48" s="1025"/>
      <c r="D48" s="1025"/>
      <c r="E48" s="1025"/>
      <c r="F48" s="1025"/>
      <c r="G48" s="1025"/>
      <c r="H48" s="1025"/>
      <c r="I48" s="1025"/>
      <c r="J48" s="1025"/>
      <c r="K48" s="1025"/>
      <c r="L48" s="1025"/>
      <c r="M48" s="1025"/>
      <c r="N48" s="1025"/>
      <c r="O48" s="1025"/>
      <c r="P48" s="1025"/>
      <c r="Q48" s="1025"/>
      <c r="R48" s="1025"/>
      <c r="S48" s="1025"/>
      <c r="T48" s="1025"/>
      <c r="U48" s="1025"/>
      <c r="V48" s="1025"/>
      <c r="W48" s="1025"/>
      <c r="X48" s="1025"/>
      <c r="Y48" s="1025"/>
      <c r="Z48" s="1025"/>
      <c r="AA48" s="1025"/>
    </row>
    <row r="49" spans="2:27" ht="12.75" customHeight="1">
      <c r="B49" s="1025" t="s">
        <v>181</v>
      </c>
      <c r="C49" s="1025"/>
      <c r="D49" s="1025"/>
      <c r="E49" s="1025"/>
      <c r="F49" s="1025"/>
      <c r="G49" s="1025"/>
      <c r="H49" s="1025"/>
      <c r="I49" s="1025"/>
      <c r="J49" s="1025"/>
      <c r="K49" s="1025"/>
      <c r="L49" s="1025"/>
      <c r="M49" s="1025"/>
      <c r="N49" s="1025"/>
      <c r="O49" s="1025"/>
      <c r="P49" s="1025"/>
      <c r="Q49" s="1025"/>
      <c r="R49" s="1025"/>
      <c r="S49" s="1025"/>
      <c r="T49" s="1025"/>
      <c r="U49" s="1025"/>
      <c r="V49" s="1025"/>
      <c r="W49" s="1025"/>
      <c r="X49" s="1025"/>
      <c r="Y49" s="1025"/>
      <c r="Z49" s="1025"/>
      <c r="AA49" s="1025"/>
    </row>
    <row r="50" spans="2:27" ht="12.75" customHeight="1">
      <c r="B50" s="1025" t="s">
        <v>313</v>
      </c>
      <c r="C50" s="1025"/>
      <c r="D50" s="1025"/>
      <c r="E50" s="1025"/>
      <c r="F50" s="1025"/>
      <c r="G50" s="1025"/>
      <c r="H50" s="1025"/>
      <c r="I50" s="1025"/>
      <c r="J50" s="1025"/>
      <c r="K50" s="1025"/>
      <c r="L50" s="1025"/>
      <c r="M50" s="1025"/>
      <c r="N50" s="1025"/>
      <c r="O50" s="1025"/>
      <c r="P50" s="1025"/>
      <c r="Q50" s="1025"/>
      <c r="R50" s="1025"/>
      <c r="S50" s="1025"/>
      <c r="T50" s="1025"/>
      <c r="U50" s="1025"/>
      <c r="V50" s="1025"/>
      <c r="W50" s="1025"/>
      <c r="X50" s="1025"/>
      <c r="Y50" s="1025"/>
      <c r="Z50" s="1025"/>
      <c r="AA50" s="1025"/>
    </row>
    <row r="51" spans="2:27" ht="12.75" customHeight="1">
      <c r="B51" s="1025" t="s">
        <v>284</v>
      </c>
      <c r="C51" s="1025"/>
      <c r="D51" s="1025"/>
      <c r="E51" s="1025"/>
      <c r="F51" s="1025"/>
      <c r="G51" s="1025"/>
      <c r="H51" s="1025"/>
      <c r="I51" s="1025"/>
      <c r="J51" s="1025"/>
      <c r="K51" s="1025"/>
      <c r="L51" s="1025"/>
      <c r="M51" s="1025"/>
      <c r="N51" s="1025"/>
      <c r="O51" s="1025"/>
      <c r="P51" s="1025"/>
      <c r="Q51" s="1025"/>
      <c r="R51" s="1025"/>
      <c r="S51" s="1025"/>
      <c r="T51" s="1025"/>
      <c r="U51" s="1025"/>
      <c r="V51" s="1025"/>
      <c r="W51" s="1025"/>
      <c r="X51" s="1025"/>
      <c r="Y51" s="1025"/>
      <c r="Z51" s="1025"/>
      <c r="AA51" s="1025"/>
    </row>
    <row r="52" spans="2:27" ht="12.75">
      <c r="B52" s="1025" t="s">
        <v>311</v>
      </c>
      <c r="C52" s="1025"/>
      <c r="D52" s="1025"/>
      <c r="E52" s="1025"/>
      <c r="F52" s="1025"/>
      <c r="G52" s="1025"/>
      <c r="H52" s="1025"/>
      <c r="I52" s="1025"/>
      <c r="J52" s="1025"/>
      <c r="K52" s="1025"/>
      <c r="L52" s="1025"/>
      <c r="M52" s="1025"/>
      <c r="N52" s="1025"/>
      <c r="O52" s="1025"/>
      <c r="P52" s="1025"/>
      <c r="Q52" s="1025"/>
      <c r="R52" s="1025"/>
      <c r="S52" s="1025"/>
      <c r="T52" s="1025"/>
      <c r="U52" s="1025"/>
      <c r="V52" s="1025"/>
      <c r="W52" s="1025"/>
      <c r="X52" s="1025"/>
      <c r="Y52" s="1025"/>
      <c r="Z52" s="1025"/>
      <c r="AA52" s="1025"/>
    </row>
    <row r="53" spans="10:27" ht="14.25">
      <c r="J53" s="334"/>
      <c r="K53" s="335"/>
      <c r="L53" s="333"/>
      <c r="M53" s="333"/>
      <c r="N53" s="333"/>
      <c r="Q53" s="334"/>
      <c r="S53" s="334"/>
      <c r="T53" s="353"/>
      <c r="U53" s="353"/>
      <c r="V53" s="353"/>
      <c r="W53" s="353"/>
      <c r="X53" s="353"/>
      <c r="Y53" s="353"/>
      <c r="Z53" s="893"/>
      <c r="AA53" s="333"/>
    </row>
    <row r="54" spans="10:27" ht="14.25">
      <c r="J54" s="334"/>
      <c r="K54" s="335"/>
      <c r="L54" s="333"/>
      <c r="M54" s="333"/>
      <c r="N54" s="333"/>
      <c r="Q54" s="334"/>
      <c r="S54" s="334"/>
      <c r="T54" s="353"/>
      <c r="U54" s="353"/>
      <c r="V54" s="353"/>
      <c r="W54" s="353"/>
      <c r="X54" s="353"/>
      <c r="Y54" s="353"/>
      <c r="Z54" s="893"/>
      <c r="AA54" s="333"/>
    </row>
    <row r="55" spans="10:27" ht="14.25">
      <c r="J55" s="334"/>
      <c r="K55" s="335"/>
      <c r="L55" s="333"/>
      <c r="M55" s="333"/>
      <c r="N55" s="333"/>
      <c r="Q55" s="334"/>
      <c r="S55" s="334"/>
      <c r="T55" s="353"/>
      <c r="U55" s="353"/>
      <c r="V55" s="353"/>
      <c r="W55" s="353"/>
      <c r="X55" s="353"/>
      <c r="Y55" s="353"/>
      <c r="Z55" s="893"/>
      <c r="AA55" s="333"/>
    </row>
    <row r="56" spans="10:27" ht="14.25">
      <c r="J56" s="334"/>
      <c r="K56" s="335"/>
      <c r="L56" s="333"/>
      <c r="M56" s="333"/>
      <c r="N56" s="333"/>
      <c r="Q56" s="334"/>
      <c r="S56" s="334"/>
      <c r="T56" s="353"/>
      <c r="U56" s="353"/>
      <c r="V56" s="353"/>
      <c r="W56" s="353"/>
      <c r="X56" s="353"/>
      <c r="Y56" s="353"/>
      <c r="Z56" s="893"/>
      <c r="AA56" s="333"/>
    </row>
    <row r="57" spans="10:27" ht="14.25">
      <c r="J57" s="334"/>
      <c r="K57" s="335"/>
      <c r="L57" s="333"/>
      <c r="M57" s="333"/>
      <c r="N57" s="333"/>
      <c r="Q57" s="334"/>
      <c r="S57" s="334"/>
      <c r="T57" s="353"/>
      <c r="U57" s="353"/>
      <c r="V57" s="353"/>
      <c r="W57" s="353"/>
      <c r="X57" s="353"/>
      <c r="Y57" s="353"/>
      <c r="Z57" s="893"/>
      <c r="AA57" s="333"/>
    </row>
    <row r="58" spans="10:27" ht="14.25">
      <c r="J58" s="334"/>
      <c r="K58" s="335"/>
      <c r="L58" s="333"/>
      <c r="M58" s="333"/>
      <c r="N58" s="333"/>
      <c r="Q58" s="334"/>
      <c r="S58" s="334"/>
      <c r="X58" s="353"/>
      <c r="Y58" s="353"/>
      <c r="Z58" s="893"/>
      <c r="AA58" s="333"/>
    </row>
    <row r="59" spans="10:27" ht="14.25">
      <c r="J59" s="334"/>
      <c r="K59" s="335"/>
      <c r="L59" s="333"/>
      <c r="M59" s="333"/>
      <c r="N59" s="333"/>
      <c r="Q59" s="334"/>
      <c r="S59" s="334"/>
      <c r="X59" s="353"/>
      <c r="Y59" s="353"/>
      <c r="Z59" s="893"/>
      <c r="AA59" s="333"/>
    </row>
    <row r="60" spans="10:27" ht="14.25">
      <c r="J60" s="334"/>
      <c r="K60" s="335"/>
      <c r="L60" s="333"/>
      <c r="M60" s="333"/>
      <c r="N60" s="333"/>
      <c r="Q60" s="334"/>
      <c r="S60" s="334"/>
      <c r="X60" s="353"/>
      <c r="Y60" s="353"/>
      <c r="Z60" s="893"/>
      <c r="AA60" s="333"/>
    </row>
    <row r="61" spans="10:27" ht="14.25">
      <c r="J61" s="334"/>
      <c r="K61" s="335"/>
      <c r="L61" s="333"/>
      <c r="M61" s="333"/>
      <c r="N61" s="333"/>
      <c r="Q61" s="334"/>
      <c r="S61" s="334"/>
      <c r="X61" s="353"/>
      <c r="Y61" s="353"/>
      <c r="Z61" s="893"/>
      <c r="AA61" s="333"/>
    </row>
    <row r="62" spans="10:27" ht="14.25">
      <c r="J62" s="334"/>
      <c r="K62" s="335"/>
      <c r="L62" s="333"/>
      <c r="M62" s="333"/>
      <c r="N62" s="333"/>
      <c r="Q62" s="334"/>
      <c r="S62" s="334"/>
      <c r="X62" s="353"/>
      <c r="Y62" s="353"/>
      <c r="Z62" s="893"/>
      <c r="AA62" s="333"/>
    </row>
    <row r="63" spans="10:27" ht="14.25">
      <c r="J63" s="334"/>
      <c r="K63" s="335"/>
      <c r="L63" s="333"/>
      <c r="M63" s="333"/>
      <c r="N63" s="333"/>
      <c r="Q63" s="334"/>
      <c r="X63" s="353"/>
      <c r="Y63" s="353"/>
      <c r="Z63" s="893"/>
      <c r="AA63" s="333"/>
    </row>
    <row r="64" spans="10:27" ht="14.25">
      <c r="J64" s="334"/>
      <c r="K64" s="335"/>
      <c r="L64" s="333"/>
      <c r="M64" s="333"/>
      <c r="N64" s="333"/>
      <c r="Q64" s="334"/>
      <c r="X64" s="353"/>
      <c r="Y64" s="353"/>
      <c r="Z64" s="893"/>
      <c r="AA64" s="333"/>
    </row>
    <row r="65" spans="10:14" ht="14.25">
      <c r="J65" s="332"/>
      <c r="K65" s="332"/>
      <c r="L65" s="331"/>
      <c r="M65" s="331"/>
      <c r="N65" s="331"/>
    </row>
    <row r="66" spans="10:14" ht="14.25">
      <c r="J66" s="332"/>
      <c r="K66" s="332"/>
      <c r="L66" s="331"/>
      <c r="M66" s="331"/>
      <c r="N66" s="331"/>
    </row>
  </sheetData>
  <sheetProtection/>
  <mergeCells count="10">
    <mergeCell ref="B52:AA52"/>
    <mergeCell ref="B51:AA51"/>
    <mergeCell ref="B49:AA49"/>
    <mergeCell ref="B50:AA50"/>
    <mergeCell ref="B2:AA2"/>
    <mergeCell ref="B3:AA3"/>
    <mergeCell ref="B45:AA45"/>
    <mergeCell ref="B46:AA46"/>
    <mergeCell ref="B47:AA47"/>
    <mergeCell ref="B48:AA48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45"/>
  <sheetViews>
    <sheetView zoomScalePageLayoutView="0" workbookViewId="0" topLeftCell="A10">
      <selection activeCell="B44" sqref="B44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4" width="8.7109375" style="134" hidden="1" customWidth="1"/>
    <col min="5" max="5" width="9.7109375" style="134" customWidth="1"/>
    <col min="6" max="9" width="8.7109375" style="134" customWidth="1"/>
    <col min="10" max="17" width="9.7109375" style="134" customWidth="1"/>
    <col min="18" max="18" width="8.140625" style="0" customWidth="1"/>
    <col min="19" max="19" width="8.140625" style="398" customWidth="1"/>
    <col min="20" max="21" width="8.140625" style="724" customWidth="1"/>
    <col min="22" max="22" width="8.140625" style="763" customWidth="1"/>
    <col min="23" max="23" width="7.140625" style="763" customWidth="1"/>
    <col min="24" max="24" width="5.8515625" style="0" customWidth="1"/>
    <col min="25" max="25" width="2.7109375" style="0" customWidth="1"/>
    <col min="26" max="26" width="7.421875" style="0" customWidth="1"/>
  </cols>
  <sheetData>
    <row r="1" spans="2:24" ht="14.25" customHeight="1">
      <c r="B1" s="29"/>
      <c r="C1" s="133"/>
      <c r="D1" s="133"/>
      <c r="E1" s="133"/>
      <c r="F1" s="133"/>
      <c r="G1" s="133"/>
      <c r="J1" s="135"/>
      <c r="S1" s="509"/>
      <c r="T1" s="722"/>
      <c r="U1" s="757"/>
      <c r="V1" s="16"/>
      <c r="W1" s="872" t="s">
        <v>150</v>
      </c>
      <c r="X1" s="16"/>
    </row>
    <row r="2" spans="2:24" s="43" customFormat="1" ht="30" customHeight="1">
      <c r="B2" s="1035" t="s">
        <v>11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1035"/>
      <c r="R2" s="1035"/>
      <c r="S2" s="1035"/>
      <c r="T2" s="1035"/>
      <c r="U2" s="1035"/>
      <c r="V2" s="1035"/>
      <c r="W2" s="869"/>
      <c r="X2" s="138"/>
    </row>
    <row r="3" spans="2:24" ht="15" customHeight="1">
      <c r="B3" s="1036" t="s">
        <v>91</v>
      </c>
      <c r="C3" s="1036"/>
      <c r="D3" s="1036"/>
      <c r="E3" s="1036"/>
      <c r="F3" s="1036"/>
      <c r="G3" s="1036"/>
      <c r="H3" s="1036"/>
      <c r="I3" s="1036"/>
      <c r="J3" s="1036"/>
      <c r="K3" s="1036"/>
      <c r="L3" s="1036"/>
      <c r="M3" s="1036"/>
      <c r="N3" s="1036"/>
      <c r="O3" s="1036"/>
      <c r="P3" s="1036"/>
      <c r="Q3" s="1036"/>
      <c r="R3" s="1036"/>
      <c r="S3" s="1036"/>
      <c r="T3" s="1036"/>
      <c r="U3" s="1036"/>
      <c r="V3" s="1036"/>
      <c r="W3" s="870"/>
      <c r="X3" s="13"/>
    </row>
    <row r="4" spans="2:24" ht="12.75">
      <c r="B4" s="4"/>
      <c r="C4" s="136"/>
      <c r="D4" s="136"/>
      <c r="E4" s="136"/>
      <c r="J4" s="137"/>
      <c r="L4" s="137"/>
      <c r="N4" s="137"/>
      <c r="P4" s="137"/>
      <c r="Q4" s="137"/>
      <c r="R4" s="7"/>
      <c r="S4" s="7"/>
      <c r="T4" s="7"/>
      <c r="U4" s="7"/>
      <c r="V4" s="137"/>
      <c r="W4" s="137" t="s">
        <v>3</v>
      </c>
      <c r="X4" s="7"/>
    </row>
    <row r="5" spans="2:26" ht="24.75" customHeight="1">
      <c r="B5" s="4"/>
      <c r="C5" s="172">
        <v>1998</v>
      </c>
      <c r="D5" s="173">
        <v>1999</v>
      </c>
      <c r="E5" s="172">
        <v>2000</v>
      </c>
      <c r="F5" s="173">
        <v>2001</v>
      </c>
      <c r="G5" s="173">
        <v>2002</v>
      </c>
      <c r="H5" s="173">
        <v>2003</v>
      </c>
      <c r="I5" s="173">
        <v>2004</v>
      </c>
      <c r="J5" s="173">
        <v>2005</v>
      </c>
      <c r="K5" s="173">
        <v>2006</v>
      </c>
      <c r="L5" s="173">
        <v>2007</v>
      </c>
      <c r="M5" s="173">
        <v>2008</v>
      </c>
      <c r="N5" s="173">
        <v>2009</v>
      </c>
      <c r="O5" s="173">
        <v>2010</v>
      </c>
      <c r="P5" s="173">
        <v>2011</v>
      </c>
      <c r="Q5" s="173">
        <v>2012</v>
      </c>
      <c r="R5" s="173">
        <v>2013</v>
      </c>
      <c r="S5" s="173">
        <v>2014</v>
      </c>
      <c r="T5" s="173">
        <v>2015</v>
      </c>
      <c r="U5" s="173">
        <v>2016</v>
      </c>
      <c r="V5" s="986">
        <v>2017</v>
      </c>
      <c r="W5" s="814">
        <v>2018</v>
      </c>
      <c r="X5" s="174"/>
      <c r="Z5" s="733" t="s">
        <v>301</v>
      </c>
    </row>
    <row r="6" spans="2:26" ht="12.75" customHeight="1">
      <c r="B6" s="52" t="s">
        <v>253</v>
      </c>
      <c r="C6" s="175"/>
      <c r="D6" s="176"/>
      <c r="E6" s="513"/>
      <c r="F6" s="461"/>
      <c r="G6" s="461"/>
      <c r="H6" s="461">
        <f aca="true" t="shared" si="0" ref="H6:Q6">SUM(H7:H34)</f>
        <v>14957.836</v>
      </c>
      <c r="I6" s="461">
        <f t="shared" si="0"/>
        <v>15248.556000000004</v>
      </c>
      <c r="J6" s="461">
        <f t="shared" si="0"/>
        <v>15194.297000000002</v>
      </c>
      <c r="K6" s="461">
        <f t="shared" si="0"/>
        <v>15564.844999999998</v>
      </c>
      <c r="L6" s="461">
        <f t="shared" si="0"/>
        <v>15711.160000000002</v>
      </c>
      <c r="M6" s="461">
        <f t="shared" si="0"/>
        <v>14457.125000000005</v>
      </c>
      <c r="N6" s="461">
        <f t="shared" si="0"/>
        <v>14232.843</v>
      </c>
      <c r="O6" s="461">
        <f t="shared" si="0"/>
        <v>13438.243999999999</v>
      </c>
      <c r="P6" s="461">
        <f t="shared" si="0"/>
        <v>13215.976000000004</v>
      </c>
      <c r="Q6" s="461">
        <f t="shared" si="0"/>
        <v>12103.864999999998</v>
      </c>
      <c r="R6" s="461">
        <f>SUM(R7:R34)</f>
        <v>11886.097999999998</v>
      </c>
      <c r="S6" s="461">
        <f>SUM(S7:S34)</f>
        <v>12557.225</v>
      </c>
      <c r="T6" s="461">
        <f>SUM(T7:T34)</f>
        <v>13713.417000000003</v>
      </c>
      <c r="U6" s="461">
        <f>SUM(U7:U34)</f>
        <v>14650.001999999999</v>
      </c>
      <c r="V6" s="792">
        <f>SUM(V7:V34)</f>
        <v>15135.629</v>
      </c>
      <c r="W6" s="514">
        <f>SUM(W7:W34)</f>
        <v>15161.826999999997</v>
      </c>
      <c r="X6" s="64" t="s">
        <v>253</v>
      </c>
      <c r="Y6" s="915"/>
      <c r="Z6" s="914">
        <f>W6/V6*100-100</f>
        <v>0.17308828063900705</v>
      </c>
    </row>
    <row r="7" spans="2:26" ht="12.75" customHeight="1">
      <c r="B7" s="178" t="s">
        <v>62</v>
      </c>
      <c r="C7" s="129">
        <v>452.129</v>
      </c>
      <c r="D7" s="124">
        <v>489.621</v>
      </c>
      <c r="E7" s="465">
        <v>515.204</v>
      </c>
      <c r="F7" s="465">
        <v>488.683</v>
      </c>
      <c r="G7" s="465">
        <v>467.569</v>
      </c>
      <c r="H7" s="465">
        <v>458.796</v>
      </c>
      <c r="I7" s="465">
        <v>484.757</v>
      </c>
      <c r="J7" s="465">
        <v>480.088</v>
      </c>
      <c r="K7" s="465">
        <v>526.141</v>
      </c>
      <c r="L7" s="465">
        <v>524.795</v>
      </c>
      <c r="M7" s="465">
        <v>535.947</v>
      </c>
      <c r="N7" s="465">
        <v>476.194</v>
      </c>
      <c r="O7" s="465">
        <v>547.34</v>
      </c>
      <c r="P7" s="465">
        <v>572.211</v>
      </c>
      <c r="Q7" s="465">
        <v>487.377</v>
      </c>
      <c r="R7" s="465">
        <v>486.065</v>
      </c>
      <c r="S7" s="465">
        <v>482.939</v>
      </c>
      <c r="T7" s="465">
        <v>501.066</v>
      </c>
      <c r="U7" s="465">
        <v>539.281</v>
      </c>
      <c r="V7" s="793">
        <v>546.558</v>
      </c>
      <c r="W7" s="515">
        <v>549.8</v>
      </c>
      <c r="X7" s="179" t="s">
        <v>62</v>
      </c>
      <c r="Y7" s="915"/>
      <c r="Z7" s="912">
        <f aca="true" t="shared" si="1" ref="Z7:Z42">W7/V7*100-100</f>
        <v>0.5931666904518806</v>
      </c>
    </row>
    <row r="8" spans="2:26" ht="12.75" customHeight="1">
      <c r="B8" s="177" t="s">
        <v>45</v>
      </c>
      <c r="C8" s="130"/>
      <c r="D8" s="125"/>
      <c r="E8" s="469"/>
      <c r="F8" s="469"/>
      <c r="G8" s="469">
        <v>13.82</v>
      </c>
      <c r="H8" s="469">
        <v>16.64</v>
      </c>
      <c r="I8" s="469">
        <v>24.91</v>
      </c>
      <c r="J8" s="469">
        <v>32.7</v>
      </c>
      <c r="K8" s="469">
        <v>32.481</v>
      </c>
      <c r="L8" s="469">
        <v>41.042</v>
      </c>
      <c r="M8" s="469">
        <v>43.758</v>
      </c>
      <c r="N8" s="469">
        <v>24.972</v>
      </c>
      <c r="O8" s="469">
        <v>15.646</v>
      </c>
      <c r="P8" s="484">
        <v>18.631</v>
      </c>
      <c r="Q8" s="484">
        <v>19.752</v>
      </c>
      <c r="R8" s="484">
        <v>20.718</v>
      </c>
      <c r="S8" s="484">
        <v>21.186</v>
      </c>
      <c r="T8" s="484">
        <v>24.256</v>
      </c>
      <c r="U8" s="484">
        <v>28.216</v>
      </c>
      <c r="V8" s="484">
        <v>33.809</v>
      </c>
      <c r="W8" s="516">
        <v>38.032</v>
      </c>
      <c r="X8" s="180" t="s">
        <v>45</v>
      </c>
      <c r="Y8" s="915"/>
      <c r="Z8" s="913">
        <f t="shared" si="1"/>
        <v>12.490756899050552</v>
      </c>
    </row>
    <row r="9" spans="1:26" ht="12.75" customHeight="1">
      <c r="A9" s="8"/>
      <c r="B9" s="181" t="s">
        <v>47</v>
      </c>
      <c r="C9" s="131"/>
      <c r="D9" s="126"/>
      <c r="E9" s="474"/>
      <c r="F9" s="474"/>
      <c r="G9" s="474"/>
      <c r="H9" s="474">
        <v>152.981</v>
      </c>
      <c r="I9" s="474">
        <v>143.622</v>
      </c>
      <c r="J9" s="474">
        <v>151.699</v>
      </c>
      <c r="K9" s="474">
        <v>156.686</v>
      </c>
      <c r="L9" s="474">
        <v>174.456</v>
      </c>
      <c r="M9" s="474">
        <v>182.554</v>
      </c>
      <c r="N9" s="474">
        <v>167.708</v>
      </c>
      <c r="O9" s="474">
        <v>169.58</v>
      </c>
      <c r="P9" s="474">
        <v>173.595</v>
      </c>
      <c r="Q9" s="474">
        <v>173.997</v>
      </c>
      <c r="R9" s="474">
        <v>164.746</v>
      </c>
      <c r="S9" s="474">
        <v>192.314</v>
      </c>
      <c r="T9" s="474">
        <v>230.857</v>
      </c>
      <c r="U9" s="474">
        <v>259.693</v>
      </c>
      <c r="V9" s="474">
        <v>271.595</v>
      </c>
      <c r="W9" s="479">
        <v>261.465</v>
      </c>
      <c r="X9" s="182" t="s">
        <v>47</v>
      </c>
      <c r="Y9" s="915"/>
      <c r="Z9" s="912">
        <f t="shared" si="1"/>
        <v>-3.7298182956240282</v>
      </c>
    </row>
    <row r="10" spans="1:26" ht="12.75" customHeight="1">
      <c r="A10" s="8"/>
      <c r="B10" s="177" t="s">
        <v>58</v>
      </c>
      <c r="C10" s="130">
        <v>162.508</v>
      </c>
      <c r="D10" s="125">
        <v>143.727</v>
      </c>
      <c r="E10" s="469">
        <v>112.69</v>
      </c>
      <c r="F10" s="469">
        <v>96.173</v>
      </c>
      <c r="G10" s="469">
        <v>111.585</v>
      </c>
      <c r="H10" s="469">
        <v>96.078</v>
      </c>
      <c r="I10" s="469">
        <v>121.49</v>
      </c>
      <c r="J10" s="469">
        <v>146.885</v>
      </c>
      <c r="K10" s="469">
        <v>154.385</v>
      </c>
      <c r="L10" s="469">
        <v>159.347</v>
      </c>
      <c r="M10" s="469">
        <v>150.145</v>
      </c>
      <c r="N10" s="469">
        <v>112.201</v>
      </c>
      <c r="O10" s="469">
        <v>153.587</v>
      </c>
      <c r="P10" s="484">
        <v>169.974</v>
      </c>
      <c r="Q10" s="484">
        <v>170.531</v>
      </c>
      <c r="R10" s="484">
        <v>181.896</v>
      </c>
      <c r="S10" s="484">
        <v>188.612</v>
      </c>
      <c r="T10" s="484">
        <v>206.999</v>
      </c>
      <c r="U10" s="484">
        <v>222.895</v>
      </c>
      <c r="V10" s="484">
        <v>221.591</v>
      </c>
      <c r="W10" s="516">
        <v>218.357</v>
      </c>
      <c r="X10" s="180" t="s">
        <v>58</v>
      </c>
      <c r="Y10" s="915"/>
      <c r="Z10" s="913">
        <f t="shared" si="1"/>
        <v>-1.4594455550992649</v>
      </c>
    </row>
    <row r="11" spans="1:26" ht="12.75" customHeight="1">
      <c r="A11" s="8"/>
      <c r="B11" s="181" t="s">
        <v>63</v>
      </c>
      <c r="C11" s="131">
        <v>3735.987</v>
      </c>
      <c r="D11" s="126">
        <v>3802.176</v>
      </c>
      <c r="E11" s="474">
        <v>3378.343</v>
      </c>
      <c r="F11" s="474">
        <v>3341.718</v>
      </c>
      <c r="G11" s="474">
        <v>3252.898</v>
      </c>
      <c r="H11" s="474">
        <v>3236.938</v>
      </c>
      <c r="I11" s="474">
        <v>3266.825</v>
      </c>
      <c r="J11" s="474">
        <v>3319.259</v>
      </c>
      <c r="K11" s="474">
        <v>3467.961</v>
      </c>
      <c r="L11" s="474">
        <v>3148.163</v>
      </c>
      <c r="M11" s="474">
        <v>3090.04</v>
      </c>
      <c r="N11" s="474">
        <v>3807.175</v>
      </c>
      <c r="O11" s="474">
        <v>2916.259</v>
      </c>
      <c r="P11" s="474">
        <v>3173.634</v>
      </c>
      <c r="Q11" s="474">
        <v>3082.58</v>
      </c>
      <c r="R11" s="474">
        <v>2952.431</v>
      </c>
      <c r="S11" s="474">
        <v>3036.773</v>
      </c>
      <c r="T11" s="474">
        <v>3206.042</v>
      </c>
      <c r="U11" s="474">
        <v>3351.607</v>
      </c>
      <c r="V11" s="474">
        <v>3441.261</v>
      </c>
      <c r="W11" s="479">
        <v>3435.778</v>
      </c>
      <c r="X11" s="182" t="s">
        <v>63</v>
      </c>
      <c r="Y11" s="915"/>
      <c r="Z11" s="912">
        <f t="shared" si="1"/>
        <v>-0.15933112890886036</v>
      </c>
    </row>
    <row r="12" spans="1:26" ht="12.75" customHeight="1">
      <c r="A12" s="8"/>
      <c r="B12" s="177" t="s">
        <v>48</v>
      </c>
      <c r="C12" s="130"/>
      <c r="D12" s="125"/>
      <c r="E12" s="469"/>
      <c r="F12" s="469"/>
      <c r="G12" s="469"/>
      <c r="H12" s="469">
        <v>15.602</v>
      </c>
      <c r="I12" s="469">
        <v>16.436</v>
      </c>
      <c r="J12" s="469">
        <v>19.64</v>
      </c>
      <c r="K12" s="469">
        <v>25.363</v>
      </c>
      <c r="L12" s="469">
        <v>30.912</v>
      </c>
      <c r="M12" s="469">
        <v>24.579</v>
      </c>
      <c r="N12" s="469">
        <v>9.946</v>
      </c>
      <c r="O12" s="469">
        <v>10.295</v>
      </c>
      <c r="P12" s="484">
        <v>17.07</v>
      </c>
      <c r="Q12" s="484">
        <v>19.424</v>
      </c>
      <c r="R12" s="484">
        <v>19.694</v>
      </c>
      <c r="S12" s="484">
        <v>21.135</v>
      </c>
      <c r="T12" s="484">
        <v>21.033</v>
      </c>
      <c r="U12" s="484">
        <v>22.997</v>
      </c>
      <c r="V12" s="484">
        <v>25.618</v>
      </c>
      <c r="W12" s="516">
        <v>26.297</v>
      </c>
      <c r="X12" s="180" t="s">
        <v>48</v>
      </c>
      <c r="Y12" s="915"/>
      <c r="Z12" s="913">
        <f t="shared" si="1"/>
        <v>2.650480131157778</v>
      </c>
    </row>
    <row r="13" spans="1:26" ht="12.75" customHeight="1">
      <c r="A13" s="8"/>
      <c r="B13" s="181" t="s">
        <v>66</v>
      </c>
      <c r="C13" s="131">
        <v>145.702</v>
      </c>
      <c r="D13" s="126">
        <v>174.242</v>
      </c>
      <c r="E13" s="474">
        <v>230.795</v>
      </c>
      <c r="F13" s="474">
        <v>164.73</v>
      </c>
      <c r="G13" s="474">
        <v>156.125</v>
      </c>
      <c r="H13" s="474">
        <v>145.223</v>
      </c>
      <c r="I13" s="474">
        <v>154.136</v>
      </c>
      <c r="J13" s="474">
        <v>171.742</v>
      </c>
      <c r="K13" s="474">
        <v>178.484</v>
      </c>
      <c r="L13" s="474">
        <v>186.325</v>
      </c>
      <c r="M13" s="474">
        <v>151.607</v>
      </c>
      <c r="N13" s="474">
        <v>57.453</v>
      </c>
      <c r="O13" s="474">
        <v>88.446</v>
      </c>
      <c r="P13" s="474">
        <v>89.904</v>
      </c>
      <c r="Q13" s="474">
        <v>79.498</v>
      </c>
      <c r="R13" s="474">
        <v>74.367</v>
      </c>
      <c r="S13" s="474">
        <v>96.284</v>
      </c>
      <c r="T13" s="474">
        <v>124.804</v>
      </c>
      <c r="U13" s="474">
        <v>146.672</v>
      </c>
      <c r="V13" s="474">
        <v>131.356</v>
      </c>
      <c r="W13" s="479">
        <v>125.595</v>
      </c>
      <c r="X13" s="182" t="s">
        <v>66</v>
      </c>
      <c r="Y13" s="915"/>
      <c r="Z13" s="912">
        <f t="shared" si="1"/>
        <v>-4.385791284752884</v>
      </c>
    </row>
    <row r="14" spans="1:26" ht="12.75" customHeight="1">
      <c r="A14" s="8"/>
      <c r="B14" s="177" t="s">
        <v>59</v>
      </c>
      <c r="C14" s="130">
        <v>180.145</v>
      </c>
      <c r="D14" s="125">
        <v>261.711</v>
      </c>
      <c r="E14" s="469">
        <v>290.222</v>
      </c>
      <c r="F14" s="469">
        <v>280.214</v>
      </c>
      <c r="G14" s="469">
        <v>268.489</v>
      </c>
      <c r="H14" s="469">
        <v>257.293</v>
      </c>
      <c r="I14" s="469">
        <v>289.691</v>
      </c>
      <c r="J14" s="469">
        <v>269.728</v>
      </c>
      <c r="K14" s="469">
        <v>267.669</v>
      </c>
      <c r="L14" s="469">
        <v>279.745</v>
      </c>
      <c r="M14" s="469">
        <v>267.295</v>
      </c>
      <c r="N14" s="469">
        <v>219.73</v>
      </c>
      <c r="O14" s="469">
        <v>141.501</v>
      </c>
      <c r="P14" s="484">
        <v>97.68</v>
      </c>
      <c r="Q14" s="484">
        <v>58.479</v>
      </c>
      <c r="R14" s="484">
        <v>58.696</v>
      </c>
      <c r="S14" s="484">
        <v>71.222</v>
      </c>
      <c r="T14" s="484">
        <v>75.804</v>
      </c>
      <c r="U14" s="484">
        <v>78.873</v>
      </c>
      <c r="V14" s="484">
        <v>88.115</v>
      </c>
      <c r="W14" s="516">
        <v>103.431</v>
      </c>
      <c r="X14" s="180" t="s">
        <v>59</v>
      </c>
      <c r="Y14" s="915"/>
      <c r="Z14" s="913">
        <f t="shared" si="1"/>
        <v>17.381830562333306</v>
      </c>
    </row>
    <row r="15" spans="1:26" ht="12.75" customHeight="1">
      <c r="A15" s="8"/>
      <c r="B15" s="181" t="s">
        <v>64</v>
      </c>
      <c r="C15" s="131">
        <v>1192.53</v>
      </c>
      <c r="D15" s="126">
        <v>1406.246</v>
      </c>
      <c r="E15" s="474">
        <v>1381.256</v>
      </c>
      <c r="F15" s="474">
        <v>1425.573</v>
      </c>
      <c r="G15" s="474">
        <v>1331.877</v>
      </c>
      <c r="H15" s="474">
        <v>1382.109</v>
      </c>
      <c r="I15" s="474">
        <v>1517.286</v>
      </c>
      <c r="J15" s="474">
        <v>1528.877</v>
      </c>
      <c r="K15" s="474">
        <v>1634.608</v>
      </c>
      <c r="L15" s="474">
        <v>1614.835</v>
      </c>
      <c r="M15" s="474">
        <v>1161.176</v>
      </c>
      <c r="N15" s="474">
        <v>952.772</v>
      </c>
      <c r="O15" s="474">
        <v>982.015</v>
      </c>
      <c r="P15" s="474">
        <v>808.051</v>
      </c>
      <c r="Q15" s="474">
        <v>699.589</v>
      </c>
      <c r="R15" s="474">
        <v>722.689</v>
      </c>
      <c r="S15" s="474">
        <v>855.308</v>
      </c>
      <c r="T15" s="474">
        <v>1034.232</v>
      </c>
      <c r="U15" s="474">
        <v>1147.007</v>
      </c>
      <c r="V15" s="474">
        <v>1234.931</v>
      </c>
      <c r="W15" s="479">
        <v>1321.438</v>
      </c>
      <c r="X15" s="182" t="s">
        <v>64</v>
      </c>
      <c r="Y15" s="915"/>
      <c r="Z15" s="912">
        <f t="shared" si="1"/>
        <v>7.005006757462567</v>
      </c>
    </row>
    <row r="16" spans="1:26" ht="12.75" customHeight="1">
      <c r="A16" s="8"/>
      <c r="B16" s="177" t="s">
        <v>65</v>
      </c>
      <c r="C16" s="130">
        <v>1943.553</v>
      </c>
      <c r="D16" s="125">
        <v>2148.423</v>
      </c>
      <c r="E16" s="469">
        <v>2133.884</v>
      </c>
      <c r="F16" s="469">
        <v>2254.732</v>
      </c>
      <c r="G16" s="469">
        <v>2145.071</v>
      </c>
      <c r="H16" s="469">
        <v>2009.246</v>
      </c>
      <c r="I16" s="469">
        <v>2013.709</v>
      </c>
      <c r="J16" s="469">
        <v>2067.789</v>
      </c>
      <c r="K16" s="469">
        <v>2000.549</v>
      </c>
      <c r="L16" s="469">
        <v>2064.543</v>
      </c>
      <c r="M16" s="469">
        <v>2050.282</v>
      </c>
      <c r="N16" s="469">
        <v>2302.398</v>
      </c>
      <c r="O16" s="469">
        <v>2251.669</v>
      </c>
      <c r="P16" s="484">
        <v>2204.229</v>
      </c>
      <c r="Q16" s="484">
        <v>1898.76</v>
      </c>
      <c r="R16" s="484">
        <v>1790.456</v>
      </c>
      <c r="S16" s="484">
        <v>1795.885</v>
      </c>
      <c r="T16" s="484">
        <v>1917.226</v>
      </c>
      <c r="U16" s="484">
        <v>2015.177</v>
      </c>
      <c r="V16" s="484">
        <v>2110.748</v>
      </c>
      <c r="W16" s="516">
        <v>2173.481</v>
      </c>
      <c r="X16" s="180" t="s">
        <v>65</v>
      </c>
      <c r="Y16" s="915"/>
      <c r="Z16" s="913">
        <f t="shared" si="1"/>
        <v>2.972074354683741</v>
      </c>
    </row>
    <row r="17" spans="1:26" ht="12.75" customHeight="1">
      <c r="A17" s="8"/>
      <c r="B17" s="10" t="s">
        <v>76</v>
      </c>
      <c r="C17" s="131"/>
      <c r="D17" s="126"/>
      <c r="E17" s="474">
        <v>92.36</v>
      </c>
      <c r="F17" s="474">
        <v>108.633</v>
      </c>
      <c r="G17" s="474">
        <v>95.21</v>
      </c>
      <c r="H17" s="474">
        <v>104.52</v>
      </c>
      <c r="I17" s="474">
        <v>99.84</v>
      </c>
      <c r="J17" s="474">
        <v>102.123</v>
      </c>
      <c r="K17" s="474">
        <v>114.447</v>
      </c>
      <c r="L17" s="474">
        <v>106.202</v>
      </c>
      <c r="M17" s="474">
        <v>95.697</v>
      </c>
      <c r="N17" s="474">
        <v>53.252</v>
      </c>
      <c r="O17" s="474">
        <v>46.209</v>
      </c>
      <c r="P17" s="474">
        <v>48.883</v>
      </c>
      <c r="Q17" s="474">
        <v>40.825</v>
      </c>
      <c r="R17" s="478">
        <v>27.802</v>
      </c>
      <c r="S17" s="474">
        <v>33.962</v>
      </c>
      <c r="T17" s="474">
        <v>35.715</v>
      </c>
      <c r="U17" s="474">
        <v>44.106</v>
      </c>
      <c r="V17" s="474">
        <v>50.77</v>
      </c>
      <c r="W17" s="479">
        <v>60.041</v>
      </c>
      <c r="X17" s="67" t="s">
        <v>76</v>
      </c>
      <c r="Y17" s="915"/>
      <c r="Z17" s="912">
        <f t="shared" si="1"/>
        <v>18.260783927516243</v>
      </c>
    </row>
    <row r="18" spans="1:26" ht="12.75" customHeight="1">
      <c r="A18" s="8"/>
      <c r="B18" s="363" t="s">
        <v>67</v>
      </c>
      <c r="C18" s="364">
        <v>2378.516</v>
      </c>
      <c r="D18" s="166">
        <v>2338.464</v>
      </c>
      <c r="E18" s="484">
        <v>2423.084</v>
      </c>
      <c r="F18" s="484">
        <v>2413.455</v>
      </c>
      <c r="G18" s="484">
        <v>2279.612</v>
      </c>
      <c r="H18" s="484">
        <v>2247.019</v>
      </c>
      <c r="I18" s="484">
        <v>2264.688</v>
      </c>
      <c r="J18" s="484">
        <v>2237.444</v>
      </c>
      <c r="K18" s="484">
        <v>2326.049</v>
      </c>
      <c r="L18" s="484">
        <v>2493.106</v>
      </c>
      <c r="M18" s="484">
        <v>2161.682</v>
      </c>
      <c r="N18" s="484">
        <v>2159.463</v>
      </c>
      <c r="O18" s="484">
        <v>1961.579</v>
      </c>
      <c r="P18" s="484">
        <v>1749.074</v>
      </c>
      <c r="Q18" s="484">
        <v>1402.089</v>
      </c>
      <c r="R18" s="484">
        <v>1304.648</v>
      </c>
      <c r="S18" s="484">
        <v>1360.578</v>
      </c>
      <c r="T18" s="484">
        <v>1569.085</v>
      </c>
      <c r="U18" s="484">
        <v>1825.892</v>
      </c>
      <c r="V18" s="484">
        <v>1970.497</v>
      </c>
      <c r="W18" s="516">
        <v>1910.025</v>
      </c>
      <c r="X18" s="365" t="s">
        <v>67</v>
      </c>
      <c r="Y18" s="915"/>
      <c r="Z18" s="913">
        <f t="shared" si="1"/>
        <v>-3.0688704423300237</v>
      </c>
    </row>
    <row r="19" spans="1:26" ht="12.75" customHeight="1">
      <c r="A19" s="8"/>
      <c r="B19" s="181" t="s">
        <v>46</v>
      </c>
      <c r="C19" s="131"/>
      <c r="D19" s="126"/>
      <c r="E19" s="474">
        <f>7.103+0.051+1.057</f>
        <v>8.211</v>
      </c>
      <c r="F19" s="474">
        <f>7.562+0.117+2.323</f>
        <v>10.002</v>
      </c>
      <c r="G19" s="474">
        <f>7.942+0.065+1.115</f>
        <v>9.122</v>
      </c>
      <c r="H19" s="474">
        <f>7.797+0.12+1.228</f>
        <v>9.145</v>
      </c>
      <c r="I19" s="474">
        <f>18.22+0.055+1.375</f>
        <v>19.65</v>
      </c>
      <c r="J19" s="474">
        <f>17.687+0.09+1.433</f>
        <v>19.21</v>
      </c>
      <c r="K19" s="474">
        <f>18.639+0.076+1.629</f>
        <v>20.344</v>
      </c>
      <c r="L19" s="474">
        <f>22.878+0.087+2.142</f>
        <v>25.107</v>
      </c>
      <c r="M19" s="474">
        <f>22.241+0.044+1.928</f>
        <v>24.213</v>
      </c>
      <c r="N19" s="474">
        <v>15.945</v>
      </c>
      <c r="O19" s="474">
        <v>15.062</v>
      </c>
      <c r="P19" s="474">
        <v>14.665</v>
      </c>
      <c r="Q19" s="474">
        <v>10.967</v>
      </c>
      <c r="R19" s="474">
        <v>7.047</v>
      </c>
      <c r="S19" s="474">
        <v>8.271</v>
      </c>
      <c r="T19" s="474">
        <v>10.078</v>
      </c>
      <c r="U19" s="474">
        <v>12.468</v>
      </c>
      <c r="V19" s="474">
        <v>13.118</v>
      </c>
      <c r="W19" s="479">
        <v>13.126</v>
      </c>
      <c r="X19" s="182" t="s">
        <v>46</v>
      </c>
      <c r="Y19" s="915"/>
      <c r="Z19" s="912">
        <f t="shared" si="1"/>
        <v>0.06098490623568864</v>
      </c>
    </row>
    <row r="20" spans="1:26" ht="12.75" customHeight="1">
      <c r="A20" s="8"/>
      <c r="B20" s="363" t="s">
        <v>50</v>
      </c>
      <c r="C20" s="364"/>
      <c r="D20" s="166"/>
      <c r="E20" s="484"/>
      <c r="F20" s="484"/>
      <c r="G20" s="484"/>
      <c r="H20" s="484">
        <v>8.713</v>
      </c>
      <c r="I20" s="484">
        <v>11.217</v>
      </c>
      <c r="J20" s="484">
        <v>16.602</v>
      </c>
      <c r="K20" s="484">
        <v>25.582</v>
      </c>
      <c r="L20" s="484">
        <v>32.771</v>
      </c>
      <c r="M20" s="484">
        <v>19.831</v>
      </c>
      <c r="N20" s="484">
        <v>5.367</v>
      </c>
      <c r="O20" s="484">
        <v>6.365</v>
      </c>
      <c r="P20" s="484">
        <v>10.98</v>
      </c>
      <c r="Q20" s="484">
        <v>10.665</v>
      </c>
      <c r="R20" s="484">
        <v>10.636</v>
      </c>
      <c r="S20" s="484">
        <v>12.452</v>
      </c>
      <c r="T20" s="484">
        <v>13.766</v>
      </c>
      <c r="U20" s="484">
        <v>16.357</v>
      </c>
      <c r="V20" s="484">
        <v>16.698</v>
      </c>
      <c r="W20" s="516">
        <v>16.878</v>
      </c>
      <c r="X20" s="365" t="s">
        <v>50</v>
      </c>
      <c r="Y20" s="915"/>
      <c r="Z20" s="913">
        <f t="shared" si="1"/>
        <v>1.0779734099892124</v>
      </c>
    </row>
    <row r="21" spans="1:26" ht="12.75" customHeight="1">
      <c r="A21" s="8"/>
      <c r="B21" s="181" t="s">
        <v>51</v>
      </c>
      <c r="C21" s="131"/>
      <c r="D21" s="126"/>
      <c r="E21" s="474"/>
      <c r="F21" s="474"/>
      <c r="G21" s="474"/>
      <c r="H21" s="474">
        <v>7.543</v>
      </c>
      <c r="I21" s="474">
        <v>9.493</v>
      </c>
      <c r="J21" s="474">
        <v>10.467</v>
      </c>
      <c r="K21" s="474">
        <v>14.234</v>
      </c>
      <c r="L21" s="474">
        <v>21.606</v>
      </c>
      <c r="M21" s="474">
        <v>22.217</v>
      </c>
      <c r="N21" s="474">
        <v>7.515</v>
      </c>
      <c r="O21" s="474">
        <v>7.97</v>
      </c>
      <c r="P21" s="474">
        <v>13.234</v>
      </c>
      <c r="Q21" s="474">
        <v>12.165</v>
      </c>
      <c r="R21" s="474">
        <v>12.163</v>
      </c>
      <c r="S21" s="474">
        <v>14.461</v>
      </c>
      <c r="T21" s="474">
        <v>17.071</v>
      </c>
      <c r="U21" s="474">
        <v>20.284</v>
      </c>
      <c r="V21" s="474">
        <v>25.836</v>
      </c>
      <c r="W21" s="479">
        <v>32.382</v>
      </c>
      <c r="X21" s="182" t="s">
        <v>51</v>
      </c>
      <c r="Y21" s="915"/>
      <c r="Z21" s="912">
        <f t="shared" si="1"/>
        <v>25.336739433348825</v>
      </c>
    </row>
    <row r="22" spans="1:26" ht="12.75" customHeight="1">
      <c r="A22" s="8"/>
      <c r="B22" s="363" t="s">
        <v>68</v>
      </c>
      <c r="C22" s="364">
        <v>35.928</v>
      </c>
      <c r="D22" s="166">
        <v>40.476</v>
      </c>
      <c r="E22" s="484">
        <v>41.896</v>
      </c>
      <c r="F22" s="484">
        <v>42.833</v>
      </c>
      <c r="G22" s="484">
        <v>43.403</v>
      </c>
      <c r="H22" s="484">
        <v>43.62</v>
      </c>
      <c r="I22" s="484">
        <v>48.234</v>
      </c>
      <c r="J22" s="484">
        <v>48.517</v>
      </c>
      <c r="K22" s="484">
        <v>50.837</v>
      </c>
      <c r="L22" s="484">
        <v>51.332</v>
      </c>
      <c r="M22" s="484">
        <v>52.359</v>
      </c>
      <c r="N22" s="484">
        <v>47.265</v>
      </c>
      <c r="O22" s="484">
        <v>49.726</v>
      </c>
      <c r="P22" s="484">
        <v>49.881</v>
      </c>
      <c r="Q22" s="484">
        <v>53.008</v>
      </c>
      <c r="R22" s="484">
        <v>46.624</v>
      </c>
      <c r="S22" s="484">
        <v>49.793</v>
      </c>
      <c r="T22" s="484">
        <v>46.473</v>
      </c>
      <c r="U22" s="484">
        <v>50.746</v>
      </c>
      <c r="V22" s="484">
        <v>52.775</v>
      </c>
      <c r="W22" s="516">
        <v>52.614</v>
      </c>
      <c r="X22" s="365" t="s">
        <v>68</v>
      </c>
      <c r="Y22" s="915"/>
      <c r="Z22" s="913">
        <f t="shared" si="1"/>
        <v>-0.3050686878256812</v>
      </c>
    </row>
    <row r="23" spans="1:26" ht="12.75" customHeight="1">
      <c r="A23" s="8"/>
      <c r="B23" s="181" t="s">
        <v>49</v>
      </c>
      <c r="C23" s="131"/>
      <c r="D23" s="126"/>
      <c r="E23" s="474"/>
      <c r="F23" s="474"/>
      <c r="G23" s="474"/>
      <c r="H23" s="474">
        <v>208.426</v>
      </c>
      <c r="I23" s="474">
        <v>207.055</v>
      </c>
      <c r="J23" s="474">
        <v>198.982</v>
      </c>
      <c r="K23" s="474">
        <v>187.676</v>
      </c>
      <c r="L23" s="474">
        <v>171.661</v>
      </c>
      <c r="M23" s="474">
        <v>153.278</v>
      </c>
      <c r="N23" s="474">
        <v>60.189</v>
      </c>
      <c r="O23" s="474">
        <v>43.476</v>
      </c>
      <c r="P23" s="474">
        <v>45.094</v>
      </c>
      <c r="Q23" s="474">
        <v>50.398</v>
      </c>
      <c r="R23" s="474">
        <v>56.139</v>
      </c>
      <c r="S23" s="474">
        <v>67.476</v>
      </c>
      <c r="T23" s="474">
        <v>77.171</v>
      </c>
      <c r="U23" s="474">
        <v>96.555</v>
      </c>
      <c r="V23" s="474">
        <v>116.265</v>
      </c>
      <c r="W23" s="479">
        <v>136.601</v>
      </c>
      <c r="X23" s="182" t="s">
        <v>49</v>
      </c>
      <c r="Y23" s="915"/>
      <c r="Z23" s="912">
        <f t="shared" si="1"/>
        <v>17.491076420246856</v>
      </c>
    </row>
    <row r="24" spans="1:26" ht="12.75" customHeight="1">
      <c r="A24" s="8"/>
      <c r="B24" s="363" t="s">
        <v>52</v>
      </c>
      <c r="C24" s="364"/>
      <c r="D24" s="166"/>
      <c r="E24" s="484"/>
      <c r="F24" s="484"/>
      <c r="G24" s="484"/>
      <c r="H24" s="484">
        <f>0.069+6.519+0.634+0.008</f>
        <v>7.23</v>
      </c>
      <c r="I24" s="484">
        <f>0.084+5.398+0.721+0.015</f>
        <v>6.217999999999999</v>
      </c>
      <c r="J24" s="484">
        <f>0.083+5.675+0.778+0.016</f>
        <v>6.552</v>
      </c>
      <c r="K24" s="484">
        <f>0.061+5.862+0.803+0.019</f>
        <v>6.745</v>
      </c>
      <c r="L24" s="484">
        <f>0.075+5.334+0.808+0.023</f>
        <v>6.239999999999999</v>
      </c>
      <c r="M24" s="484">
        <v>5.423</v>
      </c>
      <c r="N24" s="484">
        <v>5.894</v>
      </c>
      <c r="O24" s="484">
        <f>3.907+0.043+0.094+0.012</f>
        <v>4.056</v>
      </c>
      <c r="P24" s="484">
        <f>5.311+0.065+0.052</f>
        <v>5.428</v>
      </c>
      <c r="Q24" s="484">
        <v>5.884</v>
      </c>
      <c r="R24" s="484">
        <v>5.749</v>
      </c>
      <c r="S24" s="484">
        <v>6.462</v>
      </c>
      <c r="T24" s="484">
        <v>7.118</v>
      </c>
      <c r="U24" s="484">
        <v>7.306</v>
      </c>
      <c r="V24" s="484">
        <v>7.776</v>
      </c>
      <c r="W24" s="516">
        <v>8.175</v>
      </c>
      <c r="X24" s="365" t="s">
        <v>52</v>
      </c>
      <c r="Y24" s="915"/>
      <c r="Z24" s="913">
        <f t="shared" si="1"/>
        <v>5.131172839506192</v>
      </c>
    </row>
    <row r="25" spans="1:26" ht="12.75" customHeight="1">
      <c r="A25" s="8"/>
      <c r="B25" s="10" t="s">
        <v>60</v>
      </c>
      <c r="C25" s="131">
        <v>542.978</v>
      </c>
      <c r="D25" s="126">
        <v>611.487</v>
      </c>
      <c r="E25" s="474">
        <v>597.625</v>
      </c>
      <c r="F25" s="474">
        <v>530.231</v>
      </c>
      <c r="G25" s="474">
        <v>510.702</v>
      </c>
      <c r="H25" s="474">
        <v>488.841</v>
      </c>
      <c r="I25" s="474">
        <v>483.745</v>
      </c>
      <c r="J25" s="474">
        <v>465.152</v>
      </c>
      <c r="K25" s="474">
        <v>483.97</v>
      </c>
      <c r="L25" s="474">
        <v>505.538</v>
      </c>
      <c r="M25" s="474">
        <v>499.918</v>
      </c>
      <c r="N25" s="474">
        <v>387.152</v>
      </c>
      <c r="O25" s="474">
        <v>482.567</v>
      </c>
      <c r="P25" s="474">
        <v>555.798</v>
      </c>
      <c r="Q25" s="474">
        <v>502.675</v>
      </c>
      <c r="R25" s="474">
        <v>416.674</v>
      </c>
      <c r="S25" s="474">
        <v>387.572</v>
      </c>
      <c r="T25" s="474">
        <v>448.925</v>
      </c>
      <c r="U25" s="474">
        <v>382.825</v>
      </c>
      <c r="V25" s="474">
        <v>414.538</v>
      </c>
      <c r="W25" s="479">
        <v>443.939</v>
      </c>
      <c r="X25" s="67" t="s">
        <v>60</v>
      </c>
      <c r="Y25" s="915"/>
      <c r="Z25" s="912">
        <f t="shared" si="1"/>
        <v>7.092474031331264</v>
      </c>
    </row>
    <row r="26" spans="1:26" ht="12.75" customHeight="1">
      <c r="A26" s="8"/>
      <c r="B26" s="363" t="s">
        <v>69</v>
      </c>
      <c r="C26" s="364">
        <v>295.865</v>
      </c>
      <c r="D26" s="166">
        <v>314.182</v>
      </c>
      <c r="E26" s="484">
        <v>309.427</v>
      </c>
      <c r="F26" s="484">
        <v>293.528</v>
      </c>
      <c r="G26" s="484">
        <v>279.493</v>
      </c>
      <c r="H26" s="484">
        <v>300.121</v>
      </c>
      <c r="I26" s="484">
        <v>311.292</v>
      </c>
      <c r="J26" s="484">
        <v>307.915</v>
      </c>
      <c r="K26" s="484">
        <v>308.594</v>
      </c>
      <c r="L26" s="484">
        <v>298.182</v>
      </c>
      <c r="M26" s="484">
        <v>293.697</v>
      </c>
      <c r="N26" s="484">
        <v>319.403</v>
      </c>
      <c r="O26" s="484">
        <v>328.563</v>
      </c>
      <c r="P26" s="484">
        <v>356.145</v>
      </c>
      <c r="Q26" s="484">
        <v>336.01</v>
      </c>
      <c r="R26" s="484">
        <v>319.035</v>
      </c>
      <c r="S26" s="484">
        <v>303.318</v>
      </c>
      <c r="T26" s="484">
        <v>308.555</v>
      </c>
      <c r="U26" s="484">
        <v>329.604</v>
      </c>
      <c r="V26" s="484">
        <v>353.32</v>
      </c>
      <c r="W26" s="516">
        <v>341.096</v>
      </c>
      <c r="X26" s="365" t="s">
        <v>69</v>
      </c>
      <c r="Y26" s="915"/>
      <c r="Z26" s="913">
        <f t="shared" si="1"/>
        <v>-3.459753198233898</v>
      </c>
    </row>
    <row r="27" spans="1:26" ht="12.75" customHeight="1">
      <c r="A27" s="8"/>
      <c r="B27" s="181" t="s">
        <v>53</v>
      </c>
      <c r="C27" s="131"/>
      <c r="D27" s="126"/>
      <c r="E27" s="517"/>
      <c r="F27" s="474"/>
      <c r="G27" s="474"/>
      <c r="H27" s="474">
        <v>358.432</v>
      </c>
      <c r="I27" s="474">
        <v>318.111</v>
      </c>
      <c r="J27" s="474">
        <v>235.522</v>
      </c>
      <c r="K27" s="474">
        <v>238.993</v>
      </c>
      <c r="L27" s="474">
        <v>293.305</v>
      </c>
      <c r="M27" s="474">
        <v>320.04</v>
      </c>
      <c r="N27" s="474">
        <v>320.206</v>
      </c>
      <c r="O27" s="474">
        <v>333.49</v>
      </c>
      <c r="P27" s="474">
        <v>297.937</v>
      </c>
      <c r="Q27" s="474">
        <v>271.215</v>
      </c>
      <c r="R27" s="474">
        <v>288.998</v>
      </c>
      <c r="S27" s="474">
        <v>325.371</v>
      </c>
      <c r="T27" s="474">
        <v>352.378</v>
      </c>
      <c r="U27" s="474">
        <v>418.033</v>
      </c>
      <c r="V27" s="474">
        <v>484.19</v>
      </c>
      <c r="W27" s="479">
        <v>531.556</v>
      </c>
      <c r="X27" s="182" t="s">
        <v>53</v>
      </c>
      <c r="Y27" s="915"/>
      <c r="Z27" s="912">
        <f t="shared" si="1"/>
        <v>9.782523389578472</v>
      </c>
    </row>
    <row r="28" spans="1:26" ht="12.75" customHeight="1">
      <c r="A28" s="8"/>
      <c r="B28" s="363" t="s">
        <v>70</v>
      </c>
      <c r="C28" s="364">
        <v>248.398</v>
      </c>
      <c r="D28" s="166">
        <v>272.883</v>
      </c>
      <c r="E28" s="484">
        <v>257.836</v>
      </c>
      <c r="F28" s="484">
        <v>255.21</v>
      </c>
      <c r="G28" s="484">
        <v>226.092</v>
      </c>
      <c r="H28" s="484">
        <v>189.792</v>
      </c>
      <c r="I28" s="484">
        <v>197.645</v>
      </c>
      <c r="J28" s="484">
        <v>206.488</v>
      </c>
      <c r="K28" s="484">
        <v>194.702</v>
      </c>
      <c r="L28" s="484">
        <v>201.816</v>
      </c>
      <c r="M28" s="484">
        <v>213.389</v>
      </c>
      <c r="N28" s="484">
        <v>161.013</v>
      </c>
      <c r="O28" s="484">
        <v>223.464</v>
      </c>
      <c r="P28" s="484">
        <v>153.404</v>
      </c>
      <c r="Q28" s="484">
        <v>95.29</v>
      </c>
      <c r="R28" s="484">
        <v>105.921</v>
      </c>
      <c r="S28" s="484">
        <v>142.826</v>
      </c>
      <c r="T28" s="484">
        <v>178.503</v>
      </c>
      <c r="U28" s="484">
        <v>207.345</v>
      </c>
      <c r="V28" s="484">
        <v>222.134</v>
      </c>
      <c r="W28" s="516">
        <v>228.298</v>
      </c>
      <c r="X28" s="365" t="s">
        <v>70</v>
      </c>
      <c r="Y28" s="915"/>
      <c r="Z28" s="913">
        <f t="shared" si="1"/>
        <v>2.7749016359494902</v>
      </c>
    </row>
    <row r="29" spans="1:26" ht="12.75" customHeight="1">
      <c r="A29" s="8"/>
      <c r="B29" s="402" t="s">
        <v>277</v>
      </c>
      <c r="C29" s="131"/>
      <c r="D29" s="126"/>
      <c r="E29" s="474"/>
      <c r="F29" s="474"/>
      <c r="G29" s="474">
        <v>88.8</v>
      </c>
      <c r="H29" s="474">
        <v>106.76</v>
      </c>
      <c r="I29" s="474">
        <v>145.12</v>
      </c>
      <c r="J29" s="474">
        <v>172.5</v>
      </c>
      <c r="K29" s="474">
        <v>256.364</v>
      </c>
      <c r="L29" s="474">
        <v>315.621</v>
      </c>
      <c r="M29" s="474">
        <v>270.995</v>
      </c>
      <c r="N29" s="474">
        <v>130.195</v>
      </c>
      <c r="O29" s="474">
        <v>106.328</v>
      </c>
      <c r="P29" s="474">
        <v>94.619</v>
      </c>
      <c r="Q29" s="474">
        <v>72.148</v>
      </c>
      <c r="R29" s="474">
        <v>57.71</v>
      </c>
      <c r="S29" s="474">
        <v>70.172</v>
      </c>
      <c r="T29" s="474">
        <v>81.162</v>
      </c>
      <c r="U29" s="474">
        <v>94.919</v>
      </c>
      <c r="V29" s="474">
        <v>105.083</v>
      </c>
      <c r="W29" s="479">
        <v>128.793</v>
      </c>
      <c r="X29" s="67" t="s">
        <v>277</v>
      </c>
      <c r="Y29" s="915"/>
      <c r="Z29" s="912">
        <f t="shared" si="1"/>
        <v>22.563116774359315</v>
      </c>
    </row>
    <row r="30" spans="1:26" ht="12.75" customHeight="1">
      <c r="A30" s="8"/>
      <c r="B30" s="363" t="s">
        <v>56</v>
      </c>
      <c r="C30" s="364"/>
      <c r="D30" s="166"/>
      <c r="E30" s="484"/>
      <c r="F30" s="484"/>
      <c r="G30" s="484"/>
      <c r="H30" s="484">
        <v>59.548</v>
      </c>
      <c r="I30" s="484">
        <v>62.002</v>
      </c>
      <c r="J30" s="484">
        <v>59.324</v>
      </c>
      <c r="K30" s="484">
        <v>59.578</v>
      </c>
      <c r="L30" s="484">
        <v>68.719</v>
      </c>
      <c r="M30" s="484">
        <v>71.575</v>
      </c>
      <c r="N30" s="484">
        <v>57.967</v>
      </c>
      <c r="O30" s="484">
        <v>61.142</v>
      </c>
      <c r="P30" s="484">
        <v>60.193</v>
      </c>
      <c r="Q30" s="484">
        <v>50.091</v>
      </c>
      <c r="R30" s="484">
        <v>51.585</v>
      </c>
      <c r="S30" s="484">
        <v>53.959</v>
      </c>
      <c r="T30" s="484">
        <v>59.664</v>
      </c>
      <c r="U30" s="484">
        <v>58.963</v>
      </c>
      <c r="V30" s="484">
        <v>62.532</v>
      </c>
      <c r="W30" s="516">
        <v>65.122</v>
      </c>
      <c r="X30" s="365" t="s">
        <v>56</v>
      </c>
      <c r="Y30" s="915"/>
      <c r="Z30" s="913">
        <f t="shared" si="1"/>
        <v>4.141879357768815</v>
      </c>
    </row>
    <row r="31" spans="1:26" ht="12.75" customHeight="1">
      <c r="A31" s="8"/>
      <c r="B31" s="181" t="s">
        <v>55</v>
      </c>
      <c r="C31" s="131"/>
      <c r="D31" s="126"/>
      <c r="E31" s="474"/>
      <c r="F31" s="474"/>
      <c r="G31" s="474"/>
      <c r="H31" s="474">
        <v>59.742</v>
      </c>
      <c r="I31" s="474">
        <v>57.43</v>
      </c>
      <c r="J31" s="474">
        <v>57.125</v>
      </c>
      <c r="K31" s="474">
        <v>59.084</v>
      </c>
      <c r="L31" s="474">
        <v>59.7</v>
      </c>
      <c r="M31" s="474">
        <v>70.04</v>
      </c>
      <c r="N31" s="474">
        <v>74.717</v>
      </c>
      <c r="O31" s="474">
        <v>64.033</v>
      </c>
      <c r="P31" s="474">
        <v>68.254</v>
      </c>
      <c r="Q31" s="474">
        <v>69.195</v>
      </c>
      <c r="R31" s="474">
        <v>66</v>
      </c>
      <c r="S31" s="474">
        <v>72.252</v>
      </c>
      <c r="T31" s="474">
        <v>77.979</v>
      </c>
      <c r="U31" s="474">
        <v>88.165</v>
      </c>
      <c r="V31" s="474">
        <v>95.976</v>
      </c>
      <c r="W31" s="479">
        <v>98.193</v>
      </c>
      <c r="X31" s="182" t="s">
        <v>55</v>
      </c>
      <c r="Y31" s="915"/>
      <c r="Z31" s="912">
        <f t="shared" si="1"/>
        <v>2.309952488122022</v>
      </c>
    </row>
    <row r="32" spans="1:26" ht="12.75" customHeight="1">
      <c r="A32" s="8"/>
      <c r="B32" s="363" t="s">
        <v>71</v>
      </c>
      <c r="C32" s="364">
        <v>125.751</v>
      </c>
      <c r="D32" s="166">
        <v>136.324</v>
      </c>
      <c r="E32" s="484">
        <v>134.646</v>
      </c>
      <c r="F32" s="484">
        <v>109.487</v>
      </c>
      <c r="G32" s="484">
        <v>116.877</v>
      </c>
      <c r="H32" s="484">
        <v>147.222</v>
      </c>
      <c r="I32" s="484">
        <v>142.439</v>
      </c>
      <c r="J32" s="484">
        <v>147.949</v>
      </c>
      <c r="K32" s="484">
        <v>145.689</v>
      </c>
      <c r="L32" s="484">
        <v>125.285</v>
      </c>
      <c r="M32" s="484">
        <v>139.611</v>
      </c>
      <c r="N32" s="484">
        <v>88.344</v>
      </c>
      <c r="O32" s="484">
        <v>107.346</v>
      </c>
      <c r="P32" s="484">
        <v>121.171</v>
      </c>
      <c r="Q32" s="484">
        <v>107.166</v>
      </c>
      <c r="R32" s="484">
        <v>103.314</v>
      </c>
      <c r="S32" s="484">
        <v>106.259</v>
      </c>
      <c r="T32" s="484">
        <v>108.844</v>
      </c>
      <c r="U32" s="484">
        <v>118.912</v>
      </c>
      <c r="V32" s="484">
        <v>118.529</v>
      </c>
      <c r="W32" s="516">
        <v>120.438</v>
      </c>
      <c r="X32" s="365" t="s">
        <v>71</v>
      </c>
      <c r="Y32" s="915"/>
      <c r="Z32" s="913">
        <f t="shared" si="1"/>
        <v>1.6105763146571803</v>
      </c>
    </row>
    <row r="33" spans="1:26" ht="12.75" customHeight="1">
      <c r="A33" s="8"/>
      <c r="B33" s="181" t="s">
        <v>72</v>
      </c>
      <c r="C33" s="131">
        <v>253.43</v>
      </c>
      <c r="D33" s="126">
        <v>295.249</v>
      </c>
      <c r="E33" s="474">
        <v>290.529</v>
      </c>
      <c r="F33" s="474">
        <v>246.581</v>
      </c>
      <c r="G33" s="474">
        <v>254.589</v>
      </c>
      <c r="H33" s="474">
        <v>261.206</v>
      </c>
      <c r="I33" s="474">
        <v>264.246</v>
      </c>
      <c r="J33" s="474">
        <v>274.301</v>
      </c>
      <c r="K33" s="474">
        <v>282.766</v>
      </c>
      <c r="L33" s="474">
        <v>306.799</v>
      </c>
      <c r="M33" s="474">
        <v>253.982</v>
      </c>
      <c r="N33" s="474">
        <v>213.408</v>
      </c>
      <c r="O33" s="474">
        <v>289.684</v>
      </c>
      <c r="P33" s="474">
        <v>304.984</v>
      </c>
      <c r="Q33" s="474">
        <v>279.478</v>
      </c>
      <c r="R33" s="474">
        <v>269.558</v>
      </c>
      <c r="S33" s="474">
        <v>303.948</v>
      </c>
      <c r="T33" s="474">
        <v>345.108</v>
      </c>
      <c r="U33" s="474">
        <v>372.318</v>
      </c>
      <c r="V33" s="474">
        <v>379.393</v>
      </c>
      <c r="W33" s="479">
        <v>353.729</v>
      </c>
      <c r="X33" s="182" t="s">
        <v>72</v>
      </c>
      <c r="Y33" s="915"/>
      <c r="Z33" s="912">
        <f t="shared" si="1"/>
        <v>-6.7644895925860595</v>
      </c>
    </row>
    <row r="34" spans="1:26" ht="12.75" customHeight="1">
      <c r="A34" s="8"/>
      <c r="B34" s="366" t="s">
        <v>61</v>
      </c>
      <c r="C34" s="367">
        <v>2247.403</v>
      </c>
      <c r="D34" s="316">
        <v>2197.615</v>
      </c>
      <c r="E34" s="492">
        <v>2221.67</v>
      </c>
      <c r="F34" s="492">
        <v>2458.769</v>
      </c>
      <c r="G34" s="492">
        <v>2563.631</v>
      </c>
      <c r="H34" s="492">
        <v>2579.05</v>
      </c>
      <c r="I34" s="492">
        <v>2567.269</v>
      </c>
      <c r="J34" s="492">
        <v>2439.717</v>
      </c>
      <c r="K34" s="492">
        <v>2344.864</v>
      </c>
      <c r="L34" s="492">
        <v>2404.007</v>
      </c>
      <c r="M34" s="492">
        <v>2131.795</v>
      </c>
      <c r="N34" s="492">
        <v>1994.999</v>
      </c>
      <c r="O34" s="492">
        <v>2030.846</v>
      </c>
      <c r="P34" s="492">
        <v>1941.253</v>
      </c>
      <c r="Q34" s="492">
        <v>2044.609</v>
      </c>
      <c r="R34" s="492">
        <v>2264.737</v>
      </c>
      <c r="S34" s="492">
        <v>2476.435</v>
      </c>
      <c r="T34" s="492">
        <v>2633.503</v>
      </c>
      <c r="U34" s="492">
        <v>2692.786</v>
      </c>
      <c r="V34" s="492">
        <v>2540.617</v>
      </c>
      <c r="W34" s="518">
        <v>2367.147</v>
      </c>
      <c r="X34" s="368" t="s">
        <v>61</v>
      </c>
      <c r="Y34" s="915"/>
      <c r="Z34" s="917">
        <f t="shared" si="1"/>
        <v>-6.827868978283632</v>
      </c>
    </row>
    <row r="35" spans="1:26" ht="12.75" customHeight="1">
      <c r="A35" s="8"/>
      <c r="B35" s="402" t="s">
        <v>252</v>
      </c>
      <c r="C35" s="131"/>
      <c r="D35" s="126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9"/>
      <c r="X35" s="67" t="s">
        <v>252</v>
      </c>
      <c r="Y35" s="915"/>
      <c r="Z35" s="912"/>
    </row>
    <row r="36" spans="1:26" ht="12.75" customHeight="1">
      <c r="A36" s="8"/>
      <c r="B36" s="156" t="s">
        <v>240</v>
      </c>
      <c r="C36" s="364">
        <v>85.893</v>
      </c>
      <c r="D36" s="166">
        <v>89.665</v>
      </c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>
        <v>8.608</v>
      </c>
      <c r="P36" s="484">
        <v>10.26</v>
      </c>
      <c r="Q36" s="484">
        <v>11.173</v>
      </c>
      <c r="R36" s="484">
        <v>12.417</v>
      </c>
      <c r="S36" s="734">
        <f>2.555+3.717+3.369+3.407</f>
        <v>13.048</v>
      </c>
      <c r="T36" s="484">
        <v>13.718</v>
      </c>
      <c r="U36" s="484">
        <f>3.106+4.574+3.991+4.256</f>
        <v>15.927</v>
      </c>
      <c r="V36" s="484">
        <f>3.831+5.348+4.67+4.722</f>
        <v>18.571</v>
      </c>
      <c r="W36" s="516">
        <v>21.375</v>
      </c>
      <c r="X36" s="359" t="s">
        <v>240</v>
      </c>
      <c r="Y36" s="915"/>
      <c r="Z36" s="913">
        <f t="shared" si="1"/>
        <v>15.098809972537808</v>
      </c>
    </row>
    <row r="37" spans="1:26" s="398" customFormat="1" ht="12.75" customHeight="1">
      <c r="A37" s="8"/>
      <c r="B37" s="181" t="s">
        <v>1</v>
      </c>
      <c r="C37" s="131"/>
      <c r="D37" s="126"/>
      <c r="E37" s="474"/>
      <c r="F37" s="474"/>
      <c r="G37" s="474"/>
      <c r="H37" s="474"/>
      <c r="I37" s="474"/>
      <c r="J37" s="474">
        <v>15.894</v>
      </c>
      <c r="K37" s="474">
        <v>12.45</v>
      </c>
      <c r="L37" s="474">
        <v>16.914</v>
      </c>
      <c r="M37" s="474">
        <v>17.914</v>
      </c>
      <c r="N37" s="474">
        <v>13.113</v>
      </c>
      <c r="O37" s="474">
        <v>49.291</v>
      </c>
      <c r="P37" s="474">
        <v>40.09</v>
      </c>
      <c r="Q37" s="474">
        <v>32.87</v>
      </c>
      <c r="R37" s="474">
        <v>31.927</v>
      </c>
      <c r="S37" s="474">
        <v>29.766</v>
      </c>
      <c r="T37" s="474">
        <v>29.308</v>
      </c>
      <c r="U37" s="474">
        <v>30.423</v>
      </c>
      <c r="V37" s="474">
        <v>26.609</v>
      </c>
      <c r="W37" s="479">
        <v>33.072</v>
      </c>
      <c r="X37" s="182" t="s">
        <v>1</v>
      </c>
      <c r="Y37" s="915"/>
      <c r="Z37" s="912">
        <f t="shared" si="1"/>
        <v>24.288774474801755</v>
      </c>
    </row>
    <row r="38" spans="1:26" ht="12.75" customHeight="1">
      <c r="A38" s="8"/>
      <c r="B38" s="156" t="s">
        <v>239</v>
      </c>
      <c r="C38" s="364"/>
      <c r="D38" s="166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>
        <f>129.168</f>
        <v>129.168</v>
      </c>
      <c r="R38" s="484">
        <f>30.784+38.47+36.359+33.9</f>
        <v>139.513</v>
      </c>
      <c r="S38" s="484">
        <f>27.363+26.591+25.995+25.444</f>
        <v>105.393</v>
      </c>
      <c r="T38" s="484">
        <f>30.495+29.433+23.626+29.061</f>
        <v>112.61500000000001</v>
      </c>
      <c r="U38" s="484">
        <v>136.258</v>
      </c>
      <c r="V38" s="484">
        <v>130.804</v>
      </c>
      <c r="W38" s="516">
        <v>147.465</v>
      </c>
      <c r="X38" s="359" t="s">
        <v>239</v>
      </c>
      <c r="Y38" s="915"/>
      <c r="Z38" s="913">
        <f t="shared" si="1"/>
        <v>12.73737806183297</v>
      </c>
    </row>
    <row r="39" spans="1:26" ht="12.75" customHeight="1">
      <c r="A39" s="8"/>
      <c r="B39" s="183" t="s">
        <v>57</v>
      </c>
      <c r="C39" s="511"/>
      <c r="D39" s="512"/>
      <c r="E39" s="519"/>
      <c r="F39" s="519"/>
      <c r="G39" s="497"/>
      <c r="H39" s="497"/>
      <c r="I39" s="497"/>
      <c r="J39" s="497">
        <v>406.807</v>
      </c>
      <c r="K39" s="497">
        <v>396.542</v>
      </c>
      <c r="L39" s="497">
        <v>353.495</v>
      </c>
      <c r="M39" s="497">
        <v>353.168</v>
      </c>
      <c r="N39" s="497">
        <v>357.986</v>
      </c>
      <c r="O39" s="497">
        <v>485.619</v>
      </c>
      <c r="P39" s="497">
        <v>602.248</v>
      </c>
      <c r="Q39" s="497">
        <v>565.791</v>
      </c>
      <c r="R39" s="497">
        <v>654.905</v>
      </c>
      <c r="S39" s="497">
        <v>585.814</v>
      </c>
      <c r="T39" s="497">
        <v>746.395</v>
      </c>
      <c r="U39" s="497">
        <v>746.074</v>
      </c>
      <c r="V39" s="497">
        <v>741.902</v>
      </c>
      <c r="W39" s="520">
        <v>526.235</v>
      </c>
      <c r="X39" s="185" t="s">
        <v>57</v>
      </c>
      <c r="Y39" s="915"/>
      <c r="Z39" s="892">
        <f t="shared" si="1"/>
        <v>-29.069472787511017</v>
      </c>
    </row>
    <row r="40" spans="1:26" ht="12.75" customHeight="1">
      <c r="A40" s="8"/>
      <c r="B40" s="363" t="s">
        <v>43</v>
      </c>
      <c r="C40" s="364">
        <v>13.569</v>
      </c>
      <c r="D40" s="166">
        <v>15.377</v>
      </c>
      <c r="E40" s="484">
        <v>13.569</v>
      </c>
      <c r="F40" s="484">
        <v>7.245</v>
      </c>
      <c r="G40" s="484">
        <v>6.943</v>
      </c>
      <c r="H40" s="484">
        <v>9.885</v>
      </c>
      <c r="I40" s="484">
        <v>11.968</v>
      </c>
      <c r="J40" s="484">
        <v>18.06</v>
      </c>
      <c r="K40" s="484">
        <v>17.129</v>
      </c>
      <c r="L40" s="484">
        <v>15.942</v>
      </c>
      <c r="M40" s="484">
        <v>9.033</v>
      </c>
      <c r="N40" s="484">
        <v>2.113</v>
      </c>
      <c r="O40" s="484">
        <v>3.106</v>
      </c>
      <c r="P40" s="484">
        <v>5.038</v>
      </c>
      <c r="Q40" s="484">
        <v>7.93</v>
      </c>
      <c r="R40" s="484">
        <v>7.274</v>
      </c>
      <c r="S40" s="484">
        <v>9.52</v>
      </c>
      <c r="T40" s="484">
        <v>14.008</v>
      </c>
      <c r="U40" s="484">
        <v>18.473</v>
      </c>
      <c r="V40" s="484">
        <v>21.325</v>
      </c>
      <c r="W40" s="516">
        <v>18.089</v>
      </c>
      <c r="X40" s="365" t="s">
        <v>43</v>
      </c>
      <c r="Y40" s="916"/>
      <c r="Z40" s="913">
        <f t="shared" si="1"/>
        <v>-15.174677608440803</v>
      </c>
    </row>
    <row r="41" spans="1:26" ht="12.75" customHeight="1">
      <c r="A41" s="8"/>
      <c r="B41" s="181" t="s">
        <v>73</v>
      </c>
      <c r="C41" s="131">
        <v>117.977</v>
      </c>
      <c r="D41" s="126">
        <v>101.278</v>
      </c>
      <c r="E41" s="474">
        <v>97.376</v>
      </c>
      <c r="F41" s="474">
        <v>91.916</v>
      </c>
      <c r="G41" s="474">
        <v>88.721</v>
      </c>
      <c r="H41" s="474">
        <v>89.921</v>
      </c>
      <c r="I41" s="474">
        <v>115.645</v>
      </c>
      <c r="J41" s="474">
        <v>109.907</v>
      </c>
      <c r="K41" s="474">
        <v>109.164</v>
      </c>
      <c r="L41" s="474">
        <v>129.195</v>
      </c>
      <c r="M41" s="474">
        <v>110.617</v>
      </c>
      <c r="N41" s="474">
        <v>98.675</v>
      </c>
      <c r="O41" s="474">
        <v>127.754</v>
      </c>
      <c r="P41" s="474">
        <v>138.345</v>
      </c>
      <c r="Q41" s="474">
        <v>137.967</v>
      </c>
      <c r="R41" s="474">
        <v>142.151</v>
      </c>
      <c r="S41" s="474">
        <v>144.202</v>
      </c>
      <c r="T41" s="474">
        <v>150.686</v>
      </c>
      <c r="U41" s="474">
        <v>154.603</v>
      </c>
      <c r="V41" s="474">
        <v>158.65</v>
      </c>
      <c r="W41" s="479">
        <v>147.929</v>
      </c>
      <c r="X41" s="182" t="s">
        <v>73</v>
      </c>
      <c r="Y41" s="916"/>
      <c r="Z41" s="912">
        <f t="shared" si="1"/>
        <v>-6.757642609517816</v>
      </c>
    </row>
    <row r="42" spans="1:26" ht="12.75" customHeight="1">
      <c r="A42" s="8"/>
      <c r="B42" s="366" t="s">
        <v>44</v>
      </c>
      <c r="C42" s="367">
        <v>296.945</v>
      </c>
      <c r="D42" s="316">
        <v>316.876</v>
      </c>
      <c r="E42" s="492">
        <v>316.519</v>
      </c>
      <c r="F42" s="492">
        <v>316.641</v>
      </c>
      <c r="G42" s="492">
        <v>295.065</v>
      </c>
      <c r="H42" s="492">
        <v>270.309</v>
      </c>
      <c r="I42" s="492">
        <v>269.385</v>
      </c>
      <c r="J42" s="492">
        <v>264.941</v>
      </c>
      <c r="K42" s="492">
        <v>269.452</v>
      </c>
      <c r="L42" s="492">
        <v>284.688</v>
      </c>
      <c r="M42" s="492">
        <v>288.557</v>
      </c>
      <c r="N42" s="492">
        <v>266.049</v>
      </c>
      <c r="O42" s="492">
        <v>292.453</v>
      </c>
      <c r="P42" s="492">
        <v>316.846</v>
      </c>
      <c r="Q42" s="492">
        <v>326.081</v>
      </c>
      <c r="R42" s="492">
        <v>305.928</v>
      </c>
      <c r="S42" s="492">
        <v>300.11</v>
      </c>
      <c r="T42" s="492">
        <v>321.669</v>
      </c>
      <c r="U42" s="492">
        <v>315.479</v>
      </c>
      <c r="V42" s="492">
        <v>312.155</v>
      </c>
      <c r="W42" s="518">
        <v>299.202</v>
      </c>
      <c r="X42" s="368" t="s">
        <v>44</v>
      </c>
      <c r="Y42" s="916"/>
      <c r="Z42" s="917">
        <f t="shared" si="1"/>
        <v>-4.149541093367077</v>
      </c>
    </row>
    <row r="43" spans="1:24" ht="12.75" customHeight="1">
      <c r="A43" s="8"/>
      <c r="B43" s="1033" t="s">
        <v>248</v>
      </c>
      <c r="C43" s="1034"/>
      <c r="D43" s="1034"/>
      <c r="E43" s="1034"/>
      <c r="F43" s="1034"/>
      <c r="G43" s="1034"/>
      <c r="H43" s="1034"/>
      <c r="I43" s="1034"/>
      <c r="J43" s="1034"/>
      <c r="K43" s="1034"/>
      <c r="L43" s="1034"/>
      <c r="M43" s="1034"/>
      <c r="N43" s="1034"/>
      <c r="O43" s="1034"/>
      <c r="P43" s="1034"/>
      <c r="Q43" s="1034"/>
      <c r="R43" s="1034"/>
      <c r="S43" s="508"/>
      <c r="T43" s="721"/>
      <c r="U43" s="756"/>
      <c r="V43" s="810"/>
      <c r="W43" s="868"/>
      <c r="X43" s="37"/>
    </row>
    <row r="44" spans="1:2" ht="12.75" customHeight="1">
      <c r="A44" s="8"/>
      <c r="B44" s="399" t="s">
        <v>314</v>
      </c>
    </row>
    <row r="45" ht="24.75" customHeight="1">
      <c r="E45" s="425"/>
    </row>
    <row r="47" ht="12.75" customHeight="1"/>
    <row r="48" ht="12.75" customHeight="1" hidden="1"/>
  </sheetData>
  <sheetProtection/>
  <mergeCells count="3">
    <mergeCell ref="B43:R43"/>
    <mergeCell ref="B2:V2"/>
    <mergeCell ref="B3:V3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BL44"/>
  <sheetViews>
    <sheetView zoomScalePageLayoutView="0" workbookViewId="0" topLeftCell="A1">
      <selection activeCell="BN5" sqref="BN5"/>
    </sheetView>
  </sheetViews>
  <sheetFormatPr defaultColWidth="9.140625" defaultRowHeight="12.75"/>
  <cols>
    <col min="1" max="12" width="9.140625" style="0" customWidth="1"/>
    <col min="13" max="13" width="9.140625" style="398" customWidth="1"/>
    <col min="14" max="14" width="9.140625" style="724" customWidth="1"/>
    <col min="15" max="15" width="9.140625" style="0" customWidth="1"/>
    <col min="16" max="17" width="9.140625" style="763" customWidth="1"/>
    <col min="18" max="26" width="9.140625" style="0" customWidth="1"/>
    <col min="27" max="27" width="9.140625" style="398" customWidth="1"/>
    <col min="28" max="28" width="9.140625" style="724" customWidth="1"/>
    <col min="29" max="30" width="9.140625" style="0" customWidth="1"/>
    <col min="31" max="32" width="9.140625" style="763" customWidth="1"/>
    <col min="33" max="40" width="9.140625" style="0" customWidth="1"/>
    <col min="41" max="41" width="9.140625" style="398" customWidth="1"/>
    <col min="42" max="42" width="9.140625" style="724" customWidth="1"/>
    <col min="43" max="45" width="9.140625" style="0" customWidth="1"/>
    <col min="46" max="62" width="9.140625" style="763" customWidth="1"/>
    <col min="63" max="65" width="9.140625" style="0" customWidth="1"/>
  </cols>
  <sheetData>
    <row r="1" spans="2:62" ht="14.25" customHeight="1">
      <c r="B1" s="29"/>
      <c r="C1" s="24"/>
      <c r="D1" s="24"/>
      <c r="E1" s="24"/>
      <c r="F1" s="24"/>
      <c r="G1" s="24"/>
      <c r="H1" s="24"/>
      <c r="I1" s="24"/>
      <c r="J1" s="24"/>
      <c r="K1" s="24"/>
      <c r="L1" s="24"/>
      <c r="M1" s="404"/>
      <c r="N1" s="404"/>
      <c r="O1" s="24"/>
      <c r="P1" s="404"/>
      <c r="Q1" s="404"/>
      <c r="BI1" s="30" t="s">
        <v>151</v>
      </c>
      <c r="BJ1" s="30"/>
    </row>
    <row r="2" spans="2:62" s="43" customFormat="1" ht="30" customHeight="1">
      <c r="B2" s="1035" t="s">
        <v>188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1035"/>
      <c r="R2" s="1035"/>
      <c r="S2" s="1035"/>
      <c r="T2" s="1035"/>
      <c r="U2" s="1035"/>
      <c r="V2" s="1035"/>
      <c r="W2" s="1035"/>
      <c r="X2" s="1035"/>
      <c r="Y2" s="1035"/>
      <c r="Z2" s="1035"/>
      <c r="AA2" s="1035"/>
      <c r="AB2" s="1035"/>
      <c r="AC2" s="1035"/>
      <c r="AD2" s="1035"/>
      <c r="AE2" s="1035"/>
      <c r="AF2" s="1035"/>
      <c r="AG2" s="1035"/>
      <c r="AH2" s="1035"/>
      <c r="AI2" s="1035"/>
      <c r="AJ2" s="1035"/>
      <c r="AK2" s="1035"/>
      <c r="AL2" s="1035"/>
      <c r="AM2" s="1035"/>
      <c r="AN2" s="1035"/>
      <c r="AO2" s="1035"/>
      <c r="AP2" s="1035"/>
      <c r="AQ2" s="1035"/>
      <c r="AR2" s="1035"/>
      <c r="AS2" s="1035"/>
      <c r="AT2" s="1035"/>
      <c r="AU2" s="1035"/>
      <c r="AV2" s="1035"/>
      <c r="AW2" s="1035"/>
      <c r="AX2" s="1035"/>
      <c r="AY2" s="1035"/>
      <c r="AZ2" s="1035"/>
      <c r="BA2" s="1035"/>
      <c r="BB2" s="1035"/>
      <c r="BC2" s="1035"/>
      <c r="BD2" s="1035"/>
      <c r="BE2" s="1035"/>
      <c r="BF2" s="1035"/>
      <c r="BG2" s="1035"/>
      <c r="BH2" s="1035"/>
      <c r="BI2" s="1035"/>
      <c r="BJ2" s="855"/>
    </row>
    <row r="3" spans="2:62" ht="18" customHeight="1">
      <c r="B3" s="1037" t="s">
        <v>91</v>
      </c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  <c r="R3" s="1037"/>
      <c r="S3" s="1037"/>
      <c r="T3" s="1037"/>
      <c r="U3" s="1037"/>
      <c r="V3" s="1037"/>
      <c r="W3" s="1037"/>
      <c r="X3" s="1037"/>
      <c r="Y3" s="1037"/>
      <c r="Z3" s="1037"/>
      <c r="AA3" s="1037"/>
      <c r="AB3" s="1037"/>
      <c r="AC3" s="1037"/>
      <c r="AD3" s="1037"/>
      <c r="AE3" s="1037"/>
      <c r="AF3" s="1037"/>
      <c r="AG3" s="1037"/>
      <c r="AH3" s="1037"/>
      <c r="AI3" s="1037"/>
      <c r="AJ3" s="1037"/>
      <c r="AK3" s="1037"/>
      <c r="AL3" s="1037"/>
      <c r="AM3" s="1037"/>
      <c r="AN3" s="1037"/>
      <c r="AO3" s="1037"/>
      <c r="AP3" s="1037"/>
      <c r="AQ3" s="1037"/>
      <c r="AR3" s="1037"/>
      <c r="AS3" s="1037"/>
      <c r="AT3" s="1037"/>
      <c r="AU3" s="1037"/>
      <c r="AV3" s="1037"/>
      <c r="AW3" s="1037"/>
      <c r="AX3" s="1037"/>
      <c r="AY3" s="1037"/>
      <c r="AZ3" s="1037"/>
      <c r="BA3" s="1037"/>
      <c r="BB3" s="1037"/>
      <c r="BC3" s="1037"/>
      <c r="BD3" s="1037"/>
      <c r="BE3" s="1037"/>
      <c r="BF3" s="1037"/>
      <c r="BG3" s="1037"/>
      <c r="BH3" s="1037"/>
      <c r="BI3" s="1037"/>
      <c r="BJ3" s="856"/>
    </row>
    <row r="4" spans="2:64" ht="23.25" customHeight="1">
      <c r="B4" s="98"/>
      <c r="C4" s="1042" t="s">
        <v>4</v>
      </c>
      <c r="D4" s="1043"/>
      <c r="E4" s="1043"/>
      <c r="F4" s="1043"/>
      <c r="G4" s="1043"/>
      <c r="H4" s="1043"/>
      <c r="I4" s="1043"/>
      <c r="J4" s="1043"/>
      <c r="K4" s="1043"/>
      <c r="L4" s="1043"/>
      <c r="M4" s="1043"/>
      <c r="N4" s="1043"/>
      <c r="O4" s="1043"/>
      <c r="P4" s="1039"/>
      <c r="Q4" s="1044"/>
      <c r="R4" s="1042" t="s">
        <v>5</v>
      </c>
      <c r="S4" s="1043"/>
      <c r="T4" s="1043"/>
      <c r="U4" s="1043"/>
      <c r="V4" s="1043"/>
      <c r="W4" s="1043"/>
      <c r="X4" s="1043"/>
      <c r="Y4" s="1043"/>
      <c r="Z4" s="1043"/>
      <c r="AA4" s="1043"/>
      <c r="AB4" s="1043"/>
      <c r="AC4" s="1043"/>
      <c r="AD4" s="1043"/>
      <c r="AE4" s="1039"/>
      <c r="AF4" s="1044"/>
      <c r="AG4" s="1042" t="s">
        <v>6</v>
      </c>
      <c r="AH4" s="1043"/>
      <c r="AI4" s="1043"/>
      <c r="AJ4" s="1043"/>
      <c r="AK4" s="1043"/>
      <c r="AL4" s="1043"/>
      <c r="AM4" s="1043"/>
      <c r="AN4" s="1043"/>
      <c r="AO4" s="1043"/>
      <c r="AP4" s="1043"/>
      <c r="AQ4" s="1043"/>
      <c r="AR4" s="1043"/>
      <c r="AS4" s="1043"/>
      <c r="AT4" s="1039"/>
      <c r="AU4" s="1044"/>
      <c r="AV4" s="1038" t="s">
        <v>78</v>
      </c>
      <c r="AW4" s="1039"/>
      <c r="AX4" s="1039"/>
      <c r="AY4" s="1039"/>
      <c r="AZ4" s="1039"/>
      <c r="BA4" s="1039"/>
      <c r="BB4" s="1039"/>
      <c r="BC4" s="1039"/>
      <c r="BD4" s="1039"/>
      <c r="BE4" s="1039"/>
      <c r="BF4" s="1039"/>
      <c r="BG4" s="1039"/>
      <c r="BH4" s="1039"/>
      <c r="BI4" s="1039"/>
      <c r="BJ4" s="859"/>
      <c r="BK4" s="193" t="s">
        <v>2</v>
      </c>
      <c r="BL4" s="58"/>
    </row>
    <row r="5" spans="2:64" ht="12" customHeight="1">
      <c r="B5" s="98"/>
      <c r="C5" s="1045" t="s">
        <v>7</v>
      </c>
      <c r="D5" s="1046"/>
      <c r="E5" s="1046"/>
      <c r="F5" s="1046"/>
      <c r="G5" s="1046"/>
      <c r="H5" s="1046"/>
      <c r="I5" s="1046"/>
      <c r="J5" s="1046"/>
      <c r="K5" s="1046"/>
      <c r="L5" s="1046"/>
      <c r="M5" s="1046"/>
      <c r="N5" s="1046"/>
      <c r="O5" s="1046"/>
      <c r="P5" s="1046"/>
      <c r="Q5" s="1047"/>
      <c r="R5" s="1045" t="s">
        <v>8</v>
      </c>
      <c r="S5" s="1046"/>
      <c r="T5" s="1046"/>
      <c r="U5" s="1046"/>
      <c r="V5" s="1046"/>
      <c r="W5" s="1046"/>
      <c r="X5" s="1046"/>
      <c r="Y5" s="1046"/>
      <c r="Z5" s="1046"/>
      <c r="AA5" s="1046"/>
      <c r="AB5" s="1046"/>
      <c r="AC5" s="1046"/>
      <c r="AD5" s="1046"/>
      <c r="AE5" s="1046"/>
      <c r="AF5" s="1047"/>
      <c r="AG5" s="1045" t="s">
        <v>9</v>
      </c>
      <c r="AH5" s="1046"/>
      <c r="AI5" s="1046"/>
      <c r="AJ5" s="1046"/>
      <c r="AK5" s="1046"/>
      <c r="AL5" s="1046"/>
      <c r="AM5" s="1046"/>
      <c r="AN5" s="1046"/>
      <c r="AO5" s="1046"/>
      <c r="AP5" s="1046"/>
      <c r="AQ5" s="1046"/>
      <c r="AR5" s="1046"/>
      <c r="AS5" s="1046"/>
      <c r="AT5" s="1046"/>
      <c r="AU5" s="1047"/>
      <c r="AV5" s="1040"/>
      <c r="AW5" s="1041"/>
      <c r="AX5" s="1041"/>
      <c r="AY5" s="1041"/>
      <c r="AZ5" s="1041"/>
      <c r="BA5" s="1041"/>
      <c r="BB5" s="1041"/>
      <c r="BC5" s="1041"/>
      <c r="BD5" s="1041"/>
      <c r="BE5" s="1041"/>
      <c r="BF5" s="1041"/>
      <c r="BG5" s="1041"/>
      <c r="BH5" s="1041"/>
      <c r="BI5" s="1041"/>
      <c r="BJ5" s="857"/>
      <c r="BK5" s="194" t="s">
        <v>104</v>
      </c>
      <c r="BL5" s="58"/>
    </row>
    <row r="6" spans="2:64" ht="21" customHeight="1">
      <c r="B6" s="99"/>
      <c r="C6" s="186">
        <v>2004</v>
      </c>
      <c r="D6" s="187">
        <v>2005</v>
      </c>
      <c r="E6" s="187">
        <v>2006</v>
      </c>
      <c r="F6" s="187">
        <v>2007</v>
      </c>
      <c r="G6" s="187">
        <v>2008</v>
      </c>
      <c r="H6" s="187">
        <v>2009</v>
      </c>
      <c r="I6" s="187">
        <v>2010</v>
      </c>
      <c r="J6" s="187">
        <v>2011</v>
      </c>
      <c r="K6" s="187">
        <v>2012</v>
      </c>
      <c r="L6" s="187">
        <v>2013</v>
      </c>
      <c r="M6" s="187">
        <v>2014</v>
      </c>
      <c r="N6" s="187">
        <v>2015</v>
      </c>
      <c r="O6" s="187">
        <v>2016</v>
      </c>
      <c r="P6" s="187">
        <v>2017</v>
      </c>
      <c r="Q6" s="188">
        <v>2018</v>
      </c>
      <c r="R6" s="186">
        <v>2004</v>
      </c>
      <c r="S6" s="187">
        <v>2005</v>
      </c>
      <c r="T6" s="187">
        <v>2006</v>
      </c>
      <c r="U6" s="187">
        <v>2007</v>
      </c>
      <c r="V6" s="187">
        <v>2008</v>
      </c>
      <c r="W6" s="187">
        <v>2009</v>
      </c>
      <c r="X6" s="187">
        <v>2010</v>
      </c>
      <c r="Y6" s="187">
        <v>2011</v>
      </c>
      <c r="Z6" s="187">
        <v>2012</v>
      </c>
      <c r="AA6" s="187">
        <v>2013</v>
      </c>
      <c r="AB6" s="187">
        <v>2014</v>
      </c>
      <c r="AC6" s="187">
        <v>2015</v>
      </c>
      <c r="AD6" s="187">
        <v>2016</v>
      </c>
      <c r="AE6" s="187">
        <v>2017</v>
      </c>
      <c r="AF6" s="188">
        <v>2018</v>
      </c>
      <c r="AG6" s="186">
        <v>2004</v>
      </c>
      <c r="AH6" s="187">
        <v>2005</v>
      </c>
      <c r="AI6" s="187">
        <v>2006</v>
      </c>
      <c r="AJ6" s="187">
        <v>2007</v>
      </c>
      <c r="AK6" s="187">
        <v>2008</v>
      </c>
      <c r="AL6" s="187">
        <v>2009</v>
      </c>
      <c r="AM6" s="187">
        <v>2010</v>
      </c>
      <c r="AN6" s="187">
        <v>2011</v>
      </c>
      <c r="AO6" s="187">
        <v>2012</v>
      </c>
      <c r="AP6" s="187">
        <v>2013</v>
      </c>
      <c r="AQ6" s="187">
        <v>2014</v>
      </c>
      <c r="AR6" s="187">
        <v>2015</v>
      </c>
      <c r="AS6" s="187">
        <v>2016</v>
      </c>
      <c r="AT6" s="911">
        <v>2017</v>
      </c>
      <c r="AU6" s="819">
        <v>2018</v>
      </c>
      <c r="AV6" s="186">
        <v>2004</v>
      </c>
      <c r="AW6" s="187">
        <v>2005</v>
      </c>
      <c r="AX6" s="187">
        <v>2006</v>
      </c>
      <c r="AY6" s="187">
        <v>2007</v>
      </c>
      <c r="AZ6" s="187">
        <v>2008</v>
      </c>
      <c r="BA6" s="187">
        <v>2009</v>
      </c>
      <c r="BB6" s="187">
        <v>2010</v>
      </c>
      <c r="BC6" s="187">
        <v>2011</v>
      </c>
      <c r="BD6" s="187">
        <v>2012</v>
      </c>
      <c r="BE6" s="187">
        <v>2013</v>
      </c>
      <c r="BF6" s="187">
        <v>2014</v>
      </c>
      <c r="BG6" s="187">
        <v>2015</v>
      </c>
      <c r="BH6" s="187">
        <v>2016</v>
      </c>
      <c r="BI6" s="187">
        <v>2017</v>
      </c>
      <c r="BJ6" s="188">
        <v>2018</v>
      </c>
      <c r="BK6" s="195" t="s">
        <v>302</v>
      </c>
      <c r="BL6" s="174"/>
    </row>
    <row r="7" spans="2:64" ht="12.75" customHeight="1">
      <c r="B7" s="800" t="s">
        <v>253</v>
      </c>
      <c r="C7" s="815"/>
      <c r="D7" s="816"/>
      <c r="E7" s="817">
        <f>SUM(E8:E35)</f>
        <v>2039254</v>
      </c>
      <c r="F7" s="817">
        <f>SUM(F8:F35)</f>
        <v>2172340</v>
      </c>
      <c r="G7" s="817">
        <f>SUM(G8:G35)</f>
        <v>1952538</v>
      </c>
      <c r="H7" s="817">
        <f>SUM(H8:H35)</f>
        <v>1373511</v>
      </c>
      <c r="I7" s="817">
        <f>SUM(I8:I35)</f>
        <v>1495061</v>
      </c>
      <c r="J7" s="817">
        <f>SUM(J8:J35)</f>
        <v>1607613</v>
      </c>
      <c r="K7" s="817">
        <f>SUM(K8:K35)</f>
        <v>1392574</v>
      </c>
      <c r="L7" s="817">
        <f>SUM(L8:L35)</f>
        <v>1385737</v>
      </c>
      <c r="M7" s="817">
        <f>SUM(M8:M35)</f>
        <v>1544009</v>
      </c>
      <c r="N7" s="817">
        <f>SUM(N8:N35)</f>
        <v>1734567</v>
      </c>
      <c r="O7" s="817">
        <f>SUM(O8:O35)</f>
        <v>1937065</v>
      </c>
      <c r="P7" s="816">
        <f>SUM(P8:P35)</f>
        <v>2009212</v>
      </c>
      <c r="Q7" s="816">
        <f>SUM(Q8:Q35)</f>
        <v>2074601.3333333333</v>
      </c>
      <c r="R7" s="818"/>
      <c r="S7" s="803"/>
      <c r="T7" s="803"/>
      <c r="U7" s="803"/>
      <c r="V7" s="803"/>
      <c r="W7" s="803"/>
      <c r="X7" s="803"/>
      <c r="Y7" s="803"/>
      <c r="Z7" s="803"/>
      <c r="AA7" s="803"/>
      <c r="AB7" s="803"/>
      <c r="AC7" s="803"/>
      <c r="AD7" s="803"/>
      <c r="AE7" s="803"/>
      <c r="AF7" s="805"/>
      <c r="AG7" s="818"/>
      <c r="AH7" s="803"/>
      <c r="AI7" s="803"/>
      <c r="AJ7" s="803"/>
      <c r="AK7" s="803"/>
      <c r="AL7" s="803"/>
      <c r="AM7" s="803"/>
      <c r="AN7" s="803"/>
      <c r="AO7" s="803"/>
      <c r="AP7" s="803"/>
      <c r="AQ7" s="803"/>
      <c r="AR7" s="803"/>
      <c r="AS7" s="803"/>
      <c r="AT7" s="803"/>
      <c r="AU7" s="805"/>
      <c r="AV7" s="818"/>
      <c r="AW7" s="803"/>
      <c r="AX7" s="817">
        <f>SUM(AX8:AX35)</f>
        <v>2440602</v>
      </c>
      <c r="AY7" s="817">
        <f aca="true" t="shared" si="0" ref="AY7:BH7">SUM(AY8:AY35)</f>
        <v>2599529</v>
      </c>
      <c r="AZ7" s="817">
        <f t="shared" si="0"/>
        <v>2369246</v>
      </c>
      <c r="BA7" s="817">
        <f t="shared" si="0"/>
        <v>1605332</v>
      </c>
      <c r="BB7" s="817">
        <f t="shared" si="0"/>
        <v>1743434</v>
      </c>
      <c r="BC7" s="817">
        <f t="shared" si="0"/>
        <v>1921942</v>
      </c>
      <c r="BD7" s="817">
        <f t="shared" si="0"/>
        <v>1679789</v>
      </c>
      <c r="BE7" s="817">
        <f t="shared" si="0"/>
        <v>1692003</v>
      </c>
      <c r="BF7" s="817">
        <f t="shared" si="0"/>
        <v>1825863</v>
      </c>
      <c r="BG7" s="817">
        <f t="shared" si="0"/>
        <v>2065421</v>
      </c>
      <c r="BH7" s="817">
        <f t="shared" si="0"/>
        <v>2306710</v>
      </c>
      <c r="BI7" s="816">
        <f>SUM(BI8:BI35)</f>
        <v>2378779</v>
      </c>
      <c r="BJ7" s="839">
        <f>SUM(BJ8:BJ35)</f>
        <v>2459477.333333333</v>
      </c>
      <c r="BK7" s="962">
        <f>BJ7/BI7-1</f>
        <v>0.033924266749173926</v>
      </c>
      <c r="BL7" s="806" t="s">
        <v>253</v>
      </c>
    </row>
    <row r="8" spans="1:64" ht="12.75" customHeight="1">
      <c r="A8" s="8"/>
      <c r="B8" s="181" t="s">
        <v>62</v>
      </c>
      <c r="C8" s="571">
        <v>58539</v>
      </c>
      <c r="D8" s="572">
        <v>62068</v>
      </c>
      <c r="E8" s="573">
        <v>60156</v>
      </c>
      <c r="F8" s="573">
        <v>68007</v>
      </c>
      <c r="G8" s="573">
        <v>67546</v>
      </c>
      <c r="H8" s="573">
        <v>53620</v>
      </c>
      <c r="I8" s="573">
        <v>54856</v>
      </c>
      <c r="J8" s="573">
        <v>64049</v>
      </c>
      <c r="K8" s="573">
        <v>57020</v>
      </c>
      <c r="L8" s="573">
        <v>55793</v>
      </c>
      <c r="M8" s="573">
        <v>55801</v>
      </c>
      <c r="N8" s="573">
        <v>63856</v>
      </c>
      <c r="O8" s="573">
        <v>71011</v>
      </c>
      <c r="P8" s="573">
        <v>79427</v>
      </c>
      <c r="Q8" s="580">
        <v>81285</v>
      </c>
      <c r="R8" s="527">
        <v>2584</v>
      </c>
      <c r="S8" s="524">
        <v>3344</v>
      </c>
      <c r="T8" s="524">
        <v>3007</v>
      </c>
      <c r="U8" s="524">
        <v>3206</v>
      </c>
      <c r="V8" s="524">
        <v>2934</v>
      </c>
      <c r="W8" s="524">
        <v>2630</v>
      </c>
      <c r="X8" s="524">
        <v>2477</v>
      </c>
      <c r="Y8" s="524">
        <v>2438</v>
      </c>
      <c r="Z8" s="524">
        <v>2148</v>
      </c>
      <c r="AA8" s="524">
        <v>1888</v>
      </c>
      <c r="AB8" s="524">
        <v>2046</v>
      </c>
      <c r="AC8" s="524">
        <v>2374</v>
      </c>
      <c r="AD8" s="524">
        <v>2529</v>
      </c>
      <c r="AE8" s="524">
        <v>2673</v>
      </c>
      <c r="AF8" s="533">
        <v>2799</v>
      </c>
      <c r="AG8" s="527">
        <v>7794</v>
      </c>
      <c r="AH8" s="524">
        <v>9671</v>
      </c>
      <c r="AI8" s="524">
        <v>7772</v>
      </c>
      <c r="AJ8" s="524">
        <v>9356</v>
      </c>
      <c r="AK8" s="524">
        <v>9590</v>
      </c>
      <c r="AL8" s="524">
        <v>6202</v>
      </c>
      <c r="AM8" s="524">
        <v>5577</v>
      </c>
      <c r="AN8" s="524">
        <v>7795</v>
      </c>
      <c r="AO8" s="524">
        <v>6822</v>
      </c>
      <c r="AP8" s="524">
        <v>6314</v>
      </c>
      <c r="AQ8" s="524">
        <v>6517</v>
      </c>
      <c r="AR8" s="524">
        <v>6992</v>
      </c>
      <c r="AS8" s="524">
        <v>8257</v>
      </c>
      <c r="AT8" s="524">
        <v>8631</v>
      </c>
      <c r="AU8" s="533">
        <v>9217</v>
      </c>
      <c r="AV8" s="820">
        <f>C8+R8+AG8</f>
        <v>68917</v>
      </c>
      <c r="AW8" s="541">
        <f aca="true" t="shared" si="1" ref="AW8:AW38">D8+S8+AH8</f>
        <v>75083</v>
      </c>
      <c r="AX8" s="541">
        <f aca="true" t="shared" si="2" ref="AX8:AX38">E8+T8+AI8</f>
        <v>70935</v>
      </c>
      <c r="AY8" s="541">
        <f aca="true" t="shared" si="3" ref="AY8:AY38">F8+U8+AJ8</f>
        <v>80569</v>
      </c>
      <c r="AZ8" s="541">
        <f aca="true" t="shared" si="4" ref="AZ8:AZ38">G8+V8+AK8</f>
        <v>80070</v>
      </c>
      <c r="BA8" s="541">
        <f aca="true" t="shared" si="5" ref="BA8:BA38">H8+W8+AL8</f>
        <v>62452</v>
      </c>
      <c r="BB8" s="541">
        <f aca="true" t="shared" si="6" ref="BB8:BB38">I8+X8+AM8</f>
        <v>62910</v>
      </c>
      <c r="BC8" s="541">
        <f aca="true" t="shared" si="7" ref="BC8:BC38">J8+Y8+AN8</f>
        <v>74282</v>
      </c>
      <c r="BD8" s="541">
        <f aca="true" t="shared" si="8" ref="BD8:BD38">K8+Z8+AO8</f>
        <v>65990</v>
      </c>
      <c r="BE8" s="541">
        <f aca="true" t="shared" si="9" ref="BE8:BE38">L8+AA8+AP8</f>
        <v>63995</v>
      </c>
      <c r="BF8" s="541">
        <f aca="true" t="shared" si="10" ref="BF8:BF38">M8+AB8+AQ8</f>
        <v>64364</v>
      </c>
      <c r="BG8" s="541">
        <f aca="true" t="shared" si="11" ref="BG8:BG38">N8+AC8+AR8</f>
        <v>73222</v>
      </c>
      <c r="BH8" s="541">
        <f aca="true" t="shared" si="12" ref="BH8:BH38">O8+AD8+AS8</f>
        <v>81797</v>
      </c>
      <c r="BI8" s="541">
        <f>P8+AE8+AT8</f>
        <v>90731</v>
      </c>
      <c r="BJ8" s="542">
        <f>Q8+AF8+AU8</f>
        <v>93301</v>
      </c>
      <c r="BK8" s="920">
        <f aca="true" t="shared" si="13" ref="BK8:BK38">BJ8/BI8-1</f>
        <v>0.028325489634193346</v>
      </c>
      <c r="BL8" s="182" t="s">
        <v>62</v>
      </c>
    </row>
    <row r="9" spans="1:64" ht="12.75" customHeight="1">
      <c r="A9" s="8"/>
      <c r="B9" s="177" t="s">
        <v>45</v>
      </c>
      <c r="C9" s="576"/>
      <c r="D9" s="577">
        <v>7631</v>
      </c>
      <c r="E9" s="578">
        <v>10242</v>
      </c>
      <c r="F9" s="578">
        <v>12225</v>
      </c>
      <c r="G9" s="578">
        <v>13642</v>
      </c>
      <c r="H9" s="578">
        <v>5514</v>
      </c>
      <c r="I9" s="578">
        <v>5835</v>
      </c>
      <c r="J9" s="578">
        <v>8454</v>
      </c>
      <c r="K9" s="578">
        <v>10231</v>
      </c>
      <c r="L9" s="578">
        <v>9446</v>
      </c>
      <c r="M9" s="578">
        <v>10749</v>
      </c>
      <c r="N9" s="578">
        <f>10900+2765</f>
        <v>13665</v>
      </c>
      <c r="O9" s="578">
        <v>12591</v>
      </c>
      <c r="P9" s="926">
        <f>N9+766</f>
        <v>14431</v>
      </c>
      <c r="Q9" s="821">
        <f>AVERAGE(N9:P9)</f>
        <v>13562.333333333334</v>
      </c>
      <c r="R9" s="531" t="s">
        <v>80</v>
      </c>
      <c r="S9" s="532" t="s">
        <v>80</v>
      </c>
      <c r="T9" s="532" t="s">
        <v>80</v>
      </c>
      <c r="U9" s="532" t="s">
        <v>80</v>
      </c>
      <c r="V9" s="532" t="s">
        <v>80</v>
      </c>
      <c r="W9" s="532" t="s">
        <v>80</v>
      </c>
      <c r="X9" s="532" t="s">
        <v>80</v>
      </c>
      <c r="Y9" s="532" t="s">
        <v>80</v>
      </c>
      <c r="Z9" s="532" t="s">
        <v>80</v>
      </c>
      <c r="AA9" s="532" t="s">
        <v>80</v>
      </c>
      <c r="AB9" s="532" t="s">
        <v>80</v>
      </c>
      <c r="AC9" s="532" t="s">
        <v>80</v>
      </c>
      <c r="AD9" s="532" t="s">
        <v>80</v>
      </c>
      <c r="AE9" s="973" t="s">
        <v>80</v>
      </c>
      <c r="AF9" s="973" t="s">
        <v>80</v>
      </c>
      <c r="AG9" s="974" t="s">
        <v>80</v>
      </c>
      <c r="AH9" s="975" t="s">
        <v>80</v>
      </c>
      <c r="AI9" s="975" t="s">
        <v>80</v>
      </c>
      <c r="AJ9" s="975" t="s">
        <v>80</v>
      </c>
      <c r="AK9" s="975" t="s">
        <v>80</v>
      </c>
      <c r="AL9" s="975" t="s">
        <v>80</v>
      </c>
      <c r="AM9" s="975" t="s">
        <v>80</v>
      </c>
      <c r="AN9" s="976" t="s">
        <v>80</v>
      </c>
      <c r="AO9" s="976" t="s">
        <v>80</v>
      </c>
      <c r="AP9" s="976" t="s">
        <v>80</v>
      </c>
      <c r="AQ9" s="976" t="s">
        <v>80</v>
      </c>
      <c r="AR9" s="976" t="s">
        <v>80</v>
      </c>
      <c r="AS9" s="976" t="s">
        <v>80</v>
      </c>
      <c r="AT9" s="973" t="s">
        <v>291</v>
      </c>
      <c r="AU9" s="973" t="s">
        <v>80</v>
      </c>
      <c r="AV9" s="826"/>
      <c r="AW9" s="827">
        <f aca="true" t="shared" si="14" ref="AW9:BH9">D9</f>
        <v>7631</v>
      </c>
      <c r="AX9" s="827">
        <f t="shared" si="14"/>
        <v>10242</v>
      </c>
      <c r="AY9" s="827">
        <f t="shared" si="14"/>
        <v>12225</v>
      </c>
      <c r="AZ9" s="827">
        <f t="shared" si="14"/>
        <v>13642</v>
      </c>
      <c r="BA9" s="827">
        <f t="shared" si="14"/>
        <v>5514</v>
      </c>
      <c r="BB9" s="827">
        <f t="shared" si="14"/>
        <v>5835</v>
      </c>
      <c r="BC9" s="827">
        <f t="shared" si="14"/>
        <v>8454</v>
      </c>
      <c r="BD9" s="827">
        <f t="shared" si="14"/>
        <v>10231</v>
      </c>
      <c r="BE9" s="827">
        <f t="shared" si="14"/>
        <v>9446</v>
      </c>
      <c r="BF9" s="827">
        <f t="shared" si="14"/>
        <v>10749</v>
      </c>
      <c r="BG9" s="827">
        <f t="shared" si="14"/>
        <v>13665</v>
      </c>
      <c r="BH9" s="827">
        <f t="shared" si="14"/>
        <v>12591</v>
      </c>
      <c r="BI9" s="829">
        <f>P9</f>
        <v>14431</v>
      </c>
      <c r="BJ9" s="830">
        <f>Q9</f>
        <v>13562.333333333334</v>
      </c>
      <c r="BK9" s="921">
        <f t="shared" si="13"/>
        <v>-0.060194488716420635</v>
      </c>
      <c r="BL9" s="180" t="s">
        <v>45</v>
      </c>
    </row>
    <row r="10" spans="1:64" ht="12.75" customHeight="1">
      <c r="A10" s="8"/>
      <c r="B10" s="181" t="s">
        <v>47</v>
      </c>
      <c r="C10" s="571">
        <v>17186</v>
      </c>
      <c r="D10" s="572">
        <v>15965</v>
      </c>
      <c r="E10" s="573">
        <v>16185</v>
      </c>
      <c r="F10" s="573">
        <v>19534</v>
      </c>
      <c r="G10" s="573">
        <v>20269</v>
      </c>
      <c r="H10" s="573">
        <v>13007</v>
      </c>
      <c r="I10" s="573">
        <v>11429</v>
      </c>
      <c r="J10" s="573">
        <v>13377</v>
      </c>
      <c r="K10" s="573">
        <v>11628</v>
      </c>
      <c r="L10" s="573">
        <v>11658</v>
      </c>
      <c r="M10" s="573">
        <v>13215</v>
      </c>
      <c r="N10" s="573">
        <v>17272</v>
      </c>
      <c r="O10" s="573">
        <v>19236</v>
      </c>
      <c r="P10" s="573">
        <v>19396</v>
      </c>
      <c r="Q10" s="580">
        <v>20210</v>
      </c>
      <c r="R10" s="527">
        <v>2273</v>
      </c>
      <c r="S10" s="524">
        <v>2713</v>
      </c>
      <c r="T10" s="524">
        <v>3264</v>
      </c>
      <c r="U10" s="524">
        <v>4007</v>
      </c>
      <c r="V10" s="524">
        <v>3895</v>
      </c>
      <c r="W10" s="524">
        <v>2012</v>
      </c>
      <c r="X10" s="524">
        <v>1288</v>
      </c>
      <c r="Y10" s="524">
        <v>1436</v>
      </c>
      <c r="Z10" s="524">
        <v>1259</v>
      </c>
      <c r="AA10" s="524">
        <v>1532</v>
      </c>
      <c r="AB10" s="524">
        <v>1512</v>
      </c>
      <c r="AC10" s="524">
        <v>1830</v>
      </c>
      <c r="AD10" s="524">
        <v>1635</v>
      </c>
      <c r="AE10" s="524">
        <v>1532</v>
      </c>
      <c r="AF10" s="533">
        <v>1634</v>
      </c>
      <c r="AG10" s="527">
        <v>4229</v>
      </c>
      <c r="AH10" s="524">
        <v>5546</v>
      </c>
      <c r="AI10" s="524">
        <v>6530</v>
      </c>
      <c r="AJ10" s="524">
        <v>8072</v>
      </c>
      <c r="AK10" s="524">
        <v>7509</v>
      </c>
      <c r="AL10" s="524">
        <v>3117</v>
      </c>
      <c r="AM10" s="524">
        <v>3665</v>
      </c>
      <c r="AN10" s="524">
        <v>5999</v>
      </c>
      <c r="AO10" s="524">
        <v>5684</v>
      </c>
      <c r="AP10" s="524">
        <v>6556</v>
      </c>
      <c r="AQ10" s="524">
        <v>7775</v>
      </c>
      <c r="AR10" s="524">
        <v>9556</v>
      </c>
      <c r="AS10" s="524">
        <v>10227</v>
      </c>
      <c r="AT10" s="524">
        <v>8538</v>
      </c>
      <c r="AU10" s="533">
        <v>8531</v>
      </c>
      <c r="AV10" s="820">
        <f aca="true" t="shared" si="15" ref="AV10:AV38">C10+R10+AG10</f>
        <v>23688</v>
      </c>
      <c r="AW10" s="541">
        <f t="shared" si="1"/>
        <v>24224</v>
      </c>
      <c r="AX10" s="541">
        <f t="shared" si="2"/>
        <v>25979</v>
      </c>
      <c r="AY10" s="541">
        <f t="shared" si="3"/>
        <v>31613</v>
      </c>
      <c r="AZ10" s="541">
        <f t="shared" si="4"/>
        <v>31673</v>
      </c>
      <c r="BA10" s="541">
        <f t="shared" si="5"/>
        <v>18136</v>
      </c>
      <c r="BB10" s="541">
        <f t="shared" si="6"/>
        <v>16382</v>
      </c>
      <c r="BC10" s="541">
        <f t="shared" si="7"/>
        <v>20812</v>
      </c>
      <c r="BD10" s="541">
        <f t="shared" si="8"/>
        <v>18571</v>
      </c>
      <c r="BE10" s="541">
        <f t="shared" si="9"/>
        <v>19746</v>
      </c>
      <c r="BF10" s="541">
        <f t="shared" si="10"/>
        <v>22502</v>
      </c>
      <c r="BG10" s="541">
        <f t="shared" si="11"/>
        <v>28658</v>
      </c>
      <c r="BH10" s="541">
        <f t="shared" si="12"/>
        <v>31098</v>
      </c>
      <c r="BI10" s="541">
        <f aca="true" t="shared" si="16" ref="BI10:BI38">P10+AE10+AT10</f>
        <v>29466</v>
      </c>
      <c r="BJ10" s="542">
        <f aca="true" t="shared" si="17" ref="BJ10:BJ38">Q10+AF10+AU10</f>
        <v>30375</v>
      </c>
      <c r="BK10" s="920">
        <f t="shared" si="13"/>
        <v>0.03084911423335379</v>
      </c>
      <c r="BL10" s="182" t="s">
        <v>47</v>
      </c>
    </row>
    <row r="11" spans="1:64" ht="12.75" customHeight="1">
      <c r="A11" s="8"/>
      <c r="B11" s="177" t="s">
        <v>58</v>
      </c>
      <c r="C11" s="576">
        <v>44791</v>
      </c>
      <c r="D11" s="577">
        <v>57880</v>
      </c>
      <c r="E11" s="578">
        <v>62792</v>
      </c>
      <c r="F11" s="578">
        <v>56067</v>
      </c>
      <c r="G11" s="578">
        <v>33602</v>
      </c>
      <c r="H11" s="578">
        <v>15207</v>
      </c>
      <c r="I11" s="578">
        <v>16092</v>
      </c>
      <c r="J11" s="578">
        <v>23600</v>
      </c>
      <c r="K11" s="578">
        <v>24053</v>
      </c>
      <c r="L11" s="578">
        <v>24007</v>
      </c>
      <c r="M11" s="578">
        <v>28471</v>
      </c>
      <c r="N11" s="578">
        <v>32456</v>
      </c>
      <c r="O11" s="578">
        <v>36624</v>
      </c>
      <c r="P11" s="578">
        <v>35888</v>
      </c>
      <c r="Q11" s="579">
        <v>33757</v>
      </c>
      <c r="R11" s="534">
        <v>661</v>
      </c>
      <c r="S11" s="529">
        <v>982</v>
      </c>
      <c r="T11" s="529">
        <v>785</v>
      </c>
      <c r="U11" s="529">
        <v>855</v>
      </c>
      <c r="V11" s="529">
        <v>1157</v>
      </c>
      <c r="W11" s="529">
        <v>575</v>
      </c>
      <c r="X11" s="529">
        <v>522</v>
      </c>
      <c r="Y11" s="529">
        <v>384</v>
      </c>
      <c r="Z11" s="529">
        <v>425</v>
      </c>
      <c r="AA11" s="529">
        <v>440</v>
      </c>
      <c r="AB11" s="529">
        <v>363</v>
      </c>
      <c r="AC11" s="529">
        <v>390</v>
      </c>
      <c r="AD11" s="529">
        <v>506</v>
      </c>
      <c r="AE11" s="529">
        <v>478</v>
      </c>
      <c r="AF11" s="530">
        <v>413</v>
      </c>
      <c r="AG11" s="534">
        <v>4000</v>
      </c>
      <c r="AH11" s="529">
        <v>5430</v>
      </c>
      <c r="AI11" s="529">
        <v>5205</v>
      </c>
      <c r="AJ11" s="529">
        <v>6036</v>
      </c>
      <c r="AK11" s="529">
        <v>5516</v>
      </c>
      <c r="AL11" s="529">
        <v>2677</v>
      </c>
      <c r="AM11" s="529">
        <v>2318</v>
      </c>
      <c r="AN11" s="529">
        <v>3164</v>
      </c>
      <c r="AO11" s="529">
        <v>3343</v>
      </c>
      <c r="AP11" s="529">
        <v>3871</v>
      </c>
      <c r="AQ11" s="529">
        <v>3329</v>
      </c>
      <c r="AR11" s="529">
        <v>4363</v>
      </c>
      <c r="AS11" s="529">
        <v>4593</v>
      </c>
      <c r="AT11" s="529">
        <v>4549</v>
      </c>
      <c r="AU11" s="530">
        <v>4645</v>
      </c>
      <c r="AV11" s="828">
        <f t="shared" si="15"/>
        <v>49452</v>
      </c>
      <c r="AW11" s="829">
        <f t="shared" si="1"/>
        <v>64292</v>
      </c>
      <c r="AX11" s="829">
        <f t="shared" si="2"/>
        <v>68782</v>
      </c>
      <c r="AY11" s="829">
        <f t="shared" si="3"/>
        <v>62958</v>
      </c>
      <c r="AZ11" s="829">
        <f t="shared" si="4"/>
        <v>40275</v>
      </c>
      <c r="BA11" s="829">
        <f t="shared" si="5"/>
        <v>18459</v>
      </c>
      <c r="BB11" s="829">
        <f t="shared" si="6"/>
        <v>18932</v>
      </c>
      <c r="BC11" s="829">
        <f t="shared" si="7"/>
        <v>27148</v>
      </c>
      <c r="BD11" s="829">
        <f t="shared" si="8"/>
        <v>27821</v>
      </c>
      <c r="BE11" s="829">
        <f t="shared" si="9"/>
        <v>28318</v>
      </c>
      <c r="BF11" s="829">
        <f t="shared" si="10"/>
        <v>32163</v>
      </c>
      <c r="BG11" s="829">
        <f t="shared" si="11"/>
        <v>37209</v>
      </c>
      <c r="BH11" s="829">
        <f t="shared" si="12"/>
        <v>41723</v>
      </c>
      <c r="BI11" s="829">
        <f t="shared" si="16"/>
        <v>40915</v>
      </c>
      <c r="BJ11" s="830">
        <f t="shared" si="17"/>
        <v>38815</v>
      </c>
      <c r="BK11" s="921">
        <f t="shared" si="13"/>
        <v>-0.05132591958939259</v>
      </c>
      <c r="BL11" s="180" t="s">
        <v>58</v>
      </c>
    </row>
    <row r="12" spans="1:64" ht="12.75" customHeight="1">
      <c r="A12" s="8"/>
      <c r="B12" s="181" t="s">
        <v>63</v>
      </c>
      <c r="C12" s="571">
        <v>185541</v>
      </c>
      <c r="D12" s="572">
        <v>193736</v>
      </c>
      <c r="E12" s="573">
        <v>197513</v>
      </c>
      <c r="F12" s="573">
        <v>221769</v>
      </c>
      <c r="G12" s="573">
        <v>223525</v>
      </c>
      <c r="H12" s="573">
        <v>170067</v>
      </c>
      <c r="I12" s="573">
        <v>197270</v>
      </c>
      <c r="J12" s="573">
        <v>233617</v>
      </c>
      <c r="K12" s="573">
        <v>219508</v>
      </c>
      <c r="L12" s="573">
        <v>212831</v>
      </c>
      <c r="M12" s="573">
        <v>228390</v>
      </c>
      <c r="N12" s="573">
        <v>237922</v>
      </c>
      <c r="O12" s="573">
        <v>258118</v>
      </c>
      <c r="P12" s="573">
        <v>270730</v>
      </c>
      <c r="Q12" s="580">
        <v>285415</v>
      </c>
      <c r="R12" s="527">
        <v>38735</v>
      </c>
      <c r="S12" s="524">
        <v>42018</v>
      </c>
      <c r="T12" s="524">
        <v>38373</v>
      </c>
      <c r="U12" s="524">
        <v>38452</v>
      </c>
      <c r="V12" s="524">
        <v>37792</v>
      </c>
      <c r="W12" s="524">
        <v>26177</v>
      </c>
      <c r="X12" s="524">
        <v>30841</v>
      </c>
      <c r="Y12" s="524">
        <v>35943</v>
      </c>
      <c r="Z12" s="524">
        <v>31684</v>
      </c>
      <c r="AA12" s="524">
        <v>31417</v>
      </c>
      <c r="AB12" s="524">
        <v>27331</v>
      </c>
      <c r="AC12" s="524">
        <v>27765</v>
      </c>
      <c r="AD12" s="524">
        <v>27182</v>
      </c>
      <c r="AE12" s="524">
        <v>25292</v>
      </c>
      <c r="AF12" s="533">
        <v>25781</v>
      </c>
      <c r="AG12" s="527">
        <v>53728</v>
      </c>
      <c r="AH12" s="524">
        <v>59873</v>
      </c>
      <c r="AI12" s="524">
        <v>62837</v>
      </c>
      <c r="AJ12" s="524">
        <v>68424</v>
      </c>
      <c r="AK12" s="524">
        <v>67797</v>
      </c>
      <c r="AL12" s="524">
        <v>40322</v>
      </c>
      <c r="AM12" s="524">
        <v>48827</v>
      </c>
      <c r="AN12" s="524">
        <v>60218</v>
      </c>
      <c r="AO12" s="524">
        <v>54534</v>
      </c>
      <c r="AP12" s="524">
        <v>55215</v>
      </c>
      <c r="AQ12" s="524">
        <v>58574</v>
      </c>
      <c r="AR12" s="524">
        <v>61958</v>
      </c>
      <c r="AS12" s="524">
        <v>65277</v>
      </c>
      <c r="AT12" s="524">
        <v>66428</v>
      </c>
      <c r="AU12" s="533">
        <v>68399</v>
      </c>
      <c r="AV12" s="820">
        <f t="shared" si="15"/>
        <v>278004</v>
      </c>
      <c r="AW12" s="541">
        <f t="shared" si="1"/>
        <v>295627</v>
      </c>
      <c r="AX12" s="541">
        <f t="shared" si="2"/>
        <v>298723</v>
      </c>
      <c r="AY12" s="541">
        <f t="shared" si="3"/>
        <v>328645</v>
      </c>
      <c r="AZ12" s="541">
        <f t="shared" si="4"/>
        <v>329114</v>
      </c>
      <c r="BA12" s="541">
        <f t="shared" si="5"/>
        <v>236566</v>
      </c>
      <c r="BB12" s="541">
        <f t="shared" si="6"/>
        <v>276938</v>
      </c>
      <c r="BC12" s="541">
        <f t="shared" si="7"/>
        <v>329778</v>
      </c>
      <c r="BD12" s="541">
        <f t="shared" si="8"/>
        <v>305726</v>
      </c>
      <c r="BE12" s="541">
        <f t="shared" si="9"/>
        <v>299463</v>
      </c>
      <c r="BF12" s="541">
        <f t="shared" si="10"/>
        <v>314295</v>
      </c>
      <c r="BG12" s="541">
        <f t="shared" si="11"/>
        <v>327645</v>
      </c>
      <c r="BH12" s="541">
        <f t="shared" si="12"/>
        <v>350577</v>
      </c>
      <c r="BI12" s="541">
        <f t="shared" si="16"/>
        <v>362450</v>
      </c>
      <c r="BJ12" s="542">
        <f t="shared" si="17"/>
        <v>379595</v>
      </c>
      <c r="BK12" s="920">
        <f t="shared" si="13"/>
        <v>0.047303076286384416</v>
      </c>
      <c r="BL12" s="182" t="s">
        <v>63</v>
      </c>
    </row>
    <row r="13" spans="1:64" ht="12.75" customHeight="1">
      <c r="A13" s="8"/>
      <c r="B13" s="177" t="s">
        <v>48</v>
      </c>
      <c r="C13" s="576">
        <v>2365</v>
      </c>
      <c r="D13" s="577">
        <v>2896</v>
      </c>
      <c r="E13" s="578">
        <v>3696</v>
      </c>
      <c r="F13" s="578">
        <v>4610</v>
      </c>
      <c r="G13" s="578">
        <v>2976</v>
      </c>
      <c r="H13" s="578">
        <v>1175</v>
      </c>
      <c r="I13" s="578">
        <v>1370</v>
      </c>
      <c r="J13" s="578">
        <v>2435</v>
      </c>
      <c r="K13" s="578">
        <v>2752</v>
      </c>
      <c r="L13" s="578">
        <v>2885</v>
      </c>
      <c r="M13" s="578">
        <v>3243</v>
      </c>
      <c r="N13" s="578">
        <v>3897</v>
      </c>
      <c r="O13" s="578">
        <v>4353</v>
      </c>
      <c r="P13" s="578">
        <v>4781</v>
      </c>
      <c r="Q13" s="579">
        <v>5018</v>
      </c>
      <c r="R13" s="534">
        <v>89</v>
      </c>
      <c r="S13" s="529">
        <v>163</v>
      </c>
      <c r="T13" s="529">
        <v>147</v>
      </c>
      <c r="U13" s="529">
        <v>121</v>
      </c>
      <c r="V13" s="529">
        <v>109</v>
      </c>
      <c r="W13" s="529">
        <v>25</v>
      </c>
      <c r="X13" s="529">
        <v>50</v>
      </c>
      <c r="Y13" s="529">
        <v>52</v>
      </c>
      <c r="Z13" s="529">
        <v>50</v>
      </c>
      <c r="AA13" s="529">
        <v>48</v>
      </c>
      <c r="AB13" s="529">
        <v>64</v>
      </c>
      <c r="AC13" s="529">
        <v>53</v>
      </c>
      <c r="AD13" s="529">
        <v>39</v>
      </c>
      <c r="AE13" s="529">
        <v>44</v>
      </c>
      <c r="AF13" s="530">
        <v>64</v>
      </c>
      <c r="AG13" s="534">
        <v>549</v>
      </c>
      <c r="AH13" s="529">
        <v>812</v>
      </c>
      <c r="AI13" s="529">
        <v>1387</v>
      </c>
      <c r="AJ13" s="529">
        <v>1597</v>
      </c>
      <c r="AK13" s="529">
        <v>1192</v>
      </c>
      <c r="AL13" s="529">
        <v>231</v>
      </c>
      <c r="AM13" s="529">
        <v>320</v>
      </c>
      <c r="AN13" s="529">
        <v>694</v>
      </c>
      <c r="AO13" s="529">
        <v>684</v>
      </c>
      <c r="AP13" s="529">
        <v>808</v>
      </c>
      <c r="AQ13" s="529">
        <v>712</v>
      </c>
      <c r="AR13" s="529">
        <v>714</v>
      </c>
      <c r="AS13" s="529">
        <v>839</v>
      </c>
      <c r="AT13" s="529">
        <v>1004</v>
      </c>
      <c r="AU13" s="530">
        <v>1017</v>
      </c>
      <c r="AV13" s="828">
        <f t="shared" si="15"/>
        <v>3003</v>
      </c>
      <c r="AW13" s="829">
        <f t="shared" si="1"/>
        <v>3871</v>
      </c>
      <c r="AX13" s="829">
        <f t="shared" si="2"/>
        <v>5230</v>
      </c>
      <c r="AY13" s="829">
        <f t="shared" si="3"/>
        <v>6328</v>
      </c>
      <c r="AZ13" s="829">
        <f t="shared" si="4"/>
        <v>4277</v>
      </c>
      <c r="BA13" s="829">
        <f t="shared" si="5"/>
        <v>1431</v>
      </c>
      <c r="BB13" s="829">
        <f t="shared" si="6"/>
        <v>1740</v>
      </c>
      <c r="BC13" s="829">
        <f t="shared" si="7"/>
        <v>3181</v>
      </c>
      <c r="BD13" s="829">
        <f t="shared" si="8"/>
        <v>3486</v>
      </c>
      <c r="BE13" s="829">
        <f t="shared" si="9"/>
        <v>3741</v>
      </c>
      <c r="BF13" s="829">
        <f t="shared" si="10"/>
        <v>4019</v>
      </c>
      <c r="BG13" s="829">
        <f t="shared" si="11"/>
        <v>4664</v>
      </c>
      <c r="BH13" s="829">
        <f t="shared" si="12"/>
        <v>5231</v>
      </c>
      <c r="BI13" s="829">
        <f t="shared" si="16"/>
        <v>5829</v>
      </c>
      <c r="BJ13" s="830">
        <f t="shared" si="17"/>
        <v>6099</v>
      </c>
      <c r="BK13" s="921">
        <f t="shared" si="13"/>
        <v>0.04632012352032944</v>
      </c>
      <c r="BL13" s="180" t="s">
        <v>48</v>
      </c>
    </row>
    <row r="14" spans="1:64" ht="12.75" customHeight="1">
      <c r="A14" s="8"/>
      <c r="B14" s="181" t="s">
        <v>66</v>
      </c>
      <c r="C14" s="571">
        <v>29313</v>
      </c>
      <c r="D14" s="572">
        <v>36431</v>
      </c>
      <c r="E14" s="573">
        <v>39502</v>
      </c>
      <c r="F14" s="573">
        <v>42727</v>
      </c>
      <c r="G14" s="573">
        <v>28163</v>
      </c>
      <c r="H14" s="573">
        <v>8611</v>
      </c>
      <c r="I14" s="573">
        <v>9957</v>
      </c>
      <c r="J14" s="573">
        <v>10868</v>
      </c>
      <c r="K14" s="573">
        <v>10325</v>
      </c>
      <c r="L14" s="573">
        <v>10808</v>
      </c>
      <c r="M14" s="573">
        <v>16478</v>
      </c>
      <c r="N14" s="573">
        <v>23403</v>
      </c>
      <c r="O14" s="573">
        <v>27537</v>
      </c>
      <c r="P14" s="573">
        <v>23916</v>
      </c>
      <c r="Q14" s="580">
        <v>25171</v>
      </c>
      <c r="R14" s="527">
        <v>1588</v>
      </c>
      <c r="S14" s="524">
        <v>1838</v>
      </c>
      <c r="T14" s="524">
        <v>3077</v>
      </c>
      <c r="U14" s="524">
        <v>2634</v>
      </c>
      <c r="V14" s="524">
        <v>2079</v>
      </c>
      <c r="W14" s="524">
        <v>859</v>
      </c>
      <c r="X14" s="524">
        <v>875</v>
      </c>
      <c r="Y14" s="524">
        <v>690</v>
      </c>
      <c r="Z14" s="524">
        <v>645</v>
      </c>
      <c r="AA14" s="524">
        <v>441</v>
      </c>
      <c r="AB14" s="524">
        <v>510</v>
      </c>
      <c r="AC14" s="524">
        <v>759</v>
      </c>
      <c r="AD14" s="524">
        <v>937</v>
      </c>
      <c r="AE14" s="524">
        <v>558</v>
      </c>
      <c r="AF14" s="533">
        <v>622</v>
      </c>
      <c r="AG14" s="527">
        <v>2686</v>
      </c>
      <c r="AH14" s="524">
        <v>3696</v>
      </c>
      <c r="AI14" s="524">
        <v>3712</v>
      </c>
      <c r="AJ14" s="524">
        <v>3504</v>
      </c>
      <c r="AK14" s="524">
        <v>2609</v>
      </c>
      <c r="AL14" s="524">
        <v>699</v>
      </c>
      <c r="AM14" s="524">
        <v>611</v>
      </c>
      <c r="AN14" s="524">
        <v>807</v>
      </c>
      <c r="AO14" s="524">
        <v>919</v>
      </c>
      <c r="AP14" s="524">
        <v>1302</v>
      </c>
      <c r="AQ14" s="524">
        <v>1438</v>
      </c>
      <c r="AR14" s="524">
        <v>1491</v>
      </c>
      <c r="AS14" s="524">
        <v>2103</v>
      </c>
      <c r="AT14" s="524">
        <v>1882</v>
      </c>
      <c r="AU14" s="533">
        <v>1889</v>
      </c>
      <c r="AV14" s="820">
        <f t="shared" si="15"/>
        <v>33587</v>
      </c>
      <c r="AW14" s="541">
        <f t="shared" si="1"/>
        <v>41965</v>
      </c>
      <c r="AX14" s="541">
        <f t="shared" si="2"/>
        <v>46291</v>
      </c>
      <c r="AY14" s="541">
        <f t="shared" si="3"/>
        <v>48865</v>
      </c>
      <c r="AZ14" s="541">
        <f t="shared" si="4"/>
        <v>32851</v>
      </c>
      <c r="BA14" s="541">
        <f t="shared" si="5"/>
        <v>10169</v>
      </c>
      <c r="BB14" s="541">
        <f t="shared" si="6"/>
        <v>11443</v>
      </c>
      <c r="BC14" s="541">
        <f t="shared" si="7"/>
        <v>12365</v>
      </c>
      <c r="BD14" s="541">
        <f t="shared" si="8"/>
        <v>11889</v>
      </c>
      <c r="BE14" s="541">
        <f t="shared" si="9"/>
        <v>12551</v>
      </c>
      <c r="BF14" s="541">
        <f t="shared" si="10"/>
        <v>18426</v>
      </c>
      <c r="BG14" s="541">
        <f t="shared" si="11"/>
        <v>25653</v>
      </c>
      <c r="BH14" s="541">
        <f t="shared" si="12"/>
        <v>30577</v>
      </c>
      <c r="BI14" s="541">
        <f t="shared" si="16"/>
        <v>26356</v>
      </c>
      <c r="BJ14" s="542">
        <f t="shared" si="17"/>
        <v>27682</v>
      </c>
      <c r="BK14" s="920">
        <f t="shared" si="13"/>
        <v>0.0503111246016088</v>
      </c>
      <c r="BL14" s="182" t="s">
        <v>66</v>
      </c>
    </row>
    <row r="15" spans="1:64" ht="12.75" customHeight="1">
      <c r="A15" s="8"/>
      <c r="B15" s="177" t="s">
        <v>59</v>
      </c>
      <c r="C15" s="576">
        <v>22543</v>
      </c>
      <c r="D15" s="577">
        <v>23071</v>
      </c>
      <c r="E15" s="578">
        <v>23730</v>
      </c>
      <c r="F15" s="578">
        <v>24007</v>
      </c>
      <c r="G15" s="578">
        <v>22205</v>
      </c>
      <c r="H15" s="578">
        <v>14499</v>
      </c>
      <c r="I15" s="578">
        <v>10632</v>
      </c>
      <c r="J15" s="578">
        <v>6357</v>
      </c>
      <c r="K15" s="578">
        <v>3707</v>
      </c>
      <c r="L15" s="578">
        <v>3431</v>
      </c>
      <c r="M15" s="578">
        <v>4886</v>
      </c>
      <c r="N15" s="578">
        <v>5652</v>
      </c>
      <c r="O15" s="578">
        <v>5623</v>
      </c>
      <c r="P15" s="578">
        <v>6579</v>
      </c>
      <c r="Q15" s="579">
        <v>6906</v>
      </c>
      <c r="R15" s="534">
        <v>1288</v>
      </c>
      <c r="S15" s="529">
        <v>1114</v>
      </c>
      <c r="T15" s="529">
        <v>1173</v>
      </c>
      <c r="U15" s="529">
        <v>1298</v>
      </c>
      <c r="V15" s="529">
        <v>1287</v>
      </c>
      <c r="W15" s="529">
        <v>988</v>
      </c>
      <c r="X15" s="529">
        <v>688</v>
      </c>
      <c r="Y15" s="529">
        <v>283</v>
      </c>
      <c r="Z15" s="529">
        <v>114</v>
      </c>
      <c r="AA15" s="529">
        <v>176</v>
      </c>
      <c r="AB15" s="529">
        <v>155</v>
      </c>
      <c r="AC15" s="529">
        <v>185</v>
      </c>
      <c r="AD15" s="529">
        <v>116</v>
      </c>
      <c r="AE15" s="529">
        <v>204</v>
      </c>
      <c r="AF15" s="530">
        <v>182</v>
      </c>
      <c r="AG15" s="534">
        <v>944</v>
      </c>
      <c r="AH15" s="529">
        <v>1353</v>
      </c>
      <c r="AI15" s="529">
        <v>1014</v>
      </c>
      <c r="AJ15" s="529">
        <v>1199</v>
      </c>
      <c r="AK15" s="529">
        <v>1503</v>
      </c>
      <c r="AL15" s="529">
        <v>889</v>
      </c>
      <c r="AM15" s="529">
        <v>618</v>
      </c>
      <c r="AN15" s="529">
        <v>264</v>
      </c>
      <c r="AO15" s="529">
        <v>105</v>
      </c>
      <c r="AP15" s="529">
        <v>169</v>
      </c>
      <c r="AQ15" s="529">
        <v>228</v>
      </c>
      <c r="AR15" s="529">
        <v>280</v>
      </c>
      <c r="AS15" s="529">
        <v>205</v>
      </c>
      <c r="AT15" s="529">
        <v>220</v>
      </c>
      <c r="AU15" s="530">
        <v>170</v>
      </c>
      <c r="AV15" s="828">
        <f t="shared" si="15"/>
        <v>24775</v>
      </c>
      <c r="AW15" s="829">
        <f t="shared" si="1"/>
        <v>25538</v>
      </c>
      <c r="AX15" s="829">
        <f t="shared" si="2"/>
        <v>25917</v>
      </c>
      <c r="AY15" s="829">
        <f t="shared" si="3"/>
        <v>26504</v>
      </c>
      <c r="AZ15" s="829">
        <f t="shared" si="4"/>
        <v>24995</v>
      </c>
      <c r="BA15" s="829">
        <f t="shared" si="5"/>
        <v>16376</v>
      </c>
      <c r="BB15" s="829">
        <f t="shared" si="6"/>
        <v>11938</v>
      </c>
      <c r="BC15" s="829">
        <f t="shared" si="7"/>
        <v>6904</v>
      </c>
      <c r="BD15" s="829">
        <f t="shared" si="8"/>
        <v>3926</v>
      </c>
      <c r="BE15" s="829">
        <f t="shared" si="9"/>
        <v>3776</v>
      </c>
      <c r="BF15" s="829">
        <f t="shared" si="10"/>
        <v>5269</v>
      </c>
      <c r="BG15" s="829">
        <f t="shared" si="11"/>
        <v>6117</v>
      </c>
      <c r="BH15" s="829">
        <f t="shared" si="12"/>
        <v>5944</v>
      </c>
      <c r="BI15" s="829">
        <f t="shared" si="16"/>
        <v>7003</v>
      </c>
      <c r="BJ15" s="830">
        <f t="shared" si="17"/>
        <v>7258</v>
      </c>
      <c r="BK15" s="921">
        <f t="shared" si="13"/>
        <v>0.03641296587176934</v>
      </c>
      <c r="BL15" s="180" t="s">
        <v>59</v>
      </c>
    </row>
    <row r="16" spans="1:64" ht="12.75" customHeight="1">
      <c r="A16" s="8"/>
      <c r="B16" s="181" t="s">
        <v>64</v>
      </c>
      <c r="C16" s="571">
        <v>333414</v>
      </c>
      <c r="D16" s="572">
        <v>386250</v>
      </c>
      <c r="E16" s="573">
        <v>273922</v>
      </c>
      <c r="F16" s="573">
        <v>275563</v>
      </c>
      <c r="G16" s="573">
        <v>165872</v>
      </c>
      <c r="H16" s="573">
        <v>106527</v>
      </c>
      <c r="I16" s="573">
        <v>116004</v>
      </c>
      <c r="J16" s="573">
        <v>104374</v>
      </c>
      <c r="K16" s="573">
        <v>76387</v>
      </c>
      <c r="L16" s="573">
        <v>85388</v>
      </c>
      <c r="M16" s="573">
        <v>113787</v>
      </c>
      <c r="N16" s="573">
        <v>154795</v>
      </c>
      <c r="O16" s="573">
        <v>172191</v>
      </c>
      <c r="P16" s="573">
        <v>198896</v>
      </c>
      <c r="Q16" s="580">
        <v>214342</v>
      </c>
      <c r="R16" s="527">
        <v>8152</v>
      </c>
      <c r="S16" s="524">
        <v>9847</v>
      </c>
      <c r="T16" s="524">
        <v>8577</v>
      </c>
      <c r="U16" s="524">
        <v>9318</v>
      </c>
      <c r="V16" s="524">
        <v>7338</v>
      </c>
      <c r="W16" s="524">
        <v>3999</v>
      </c>
      <c r="X16" s="524">
        <v>3573</v>
      </c>
      <c r="Y16" s="524">
        <v>3410</v>
      </c>
      <c r="Z16" s="524">
        <v>2451</v>
      </c>
      <c r="AA16" s="524">
        <v>2123</v>
      </c>
      <c r="AB16" s="524">
        <v>2320</v>
      </c>
      <c r="AC16" s="524">
        <v>3178</v>
      </c>
      <c r="AD16" s="524">
        <v>3759</v>
      </c>
      <c r="AE16" s="524">
        <v>3868</v>
      </c>
      <c r="AF16" s="533">
        <v>4251</v>
      </c>
      <c r="AG16" s="527">
        <v>29131</v>
      </c>
      <c r="AH16" s="524">
        <v>34514</v>
      </c>
      <c r="AI16" s="524">
        <v>32395</v>
      </c>
      <c r="AJ16" s="524">
        <v>35779</v>
      </c>
      <c r="AK16" s="524">
        <v>24729</v>
      </c>
      <c r="AL16" s="524">
        <v>8280</v>
      </c>
      <c r="AM16" s="524">
        <v>10117</v>
      </c>
      <c r="AN16" s="524">
        <v>12896</v>
      </c>
      <c r="AO16" s="524">
        <v>10589</v>
      </c>
      <c r="AP16" s="524">
        <v>11081</v>
      </c>
      <c r="AQ16" s="524">
        <v>13970</v>
      </c>
      <c r="AR16" s="524">
        <v>19390</v>
      </c>
      <c r="AS16" s="524">
        <v>21089</v>
      </c>
      <c r="AT16" s="524">
        <v>21008</v>
      </c>
      <c r="AU16" s="533">
        <v>20138</v>
      </c>
      <c r="AV16" s="820">
        <f t="shared" si="15"/>
        <v>370697</v>
      </c>
      <c r="AW16" s="541">
        <f t="shared" si="1"/>
        <v>430611</v>
      </c>
      <c r="AX16" s="541">
        <f t="shared" si="2"/>
        <v>314894</v>
      </c>
      <c r="AY16" s="541">
        <f t="shared" si="3"/>
        <v>320660</v>
      </c>
      <c r="AZ16" s="541">
        <f t="shared" si="4"/>
        <v>197939</v>
      </c>
      <c r="BA16" s="541">
        <f t="shared" si="5"/>
        <v>118806</v>
      </c>
      <c r="BB16" s="541">
        <f t="shared" si="6"/>
        <v>129694</v>
      </c>
      <c r="BC16" s="541">
        <f t="shared" si="7"/>
        <v>120680</v>
      </c>
      <c r="BD16" s="541">
        <f t="shared" si="8"/>
        <v>89427</v>
      </c>
      <c r="BE16" s="541">
        <f t="shared" si="9"/>
        <v>98592</v>
      </c>
      <c r="BF16" s="541">
        <f t="shared" si="10"/>
        <v>130077</v>
      </c>
      <c r="BG16" s="541">
        <f t="shared" si="11"/>
        <v>177363</v>
      </c>
      <c r="BH16" s="541">
        <f t="shared" si="12"/>
        <v>197039</v>
      </c>
      <c r="BI16" s="541">
        <f t="shared" si="16"/>
        <v>223772</v>
      </c>
      <c r="BJ16" s="542">
        <f t="shared" si="17"/>
        <v>238731</v>
      </c>
      <c r="BK16" s="920">
        <f t="shared" si="13"/>
        <v>0.06684929303040588</v>
      </c>
      <c r="BL16" s="182" t="s">
        <v>64</v>
      </c>
    </row>
    <row r="17" spans="1:64" ht="12.75" customHeight="1">
      <c r="A17" s="8"/>
      <c r="B17" s="177" t="s">
        <v>65</v>
      </c>
      <c r="C17" s="576">
        <v>407515</v>
      </c>
      <c r="D17" s="577">
        <v>419043</v>
      </c>
      <c r="E17" s="578">
        <v>439194</v>
      </c>
      <c r="F17" s="578">
        <v>460513</v>
      </c>
      <c r="G17" s="578">
        <v>458937</v>
      </c>
      <c r="H17" s="578">
        <v>372590</v>
      </c>
      <c r="I17" s="578">
        <v>415448</v>
      </c>
      <c r="J17" s="578">
        <v>426652</v>
      </c>
      <c r="K17" s="578">
        <v>381233</v>
      </c>
      <c r="L17" s="578">
        <v>364989</v>
      </c>
      <c r="M17" s="578">
        <v>370361</v>
      </c>
      <c r="N17" s="578">
        <v>377741</v>
      </c>
      <c r="O17" s="578">
        <v>408546</v>
      </c>
      <c r="P17" s="578">
        <v>437415</v>
      </c>
      <c r="Q17" s="579">
        <v>457573</v>
      </c>
      <c r="R17" s="534">
        <v>9037</v>
      </c>
      <c r="S17" s="529">
        <v>11314</v>
      </c>
      <c r="T17" s="529">
        <v>9740</v>
      </c>
      <c r="U17" s="529">
        <v>8403</v>
      </c>
      <c r="V17" s="529">
        <v>9707</v>
      </c>
      <c r="W17" s="529">
        <v>7599</v>
      </c>
      <c r="X17" s="529">
        <v>7687</v>
      </c>
      <c r="Y17" s="529">
        <v>9501</v>
      </c>
      <c r="Z17" s="529">
        <v>8208</v>
      </c>
      <c r="AA17" s="529">
        <v>7339</v>
      </c>
      <c r="AB17" s="529">
        <v>6086</v>
      </c>
      <c r="AC17" s="529">
        <v>5925</v>
      </c>
      <c r="AD17" s="529">
        <v>6556</v>
      </c>
      <c r="AE17" s="529">
        <v>6856</v>
      </c>
      <c r="AF17" s="530">
        <v>6944</v>
      </c>
      <c r="AG17" s="534">
        <v>38440</v>
      </c>
      <c r="AH17" s="529">
        <v>49765</v>
      </c>
      <c r="AI17" s="529">
        <v>43613</v>
      </c>
      <c r="AJ17" s="529">
        <v>44405</v>
      </c>
      <c r="AK17" s="529">
        <v>48163</v>
      </c>
      <c r="AL17" s="529">
        <v>28576</v>
      </c>
      <c r="AM17" s="529">
        <v>28172</v>
      </c>
      <c r="AN17" s="529">
        <v>39864</v>
      </c>
      <c r="AO17" s="529">
        <v>37465</v>
      </c>
      <c r="AP17" s="529">
        <v>37626</v>
      </c>
      <c r="AQ17" s="529">
        <v>32698</v>
      </c>
      <c r="AR17" s="529">
        <v>36855</v>
      </c>
      <c r="AS17" s="529">
        <v>41600</v>
      </c>
      <c r="AT17" s="529">
        <v>44452</v>
      </c>
      <c r="AU17" s="530">
        <v>48519</v>
      </c>
      <c r="AV17" s="828">
        <f t="shared" si="15"/>
        <v>454992</v>
      </c>
      <c r="AW17" s="829">
        <f t="shared" si="1"/>
        <v>480122</v>
      </c>
      <c r="AX17" s="829">
        <f t="shared" si="2"/>
        <v>492547</v>
      </c>
      <c r="AY17" s="829">
        <f t="shared" si="3"/>
        <v>513321</v>
      </c>
      <c r="AZ17" s="829">
        <f t="shared" si="4"/>
        <v>516807</v>
      </c>
      <c r="BA17" s="829">
        <f t="shared" si="5"/>
        <v>408765</v>
      </c>
      <c r="BB17" s="829">
        <f t="shared" si="6"/>
        <v>451307</v>
      </c>
      <c r="BC17" s="829">
        <f t="shared" si="7"/>
        <v>476017</v>
      </c>
      <c r="BD17" s="829">
        <f t="shared" si="8"/>
        <v>426906</v>
      </c>
      <c r="BE17" s="829">
        <f t="shared" si="9"/>
        <v>409954</v>
      </c>
      <c r="BF17" s="829">
        <f t="shared" si="10"/>
        <v>409145</v>
      </c>
      <c r="BG17" s="829">
        <f t="shared" si="11"/>
        <v>420521</v>
      </c>
      <c r="BH17" s="829">
        <f t="shared" si="12"/>
        <v>456702</v>
      </c>
      <c r="BI17" s="829">
        <f t="shared" si="16"/>
        <v>488723</v>
      </c>
      <c r="BJ17" s="830">
        <f t="shared" si="17"/>
        <v>513036</v>
      </c>
      <c r="BK17" s="921">
        <f t="shared" si="13"/>
        <v>0.04974801677023599</v>
      </c>
      <c r="BL17" s="180" t="s">
        <v>65</v>
      </c>
    </row>
    <row r="18" spans="1:64" ht="12.75" customHeight="1">
      <c r="A18" s="8"/>
      <c r="B18" s="10" t="s">
        <v>76</v>
      </c>
      <c r="C18" s="571">
        <v>12598</v>
      </c>
      <c r="D18" s="572">
        <v>12650</v>
      </c>
      <c r="E18" s="573">
        <v>13607</v>
      </c>
      <c r="F18" s="573">
        <v>13782</v>
      </c>
      <c r="G18" s="573">
        <v>13148</v>
      </c>
      <c r="H18" s="573">
        <v>6780</v>
      </c>
      <c r="I18" s="573">
        <v>4996</v>
      </c>
      <c r="J18" s="573">
        <v>5198</v>
      </c>
      <c r="K18" s="573">
        <v>5218</v>
      </c>
      <c r="L18" s="581">
        <v>5268</v>
      </c>
      <c r="M18" s="573">
        <v>5219</v>
      </c>
      <c r="N18" s="573">
        <v>6843</v>
      </c>
      <c r="O18" s="573">
        <v>8316</v>
      </c>
      <c r="P18" s="573">
        <v>8500</v>
      </c>
      <c r="Q18" s="580">
        <v>9101</v>
      </c>
      <c r="R18" s="536" t="s">
        <v>80</v>
      </c>
      <c r="S18" s="537" t="s">
        <v>80</v>
      </c>
      <c r="T18" s="537" t="s">
        <v>80</v>
      </c>
      <c r="U18" s="537" t="s">
        <v>80</v>
      </c>
      <c r="V18" s="537" t="s">
        <v>80</v>
      </c>
      <c r="W18" s="538" t="s">
        <v>80</v>
      </c>
      <c r="X18" s="538" t="s">
        <v>80</v>
      </c>
      <c r="Y18" s="538" t="s">
        <v>80</v>
      </c>
      <c r="Z18" s="538" t="s">
        <v>80</v>
      </c>
      <c r="AA18" s="539">
        <v>159</v>
      </c>
      <c r="AB18" s="539">
        <v>179</v>
      </c>
      <c r="AC18" s="539">
        <v>228</v>
      </c>
      <c r="AD18" s="539">
        <v>268</v>
      </c>
      <c r="AE18" s="539">
        <v>273</v>
      </c>
      <c r="AF18" s="540">
        <v>319</v>
      </c>
      <c r="AG18" s="536" t="s">
        <v>80</v>
      </c>
      <c r="AH18" s="537" t="s">
        <v>80</v>
      </c>
      <c r="AI18" s="537" t="s">
        <v>80</v>
      </c>
      <c r="AJ18" s="537" t="s">
        <v>80</v>
      </c>
      <c r="AK18" s="537" t="s">
        <v>80</v>
      </c>
      <c r="AL18" s="537" t="s">
        <v>80</v>
      </c>
      <c r="AM18" s="537" t="s">
        <v>80</v>
      </c>
      <c r="AN18" s="537" t="s">
        <v>80</v>
      </c>
      <c r="AO18" s="537" t="s">
        <v>80</v>
      </c>
      <c r="AP18" s="541">
        <v>479</v>
      </c>
      <c r="AQ18" s="541">
        <v>738</v>
      </c>
      <c r="AR18" s="541">
        <v>749</v>
      </c>
      <c r="AS18" s="541">
        <v>1057</v>
      </c>
      <c r="AT18" s="541">
        <v>1040</v>
      </c>
      <c r="AU18" s="542">
        <v>1077</v>
      </c>
      <c r="AV18" s="820">
        <f aca="true" t="shared" si="18" ref="AV18:BD18">C18</f>
        <v>12598</v>
      </c>
      <c r="AW18" s="541">
        <f t="shared" si="18"/>
        <v>12650</v>
      </c>
      <c r="AX18" s="541">
        <f t="shared" si="18"/>
        <v>13607</v>
      </c>
      <c r="AY18" s="541">
        <f t="shared" si="18"/>
        <v>13782</v>
      </c>
      <c r="AZ18" s="541">
        <f t="shared" si="18"/>
        <v>13148</v>
      </c>
      <c r="BA18" s="541">
        <f t="shared" si="18"/>
        <v>6780</v>
      </c>
      <c r="BB18" s="541">
        <f t="shared" si="18"/>
        <v>4996</v>
      </c>
      <c r="BC18" s="541">
        <f t="shared" si="18"/>
        <v>5198</v>
      </c>
      <c r="BD18" s="541">
        <f t="shared" si="18"/>
        <v>5218</v>
      </c>
      <c r="BE18" s="541">
        <f t="shared" si="9"/>
        <v>5906</v>
      </c>
      <c r="BF18" s="541">
        <f t="shared" si="10"/>
        <v>6136</v>
      </c>
      <c r="BG18" s="541">
        <f t="shared" si="11"/>
        <v>7820</v>
      </c>
      <c r="BH18" s="541">
        <f t="shared" si="12"/>
        <v>9641</v>
      </c>
      <c r="BI18" s="541">
        <f t="shared" si="16"/>
        <v>9813</v>
      </c>
      <c r="BJ18" s="542">
        <f t="shared" si="17"/>
        <v>10497</v>
      </c>
      <c r="BK18" s="920">
        <f t="shared" si="13"/>
        <v>0.06970345460103933</v>
      </c>
      <c r="BL18" s="67" t="s">
        <v>76</v>
      </c>
    </row>
    <row r="19" spans="1:64" ht="12.75" customHeight="1">
      <c r="A19" s="8"/>
      <c r="B19" s="363" t="s">
        <v>67</v>
      </c>
      <c r="C19" s="582">
        <v>214009</v>
      </c>
      <c r="D19" s="583">
        <v>207400</v>
      </c>
      <c r="E19" s="584">
        <v>231436</v>
      </c>
      <c r="F19" s="584">
        <v>242626</v>
      </c>
      <c r="G19" s="584">
        <v>223885</v>
      </c>
      <c r="H19" s="584">
        <v>175405</v>
      </c>
      <c r="I19" s="584">
        <v>179502</v>
      </c>
      <c r="J19" s="584">
        <v>172265</v>
      </c>
      <c r="K19" s="584">
        <v>116673</v>
      </c>
      <c r="L19" s="584">
        <v>100378</v>
      </c>
      <c r="M19" s="584">
        <v>118909</v>
      </c>
      <c r="N19" s="584">
        <v>133680</v>
      </c>
      <c r="O19" s="584">
        <v>200434</v>
      </c>
      <c r="P19" s="584">
        <v>191944</v>
      </c>
      <c r="Q19" s="579">
        <v>180473</v>
      </c>
      <c r="R19" s="545">
        <v>10843</v>
      </c>
      <c r="S19" s="543">
        <v>12101</v>
      </c>
      <c r="T19" s="543">
        <v>10188</v>
      </c>
      <c r="U19" s="543">
        <v>10083</v>
      </c>
      <c r="V19" s="543">
        <v>9286</v>
      </c>
      <c r="W19" s="543">
        <v>6714</v>
      </c>
      <c r="X19" s="543">
        <v>6098</v>
      </c>
      <c r="Y19" s="543">
        <v>6581</v>
      </c>
      <c r="Z19" s="543">
        <v>3590</v>
      </c>
      <c r="AA19" s="543">
        <v>3026</v>
      </c>
      <c r="AB19" s="543">
        <v>3076</v>
      </c>
      <c r="AC19" s="543">
        <v>3318</v>
      </c>
      <c r="AD19" s="543">
        <v>5143</v>
      </c>
      <c r="AE19" s="543">
        <v>4351</v>
      </c>
      <c r="AF19" s="544">
        <v>4740</v>
      </c>
      <c r="AG19" s="545">
        <v>25350</v>
      </c>
      <c r="AH19" s="543">
        <v>28666</v>
      </c>
      <c r="AI19" s="543">
        <v>25560</v>
      </c>
      <c r="AJ19" s="543">
        <v>25737</v>
      </c>
      <c r="AK19" s="543">
        <v>25191</v>
      </c>
      <c r="AL19" s="543">
        <v>12372</v>
      </c>
      <c r="AM19" s="543">
        <v>11749</v>
      </c>
      <c r="AN19" s="543">
        <v>14166</v>
      </c>
      <c r="AO19" s="543">
        <v>10021</v>
      </c>
      <c r="AP19" s="543">
        <v>10503</v>
      </c>
      <c r="AQ19" s="543">
        <v>9168</v>
      </c>
      <c r="AR19" s="543">
        <v>12011</v>
      </c>
      <c r="AS19" s="543">
        <v>18645</v>
      </c>
      <c r="AT19" s="543">
        <v>19258</v>
      </c>
      <c r="AU19" s="544">
        <v>20295</v>
      </c>
      <c r="AV19" s="826">
        <f t="shared" si="15"/>
        <v>250202</v>
      </c>
      <c r="AW19" s="827">
        <f t="shared" si="1"/>
        <v>248167</v>
      </c>
      <c r="AX19" s="827">
        <f t="shared" si="2"/>
        <v>267184</v>
      </c>
      <c r="AY19" s="827">
        <f t="shared" si="3"/>
        <v>278446</v>
      </c>
      <c r="AZ19" s="827">
        <f t="shared" si="4"/>
        <v>258362</v>
      </c>
      <c r="BA19" s="827">
        <f t="shared" si="5"/>
        <v>194491</v>
      </c>
      <c r="BB19" s="827">
        <f t="shared" si="6"/>
        <v>197349</v>
      </c>
      <c r="BC19" s="827">
        <f t="shared" si="7"/>
        <v>193012</v>
      </c>
      <c r="BD19" s="827">
        <f t="shared" si="8"/>
        <v>130284</v>
      </c>
      <c r="BE19" s="827">
        <f t="shared" si="9"/>
        <v>113907</v>
      </c>
      <c r="BF19" s="827">
        <f t="shared" si="10"/>
        <v>131153</v>
      </c>
      <c r="BG19" s="827">
        <f t="shared" si="11"/>
        <v>149009</v>
      </c>
      <c r="BH19" s="827">
        <f t="shared" si="12"/>
        <v>224222</v>
      </c>
      <c r="BI19" s="829">
        <f t="shared" si="16"/>
        <v>215553</v>
      </c>
      <c r="BJ19" s="830">
        <f t="shared" si="17"/>
        <v>205508</v>
      </c>
      <c r="BK19" s="921">
        <f t="shared" si="13"/>
        <v>-0.04660106795080565</v>
      </c>
      <c r="BL19" s="365" t="s">
        <v>67</v>
      </c>
    </row>
    <row r="20" spans="1:64" ht="12.75" customHeight="1">
      <c r="A20" s="8"/>
      <c r="B20" s="181" t="s">
        <v>46</v>
      </c>
      <c r="C20" s="571">
        <v>3479</v>
      </c>
      <c r="D20" s="572">
        <v>3233</v>
      </c>
      <c r="E20" s="573">
        <v>3697</v>
      </c>
      <c r="F20" s="573">
        <v>4578</v>
      </c>
      <c r="G20" s="573">
        <v>5228</v>
      </c>
      <c r="H20" s="573">
        <v>3397</v>
      </c>
      <c r="I20" s="573">
        <v>3584</v>
      </c>
      <c r="J20" s="573">
        <v>2596</v>
      </c>
      <c r="K20" s="573">
        <v>1395</v>
      </c>
      <c r="L20" s="573">
        <v>966</v>
      </c>
      <c r="M20" s="581">
        <v>1151</v>
      </c>
      <c r="N20" s="573">
        <v>1442</v>
      </c>
      <c r="O20" s="573">
        <v>1764</v>
      </c>
      <c r="P20" s="573">
        <v>1990</v>
      </c>
      <c r="Q20" s="580">
        <v>1645</v>
      </c>
      <c r="R20" s="536" t="s">
        <v>80</v>
      </c>
      <c r="S20" s="537" t="s">
        <v>80</v>
      </c>
      <c r="T20" s="537" t="s">
        <v>80</v>
      </c>
      <c r="U20" s="537" t="s">
        <v>80</v>
      </c>
      <c r="V20" s="537" t="s">
        <v>80</v>
      </c>
      <c r="W20" s="538" t="s">
        <v>80</v>
      </c>
      <c r="X20" s="538" t="s">
        <v>80</v>
      </c>
      <c r="Y20" s="538" t="s">
        <v>80</v>
      </c>
      <c r="Z20" s="538" t="s">
        <v>80</v>
      </c>
      <c r="AA20" s="538" t="s">
        <v>80</v>
      </c>
      <c r="AB20" s="539">
        <v>20</v>
      </c>
      <c r="AC20" s="539">
        <v>36</v>
      </c>
      <c r="AD20" s="539">
        <v>58</v>
      </c>
      <c r="AE20" s="539">
        <v>74</v>
      </c>
      <c r="AF20" s="540">
        <v>112</v>
      </c>
      <c r="AG20" s="536" t="s">
        <v>80</v>
      </c>
      <c r="AH20" s="537" t="s">
        <v>80</v>
      </c>
      <c r="AI20" s="537" t="s">
        <v>80</v>
      </c>
      <c r="AJ20" s="537" t="s">
        <v>80</v>
      </c>
      <c r="AK20" s="537" t="s">
        <v>80</v>
      </c>
      <c r="AL20" s="537" t="s">
        <v>80</v>
      </c>
      <c r="AM20" s="537" t="s">
        <v>80</v>
      </c>
      <c r="AN20" s="537" t="s">
        <v>80</v>
      </c>
      <c r="AO20" s="537" t="s">
        <v>80</v>
      </c>
      <c r="AP20" s="537" t="s">
        <v>80</v>
      </c>
      <c r="AQ20" s="541">
        <v>5</v>
      </c>
      <c r="AR20" s="541">
        <v>11</v>
      </c>
      <c r="AS20" s="541">
        <v>12</v>
      </c>
      <c r="AT20" s="541">
        <v>29</v>
      </c>
      <c r="AU20" s="542">
        <v>9</v>
      </c>
      <c r="AV20" s="820">
        <f aca="true" t="shared" si="19" ref="AV20:BE20">C20</f>
        <v>3479</v>
      </c>
      <c r="AW20" s="541">
        <f t="shared" si="19"/>
        <v>3233</v>
      </c>
      <c r="AX20" s="541">
        <f t="shared" si="19"/>
        <v>3697</v>
      </c>
      <c r="AY20" s="541">
        <f t="shared" si="19"/>
        <v>4578</v>
      </c>
      <c r="AZ20" s="541">
        <f t="shared" si="19"/>
        <v>5228</v>
      </c>
      <c r="BA20" s="541">
        <f t="shared" si="19"/>
        <v>3397</v>
      </c>
      <c r="BB20" s="541">
        <f t="shared" si="19"/>
        <v>3584</v>
      </c>
      <c r="BC20" s="541">
        <f t="shared" si="19"/>
        <v>2596</v>
      </c>
      <c r="BD20" s="541">
        <f t="shared" si="19"/>
        <v>1395</v>
      </c>
      <c r="BE20" s="541">
        <f t="shared" si="19"/>
        <v>966</v>
      </c>
      <c r="BF20" s="541">
        <f t="shared" si="10"/>
        <v>1176</v>
      </c>
      <c r="BG20" s="541">
        <f t="shared" si="11"/>
        <v>1489</v>
      </c>
      <c r="BH20" s="541">
        <f t="shared" si="12"/>
        <v>1834</v>
      </c>
      <c r="BI20" s="541">
        <f t="shared" si="16"/>
        <v>2093</v>
      </c>
      <c r="BJ20" s="542">
        <f t="shared" si="17"/>
        <v>1766</v>
      </c>
      <c r="BK20" s="920">
        <f t="shared" si="13"/>
        <v>-0.15623506927854758</v>
      </c>
      <c r="BL20" s="182" t="s">
        <v>46</v>
      </c>
    </row>
    <row r="21" spans="1:64" ht="12.75" customHeight="1">
      <c r="A21" s="8"/>
      <c r="B21" s="363" t="s">
        <v>50</v>
      </c>
      <c r="C21" s="582">
        <v>1404</v>
      </c>
      <c r="D21" s="583">
        <v>1728</v>
      </c>
      <c r="E21" s="584">
        <v>2508</v>
      </c>
      <c r="F21" s="584">
        <v>3458</v>
      </c>
      <c r="G21" s="584">
        <v>2041</v>
      </c>
      <c r="H21" s="584">
        <v>520</v>
      </c>
      <c r="I21" s="584">
        <v>571</v>
      </c>
      <c r="J21" s="584">
        <v>1755</v>
      </c>
      <c r="K21" s="584">
        <v>2236</v>
      </c>
      <c r="L21" s="584">
        <v>2175</v>
      </c>
      <c r="M21" s="584">
        <v>2539</v>
      </c>
      <c r="N21" s="584">
        <v>2348</v>
      </c>
      <c r="O21" s="584">
        <v>2218</v>
      </c>
      <c r="P21" s="584">
        <v>2245</v>
      </c>
      <c r="Q21" s="579">
        <v>2392</v>
      </c>
      <c r="R21" s="545">
        <v>104</v>
      </c>
      <c r="S21" s="543">
        <v>286</v>
      </c>
      <c r="T21" s="543">
        <v>221</v>
      </c>
      <c r="U21" s="543">
        <v>271</v>
      </c>
      <c r="V21" s="543">
        <v>179</v>
      </c>
      <c r="W21" s="543">
        <v>49</v>
      </c>
      <c r="X21" s="543">
        <v>59</v>
      </c>
      <c r="Y21" s="543">
        <v>110</v>
      </c>
      <c r="Z21" s="543">
        <v>89</v>
      </c>
      <c r="AA21" s="543">
        <v>71</v>
      </c>
      <c r="AB21" s="543">
        <v>57</v>
      </c>
      <c r="AC21" s="543">
        <v>76</v>
      </c>
      <c r="AD21" s="543">
        <v>57</v>
      </c>
      <c r="AE21" s="543">
        <v>48</v>
      </c>
      <c r="AF21" s="544">
        <v>62</v>
      </c>
      <c r="AG21" s="545">
        <v>782</v>
      </c>
      <c r="AH21" s="543">
        <v>1023</v>
      </c>
      <c r="AI21" s="543">
        <v>1926</v>
      </c>
      <c r="AJ21" s="543">
        <v>2990</v>
      </c>
      <c r="AK21" s="543">
        <v>1811</v>
      </c>
      <c r="AL21" s="543">
        <v>251</v>
      </c>
      <c r="AM21" s="543">
        <v>410</v>
      </c>
      <c r="AN21" s="543">
        <v>1280</v>
      </c>
      <c r="AO21" s="543">
        <v>1420</v>
      </c>
      <c r="AP21" s="543">
        <v>1229</v>
      </c>
      <c r="AQ21" s="543">
        <v>843</v>
      </c>
      <c r="AR21" s="543">
        <v>1179</v>
      </c>
      <c r="AS21" s="543">
        <v>1531</v>
      </c>
      <c r="AT21" s="543">
        <v>1510</v>
      </c>
      <c r="AU21" s="544">
        <v>1590</v>
      </c>
      <c r="AV21" s="826">
        <f t="shared" si="15"/>
        <v>2290</v>
      </c>
      <c r="AW21" s="827">
        <f t="shared" si="1"/>
        <v>3037</v>
      </c>
      <c r="AX21" s="827">
        <f t="shared" si="2"/>
        <v>4655</v>
      </c>
      <c r="AY21" s="827">
        <f t="shared" si="3"/>
        <v>6719</v>
      </c>
      <c r="AZ21" s="827">
        <f t="shared" si="4"/>
        <v>4031</v>
      </c>
      <c r="BA21" s="827">
        <f t="shared" si="5"/>
        <v>820</v>
      </c>
      <c r="BB21" s="827">
        <f t="shared" si="6"/>
        <v>1040</v>
      </c>
      <c r="BC21" s="827">
        <f t="shared" si="7"/>
        <v>3145</v>
      </c>
      <c r="BD21" s="827">
        <f t="shared" si="8"/>
        <v>3745</v>
      </c>
      <c r="BE21" s="827">
        <f t="shared" si="9"/>
        <v>3475</v>
      </c>
      <c r="BF21" s="827">
        <f t="shared" si="10"/>
        <v>3439</v>
      </c>
      <c r="BG21" s="827">
        <f t="shared" si="11"/>
        <v>3603</v>
      </c>
      <c r="BH21" s="827">
        <f t="shared" si="12"/>
        <v>3806</v>
      </c>
      <c r="BI21" s="829">
        <f t="shared" si="16"/>
        <v>3803</v>
      </c>
      <c r="BJ21" s="830">
        <f t="shared" si="17"/>
        <v>4044</v>
      </c>
      <c r="BK21" s="921">
        <f t="shared" si="13"/>
        <v>0.0633710228766764</v>
      </c>
      <c r="BL21" s="365" t="s">
        <v>50</v>
      </c>
    </row>
    <row r="22" spans="1:64" ht="12.75" customHeight="1">
      <c r="A22" s="8"/>
      <c r="B22" s="181" t="s">
        <v>51</v>
      </c>
      <c r="C22" s="571">
        <v>2064</v>
      </c>
      <c r="D22" s="572">
        <v>3303</v>
      </c>
      <c r="E22" s="573">
        <v>4107</v>
      </c>
      <c r="F22" s="573">
        <v>4251</v>
      </c>
      <c r="G22" s="573">
        <v>3000</v>
      </c>
      <c r="H22" s="573">
        <v>776</v>
      </c>
      <c r="I22" s="573">
        <v>936</v>
      </c>
      <c r="J22" s="573">
        <v>1824</v>
      </c>
      <c r="K22" s="573">
        <v>1600</v>
      </c>
      <c r="L22" s="573">
        <v>1823</v>
      </c>
      <c r="M22" s="573">
        <v>1991</v>
      </c>
      <c r="N22" s="573">
        <v>2369</v>
      </c>
      <c r="O22" s="573">
        <v>2791</v>
      </c>
      <c r="P22" s="573">
        <v>3227</v>
      </c>
      <c r="Q22" s="580">
        <v>3592</v>
      </c>
      <c r="R22" s="527">
        <v>172</v>
      </c>
      <c r="S22" s="524">
        <v>261</v>
      </c>
      <c r="T22" s="524">
        <v>231</v>
      </c>
      <c r="U22" s="524">
        <v>327</v>
      </c>
      <c r="V22" s="524">
        <v>390</v>
      </c>
      <c r="W22" s="524">
        <v>100</v>
      </c>
      <c r="X22" s="524">
        <v>69</v>
      </c>
      <c r="Y22" s="524">
        <v>124</v>
      </c>
      <c r="Z22" s="524">
        <v>110</v>
      </c>
      <c r="AA22" s="524">
        <v>193</v>
      </c>
      <c r="AB22" s="524">
        <v>134</v>
      </c>
      <c r="AC22" s="524">
        <v>105</v>
      </c>
      <c r="AD22" s="524">
        <v>113</v>
      </c>
      <c r="AE22" s="524">
        <v>134</v>
      </c>
      <c r="AF22" s="533">
        <v>112</v>
      </c>
      <c r="AG22" s="527">
        <v>1486</v>
      </c>
      <c r="AH22" s="524">
        <v>2104</v>
      </c>
      <c r="AI22" s="524">
        <v>2893</v>
      </c>
      <c r="AJ22" s="524">
        <v>4679</v>
      </c>
      <c r="AK22" s="524">
        <v>3084</v>
      </c>
      <c r="AL22" s="524">
        <v>414</v>
      </c>
      <c r="AM22" s="524">
        <v>1300</v>
      </c>
      <c r="AN22" s="524">
        <v>2638</v>
      </c>
      <c r="AO22" s="524">
        <v>2649</v>
      </c>
      <c r="AP22" s="524">
        <v>3228</v>
      </c>
      <c r="AQ22" s="524">
        <v>2117</v>
      </c>
      <c r="AR22" s="524">
        <v>3497</v>
      </c>
      <c r="AS22" s="524">
        <v>5891</v>
      </c>
      <c r="AT22" s="524">
        <v>6862</v>
      </c>
      <c r="AU22" s="533">
        <v>8178</v>
      </c>
      <c r="AV22" s="820">
        <f t="shared" si="15"/>
        <v>3722</v>
      </c>
      <c r="AW22" s="541">
        <f t="shared" si="1"/>
        <v>5668</v>
      </c>
      <c r="AX22" s="541">
        <f t="shared" si="2"/>
        <v>7231</v>
      </c>
      <c r="AY22" s="541">
        <f t="shared" si="3"/>
        <v>9257</v>
      </c>
      <c r="AZ22" s="541">
        <f t="shared" si="4"/>
        <v>6474</v>
      </c>
      <c r="BA22" s="541">
        <f t="shared" si="5"/>
        <v>1290</v>
      </c>
      <c r="BB22" s="541">
        <f t="shared" si="6"/>
        <v>2305</v>
      </c>
      <c r="BC22" s="541">
        <f t="shared" si="7"/>
        <v>4586</v>
      </c>
      <c r="BD22" s="541">
        <f t="shared" si="8"/>
        <v>4359</v>
      </c>
      <c r="BE22" s="541">
        <f t="shared" si="9"/>
        <v>5244</v>
      </c>
      <c r="BF22" s="541">
        <f t="shared" si="10"/>
        <v>4242</v>
      </c>
      <c r="BG22" s="541">
        <f t="shared" si="11"/>
        <v>5971</v>
      </c>
      <c r="BH22" s="541">
        <f t="shared" si="12"/>
        <v>8795</v>
      </c>
      <c r="BI22" s="541">
        <f t="shared" si="16"/>
        <v>10223</v>
      </c>
      <c r="BJ22" s="542">
        <f t="shared" si="17"/>
        <v>11882</v>
      </c>
      <c r="BK22" s="920">
        <f t="shared" si="13"/>
        <v>0.16228113078352724</v>
      </c>
      <c r="BL22" s="182" t="s">
        <v>51</v>
      </c>
    </row>
    <row r="23" spans="1:64" ht="12.75" customHeight="1">
      <c r="A23" s="8"/>
      <c r="B23" s="363" t="s">
        <v>68</v>
      </c>
      <c r="C23" s="582">
        <v>2670</v>
      </c>
      <c r="D23" s="583">
        <v>3025</v>
      </c>
      <c r="E23" s="584">
        <v>3083</v>
      </c>
      <c r="F23" s="584">
        <v>3492</v>
      </c>
      <c r="G23" s="584">
        <v>4028</v>
      </c>
      <c r="H23" s="584">
        <v>3063</v>
      </c>
      <c r="I23" s="584">
        <v>3246</v>
      </c>
      <c r="J23" s="584">
        <v>3592</v>
      </c>
      <c r="K23" s="584">
        <v>3424</v>
      </c>
      <c r="L23" s="584">
        <v>3276</v>
      </c>
      <c r="M23" s="584">
        <v>3529</v>
      </c>
      <c r="N23" s="584">
        <v>3949</v>
      </c>
      <c r="O23" s="584">
        <v>4549</v>
      </c>
      <c r="P23" s="584">
        <v>4861</v>
      </c>
      <c r="Q23" s="579">
        <v>4707</v>
      </c>
      <c r="R23" s="545">
        <v>159</v>
      </c>
      <c r="S23" s="543">
        <v>219</v>
      </c>
      <c r="T23" s="543">
        <v>159</v>
      </c>
      <c r="U23" s="543">
        <v>175</v>
      </c>
      <c r="V23" s="543">
        <v>209</v>
      </c>
      <c r="W23" s="543">
        <v>135</v>
      </c>
      <c r="X23" s="543">
        <v>147</v>
      </c>
      <c r="Y23" s="543">
        <v>193</v>
      </c>
      <c r="Z23" s="543">
        <v>169</v>
      </c>
      <c r="AA23" s="543">
        <v>163</v>
      </c>
      <c r="AB23" s="543">
        <v>170</v>
      </c>
      <c r="AC23" s="543">
        <v>147</v>
      </c>
      <c r="AD23" s="543">
        <v>153</v>
      </c>
      <c r="AE23" s="543">
        <v>161</v>
      </c>
      <c r="AF23" s="544">
        <v>147</v>
      </c>
      <c r="AG23" s="545">
        <v>879</v>
      </c>
      <c r="AH23" s="543">
        <v>1361</v>
      </c>
      <c r="AI23" s="543">
        <v>1265</v>
      </c>
      <c r="AJ23" s="543">
        <v>1472</v>
      </c>
      <c r="AK23" s="543">
        <v>1584</v>
      </c>
      <c r="AL23" s="543">
        <v>790</v>
      </c>
      <c r="AM23" s="543">
        <v>700</v>
      </c>
      <c r="AN23" s="543">
        <v>1153</v>
      </c>
      <c r="AO23" s="543">
        <v>899</v>
      </c>
      <c r="AP23" s="543">
        <v>848</v>
      </c>
      <c r="AQ23" s="543">
        <v>918</v>
      </c>
      <c r="AR23" s="543">
        <v>1005</v>
      </c>
      <c r="AS23" s="543">
        <v>1135</v>
      </c>
      <c r="AT23" s="543">
        <v>1116</v>
      </c>
      <c r="AU23" s="544">
        <v>1200</v>
      </c>
      <c r="AV23" s="826">
        <f t="shared" si="15"/>
        <v>3708</v>
      </c>
      <c r="AW23" s="827">
        <f t="shared" si="1"/>
        <v>4605</v>
      </c>
      <c r="AX23" s="827">
        <f t="shared" si="2"/>
        <v>4507</v>
      </c>
      <c r="AY23" s="827">
        <f t="shared" si="3"/>
        <v>5139</v>
      </c>
      <c r="AZ23" s="827">
        <f t="shared" si="4"/>
        <v>5821</v>
      </c>
      <c r="BA23" s="827">
        <f t="shared" si="5"/>
        <v>3988</v>
      </c>
      <c r="BB23" s="827">
        <f t="shared" si="6"/>
        <v>4093</v>
      </c>
      <c r="BC23" s="827">
        <f t="shared" si="7"/>
        <v>4938</v>
      </c>
      <c r="BD23" s="827">
        <f t="shared" si="8"/>
        <v>4492</v>
      </c>
      <c r="BE23" s="827">
        <f t="shared" si="9"/>
        <v>4287</v>
      </c>
      <c r="BF23" s="827">
        <f t="shared" si="10"/>
        <v>4617</v>
      </c>
      <c r="BG23" s="827">
        <f t="shared" si="11"/>
        <v>5101</v>
      </c>
      <c r="BH23" s="827">
        <f t="shared" si="12"/>
        <v>5837</v>
      </c>
      <c r="BI23" s="829">
        <f t="shared" si="16"/>
        <v>6138</v>
      </c>
      <c r="BJ23" s="830">
        <f t="shared" si="17"/>
        <v>6054</v>
      </c>
      <c r="BK23" s="921">
        <f t="shared" si="13"/>
        <v>-0.013685239491691092</v>
      </c>
      <c r="BL23" s="365" t="s">
        <v>68</v>
      </c>
    </row>
    <row r="24" spans="1:64" ht="12.75" customHeight="1">
      <c r="A24" s="8"/>
      <c r="B24" s="181" t="s">
        <v>49</v>
      </c>
      <c r="C24" s="571">
        <v>29641</v>
      </c>
      <c r="D24" s="572">
        <v>35500</v>
      </c>
      <c r="E24" s="573">
        <v>21604</v>
      </c>
      <c r="F24" s="573">
        <v>21920</v>
      </c>
      <c r="G24" s="573">
        <v>21559</v>
      </c>
      <c r="H24" s="573">
        <v>10619</v>
      </c>
      <c r="I24" s="573">
        <v>9187</v>
      </c>
      <c r="J24" s="573">
        <v>11446</v>
      </c>
      <c r="K24" s="573">
        <v>10952</v>
      </c>
      <c r="L24" s="573">
        <v>11424</v>
      </c>
      <c r="M24" s="573">
        <v>15937</v>
      </c>
      <c r="N24" s="573">
        <v>17516</v>
      </c>
      <c r="O24" s="573">
        <v>21335</v>
      </c>
      <c r="P24" s="573">
        <v>19943</v>
      </c>
      <c r="Q24" s="580">
        <v>22725</v>
      </c>
      <c r="R24" s="536"/>
      <c r="S24" s="537"/>
      <c r="T24" s="537"/>
      <c r="U24" s="537"/>
      <c r="V24" s="537"/>
      <c r="W24" s="524"/>
      <c r="X24" s="524">
        <v>313</v>
      </c>
      <c r="Y24" s="524">
        <v>417</v>
      </c>
      <c r="Z24" s="524">
        <v>371</v>
      </c>
      <c r="AA24" s="524">
        <v>434</v>
      </c>
      <c r="AB24" s="524">
        <v>400</v>
      </c>
      <c r="AC24" s="524">
        <v>471</v>
      </c>
      <c r="AD24" s="524">
        <v>475</v>
      </c>
      <c r="AE24" s="524">
        <v>674</v>
      </c>
      <c r="AF24" s="533">
        <v>665</v>
      </c>
      <c r="AG24" s="527">
        <v>5146</v>
      </c>
      <c r="AH24" s="524">
        <v>6171</v>
      </c>
      <c r="AI24" s="524"/>
      <c r="AJ24" s="524"/>
      <c r="AK24" s="524"/>
      <c r="AL24" s="524"/>
      <c r="AM24" s="524">
        <v>1965</v>
      </c>
      <c r="AN24" s="524">
        <v>3884</v>
      </c>
      <c r="AO24" s="524">
        <v>3949</v>
      </c>
      <c r="AP24" s="524">
        <v>4546</v>
      </c>
      <c r="AQ24" s="524">
        <v>4439</v>
      </c>
      <c r="AR24" s="524">
        <v>5231</v>
      </c>
      <c r="AS24" s="524">
        <v>5038</v>
      </c>
      <c r="AT24" s="524">
        <v>5178</v>
      </c>
      <c r="AU24" s="533">
        <v>5580</v>
      </c>
      <c r="AV24" s="820">
        <f t="shared" si="15"/>
        <v>34787</v>
      </c>
      <c r="AW24" s="541">
        <f t="shared" si="1"/>
        <v>41671</v>
      </c>
      <c r="AX24" s="541">
        <f t="shared" si="2"/>
        <v>21604</v>
      </c>
      <c r="AY24" s="541">
        <f t="shared" si="3"/>
        <v>21920</v>
      </c>
      <c r="AZ24" s="541">
        <f t="shared" si="4"/>
        <v>21559</v>
      </c>
      <c r="BA24" s="541">
        <f t="shared" si="5"/>
        <v>10619</v>
      </c>
      <c r="BB24" s="541">
        <f t="shared" si="6"/>
        <v>11465</v>
      </c>
      <c r="BC24" s="541">
        <f t="shared" si="7"/>
        <v>15747</v>
      </c>
      <c r="BD24" s="541">
        <f t="shared" si="8"/>
        <v>15272</v>
      </c>
      <c r="BE24" s="541">
        <f t="shared" si="9"/>
        <v>16404</v>
      </c>
      <c r="BF24" s="541">
        <f t="shared" si="10"/>
        <v>20776</v>
      </c>
      <c r="BG24" s="541">
        <f t="shared" si="11"/>
        <v>23218</v>
      </c>
      <c r="BH24" s="541">
        <f t="shared" si="12"/>
        <v>26848</v>
      </c>
      <c r="BI24" s="541">
        <f t="shared" si="16"/>
        <v>25795</v>
      </c>
      <c r="BJ24" s="542">
        <f t="shared" si="17"/>
        <v>28970</v>
      </c>
      <c r="BK24" s="920">
        <f t="shared" si="13"/>
        <v>0.12308586935452603</v>
      </c>
      <c r="BL24" s="182" t="s">
        <v>49</v>
      </c>
    </row>
    <row r="25" spans="1:64" ht="12.75" customHeight="1">
      <c r="A25" s="8"/>
      <c r="B25" s="363" t="s">
        <v>52</v>
      </c>
      <c r="C25" s="582">
        <v>375</v>
      </c>
      <c r="D25" s="583">
        <v>652</v>
      </c>
      <c r="E25" s="584">
        <v>564</v>
      </c>
      <c r="F25" s="584">
        <v>865</v>
      </c>
      <c r="G25" s="584">
        <v>783</v>
      </c>
      <c r="H25" s="584">
        <v>471</v>
      </c>
      <c r="I25" s="584">
        <v>924</v>
      </c>
      <c r="J25" s="584">
        <v>1392</v>
      </c>
      <c r="K25" s="584">
        <v>552</v>
      </c>
      <c r="L25" s="584">
        <v>536</v>
      </c>
      <c r="M25" s="584">
        <v>536</v>
      </c>
      <c r="N25" s="584">
        <v>597</v>
      </c>
      <c r="O25" s="584">
        <v>742</v>
      </c>
      <c r="P25" s="584">
        <v>738</v>
      </c>
      <c r="Q25" s="585">
        <v>903</v>
      </c>
      <c r="R25" s="546" t="s">
        <v>80</v>
      </c>
      <c r="S25" s="547" t="s">
        <v>80</v>
      </c>
      <c r="T25" s="547" t="s">
        <v>80</v>
      </c>
      <c r="U25" s="547" t="s">
        <v>80</v>
      </c>
      <c r="V25" s="547" t="s">
        <v>80</v>
      </c>
      <c r="W25" s="547" t="s">
        <v>80</v>
      </c>
      <c r="X25" s="547" t="s">
        <v>80</v>
      </c>
      <c r="Y25" s="547" t="s">
        <v>80</v>
      </c>
      <c r="Z25" s="547" t="s">
        <v>80</v>
      </c>
      <c r="AA25" s="547" t="s">
        <v>80</v>
      </c>
      <c r="AB25" s="547" t="s">
        <v>80</v>
      </c>
      <c r="AC25" s="547" t="s">
        <v>80</v>
      </c>
      <c r="AD25" s="547" t="s">
        <v>80</v>
      </c>
      <c r="AE25" s="547" t="s">
        <v>80</v>
      </c>
      <c r="AF25" s="547" t="s">
        <v>80</v>
      </c>
      <c r="AG25" s="546" t="s">
        <v>80</v>
      </c>
      <c r="AH25" s="547" t="s">
        <v>80</v>
      </c>
      <c r="AI25" s="547" t="s">
        <v>80</v>
      </c>
      <c r="AJ25" s="547" t="s">
        <v>80</v>
      </c>
      <c r="AK25" s="547" t="s">
        <v>80</v>
      </c>
      <c r="AL25" s="547" t="s">
        <v>80</v>
      </c>
      <c r="AM25" s="547" t="s">
        <v>80</v>
      </c>
      <c r="AN25" s="547" t="s">
        <v>80</v>
      </c>
      <c r="AO25" s="547" t="s">
        <v>80</v>
      </c>
      <c r="AP25" s="547" t="s">
        <v>80</v>
      </c>
      <c r="AQ25" s="547" t="s">
        <v>80</v>
      </c>
      <c r="AR25" s="547" t="s">
        <v>80</v>
      </c>
      <c r="AS25" s="547" t="s">
        <v>80</v>
      </c>
      <c r="AT25" s="547" t="s">
        <v>80</v>
      </c>
      <c r="AU25" s="547" t="s">
        <v>80</v>
      </c>
      <c r="AV25" s="831">
        <f aca="true" t="shared" si="20" ref="AV25:BH25">C25</f>
        <v>375</v>
      </c>
      <c r="AW25" s="832">
        <f t="shared" si="20"/>
        <v>652</v>
      </c>
      <c r="AX25" s="832">
        <f t="shared" si="20"/>
        <v>564</v>
      </c>
      <c r="AY25" s="832">
        <f t="shared" si="20"/>
        <v>865</v>
      </c>
      <c r="AZ25" s="832">
        <f t="shared" si="20"/>
        <v>783</v>
      </c>
      <c r="BA25" s="832">
        <f t="shared" si="20"/>
        <v>471</v>
      </c>
      <c r="BB25" s="832">
        <f t="shared" si="20"/>
        <v>924</v>
      </c>
      <c r="BC25" s="832">
        <f t="shared" si="20"/>
        <v>1392</v>
      </c>
      <c r="BD25" s="832">
        <f t="shared" si="20"/>
        <v>552</v>
      </c>
      <c r="BE25" s="832">
        <f t="shared" si="20"/>
        <v>536</v>
      </c>
      <c r="BF25" s="832">
        <f t="shared" si="20"/>
        <v>536</v>
      </c>
      <c r="BG25" s="832">
        <f t="shared" si="20"/>
        <v>597</v>
      </c>
      <c r="BH25" s="832">
        <f t="shared" si="20"/>
        <v>742</v>
      </c>
      <c r="BI25" s="829">
        <f>P25</f>
        <v>738</v>
      </c>
      <c r="BJ25" s="830">
        <f t="shared" si="17"/>
        <v>901</v>
      </c>
      <c r="BK25" s="921">
        <f t="shared" si="13"/>
        <v>0.22086720867208665</v>
      </c>
      <c r="BL25" s="365" t="s">
        <v>52</v>
      </c>
    </row>
    <row r="26" spans="1:64" ht="12.75" customHeight="1">
      <c r="A26" s="8"/>
      <c r="B26" s="10" t="s">
        <v>60</v>
      </c>
      <c r="C26" s="571">
        <v>86126</v>
      </c>
      <c r="D26" s="572">
        <v>65224</v>
      </c>
      <c r="E26" s="573">
        <v>63913</v>
      </c>
      <c r="F26" s="573">
        <v>80830</v>
      </c>
      <c r="G26" s="573">
        <v>84654</v>
      </c>
      <c r="H26" s="573">
        <v>51281</v>
      </c>
      <c r="I26" s="573">
        <v>49564</v>
      </c>
      <c r="J26" s="573">
        <v>58653</v>
      </c>
      <c r="K26" s="573">
        <v>56543</v>
      </c>
      <c r="L26" s="573">
        <v>50246</v>
      </c>
      <c r="M26" s="573">
        <v>51523</v>
      </c>
      <c r="N26" s="573">
        <v>57376</v>
      </c>
      <c r="O26" s="573">
        <v>70061</v>
      </c>
      <c r="P26" s="573">
        <v>73116</v>
      </c>
      <c r="Q26" s="580">
        <v>78604</v>
      </c>
      <c r="R26" s="527">
        <v>2799</v>
      </c>
      <c r="S26" s="524">
        <v>3255</v>
      </c>
      <c r="T26" s="524">
        <v>3309</v>
      </c>
      <c r="U26" s="524">
        <v>2167</v>
      </c>
      <c r="V26" s="524">
        <v>2555</v>
      </c>
      <c r="W26" s="524">
        <v>1794</v>
      </c>
      <c r="X26" s="524">
        <v>1689</v>
      </c>
      <c r="Y26" s="524">
        <v>1753</v>
      </c>
      <c r="Z26" s="524">
        <v>1778</v>
      </c>
      <c r="AA26" s="524">
        <v>1757</v>
      </c>
      <c r="AB26" s="524">
        <v>1258</v>
      </c>
      <c r="AC26" s="524">
        <v>1602</v>
      </c>
      <c r="AD26" s="524">
        <v>1765</v>
      </c>
      <c r="AE26" s="524">
        <v>1621</v>
      </c>
      <c r="AF26" s="533">
        <v>1970</v>
      </c>
      <c r="AG26" s="527">
        <v>11588</v>
      </c>
      <c r="AH26" s="524">
        <v>12290</v>
      </c>
      <c r="AI26" s="524">
        <v>16695</v>
      </c>
      <c r="AJ26" s="524">
        <v>13117</v>
      </c>
      <c r="AK26" s="524">
        <v>15719</v>
      </c>
      <c r="AL26" s="524">
        <v>9963</v>
      </c>
      <c r="AM26" s="524">
        <v>8959</v>
      </c>
      <c r="AN26" s="524">
        <v>11172</v>
      </c>
      <c r="AO26" s="524">
        <v>10569</v>
      </c>
      <c r="AP26" s="524">
        <v>11810</v>
      </c>
      <c r="AQ26" s="524">
        <v>9326</v>
      </c>
      <c r="AR26" s="524">
        <v>12478</v>
      </c>
      <c r="AS26" s="524">
        <v>13953</v>
      </c>
      <c r="AT26" s="524">
        <v>13382</v>
      </c>
      <c r="AU26" s="533">
        <v>14773</v>
      </c>
      <c r="AV26" s="820">
        <f t="shared" si="15"/>
        <v>100513</v>
      </c>
      <c r="AW26" s="541">
        <f t="shared" si="1"/>
        <v>80769</v>
      </c>
      <c r="AX26" s="541">
        <f t="shared" si="2"/>
        <v>83917</v>
      </c>
      <c r="AY26" s="541">
        <f t="shared" si="3"/>
        <v>96114</v>
      </c>
      <c r="AZ26" s="541">
        <f t="shared" si="4"/>
        <v>102928</v>
      </c>
      <c r="BA26" s="541">
        <f t="shared" si="5"/>
        <v>63038</v>
      </c>
      <c r="BB26" s="541">
        <f t="shared" si="6"/>
        <v>60212</v>
      </c>
      <c r="BC26" s="541">
        <f t="shared" si="7"/>
        <v>71578</v>
      </c>
      <c r="BD26" s="541">
        <f t="shared" si="8"/>
        <v>68890</v>
      </c>
      <c r="BE26" s="541">
        <f t="shared" si="9"/>
        <v>63813</v>
      </c>
      <c r="BF26" s="541">
        <f t="shared" si="10"/>
        <v>62107</v>
      </c>
      <c r="BG26" s="541">
        <f t="shared" si="11"/>
        <v>71456</v>
      </c>
      <c r="BH26" s="541">
        <f t="shared" si="12"/>
        <v>85779</v>
      </c>
      <c r="BI26" s="541">
        <f t="shared" si="16"/>
        <v>88119</v>
      </c>
      <c r="BJ26" s="542">
        <f t="shared" si="17"/>
        <v>95347</v>
      </c>
      <c r="BK26" s="920">
        <f t="shared" si="13"/>
        <v>0.08202544286703217</v>
      </c>
      <c r="BL26" s="67" t="s">
        <v>60</v>
      </c>
    </row>
    <row r="27" spans="1:64" ht="12.75" customHeight="1">
      <c r="A27" s="8"/>
      <c r="B27" s="363" t="s">
        <v>69</v>
      </c>
      <c r="C27" s="582">
        <v>28888</v>
      </c>
      <c r="D27" s="583">
        <v>28752</v>
      </c>
      <c r="E27" s="584">
        <v>30357</v>
      </c>
      <c r="F27" s="584">
        <v>32322</v>
      </c>
      <c r="G27" s="584">
        <v>32763</v>
      </c>
      <c r="H27" s="584">
        <v>25582</v>
      </c>
      <c r="I27" s="584">
        <v>27992</v>
      </c>
      <c r="J27" s="584">
        <v>32563</v>
      </c>
      <c r="K27" s="584">
        <v>31505</v>
      </c>
      <c r="L27" s="584">
        <v>30714</v>
      </c>
      <c r="M27" s="584">
        <v>31171</v>
      </c>
      <c r="N27" s="584">
        <v>32852</v>
      </c>
      <c r="O27" s="584">
        <v>35906</v>
      </c>
      <c r="P27" s="584">
        <v>40158</v>
      </c>
      <c r="Q27" s="585">
        <v>43619</v>
      </c>
      <c r="R27" s="545">
        <v>1047</v>
      </c>
      <c r="S27" s="543">
        <v>1048</v>
      </c>
      <c r="T27" s="543">
        <v>992</v>
      </c>
      <c r="U27" s="543">
        <v>1144</v>
      </c>
      <c r="V27" s="543">
        <v>1158</v>
      </c>
      <c r="W27" s="543">
        <v>864</v>
      </c>
      <c r="X27" s="543">
        <v>798</v>
      </c>
      <c r="Y27" s="543">
        <v>899</v>
      </c>
      <c r="Z27" s="543">
        <v>847</v>
      </c>
      <c r="AA27" s="543">
        <v>794</v>
      </c>
      <c r="AB27" s="543">
        <v>791</v>
      </c>
      <c r="AC27" s="543">
        <v>830</v>
      </c>
      <c r="AD27" s="543">
        <v>842</v>
      </c>
      <c r="AE27" s="543">
        <v>804</v>
      </c>
      <c r="AF27" s="544">
        <v>780</v>
      </c>
      <c r="AG27" s="545">
        <v>8643</v>
      </c>
      <c r="AH27" s="543">
        <v>7878</v>
      </c>
      <c r="AI27" s="543">
        <v>6617</v>
      </c>
      <c r="AJ27" s="543">
        <v>7273</v>
      </c>
      <c r="AK27" s="543">
        <v>7432</v>
      </c>
      <c r="AL27" s="543">
        <v>3926</v>
      </c>
      <c r="AM27" s="543">
        <v>4387</v>
      </c>
      <c r="AN27" s="543">
        <v>6446</v>
      </c>
      <c r="AO27" s="543">
        <v>5807</v>
      </c>
      <c r="AP27" s="543">
        <v>6636</v>
      </c>
      <c r="AQ27" s="543">
        <v>6035</v>
      </c>
      <c r="AR27" s="543">
        <v>6461</v>
      </c>
      <c r="AS27" s="543">
        <v>7150</v>
      </c>
      <c r="AT27" s="543">
        <v>7398</v>
      </c>
      <c r="AU27" s="544">
        <v>7469</v>
      </c>
      <c r="AV27" s="826">
        <f t="shared" si="15"/>
        <v>38578</v>
      </c>
      <c r="AW27" s="827">
        <f t="shared" si="1"/>
        <v>37678</v>
      </c>
      <c r="AX27" s="827">
        <f t="shared" si="2"/>
        <v>37966</v>
      </c>
      <c r="AY27" s="827">
        <f t="shared" si="3"/>
        <v>40739</v>
      </c>
      <c r="AZ27" s="827">
        <f t="shared" si="4"/>
        <v>41353</v>
      </c>
      <c r="BA27" s="827">
        <f t="shared" si="5"/>
        <v>30372</v>
      </c>
      <c r="BB27" s="827">
        <f t="shared" si="6"/>
        <v>33177</v>
      </c>
      <c r="BC27" s="827">
        <f t="shared" si="7"/>
        <v>39908</v>
      </c>
      <c r="BD27" s="827">
        <f t="shared" si="8"/>
        <v>38159</v>
      </c>
      <c r="BE27" s="827">
        <f t="shared" si="9"/>
        <v>38144</v>
      </c>
      <c r="BF27" s="827">
        <f t="shared" si="10"/>
        <v>37997</v>
      </c>
      <c r="BG27" s="827">
        <f t="shared" si="11"/>
        <v>40143</v>
      </c>
      <c r="BH27" s="827">
        <f t="shared" si="12"/>
        <v>43898</v>
      </c>
      <c r="BI27" s="829">
        <f t="shared" si="16"/>
        <v>48360</v>
      </c>
      <c r="BJ27" s="830">
        <f t="shared" si="17"/>
        <v>51868</v>
      </c>
      <c r="BK27" s="921">
        <f t="shared" si="13"/>
        <v>0.07253928866832093</v>
      </c>
      <c r="BL27" s="365" t="s">
        <v>69</v>
      </c>
    </row>
    <row r="28" spans="1:64" ht="12.75" customHeight="1">
      <c r="A28" s="8"/>
      <c r="B28" s="181" t="s">
        <v>53</v>
      </c>
      <c r="C28" s="571">
        <v>34508</v>
      </c>
      <c r="D28" s="572">
        <v>35270</v>
      </c>
      <c r="E28" s="573">
        <v>38618</v>
      </c>
      <c r="F28" s="573">
        <v>52048</v>
      </c>
      <c r="G28" s="573">
        <v>55896</v>
      </c>
      <c r="H28" s="573">
        <v>40232</v>
      </c>
      <c r="I28" s="573">
        <v>38647</v>
      </c>
      <c r="J28" s="573">
        <v>45511</v>
      </c>
      <c r="K28" s="573">
        <v>38425</v>
      </c>
      <c r="L28" s="573">
        <v>41143</v>
      </c>
      <c r="M28" s="573">
        <v>44199</v>
      </c>
      <c r="N28" s="573">
        <v>50307</v>
      </c>
      <c r="O28" s="573">
        <v>56686</v>
      </c>
      <c r="P28" s="573">
        <v>57322</v>
      </c>
      <c r="Q28" s="580">
        <v>66869</v>
      </c>
      <c r="R28" s="527">
        <v>4092</v>
      </c>
      <c r="S28" s="524">
        <v>4377</v>
      </c>
      <c r="T28" s="524">
        <v>5162</v>
      </c>
      <c r="U28" s="524">
        <v>6330</v>
      </c>
      <c r="V28" s="524">
        <v>6004</v>
      </c>
      <c r="W28" s="524">
        <v>3650</v>
      </c>
      <c r="X28" s="524">
        <v>4497</v>
      </c>
      <c r="Y28" s="524">
        <v>2550</v>
      </c>
      <c r="Z28" s="524">
        <v>2249</v>
      </c>
      <c r="AA28" s="524">
        <v>2928</v>
      </c>
      <c r="AB28" s="524">
        <v>2280</v>
      </c>
      <c r="AC28" s="524">
        <v>2127</v>
      </c>
      <c r="AD28" s="524">
        <v>2120</v>
      </c>
      <c r="AE28" s="524">
        <v>2078</v>
      </c>
      <c r="AF28" s="533">
        <v>2269</v>
      </c>
      <c r="AG28" s="527">
        <v>8449</v>
      </c>
      <c r="AH28" s="524">
        <v>7417</v>
      </c>
      <c r="AI28" s="524">
        <v>10734</v>
      </c>
      <c r="AJ28" s="524">
        <v>18243</v>
      </c>
      <c r="AK28" s="524">
        <v>16401</v>
      </c>
      <c r="AL28" s="524">
        <v>6235</v>
      </c>
      <c r="AM28" s="524">
        <v>8516</v>
      </c>
      <c r="AN28" s="524">
        <v>14555</v>
      </c>
      <c r="AO28" s="524">
        <v>14389</v>
      </c>
      <c r="AP28" s="524">
        <v>16775</v>
      </c>
      <c r="AQ28" s="524">
        <v>15431</v>
      </c>
      <c r="AR28" s="524">
        <v>20303</v>
      </c>
      <c r="AS28" s="524">
        <v>24493</v>
      </c>
      <c r="AT28" s="524">
        <v>24813</v>
      </c>
      <c r="AU28" s="533">
        <v>28427</v>
      </c>
      <c r="AV28" s="820">
        <f t="shared" si="15"/>
        <v>47049</v>
      </c>
      <c r="AW28" s="541">
        <f t="shared" si="1"/>
        <v>47064</v>
      </c>
      <c r="AX28" s="541">
        <f t="shared" si="2"/>
        <v>54514</v>
      </c>
      <c r="AY28" s="541">
        <f t="shared" si="3"/>
        <v>76621</v>
      </c>
      <c r="AZ28" s="541">
        <f t="shared" si="4"/>
        <v>78301</v>
      </c>
      <c r="BA28" s="541">
        <f t="shared" si="5"/>
        <v>50117</v>
      </c>
      <c r="BB28" s="541">
        <f t="shared" si="6"/>
        <v>51660</v>
      </c>
      <c r="BC28" s="541">
        <f t="shared" si="7"/>
        <v>62616</v>
      </c>
      <c r="BD28" s="541">
        <f t="shared" si="8"/>
        <v>55063</v>
      </c>
      <c r="BE28" s="541">
        <f t="shared" si="9"/>
        <v>60846</v>
      </c>
      <c r="BF28" s="541">
        <f t="shared" si="10"/>
        <v>61910</v>
      </c>
      <c r="BG28" s="541">
        <f t="shared" si="11"/>
        <v>72737</v>
      </c>
      <c r="BH28" s="541">
        <f t="shared" si="12"/>
        <v>83299</v>
      </c>
      <c r="BI28" s="541">
        <f t="shared" si="16"/>
        <v>84213</v>
      </c>
      <c r="BJ28" s="542">
        <f t="shared" si="17"/>
        <v>97565</v>
      </c>
      <c r="BK28" s="920">
        <f t="shared" si="13"/>
        <v>0.1585503425836865</v>
      </c>
      <c r="BL28" s="182" t="s">
        <v>53</v>
      </c>
    </row>
    <row r="29" spans="1:64" ht="12.75" customHeight="1">
      <c r="A29" s="8"/>
      <c r="B29" s="363" t="s">
        <v>70</v>
      </c>
      <c r="C29" s="582">
        <v>70890</v>
      </c>
      <c r="D29" s="583">
        <v>66632</v>
      </c>
      <c r="E29" s="584">
        <v>64342</v>
      </c>
      <c r="F29" s="584">
        <v>68418</v>
      </c>
      <c r="G29" s="584">
        <v>55398</v>
      </c>
      <c r="H29" s="584">
        <v>38905</v>
      </c>
      <c r="I29" s="584">
        <v>45650</v>
      </c>
      <c r="J29" s="584">
        <v>34877</v>
      </c>
      <c r="K29" s="584">
        <v>16002</v>
      </c>
      <c r="L29" s="584">
        <v>18202</v>
      </c>
      <c r="M29" s="584">
        <v>26166</v>
      </c>
      <c r="N29" s="584">
        <v>30858</v>
      </c>
      <c r="O29" s="584">
        <v>34890</v>
      </c>
      <c r="P29" s="584">
        <v>38506</v>
      </c>
      <c r="Q29" s="585">
        <v>39333</v>
      </c>
      <c r="R29" s="545">
        <v>1288</v>
      </c>
      <c r="S29" s="543">
        <v>1563</v>
      </c>
      <c r="T29" s="543">
        <v>1329</v>
      </c>
      <c r="U29" s="543">
        <v>1398</v>
      </c>
      <c r="V29" s="543">
        <v>1048</v>
      </c>
      <c r="W29" s="543">
        <v>847</v>
      </c>
      <c r="X29" s="543">
        <v>745</v>
      </c>
      <c r="Y29" s="543">
        <v>651</v>
      </c>
      <c r="Z29" s="543">
        <v>336</v>
      </c>
      <c r="AA29" s="543">
        <v>345</v>
      </c>
      <c r="AB29" s="543">
        <v>565</v>
      </c>
      <c r="AC29" s="543">
        <v>577</v>
      </c>
      <c r="AD29" s="543">
        <v>596</v>
      </c>
      <c r="AE29" s="543">
        <v>826</v>
      </c>
      <c r="AF29" s="544">
        <v>806</v>
      </c>
      <c r="AG29" s="545">
        <v>3399</v>
      </c>
      <c r="AH29" s="543">
        <v>3787</v>
      </c>
      <c r="AI29" s="543">
        <v>4082</v>
      </c>
      <c r="AJ29" s="543">
        <v>4247</v>
      </c>
      <c r="AK29" s="543">
        <v>4486</v>
      </c>
      <c r="AL29" s="543">
        <v>2364</v>
      </c>
      <c r="AM29" s="543">
        <v>2389</v>
      </c>
      <c r="AN29" s="543">
        <v>2088</v>
      </c>
      <c r="AO29" s="543">
        <v>1558</v>
      </c>
      <c r="AP29" s="543">
        <v>2049</v>
      </c>
      <c r="AQ29" s="543">
        <v>2563</v>
      </c>
      <c r="AR29" s="543">
        <v>3464</v>
      </c>
      <c r="AS29" s="543">
        <v>4232</v>
      </c>
      <c r="AT29" s="543">
        <v>4655</v>
      </c>
      <c r="AU29" s="544">
        <v>4511</v>
      </c>
      <c r="AV29" s="826">
        <f t="shared" si="15"/>
        <v>75577</v>
      </c>
      <c r="AW29" s="827">
        <f t="shared" si="1"/>
        <v>71982</v>
      </c>
      <c r="AX29" s="827">
        <f t="shared" si="2"/>
        <v>69753</v>
      </c>
      <c r="AY29" s="827">
        <f t="shared" si="3"/>
        <v>74063</v>
      </c>
      <c r="AZ29" s="827">
        <f t="shared" si="4"/>
        <v>60932</v>
      </c>
      <c r="BA29" s="827">
        <f t="shared" si="5"/>
        <v>42116</v>
      </c>
      <c r="BB29" s="827">
        <f t="shared" si="6"/>
        <v>48784</v>
      </c>
      <c r="BC29" s="827">
        <f t="shared" si="7"/>
        <v>37616</v>
      </c>
      <c r="BD29" s="827">
        <f t="shared" si="8"/>
        <v>17896</v>
      </c>
      <c r="BE29" s="827">
        <f t="shared" si="9"/>
        <v>20596</v>
      </c>
      <c r="BF29" s="827">
        <f t="shared" si="10"/>
        <v>29294</v>
      </c>
      <c r="BG29" s="827">
        <f t="shared" si="11"/>
        <v>34899</v>
      </c>
      <c r="BH29" s="827">
        <f t="shared" si="12"/>
        <v>39718</v>
      </c>
      <c r="BI29" s="829">
        <f t="shared" si="16"/>
        <v>43987</v>
      </c>
      <c r="BJ29" s="830">
        <f t="shared" si="17"/>
        <v>44650</v>
      </c>
      <c r="BK29" s="921">
        <f t="shared" si="13"/>
        <v>0.015072635096733178</v>
      </c>
      <c r="BL29" s="365" t="s">
        <v>70</v>
      </c>
    </row>
    <row r="30" spans="1:64" ht="12.75" customHeight="1">
      <c r="A30" s="8"/>
      <c r="B30" s="181" t="s">
        <v>54</v>
      </c>
      <c r="C30" s="571"/>
      <c r="D30" s="572"/>
      <c r="E30" s="573">
        <v>30508</v>
      </c>
      <c r="F30" s="573">
        <v>33229</v>
      </c>
      <c r="G30" s="573">
        <v>36414</v>
      </c>
      <c r="H30" s="573">
        <v>14086</v>
      </c>
      <c r="I30" s="573">
        <v>9238</v>
      </c>
      <c r="J30" s="573">
        <v>10531</v>
      </c>
      <c r="K30" s="573">
        <v>10741</v>
      </c>
      <c r="L30" s="573">
        <v>8880</v>
      </c>
      <c r="M30" s="573">
        <v>10218</v>
      </c>
      <c r="N30" s="573">
        <v>11356</v>
      </c>
      <c r="O30" s="573">
        <v>14372</v>
      </c>
      <c r="P30" s="573">
        <v>16098</v>
      </c>
      <c r="Q30" s="580">
        <v>17645</v>
      </c>
      <c r="R30" s="527"/>
      <c r="S30" s="524"/>
      <c r="T30" s="524">
        <v>3612</v>
      </c>
      <c r="U30" s="524">
        <v>3468</v>
      </c>
      <c r="V30" s="524">
        <v>3744</v>
      </c>
      <c r="W30" s="524">
        <v>973</v>
      </c>
      <c r="X30" s="524">
        <v>746</v>
      </c>
      <c r="Y30" s="524">
        <v>561</v>
      </c>
      <c r="Z30" s="524">
        <v>776</v>
      </c>
      <c r="AA30" s="524">
        <v>299</v>
      </c>
      <c r="AB30" s="524">
        <v>488</v>
      </c>
      <c r="AC30" s="524">
        <v>347</v>
      </c>
      <c r="AD30" s="524">
        <v>402</v>
      </c>
      <c r="AE30" s="524">
        <v>325</v>
      </c>
      <c r="AF30" s="533">
        <v>294</v>
      </c>
      <c r="AG30" s="527"/>
      <c r="AH30" s="524"/>
      <c r="AI30" s="524">
        <v>4170</v>
      </c>
      <c r="AJ30" s="524">
        <v>11511</v>
      </c>
      <c r="AK30" s="524">
        <v>8762</v>
      </c>
      <c r="AL30" s="524">
        <v>1619</v>
      </c>
      <c r="AM30" s="524">
        <v>2160</v>
      </c>
      <c r="AN30" s="524">
        <v>1574</v>
      </c>
      <c r="AO30" s="524">
        <v>2702</v>
      </c>
      <c r="AP30" s="524">
        <v>3032</v>
      </c>
      <c r="AQ30" s="524">
        <v>3698</v>
      </c>
      <c r="AR30" s="524">
        <v>5778</v>
      </c>
      <c r="AS30" s="524">
        <v>7630</v>
      </c>
      <c r="AT30" s="524">
        <v>6028</v>
      </c>
      <c r="AU30" s="533">
        <v>6961</v>
      </c>
      <c r="AV30" s="820"/>
      <c r="AW30" s="541"/>
      <c r="AX30" s="541">
        <f t="shared" si="2"/>
        <v>38290</v>
      </c>
      <c r="AY30" s="541">
        <f t="shared" si="3"/>
        <v>48208</v>
      </c>
      <c r="AZ30" s="541">
        <f t="shared" si="4"/>
        <v>48920</v>
      </c>
      <c r="BA30" s="541">
        <f t="shared" si="5"/>
        <v>16678</v>
      </c>
      <c r="BB30" s="541">
        <f t="shared" si="6"/>
        <v>12144</v>
      </c>
      <c r="BC30" s="541">
        <f t="shared" si="7"/>
        <v>12666</v>
      </c>
      <c r="BD30" s="541">
        <f t="shared" si="8"/>
        <v>14219</v>
      </c>
      <c r="BE30" s="541">
        <f t="shared" si="9"/>
        <v>12211</v>
      </c>
      <c r="BF30" s="541">
        <f t="shared" si="10"/>
        <v>14404</v>
      </c>
      <c r="BG30" s="541">
        <f t="shared" si="11"/>
        <v>17481</v>
      </c>
      <c r="BH30" s="541">
        <f t="shared" si="12"/>
        <v>22404</v>
      </c>
      <c r="BI30" s="541">
        <f t="shared" si="16"/>
        <v>22451</v>
      </c>
      <c r="BJ30" s="542">
        <f t="shared" si="17"/>
        <v>24900</v>
      </c>
      <c r="BK30" s="920">
        <f t="shared" si="13"/>
        <v>0.10908200080174613</v>
      </c>
      <c r="BL30" s="182" t="s">
        <v>54</v>
      </c>
    </row>
    <row r="31" spans="1:64" ht="12.75" customHeight="1">
      <c r="A31" s="8"/>
      <c r="B31" s="363" t="s">
        <v>56</v>
      </c>
      <c r="C31" s="582">
        <v>6998</v>
      </c>
      <c r="D31" s="583">
        <v>6881</v>
      </c>
      <c r="E31" s="584">
        <v>6048</v>
      </c>
      <c r="F31" s="584">
        <v>6813</v>
      </c>
      <c r="G31" s="584">
        <v>7282</v>
      </c>
      <c r="H31" s="584">
        <v>4426</v>
      </c>
      <c r="I31" s="584">
        <v>4703</v>
      </c>
      <c r="J31" s="584">
        <v>5753</v>
      </c>
      <c r="K31" s="584">
        <v>5760</v>
      </c>
      <c r="L31" s="584">
        <v>6165</v>
      </c>
      <c r="M31" s="584">
        <v>6318</v>
      </c>
      <c r="N31" s="584">
        <v>6639</v>
      </c>
      <c r="O31" s="584">
        <v>7738</v>
      </c>
      <c r="P31" s="584">
        <v>8688</v>
      </c>
      <c r="Q31" s="585">
        <v>8948</v>
      </c>
      <c r="R31" s="545">
        <v>408</v>
      </c>
      <c r="S31" s="543">
        <v>346</v>
      </c>
      <c r="T31" s="543">
        <v>383</v>
      </c>
      <c r="U31" s="543">
        <v>391</v>
      </c>
      <c r="V31" s="543">
        <v>401</v>
      </c>
      <c r="W31" s="543">
        <v>227</v>
      </c>
      <c r="X31" s="543">
        <v>201</v>
      </c>
      <c r="Y31" s="543">
        <v>173</v>
      </c>
      <c r="Z31" s="543">
        <v>158</v>
      </c>
      <c r="AA31" s="543">
        <v>132</v>
      </c>
      <c r="AB31" s="543">
        <v>149</v>
      </c>
      <c r="AC31" s="543">
        <v>164</v>
      </c>
      <c r="AD31" s="543">
        <v>184</v>
      </c>
      <c r="AE31" s="543">
        <v>150</v>
      </c>
      <c r="AF31" s="544">
        <v>183</v>
      </c>
      <c r="AG31" s="545">
        <v>1066</v>
      </c>
      <c r="AH31" s="543">
        <v>1305</v>
      </c>
      <c r="AI31" s="543">
        <v>1679</v>
      </c>
      <c r="AJ31" s="543">
        <v>2326</v>
      </c>
      <c r="AK31" s="543">
        <v>2175</v>
      </c>
      <c r="AL31" s="543">
        <v>531</v>
      </c>
      <c r="AM31" s="543">
        <v>682</v>
      </c>
      <c r="AN31" s="543">
        <v>1209</v>
      </c>
      <c r="AO31" s="543">
        <v>939</v>
      </c>
      <c r="AP31" s="543">
        <v>1063</v>
      </c>
      <c r="AQ31" s="543">
        <v>1343</v>
      </c>
      <c r="AR31" s="543">
        <v>1743</v>
      </c>
      <c r="AS31" s="543">
        <v>2208</v>
      </c>
      <c r="AT31" s="543">
        <v>2196</v>
      </c>
      <c r="AU31" s="544">
        <v>2578</v>
      </c>
      <c r="AV31" s="826">
        <f t="shared" si="15"/>
        <v>8472</v>
      </c>
      <c r="AW31" s="827">
        <f t="shared" si="1"/>
        <v>8532</v>
      </c>
      <c r="AX31" s="827">
        <f t="shared" si="2"/>
        <v>8110</v>
      </c>
      <c r="AY31" s="827">
        <f t="shared" si="3"/>
        <v>9530</v>
      </c>
      <c r="AZ31" s="827">
        <f t="shared" si="4"/>
        <v>9858</v>
      </c>
      <c r="BA31" s="827">
        <f t="shared" si="5"/>
        <v>5184</v>
      </c>
      <c r="BB31" s="827">
        <f t="shared" si="6"/>
        <v>5586</v>
      </c>
      <c r="BC31" s="827">
        <f t="shared" si="7"/>
        <v>7135</v>
      </c>
      <c r="BD31" s="827">
        <f t="shared" si="8"/>
        <v>6857</v>
      </c>
      <c r="BE31" s="827">
        <f t="shared" si="9"/>
        <v>7360</v>
      </c>
      <c r="BF31" s="827">
        <f t="shared" si="10"/>
        <v>7810</v>
      </c>
      <c r="BG31" s="827">
        <f t="shared" si="11"/>
        <v>8546</v>
      </c>
      <c r="BH31" s="827">
        <f t="shared" si="12"/>
        <v>10130</v>
      </c>
      <c r="BI31" s="829">
        <f t="shared" si="16"/>
        <v>11034</v>
      </c>
      <c r="BJ31" s="830">
        <f t="shared" si="17"/>
        <v>11709</v>
      </c>
      <c r="BK31" s="921">
        <f t="shared" si="13"/>
        <v>0.06117455138662309</v>
      </c>
      <c r="BL31" s="365" t="s">
        <v>56</v>
      </c>
    </row>
    <row r="32" spans="1:64" ht="12.75" customHeight="1">
      <c r="A32" s="8"/>
      <c r="B32" s="181" t="s">
        <v>55</v>
      </c>
      <c r="C32" s="571">
        <v>10204</v>
      </c>
      <c r="D32" s="572">
        <v>14425</v>
      </c>
      <c r="E32" s="573">
        <v>19502</v>
      </c>
      <c r="F32" s="573">
        <v>23618</v>
      </c>
      <c r="G32" s="573">
        <v>26900</v>
      </c>
      <c r="H32" s="573">
        <v>15709</v>
      </c>
      <c r="I32" s="573">
        <v>6952</v>
      </c>
      <c r="J32" s="573">
        <v>5716</v>
      </c>
      <c r="K32" s="573">
        <v>5165</v>
      </c>
      <c r="L32" s="573">
        <v>5076</v>
      </c>
      <c r="M32" s="573">
        <v>5628</v>
      </c>
      <c r="N32" s="573">
        <v>7289</v>
      </c>
      <c r="O32" s="573">
        <v>7459</v>
      </c>
      <c r="P32" s="573">
        <v>7689</v>
      </c>
      <c r="Q32" s="580">
        <v>8955</v>
      </c>
      <c r="R32" s="527">
        <v>774</v>
      </c>
      <c r="S32" s="524">
        <v>936</v>
      </c>
      <c r="T32" s="524">
        <v>948</v>
      </c>
      <c r="U32" s="524">
        <v>1083</v>
      </c>
      <c r="V32" s="524">
        <v>1075</v>
      </c>
      <c r="W32" s="524">
        <v>473</v>
      </c>
      <c r="X32" s="524">
        <v>505</v>
      </c>
      <c r="Y32" s="524">
        <v>596</v>
      </c>
      <c r="Z32" s="524">
        <v>537</v>
      </c>
      <c r="AA32" s="524">
        <v>454</v>
      </c>
      <c r="AB32" s="762">
        <v>448</v>
      </c>
      <c r="AC32" s="524">
        <v>368</v>
      </c>
      <c r="AD32" s="524">
        <v>461</v>
      </c>
      <c r="AE32" s="524">
        <v>492</v>
      </c>
      <c r="AF32" s="533">
        <v>509</v>
      </c>
      <c r="AG32" s="527">
        <v>2075</v>
      </c>
      <c r="AH32" s="524">
        <v>2821</v>
      </c>
      <c r="AI32" s="524">
        <v>3465</v>
      </c>
      <c r="AJ32" s="524">
        <v>4360</v>
      </c>
      <c r="AK32" s="524">
        <v>3767</v>
      </c>
      <c r="AL32" s="524">
        <v>1188</v>
      </c>
      <c r="AM32" s="524">
        <v>1946</v>
      </c>
      <c r="AN32" s="524">
        <v>3211</v>
      </c>
      <c r="AO32" s="524">
        <v>2996</v>
      </c>
      <c r="AP32" s="524">
        <v>3429</v>
      </c>
      <c r="AQ32" s="762">
        <v>3201</v>
      </c>
      <c r="AR32" s="524">
        <v>4079</v>
      </c>
      <c r="AS32" s="524">
        <v>4022</v>
      </c>
      <c r="AT32" s="524">
        <v>3774</v>
      </c>
      <c r="AU32" s="533">
        <v>3757</v>
      </c>
      <c r="AV32" s="820">
        <f t="shared" si="15"/>
        <v>13053</v>
      </c>
      <c r="AW32" s="541">
        <f t="shared" si="1"/>
        <v>18182</v>
      </c>
      <c r="AX32" s="541">
        <f t="shared" si="2"/>
        <v>23915</v>
      </c>
      <c r="AY32" s="541">
        <f t="shared" si="3"/>
        <v>29061</v>
      </c>
      <c r="AZ32" s="541">
        <f t="shared" si="4"/>
        <v>31742</v>
      </c>
      <c r="BA32" s="541">
        <f t="shared" si="5"/>
        <v>17370</v>
      </c>
      <c r="BB32" s="541">
        <f t="shared" si="6"/>
        <v>9403</v>
      </c>
      <c r="BC32" s="541">
        <f t="shared" si="7"/>
        <v>9523</v>
      </c>
      <c r="BD32" s="541">
        <f t="shared" si="8"/>
        <v>8698</v>
      </c>
      <c r="BE32" s="541">
        <f t="shared" si="9"/>
        <v>8959</v>
      </c>
      <c r="BF32" s="541">
        <f t="shared" si="10"/>
        <v>9277</v>
      </c>
      <c r="BG32" s="541">
        <f t="shared" si="11"/>
        <v>11736</v>
      </c>
      <c r="BH32" s="541">
        <f t="shared" si="12"/>
        <v>11942</v>
      </c>
      <c r="BI32" s="541">
        <f t="shared" si="16"/>
        <v>11955</v>
      </c>
      <c r="BJ32" s="542">
        <f t="shared" si="17"/>
        <v>13221</v>
      </c>
      <c r="BK32" s="920">
        <f t="shared" si="13"/>
        <v>0.10589711417816816</v>
      </c>
      <c r="BL32" s="182" t="s">
        <v>55</v>
      </c>
    </row>
    <row r="33" spans="1:64" ht="12.75" customHeight="1">
      <c r="A33" s="8"/>
      <c r="B33" s="363" t="s">
        <v>71</v>
      </c>
      <c r="C33" s="582">
        <v>17068</v>
      </c>
      <c r="D33" s="583">
        <v>15353</v>
      </c>
      <c r="E33" s="584">
        <v>16472</v>
      </c>
      <c r="F33" s="584">
        <v>17507</v>
      </c>
      <c r="G33" s="584">
        <v>16395</v>
      </c>
      <c r="H33" s="584">
        <v>8693</v>
      </c>
      <c r="I33" s="584">
        <v>10821</v>
      </c>
      <c r="J33" s="584">
        <v>14346</v>
      </c>
      <c r="K33" s="584">
        <v>11463</v>
      </c>
      <c r="L33" s="584">
        <v>10621</v>
      </c>
      <c r="M33" s="584">
        <v>10750</v>
      </c>
      <c r="N33" s="584">
        <v>11522</v>
      </c>
      <c r="O33" s="584">
        <v>13678</v>
      </c>
      <c r="P33" s="584">
        <v>15689</v>
      </c>
      <c r="Q33" s="585">
        <v>15931</v>
      </c>
      <c r="R33" s="545">
        <v>1630</v>
      </c>
      <c r="S33" s="543">
        <v>1490</v>
      </c>
      <c r="T33" s="543">
        <v>1305</v>
      </c>
      <c r="U33" s="543">
        <v>1395</v>
      </c>
      <c r="V33" s="543">
        <v>1149</v>
      </c>
      <c r="W33" s="543">
        <v>991</v>
      </c>
      <c r="X33" s="543">
        <v>1011</v>
      </c>
      <c r="Y33" s="543">
        <v>1085</v>
      </c>
      <c r="Z33" s="543">
        <v>853</v>
      </c>
      <c r="AA33" s="543">
        <v>767</v>
      </c>
      <c r="AB33" s="543">
        <v>575</v>
      </c>
      <c r="AC33" s="543">
        <v>548</v>
      </c>
      <c r="AD33" s="543">
        <v>642</v>
      </c>
      <c r="AE33" s="543">
        <v>511</v>
      </c>
      <c r="AF33" s="544">
        <v>541</v>
      </c>
      <c r="AG33" s="545">
        <v>2889</v>
      </c>
      <c r="AH33" s="543">
        <v>3112</v>
      </c>
      <c r="AI33" s="543">
        <v>2726</v>
      </c>
      <c r="AJ33" s="543">
        <v>2779</v>
      </c>
      <c r="AK33" s="543">
        <v>3485</v>
      </c>
      <c r="AL33" s="543">
        <v>2178</v>
      </c>
      <c r="AM33" s="543">
        <v>1867</v>
      </c>
      <c r="AN33" s="543">
        <v>2345</v>
      </c>
      <c r="AO33" s="543">
        <v>2399</v>
      </c>
      <c r="AP33" s="543">
        <v>2720</v>
      </c>
      <c r="AQ33" s="543">
        <v>1947</v>
      </c>
      <c r="AR33" s="543">
        <v>2122</v>
      </c>
      <c r="AS33" s="543">
        <v>2598</v>
      </c>
      <c r="AT33" s="543">
        <v>2869</v>
      </c>
      <c r="AU33" s="544">
        <v>2897</v>
      </c>
      <c r="AV33" s="826">
        <f t="shared" si="15"/>
        <v>21587</v>
      </c>
      <c r="AW33" s="827">
        <f t="shared" si="1"/>
        <v>19955</v>
      </c>
      <c r="AX33" s="827">
        <f t="shared" si="2"/>
        <v>20503</v>
      </c>
      <c r="AY33" s="827">
        <f t="shared" si="3"/>
        <v>21681</v>
      </c>
      <c r="AZ33" s="827">
        <f t="shared" si="4"/>
        <v>21029</v>
      </c>
      <c r="BA33" s="827">
        <f t="shared" si="5"/>
        <v>11862</v>
      </c>
      <c r="BB33" s="827">
        <f t="shared" si="6"/>
        <v>13699</v>
      </c>
      <c r="BC33" s="827">
        <f t="shared" si="7"/>
        <v>17776</v>
      </c>
      <c r="BD33" s="827">
        <f t="shared" si="8"/>
        <v>14715</v>
      </c>
      <c r="BE33" s="827">
        <f t="shared" si="9"/>
        <v>14108</v>
      </c>
      <c r="BF33" s="827">
        <f t="shared" si="10"/>
        <v>13272</v>
      </c>
      <c r="BG33" s="827">
        <f t="shared" si="11"/>
        <v>14192</v>
      </c>
      <c r="BH33" s="827">
        <f t="shared" si="12"/>
        <v>16918</v>
      </c>
      <c r="BI33" s="829">
        <f t="shared" si="16"/>
        <v>19069</v>
      </c>
      <c r="BJ33" s="830">
        <f t="shared" si="17"/>
        <v>19369</v>
      </c>
      <c r="BK33" s="921">
        <f t="shared" si="13"/>
        <v>0.015732340447847326</v>
      </c>
      <c r="BL33" s="365" t="s">
        <v>71</v>
      </c>
    </row>
    <row r="34" spans="1:64" ht="12.75" customHeight="1">
      <c r="A34" s="8"/>
      <c r="B34" s="181" t="s">
        <v>72</v>
      </c>
      <c r="C34" s="571">
        <v>31002</v>
      </c>
      <c r="D34" s="572">
        <v>34789</v>
      </c>
      <c r="E34" s="573">
        <v>39618</v>
      </c>
      <c r="F34" s="573">
        <v>44222</v>
      </c>
      <c r="G34" s="573">
        <v>39269</v>
      </c>
      <c r="H34" s="573">
        <v>27432</v>
      </c>
      <c r="I34" s="573">
        <v>37778</v>
      </c>
      <c r="J34" s="573">
        <v>46280</v>
      </c>
      <c r="K34" s="573">
        <v>39294</v>
      </c>
      <c r="L34" s="573">
        <v>37370</v>
      </c>
      <c r="M34" s="573">
        <v>41935</v>
      </c>
      <c r="N34" s="573">
        <v>44799</v>
      </c>
      <c r="O34" s="573">
        <v>51647</v>
      </c>
      <c r="P34" s="573">
        <v>55381</v>
      </c>
      <c r="Q34" s="580">
        <v>56584</v>
      </c>
      <c r="R34" s="527">
        <v>836</v>
      </c>
      <c r="S34" s="524">
        <v>1255</v>
      </c>
      <c r="T34" s="524">
        <v>866</v>
      </c>
      <c r="U34" s="524">
        <v>988</v>
      </c>
      <c r="V34" s="524">
        <v>1036</v>
      </c>
      <c r="W34" s="524">
        <v>714</v>
      </c>
      <c r="X34" s="524">
        <v>759</v>
      </c>
      <c r="Y34" s="524">
        <v>934</v>
      </c>
      <c r="Z34" s="524">
        <v>464</v>
      </c>
      <c r="AA34" s="524">
        <v>363</v>
      </c>
      <c r="AB34" s="524">
        <v>527</v>
      </c>
      <c r="AC34" s="524">
        <v>607</v>
      </c>
      <c r="AD34" s="524">
        <v>560</v>
      </c>
      <c r="AE34" s="524">
        <v>470</v>
      </c>
      <c r="AF34" s="533">
        <v>527</v>
      </c>
      <c r="AG34" s="527">
        <v>4400</v>
      </c>
      <c r="AH34" s="524">
        <v>5763</v>
      </c>
      <c r="AI34" s="524">
        <v>5362</v>
      </c>
      <c r="AJ34" s="524">
        <v>5722</v>
      </c>
      <c r="AK34" s="524">
        <v>5962</v>
      </c>
      <c r="AL34" s="524">
        <v>4783</v>
      </c>
      <c r="AM34" s="524">
        <v>4076</v>
      </c>
      <c r="AN34" s="524">
        <v>5018</v>
      </c>
      <c r="AO34" s="524">
        <v>5100</v>
      </c>
      <c r="AP34" s="524">
        <v>4505</v>
      </c>
      <c r="AQ34" s="524">
        <v>4722</v>
      </c>
      <c r="AR34" s="524">
        <v>4849</v>
      </c>
      <c r="AS34" s="524">
        <v>5960</v>
      </c>
      <c r="AT34" s="524">
        <v>6291</v>
      </c>
      <c r="AU34" s="533">
        <v>6436</v>
      </c>
      <c r="AV34" s="820">
        <f t="shared" si="15"/>
        <v>36238</v>
      </c>
      <c r="AW34" s="541">
        <f t="shared" si="1"/>
        <v>41807</v>
      </c>
      <c r="AX34" s="541">
        <f t="shared" si="2"/>
        <v>45846</v>
      </c>
      <c r="AY34" s="541">
        <f t="shared" si="3"/>
        <v>50932</v>
      </c>
      <c r="AZ34" s="541">
        <f t="shared" si="4"/>
        <v>46267</v>
      </c>
      <c r="BA34" s="541">
        <f t="shared" si="5"/>
        <v>32929</v>
      </c>
      <c r="BB34" s="541">
        <f t="shared" si="6"/>
        <v>42613</v>
      </c>
      <c r="BC34" s="541">
        <f t="shared" si="7"/>
        <v>52232</v>
      </c>
      <c r="BD34" s="541">
        <f t="shared" si="8"/>
        <v>44858</v>
      </c>
      <c r="BE34" s="541">
        <f t="shared" si="9"/>
        <v>42238</v>
      </c>
      <c r="BF34" s="541">
        <f t="shared" si="10"/>
        <v>47184</v>
      </c>
      <c r="BG34" s="541">
        <f t="shared" si="11"/>
        <v>50255</v>
      </c>
      <c r="BH34" s="541">
        <f t="shared" si="12"/>
        <v>58167</v>
      </c>
      <c r="BI34" s="541">
        <f t="shared" si="16"/>
        <v>62142</v>
      </c>
      <c r="BJ34" s="542">
        <f t="shared" si="17"/>
        <v>63547</v>
      </c>
      <c r="BK34" s="920">
        <f t="shared" si="13"/>
        <v>0.022609507257571382</v>
      </c>
      <c r="BL34" s="182" t="s">
        <v>72</v>
      </c>
    </row>
    <row r="35" spans="1:64" ht="12.75" customHeight="1">
      <c r="A35" s="8"/>
      <c r="B35" s="363" t="s">
        <v>61</v>
      </c>
      <c r="C35" s="586">
        <v>322901</v>
      </c>
      <c r="D35" s="587">
        <v>325372</v>
      </c>
      <c r="E35" s="588">
        <v>322338</v>
      </c>
      <c r="F35" s="588">
        <v>333339</v>
      </c>
      <c r="G35" s="588">
        <v>287158</v>
      </c>
      <c r="H35" s="588">
        <v>185317</v>
      </c>
      <c r="I35" s="588">
        <v>221877</v>
      </c>
      <c r="J35" s="588">
        <v>259532</v>
      </c>
      <c r="K35" s="588">
        <v>238782</v>
      </c>
      <c r="L35" s="588">
        <v>270238</v>
      </c>
      <c r="M35" s="588">
        <v>320909</v>
      </c>
      <c r="N35" s="822">
        <v>382166</v>
      </c>
      <c r="O35" s="588">
        <v>386649</v>
      </c>
      <c r="P35" s="588">
        <v>371658</v>
      </c>
      <c r="Q35" s="589">
        <v>369336</v>
      </c>
      <c r="R35" s="551">
        <v>20551</v>
      </c>
      <c r="S35" s="549">
        <v>24833</v>
      </c>
      <c r="T35" s="549">
        <v>18329</v>
      </c>
      <c r="U35" s="549">
        <v>17519</v>
      </c>
      <c r="V35" s="549">
        <v>18615</v>
      </c>
      <c r="W35" s="549">
        <v>12493</v>
      </c>
      <c r="X35" s="549">
        <v>11103</v>
      </c>
      <c r="Y35" s="549">
        <v>12185</v>
      </c>
      <c r="Z35" s="549">
        <v>13339</v>
      </c>
      <c r="AA35" s="549">
        <v>15196</v>
      </c>
      <c r="AB35" s="549">
        <v>11011</v>
      </c>
      <c r="AC35" s="823">
        <v>50285</v>
      </c>
      <c r="AD35" s="549">
        <v>52802</v>
      </c>
      <c r="AE35" s="549">
        <v>51959</v>
      </c>
      <c r="AF35" s="550">
        <v>49889</v>
      </c>
      <c r="AG35" s="551">
        <v>34002</v>
      </c>
      <c r="AH35" s="549">
        <v>38205</v>
      </c>
      <c r="AI35" s="549">
        <v>34532</v>
      </c>
      <c r="AJ35" s="549">
        <v>29328</v>
      </c>
      <c r="AK35" s="549">
        <v>35094</v>
      </c>
      <c r="AL35" s="549">
        <v>19326</v>
      </c>
      <c r="AM35" s="549">
        <v>20301</v>
      </c>
      <c r="AN35" s="549">
        <v>28940</v>
      </c>
      <c r="AO35" s="549">
        <v>29023</v>
      </c>
      <c r="AP35" s="549">
        <v>37987</v>
      </c>
      <c r="AQ35" s="549">
        <v>27604</v>
      </c>
      <c r="AR35" s="824" t="s">
        <v>289</v>
      </c>
      <c r="AS35" s="825" t="s">
        <v>289</v>
      </c>
      <c r="AT35" s="825" t="s">
        <v>289</v>
      </c>
      <c r="AU35" s="825" t="s">
        <v>289</v>
      </c>
      <c r="AV35" s="833">
        <f t="shared" si="15"/>
        <v>377454</v>
      </c>
      <c r="AW35" s="834">
        <f t="shared" si="1"/>
        <v>388410</v>
      </c>
      <c r="AX35" s="834">
        <f t="shared" si="2"/>
        <v>375199</v>
      </c>
      <c r="AY35" s="834">
        <f t="shared" si="3"/>
        <v>380186</v>
      </c>
      <c r="AZ35" s="834">
        <f t="shared" si="4"/>
        <v>340867</v>
      </c>
      <c r="BA35" s="834">
        <f t="shared" si="5"/>
        <v>217136</v>
      </c>
      <c r="BB35" s="834">
        <f t="shared" si="6"/>
        <v>253281</v>
      </c>
      <c r="BC35" s="834">
        <f t="shared" si="7"/>
        <v>300657</v>
      </c>
      <c r="BD35" s="834">
        <f t="shared" si="8"/>
        <v>281144</v>
      </c>
      <c r="BE35" s="834">
        <f t="shared" si="9"/>
        <v>323421</v>
      </c>
      <c r="BF35" s="834">
        <f t="shared" si="10"/>
        <v>359524</v>
      </c>
      <c r="BG35" s="834">
        <f>N35+AC35</f>
        <v>432451</v>
      </c>
      <c r="BH35" s="834">
        <f>O35+AD35</f>
        <v>439451</v>
      </c>
      <c r="BI35" s="923">
        <f>P35+AE35</f>
        <v>423617</v>
      </c>
      <c r="BJ35" s="923">
        <f>Q35+AF35</f>
        <v>419225</v>
      </c>
      <c r="BK35" s="924">
        <f t="shared" si="13"/>
        <v>-0.01036785586980693</v>
      </c>
      <c r="BL35" s="368" t="s">
        <v>61</v>
      </c>
    </row>
    <row r="36" spans="1:64" ht="12.75" customHeight="1">
      <c r="A36" s="8"/>
      <c r="B36" s="181" t="s">
        <v>43</v>
      </c>
      <c r="C36" s="571">
        <v>1627</v>
      </c>
      <c r="D36" s="590">
        <v>2172</v>
      </c>
      <c r="E36" s="574">
        <v>2490</v>
      </c>
      <c r="F36" s="574">
        <v>2782</v>
      </c>
      <c r="G36" s="574">
        <v>1227</v>
      </c>
      <c r="H36" s="574">
        <v>302</v>
      </c>
      <c r="I36" s="574">
        <v>220</v>
      </c>
      <c r="J36" s="574">
        <v>344</v>
      </c>
      <c r="K36" s="574">
        <v>417</v>
      </c>
      <c r="L36" s="574">
        <v>583</v>
      </c>
      <c r="M36" s="574">
        <v>854</v>
      </c>
      <c r="N36" s="574">
        <v>1269</v>
      </c>
      <c r="O36" s="574">
        <v>1628</v>
      </c>
      <c r="P36" s="918">
        <v>2041</v>
      </c>
      <c r="Q36" s="575">
        <v>1965</v>
      </c>
      <c r="R36" s="528">
        <v>119</v>
      </c>
      <c r="S36" s="525">
        <v>324</v>
      </c>
      <c r="T36" s="525">
        <v>198</v>
      </c>
      <c r="U36" s="525">
        <v>234</v>
      </c>
      <c r="V36" s="525">
        <v>97</v>
      </c>
      <c r="W36" s="525">
        <v>18</v>
      </c>
      <c r="X36" s="525">
        <v>15</v>
      </c>
      <c r="Y36" s="525">
        <v>17</v>
      </c>
      <c r="Z36" s="525">
        <v>29</v>
      </c>
      <c r="AA36" s="525">
        <v>39</v>
      </c>
      <c r="AB36" s="525">
        <v>54</v>
      </c>
      <c r="AC36" s="525">
        <v>104</v>
      </c>
      <c r="AD36" s="525">
        <v>132</v>
      </c>
      <c r="AE36" s="919">
        <v>186</v>
      </c>
      <c r="AF36" s="526">
        <v>169</v>
      </c>
      <c r="AG36" s="528">
        <v>181</v>
      </c>
      <c r="AH36" s="525">
        <v>314</v>
      </c>
      <c r="AI36" s="525">
        <v>325</v>
      </c>
      <c r="AJ36" s="525">
        <v>301</v>
      </c>
      <c r="AK36" s="525">
        <v>178</v>
      </c>
      <c r="AL36" s="525">
        <v>30</v>
      </c>
      <c r="AM36" s="525">
        <v>26</v>
      </c>
      <c r="AN36" s="525">
        <v>29</v>
      </c>
      <c r="AO36" s="525">
        <v>57</v>
      </c>
      <c r="AP36" s="525">
        <v>52</v>
      </c>
      <c r="AQ36" s="525">
        <v>84</v>
      </c>
      <c r="AR36" s="525">
        <v>116</v>
      </c>
      <c r="AS36" s="525">
        <v>176</v>
      </c>
      <c r="AT36" s="524">
        <v>207</v>
      </c>
      <c r="AU36" s="533">
        <v>254</v>
      </c>
      <c r="AV36" s="820">
        <f t="shared" si="15"/>
        <v>1927</v>
      </c>
      <c r="AW36" s="541">
        <f t="shared" si="1"/>
        <v>2810</v>
      </c>
      <c r="AX36" s="541">
        <f t="shared" si="2"/>
        <v>3013</v>
      </c>
      <c r="AY36" s="541">
        <f t="shared" si="3"/>
        <v>3317</v>
      </c>
      <c r="AZ36" s="541">
        <f t="shared" si="4"/>
        <v>1502</v>
      </c>
      <c r="BA36" s="541">
        <f t="shared" si="5"/>
        <v>350</v>
      </c>
      <c r="BB36" s="541">
        <f t="shared" si="6"/>
        <v>261</v>
      </c>
      <c r="BC36" s="541">
        <f t="shared" si="7"/>
        <v>390</v>
      </c>
      <c r="BD36" s="541">
        <f t="shared" si="8"/>
        <v>503</v>
      </c>
      <c r="BE36" s="541">
        <f t="shared" si="9"/>
        <v>674</v>
      </c>
      <c r="BF36" s="541">
        <f t="shared" si="10"/>
        <v>992</v>
      </c>
      <c r="BG36" s="541">
        <f t="shared" si="11"/>
        <v>1489</v>
      </c>
      <c r="BH36" s="541">
        <f t="shared" si="12"/>
        <v>1936</v>
      </c>
      <c r="BI36" s="541">
        <f t="shared" si="16"/>
        <v>2434</v>
      </c>
      <c r="BJ36" s="542">
        <f t="shared" si="17"/>
        <v>2388</v>
      </c>
      <c r="BK36" s="920">
        <f t="shared" si="13"/>
        <v>-0.01889893179950697</v>
      </c>
      <c r="BL36" s="182" t="s">
        <v>43</v>
      </c>
    </row>
    <row r="37" spans="1:64" ht="12.75" customHeight="1">
      <c r="A37" s="8"/>
      <c r="B37" s="363" t="s">
        <v>73</v>
      </c>
      <c r="C37" s="582">
        <v>31114</v>
      </c>
      <c r="D37" s="583">
        <v>35185</v>
      </c>
      <c r="E37" s="584">
        <v>42611</v>
      </c>
      <c r="F37" s="584">
        <v>45609</v>
      </c>
      <c r="G37" s="584">
        <v>34870</v>
      </c>
      <c r="H37" s="584">
        <v>23504</v>
      </c>
      <c r="I37" s="584">
        <v>29040</v>
      </c>
      <c r="J37" s="584">
        <v>35513</v>
      </c>
      <c r="K37" s="584">
        <v>31848</v>
      </c>
      <c r="L37" s="584">
        <v>30854</v>
      </c>
      <c r="M37" s="584">
        <v>29613</v>
      </c>
      <c r="N37" s="584">
        <v>33235</v>
      </c>
      <c r="O37" s="584">
        <v>36002</v>
      </c>
      <c r="P37" s="584">
        <v>35847</v>
      </c>
      <c r="Q37" s="585">
        <v>37209</v>
      </c>
      <c r="R37" s="545">
        <v>3340</v>
      </c>
      <c r="S37" s="543">
        <v>3037</v>
      </c>
      <c r="T37" s="543">
        <v>1801</v>
      </c>
      <c r="U37" s="543">
        <v>1670</v>
      </c>
      <c r="V37" s="543">
        <v>1869</v>
      </c>
      <c r="W37" s="543">
        <v>1276</v>
      </c>
      <c r="X37" s="543">
        <v>1553</v>
      </c>
      <c r="Y37" s="543">
        <v>1842</v>
      </c>
      <c r="Z37" s="543">
        <v>1780</v>
      </c>
      <c r="AA37" s="543">
        <v>1732</v>
      </c>
      <c r="AB37" s="543">
        <v>1337</v>
      </c>
      <c r="AC37" s="543">
        <v>1321</v>
      </c>
      <c r="AD37" s="543">
        <v>1610</v>
      </c>
      <c r="AE37" s="543">
        <v>1766</v>
      </c>
      <c r="AF37" s="544">
        <v>2126</v>
      </c>
      <c r="AG37" s="545">
        <v>3017</v>
      </c>
      <c r="AH37" s="543">
        <v>4459</v>
      </c>
      <c r="AI37" s="543">
        <v>3988</v>
      </c>
      <c r="AJ37" s="543">
        <v>4591</v>
      </c>
      <c r="AK37" s="543">
        <v>4659</v>
      </c>
      <c r="AL37" s="543">
        <v>2822</v>
      </c>
      <c r="AM37" s="543">
        <v>2525</v>
      </c>
      <c r="AN37" s="543">
        <v>3268</v>
      </c>
      <c r="AO37" s="543">
        <v>4013</v>
      </c>
      <c r="AP37" s="543">
        <v>4046</v>
      </c>
      <c r="AQ37" s="543">
        <v>4106</v>
      </c>
      <c r="AR37" s="543">
        <v>3894</v>
      </c>
      <c r="AS37" s="543">
        <v>4378</v>
      </c>
      <c r="AT37" s="543">
        <v>4470</v>
      </c>
      <c r="AU37" s="544">
        <v>4998</v>
      </c>
      <c r="AV37" s="826">
        <f t="shared" si="15"/>
        <v>37471</v>
      </c>
      <c r="AW37" s="827">
        <f t="shared" si="1"/>
        <v>42681</v>
      </c>
      <c r="AX37" s="827">
        <f t="shared" si="2"/>
        <v>48400</v>
      </c>
      <c r="AY37" s="827">
        <f t="shared" si="3"/>
        <v>51870</v>
      </c>
      <c r="AZ37" s="827">
        <f t="shared" si="4"/>
        <v>41398</v>
      </c>
      <c r="BA37" s="827">
        <f t="shared" si="5"/>
        <v>27602</v>
      </c>
      <c r="BB37" s="827">
        <f t="shared" si="6"/>
        <v>33118</v>
      </c>
      <c r="BC37" s="827">
        <f t="shared" si="7"/>
        <v>40623</v>
      </c>
      <c r="BD37" s="827">
        <f t="shared" si="8"/>
        <v>37641</v>
      </c>
      <c r="BE37" s="827">
        <f t="shared" si="9"/>
        <v>36632</v>
      </c>
      <c r="BF37" s="827">
        <f t="shared" si="10"/>
        <v>35056</v>
      </c>
      <c r="BG37" s="827">
        <f t="shared" si="11"/>
        <v>38450</v>
      </c>
      <c r="BH37" s="827">
        <f t="shared" si="12"/>
        <v>41990</v>
      </c>
      <c r="BI37" s="829">
        <f t="shared" si="16"/>
        <v>42083</v>
      </c>
      <c r="BJ37" s="830">
        <f t="shared" si="17"/>
        <v>44333</v>
      </c>
      <c r="BK37" s="921">
        <f t="shared" si="13"/>
        <v>0.05346577002590114</v>
      </c>
      <c r="BL37" s="365" t="s">
        <v>73</v>
      </c>
    </row>
    <row r="38" spans="1:64" ht="12.75" customHeight="1">
      <c r="A38" s="8"/>
      <c r="B38" s="183" t="s">
        <v>44</v>
      </c>
      <c r="C38" s="591">
        <v>20602</v>
      </c>
      <c r="D38" s="592">
        <v>22254</v>
      </c>
      <c r="E38" s="593">
        <v>23015</v>
      </c>
      <c r="F38" s="593">
        <v>25386</v>
      </c>
      <c r="G38" s="593">
        <v>26275</v>
      </c>
      <c r="H38" s="593">
        <v>23110</v>
      </c>
      <c r="I38" s="593">
        <v>25697</v>
      </c>
      <c r="J38" s="593">
        <v>30387</v>
      </c>
      <c r="K38" s="593">
        <v>32509</v>
      </c>
      <c r="L38" s="593">
        <v>31199</v>
      </c>
      <c r="M38" s="593">
        <v>31113</v>
      </c>
      <c r="N38" s="593">
        <v>33526</v>
      </c>
      <c r="O38" s="593">
        <v>33475</v>
      </c>
      <c r="P38" s="593">
        <v>36386</v>
      </c>
      <c r="Q38" s="594">
        <v>37116</v>
      </c>
      <c r="R38" s="554">
        <v>921</v>
      </c>
      <c r="S38" s="552">
        <v>1058</v>
      </c>
      <c r="T38" s="552">
        <v>1095</v>
      </c>
      <c r="U38" s="552">
        <v>1106</v>
      </c>
      <c r="V38" s="552">
        <v>1287</v>
      </c>
      <c r="W38" s="552">
        <v>1150</v>
      </c>
      <c r="X38" s="552">
        <v>1003</v>
      </c>
      <c r="Y38" s="552">
        <v>1205</v>
      </c>
      <c r="Z38" s="552">
        <v>1237</v>
      </c>
      <c r="AA38" s="552">
        <v>1005</v>
      </c>
      <c r="AB38" s="552">
        <v>990</v>
      </c>
      <c r="AC38" s="552">
        <v>1026</v>
      </c>
      <c r="AD38" s="552">
        <v>1144</v>
      </c>
      <c r="AE38" s="552">
        <v>1036</v>
      </c>
      <c r="AF38" s="553">
        <v>1237</v>
      </c>
      <c r="AG38" s="554">
        <v>2708</v>
      </c>
      <c r="AH38" s="552">
        <v>3390</v>
      </c>
      <c r="AI38" s="552">
        <v>3746</v>
      </c>
      <c r="AJ38" s="552">
        <v>3290</v>
      </c>
      <c r="AK38" s="552">
        <v>3876</v>
      </c>
      <c r="AL38" s="552">
        <v>3292</v>
      </c>
      <c r="AM38" s="552">
        <v>2601</v>
      </c>
      <c r="AN38" s="552">
        <v>3275</v>
      </c>
      <c r="AO38" s="552">
        <v>2984</v>
      </c>
      <c r="AP38" s="552">
        <v>2843</v>
      </c>
      <c r="AQ38" s="552">
        <v>3754</v>
      </c>
      <c r="AR38" s="552">
        <v>3390</v>
      </c>
      <c r="AS38" s="552">
        <v>3351</v>
      </c>
      <c r="AT38" s="552">
        <v>3888</v>
      </c>
      <c r="AU38" s="553">
        <v>3664</v>
      </c>
      <c r="AV38" s="835">
        <f t="shared" si="15"/>
        <v>24231</v>
      </c>
      <c r="AW38" s="836">
        <f t="shared" si="1"/>
        <v>26702</v>
      </c>
      <c r="AX38" s="836">
        <f t="shared" si="2"/>
        <v>27856</v>
      </c>
      <c r="AY38" s="836">
        <f t="shared" si="3"/>
        <v>29782</v>
      </c>
      <c r="AZ38" s="836">
        <f t="shared" si="4"/>
        <v>31438</v>
      </c>
      <c r="BA38" s="836">
        <f t="shared" si="5"/>
        <v>27552</v>
      </c>
      <c r="BB38" s="836">
        <f t="shared" si="6"/>
        <v>29301</v>
      </c>
      <c r="BC38" s="836">
        <f t="shared" si="7"/>
        <v>34867</v>
      </c>
      <c r="BD38" s="836">
        <f t="shared" si="8"/>
        <v>36730</v>
      </c>
      <c r="BE38" s="836">
        <f t="shared" si="9"/>
        <v>35047</v>
      </c>
      <c r="BF38" s="836">
        <f t="shared" si="10"/>
        <v>35857</v>
      </c>
      <c r="BG38" s="836">
        <f t="shared" si="11"/>
        <v>37942</v>
      </c>
      <c r="BH38" s="836">
        <f t="shared" si="12"/>
        <v>37970</v>
      </c>
      <c r="BI38" s="836">
        <f t="shared" si="16"/>
        <v>41310</v>
      </c>
      <c r="BJ38" s="837">
        <f t="shared" si="17"/>
        <v>42017</v>
      </c>
      <c r="BK38" s="922">
        <f t="shared" si="13"/>
        <v>0.01711450012103599</v>
      </c>
      <c r="BL38" s="185" t="s">
        <v>44</v>
      </c>
    </row>
    <row r="39" spans="1:44" ht="12.75" customHeight="1">
      <c r="A39" s="8"/>
      <c r="B39" s="1033" t="s">
        <v>132</v>
      </c>
      <c r="C39" s="1034"/>
      <c r="D39" s="1034"/>
      <c r="E39" s="1034"/>
      <c r="F39" s="1034"/>
      <c r="G39" s="1034"/>
      <c r="H39" s="1034"/>
      <c r="I39" s="1034"/>
      <c r="J39" s="1034"/>
      <c r="K39" s="1034"/>
      <c r="L39" s="1034"/>
      <c r="M39" s="1034"/>
      <c r="N39" s="1034"/>
      <c r="O39" s="1034"/>
      <c r="P39" s="1034"/>
      <c r="Q39" s="1034"/>
      <c r="R39" s="1034"/>
      <c r="S39" s="1034"/>
      <c r="T39" s="1034"/>
      <c r="U39" s="1034"/>
      <c r="V39" s="1034"/>
      <c r="W39" s="1034"/>
      <c r="X39" s="1034"/>
      <c r="Y39" s="1034"/>
      <c r="Z39" s="1034"/>
      <c r="AA39" s="1034"/>
      <c r="AB39" s="1034"/>
      <c r="AC39" s="1034"/>
      <c r="AD39" s="1034"/>
      <c r="AE39" s="1034"/>
      <c r="AF39" s="1034"/>
      <c r="AG39" s="1034"/>
      <c r="AH39" s="1034"/>
      <c r="AI39" s="1034"/>
      <c r="AJ39" s="1034"/>
      <c r="AK39" s="1034"/>
      <c r="AL39" s="1034"/>
      <c r="AM39" s="1034"/>
      <c r="AN39" s="1034"/>
      <c r="AO39" s="1034"/>
      <c r="AP39" s="1034"/>
      <c r="AQ39" s="1034"/>
      <c r="AR39" s="1034"/>
    </row>
    <row r="40" spans="1:22" ht="12.75" customHeight="1">
      <c r="A40" s="8"/>
      <c r="B40" s="190" t="s">
        <v>81</v>
      </c>
      <c r="V40" s="63"/>
    </row>
    <row r="41" spans="1:62" ht="15" customHeight="1">
      <c r="A41" s="8"/>
      <c r="B41" s="411" t="s">
        <v>290</v>
      </c>
      <c r="T41" s="1"/>
      <c r="BJ41" s="972"/>
    </row>
    <row r="42" spans="1:2" ht="11.25" customHeight="1">
      <c r="A42" s="8"/>
      <c r="B42" s="766" t="s">
        <v>278</v>
      </c>
    </row>
    <row r="43" ht="11.25" customHeight="1">
      <c r="A43" s="8"/>
    </row>
    <row r="44" ht="17.25" customHeight="1">
      <c r="R44" s="82"/>
    </row>
  </sheetData>
  <sheetProtection/>
  <mergeCells count="10">
    <mergeCell ref="B2:BI2"/>
    <mergeCell ref="B3:BI3"/>
    <mergeCell ref="AV4:BI5"/>
    <mergeCell ref="B39:AR39"/>
    <mergeCell ref="C4:Q4"/>
    <mergeCell ref="C5:Q5"/>
    <mergeCell ref="R4:AF4"/>
    <mergeCell ref="R5:AF5"/>
    <mergeCell ref="AG4:AU4"/>
    <mergeCell ref="AG5:AU5"/>
  </mergeCells>
  <printOptions horizontalCentered="1"/>
  <pageMargins left="0.6692913385826772" right="0.6692913385826772" top="0.4" bottom="0.16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BL70"/>
  <sheetViews>
    <sheetView zoomScalePageLayoutView="0" workbookViewId="0" topLeftCell="A13">
      <selection activeCell="BJ7" sqref="BJ7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6" width="6.7109375" style="0" customWidth="1"/>
    <col min="7" max="11" width="6.00390625" style="0" customWidth="1"/>
    <col min="12" max="12" width="7.28125" style="0" customWidth="1"/>
    <col min="13" max="13" width="7.28125" style="398" customWidth="1"/>
    <col min="14" max="14" width="7.28125" style="724" customWidth="1"/>
    <col min="15" max="15" width="6.7109375" style="0" customWidth="1"/>
    <col min="16" max="17" width="6.7109375" style="763" customWidth="1"/>
    <col min="18" max="26" width="6.7109375" style="0" customWidth="1"/>
    <col min="27" max="27" width="6.7109375" style="398" customWidth="1"/>
    <col min="28" max="28" width="6.7109375" style="724" customWidth="1"/>
    <col min="29" max="30" width="6.7109375" style="0" customWidth="1"/>
    <col min="31" max="32" width="6.7109375" style="763" customWidth="1"/>
    <col min="33" max="40" width="6.7109375" style="0" customWidth="1"/>
    <col min="41" max="41" width="6.7109375" style="398" customWidth="1"/>
    <col min="42" max="42" width="6.7109375" style="724" customWidth="1"/>
    <col min="43" max="45" width="6.7109375" style="0" customWidth="1"/>
    <col min="46" max="47" width="7.8515625" style="763" customWidth="1"/>
    <col min="48" max="54" width="7.8515625" style="0" customWidth="1"/>
    <col min="55" max="55" width="7.8515625" style="398" customWidth="1"/>
    <col min="56" max="56" width="7.8515625" style="724" customWidth="1"/>
    <col min="57" max="60" width="7.8515625" style="0" customWidth="1"/>
    <col min="61" max="62" width="7.8515625" style="763" customWidth="1"/>
    <col min="63" max="63" width="7.8515625" style="5" customWidth="1"/>
    <col min="64" max="64" width="7.8515625" style="0" customWidth="1"/>
  </cols>
  <sheetData>
    <row r="1" spans="2:58" ht="14.25" customHeight="1">
      <c r="B1" s="29"/>
      <c r="C1" s="24"/>
      <c r="D1" s="24"/>
      <c r="E1" s="24"/>
      <c r="F1" s="24"/>
      <c r="G1" s="24"/>
      <c r="H1" s="24"/>
      <c r="I1" s="24"/>
      <c r="J1" s="24"/>
      <c r="K1" s="24"/>
      <c r="L1" s="24"/>
      <c r="M1" s="404"/>
      <c r="N1" s="404"/>
      <c r="O1" s="24"/>
      <c r="P1" s="404"/>
      <c r="Q1" s="404"/>
      <c r="Z1" s="24"/>
      <c r="AA1" s="404"/>
      <c r="AB1" s="404"/>
      <c r="AN1" s="24"/>
      <c r="AO1" s="404"/>
      <c r="AP1" s="404"/>
      <c r="BF1" s="30" t="s">
        <v>152</v>
      </c>
    </row>
    <row r="2" spans="2:63" s="43" customFormat="1" ht="30" customHeight="1">
      <c r="B2" s="1035" t="s">
        <v>13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1035"/>
      <c r="R2" s="1035"/>
      <c r="S2" s="1035"/>
      <c r="T2" s="1035"/>
      <c r="U2" s="1035"/>
      <c r="V2" s="1035"/>
      <c r="W2" s="1035"/>
      <c r="X2" s="1035"/>
      <c r="Y2" s="1035"/>
      <c r="Z2" s="1035"/>
      <c r="AA2" s="1035"/>
      <c r="AB2" s="1035"/>
      <c r="AC2" s="1035"/>
      <c r="AD2" s="1035"/>
      <c r="AE2" s="1035"/>
      <c r="AF2" s="1035"/>
      <c r="AG2" s="1035"/>
      <c r="AH2" s="1035"/>
      <c r="AI2" s="1035"/>
      <c r="AJ2" s="1035"/>
      <c r="AK2" s="1035"/>
      <c r="AL2" s="1035"/>
      <c r="AM2" s="1035"/>
      <c r="AN2" s="1035"/>
      <c r="AO2" s="1035"/>
      <c r="AP2" s="1035"/>
      <c r="AQ2" s="1035"/>
      <c r="AR2" s="1035"/>
      <c r="AS2" s="1035"/>
      <c r="AT2" s="1035"/>
      <c r="AU2" s="1035"/>
      <c r="AV2" s="1035"/>
      <c r="AW2" s="1035"/>
      <c r="AX2" s="1035"/>
      <c r="AY2" s="1035"/>
      <c r="AZ2" s="1035"/>
      <c r="BA2" s="1035"/>
      <c r="BB2" s="1035"/>
      <c r="BC2" s="1035"/>
      <c r="BD2" s="1035"/>
      <c r="BE2" s="1035"/>
      <c r="BF2" s="1035"/>
      <c r="BI2" s="813"/>
      <c r="BJ2" s="934"/>
      <c r="BK2" s="967"/>
    </row>
    <row r="3" spans="2:58" ht="18" customHeight="1">
      <c r="B3" s="1037" t="s">
        <v>91</v>
      </c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  <c r="R3" s="1037"/>
      <c r="S3" s="1037"/>
      <c r="T3" s="1037"/>
      <c r="U3" s="1037"/>
      <c r="V3" s="1037"/>
      <c r="W3" s="1037"/>
      <c r="X3" s="1037"/>
      <c r="Y3" s="1037"/>
      <c r="Z3" s="1037"/>
      <c r="AA3" s="1037"/>
      <c r="AB3" s="1037"/>
      <c r="AC3" s="1037"/>
      <c r="AD3" s="1037"/>
      <c r="AE3" s="1037"/>
      <c r="AF3" s="1037"/>
      <c r="AG3" s="1037"/>
      <c r="AH3" s="1037"/>
      <c r="AI3" s="1037"/>
      <c r="AJ3" s="1037"/>
      <c r="AK3" s="1037"/>
      <c r="AL3" s="1037"/>
      <c r="AM3" s="1037"/>
      <c r="AN3" s="1037"/>
      <c r="AO3" s="1037"/>
      <c r="AP3" s="1037"/>
      <c r="AQ3" s="1037"/>
      <c r="AR3" s="1037"/>
      <c r="AS3" s="1037"/>
      <c r="AT3" s="1037"/>
      <c r="AU3" s="1037"/>
      <c r="AV3" s="1037"/>
      <c r="AW3" s="1037"/>
      <c r="AX3" s="1037"/>
      <c r="AY3" s="1037"/>
      <c r="AZ3" s="1037"/>
      <c r="BA3" s="1037"/>
      <c r="BB3" s="1037"/>
      <c r="BC3" s="1037"/>
      <c r="BD3" s="1037"/>
      <c r="BE3" s="1037"/>
      <c r="BF3" s="1037"/>
    </row>
    <row r="4" spans="2:64" ht="61.5" customHeight="1">
      <c r="B4" s="98"/>
      <c r="C4" s="1038" t="s">
        <v>100</v>
      </c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  <c r="Q4" s="931"/>
      <c r="R4" s="1038" t="s">
        <v>101</v>
      </c>
      <c r="S4" s="1039"/>
      <c r="T4" s="1039"/>
      <c r="U4" s="1039"/>
      <c r="V4" s="1039"/>
      <c r="W4" s="1039"/>
      <c r="X4" s="1039"/>
      <c r="Y4" s="1039"/>
      <c r="Z4" s="1039"/>
      <c r="AA4" s="1039"/>
      <c r="AB4" s="1039"/>
      <c r="AC4" s="1039"/>
      <c r="AD4" s="1039"/>
      <c r="AE4" s="1039"/>
      <c r="AF4" s="931"/>
      <c r="AG4" s="1038" t="s">
        <v>102</v>
      </c>
      <c r="AH4" s="1039"/>
      <c r="AI4" s="1039"/>
      <c r="AJ4" s="1039"/>
      <c r="AK4" s="1039"/>
      <c r="AL4" s="1039"/>
      <c r="AM4" s="1039"/>
      <c r="AN4" s="1039"/>
      <c r="AO4" s="1039"/>
      <c r="AP4" s="1039"/>
      <c r="AQ4" s="1039"/>
      <c r="AR4" s="1039"/>
      <c r="AS4" s="1039"/>
      <c r="AT4" s="1039"/>
      <c r="AU4" s="859"/>
      <c r="AV4" s="1039" t="s">
        <v>78</v>
      </c>
      <c r="AW4" s="1039"/>
      <c r="AX4" s="1039"/>
      <c r="AY4" s="1039"/>
      <c r="AZ4" s="1039"/>
      <c r="BA4" s="1039"/>
      <c r="BB4" s="1039"/>
      <c r="BC4" s="1039"/>
      <c r="BD4" s="1039"/>
      <c r="BE4" s="1039"/>
      <c r="BF4" s="1039"/>
      <c r="BG4" s="1039"/>
      <c r="BH4" s="1039"/>
      <c r="BI4" s="1039"/>
      <c r="BJ4" s="859"/>
      <c r="BK4" s="859" t="s">
        <v>2</v>
      </c>
      <c r="BL4" s="58"/>
    </row>
    <row r="5" spans="2:64" ht="12" customHeight="1">
      <c r="B5" s="98"/>
      <c r="C5" s="1040" t="s">
        <v>103</v>
      </c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1041"/>
      <c r="O5" s="1041"/>
      <c r="P5" s="1041"/>
      <c r="Q5" s="932"/>
      <c r="R5" s="1040" t="s">
        <v>8</v>
      </c>
      <c r="S5" s="1041"/>
      <c r="T5" s="1041"/>
      <c r="U5" s="1041"/>
      <c r="V5" s="1041"/>
      <c r="W5" s="1041"/>
      <c r="X5" s="1041"/>
      <c r="Y5" s="1041"/>
      <c r="Z5" s="1041"/>
      <c r="AA5" s="1041"/>
      <c r="AB5" s="1041"/>
      <c r="AC5" s="1041"/>
      <c r="AD5" s="1041"/>
      <c r="AE5" s="1041"/>
      <c r="AF5" s="932"/>
      <c r="AG5" s="1040" t="s">
        <v>9</v>
      </c>
      <c r="AH5" s="1041"/>
      <c r="AI5" s="1041"/>
      <c r="AJ5" s="1041"/>
      <c r="AK5" s="1041"/>
      <c r="AL5" s="1041"/>
      <c r="AM5" s="1041"/>
      <c r="AN5" s="1041"/>
      <c r="AO5" s="1041"/>
      <c r="AP5" s="1041"/>
      <c r="AQ5" s="1041"/>
      <c r="AR5" s="1041"/>
      <c r="AS5" s="1041"/>
      <c r="AT5" s="1041"/>
      <c r="AU5" s="933"/>
      <c r="AV5" s="191"/>
      <c r="AW5" s="191"/>
      <c r="AX5" s="191"/>
      <c r="AY5" s="191"/>
      <c r="AZ5" s="1041"/>
      <c r="BA5" s="1041"/>
      <c r="BB5" s="1041"/>
      <c r="BC5" s="1041"/>
      <c r="BD5" s="361"/>
      <c r="BE5" s="510"/>
      <c r="BF5" s="735"/>
      <c r="BG5" s="758"/>
      <c r="BH5" s="812"/>
      <c r="BI5" s="932"/>
      <c r="BJ5" s="933"/>
      <c r="BK5" s="933" t="s">
        <v>104</v>
      </c>
      <c r="BL5" s="58"/>
    </row>
    <row r="6" spans="2:64" ht="15" customHeight="1">
      <c r="B6" s="99"/>
      <c r="C6" s="44">
        <v>2004</v>
      </c>
      <c r="D6" s="45">
        <v>2005</v>
      </c>
      <c r="E6" s="45">
        <v>2006</v>
      </c>
      <c r="F6" s="45">
        <v>2007</v>
      </c>
      <c r="G6" s="45">
        <v>2008</v>
      </c>
      <c r="H6" s="45">
        <v>2009</v>
      </c>
      <c r="I6" s="45">
        <v>2010</v>
      </c>
      <c r="J6" s="45">
        <v>2011</v>
      </c>
      <c r="K6" s="45">
        <v>2012</v>
      </c>
      <c r="L6" s="45">
        <v>2013</v>
      </c>
      <c r="M6" s="45">
        <v>2014</v>
      </c>
      <c r="N6" s="45">
        <v>2015</v>
      </c>
      <c r="O6" s="45">
        <v>2016</v>
      </c>
      <c r="P6" s="45">
        <v>2017</v>
      </c>
      <c r="Q6" s="45">
        <v>2018</v>
      </c>
      <c r="R6" s="44">
        <v>2004</v>
      </c>
      <c r="S6" s="45">
        <v>2005</v>
      </c>
      <c r="T6" s="45">
        <v>2006</v>
      </c>
      <c r="U6" s="45">
        <v>2007</v>
      </c>
      <c r="V6" s="45">
        <v>2008</v>
      </c>
      <c r="W6" s="45">
        <v>2009</v>
      </c>
      <c r="X6" s="45">
        <v>2010</v>
      </c>
      <c r="Y6" s="45">
        <v>2011</v>
      </c>
      <c r="Z6" s="45">
        <v>2012</v>
      </c>
      <c r="AA6" s="45">
        <v>2013</v>
      </c>
      <c r="AB6" s="45">
        <v>2014</v>
      </c>
      <c r="AC6" s="45">
        <v>2015</v>
      </c>
      <c r="AD6" s="45">
        <v>2016</v>
      </c>
      <c r="AE6" s="45">
        <v>2017</v>
      </c>
      <c r="AF6" s="45">
        <v>2018</v>
      </c>
      <c r="AG6" s="44">
        <v>2004</v>
      </c>
      <c r="AH6" s="45">
        <v>2005</v>
      </c>
      <c r="AI6" s="45">
        <v>2006</v>
      </c>
      <c r="AJ6" s="45">
        <v>2007</v>
      </c>
      <c r="AK6" s="45">
        <v>2008</v>
      </c>
      <c r="AL6" s="45">
        <v>2009</v>
      </c>
      <c r="AM6" s="45">
        <v>2010</v>
      </c>
      <c r="AN6" s="45">
        <v>2011</v>
      </c>
      <c r="AO6" s="45">
        <v>2012</v>
      </c>
      <c r="AP6" s="45">
        <v>2013</v>
      </c>
      <c r="AQ6" s="45">
        <v>2014</v>
      </c>
      <c r="AR6" s="45">
        <v>2015</v>
      </c>
      <c r="AS6" s="45">
        <v>2016</v>
      </c>
      <c r="AT6" s="45">
        <v>2017</v>
      </c>
      <c r="AU6" s="46">
        <v>2018</v>
      </c>
      <c r="AV6" s="45">
        <v>2004</v>
      </c>
      <c r="AW6" s="45">
        <v>2005</v>
      </c>
      <c r="AX6" s="45">
        <v>2006</v>
      </c>
      <c r="AY6" s="45">
        <v>2007</v>
      </c>
      <c r="AZ6" s="45">
        <v>2008</v>
      </c>
      <c r="BA6" s="45">
        <v>2009</v>
      </c>
      <c r="BB6" s="85">
        <v>2010</v>
      </c>
      <c r="BC6" s="85">
        <v>2011</v>
      </c>
      <c r="BD6" s="45">
        <v>2012</v>
      </c>
      <c r="BE6" s="45">
        <v>2013</v>
      </c>
      <c r="BF6" s="45">
        <v>2014</v>
      </c>
      <c r="BG6" s="45">
        <v>2015</v>
      </c>
      <c r="BH6" s="45">
        <v>2016</v>
      </c>
      <c r="BI6" s="45">
        <v>2017</v>
      </c>
      <c r="BJ6" s="46">
        <v>2018</v>
      </c>
      <c r="BK6" s="46" t="s">
        <v>302</v>
      </c>
      <c r="BL6" s="6"/>
    </row>
    <row r="7" spans="2:64" ht="12.75" customHeight="1">
      <c r="B7" s="800" t="s">
        <v>253</v>
      </c>
      <c r="C7" s="801"/>
      <c r="D7" s="802"/>
      <c r="E7" s="802"/>
      <c r="F7" s="802"/>
      <c r="G7" s="802"/>
      <c r="H7" s="802"/>
      <c r="I7" s="802"/>
      <c r="J7" s="802"/>
      <c r="K7" s="802"/>
      <c r="L7" s="802"/>
      <c r="M7" s="802"/>
      <c r="N7" s="802"/>
      <c r="O7" s="802"/>
      <c r="P7" s="963"/>
      <c r="Q7" s="963"/>
      <c r="R7" s="801"/>
      <c r="S7" s="802"/>
      <c r="T7" s="802"/>
      <c r="U7" s="802"/>
      <c r="V7" s="802"/>
      <c r="W7" s="802"/>
      <c r="X7" s="802"/>
      <c r="Y7" s="802"/>
      <c r="Z7" s="802"/>
      <c r="AA7" s="802"/>
      <c r="AB7" s="802"/>
      <c r="AC7" s="802"/>
      <c r="AD7" s="802"/>
      <c r="AE7" s="963"/>
      <c r="AF7" s="963"/>
      <c r="AG7" s="801"/>
      <c r="AH7" s="802"/>
      <c r="AI7" s="802"/>
      <c r="AJ7" s="802"/>
      <c r="AK7" s="802"/>
      <c r="AL7" s="802"/>
      <c r="AM7" s="802"/>
      <c r="AN7" s="802"/>
      <c r="AO7" s="802"/>
      <c r="AP7" s="802"/>
      <c r="AQ7" s="802"/>
      <c r="AR7" s="802"/>
      <c r="AS7" s="802"/>
      <c r="AT7" s="963"/>
      <c r="AU7" s="838"/>
      <c r="AV7" s="963"/>
      <c r="AW7" s="802"/>
      <c r="AX7" s="802">
        <f aca="true" t="shared" si="0" ref="AX7:BJ7">SUM(AX8:AX35)</f>
        <v>52685</v>
      </c>
      <c r="AY7" s="802">
        <f t="shared" si="0"/>
        <v>55584</v>
      </c>
      <c r="AZ7" s="802">
        <f t="shared" si="0"/>
        <v>53608</v>
      </c>
      <c r="BA7" s="802">
        <f t="shared" si="0"/>
        <v>43169</v>
      </c>
      <c r="BB7" s="802">
        <f t="shared" si="0"/>
        <v>39204</v>
      </c>
      <c r="BC7" s="802">
        <f t="shared" si="0"/>
        <v>37690</v>
      </c>
      <c r="BD7" s="802">
        <f t="shared" si="0"/>
        <v>35460</v>
      </c>
      <c r="BE7" s="802">
        <f t="shared" si="0"/>
        <v>38330</v>
      </c>
      <c r="BF7" s="802">
        <f t="shared" si="0"/>
        <v>38761</v>
      </c>
      <c r="BG7" s="802">
        <f t="shared" si="0"/>
        <v>46119</v>
      </c>
      <c r="BH7" s="802">
        <f t="shared" si="0"/>
        <v>42188</v>
      </c>
      <c r="BI7" s="966">
        <f t="shared" si="0"/>
        <v>41749.66666666667</v>
      </c>
      <c r="BJ7" s="805">
        <f t="shared" si="0"/>
        <v>41598.555555555555</v>
      </c>
      <c r="BK7" s="925">
        <f>BJ7/BI7-1</f>
        <v>-0.003619456708902624</v>
      </c>
      <c r="BL7" s="806" t="s">
        <v>253</v>
      </c>
    </row>
    <row r="8" spans="1:64" ht="12.75" customHeight="1">
      <c r="A8" s="8"/>
      <c r="B8" s="10" t="s">
        <v>62</v>
      </c>
      <c r="C8" s="557">
        <v>294</v>
      </c>
      <c r="D8" s="442">
        <v>346</v>
      </c>
      <c r="E8" s="524">
        <v>237</v>
      </c>
      <c r="F8" s="524">
        <v>17</v>
      </c>
      <c r="G8" s="524">
        <v>31</v>
      </c>
      <c r="H8" s="524">
        <v>23</v>
      </c>
      <c r="I8" s="524">
        <v>3</v>
      </c>
      <c r="J8" s="524">
        <v>0</v>
      </c>
      <c r="K8" s="524">
        <v>4</v>
      </c>
      <c r="L8" s="524">
        <v>2</v>
      </c>
      <c r="M8" s="524">
        <v>2</v>
      </c>
      <c r="N8" s="524">
        <v>0</v>
      </c>
      <c r="O8" s="524">
        <v>0</v>
      </c>
      <c r="P8" s="524">
        <v>1</v>
      </c>
      <c r="Q8" s="524">
        <v>0</v>
      </c>
      <c r="R8" s="527">
        <v>245</v>
      </c>
      <c r="S8" s="524">
        <v>243</v>
      </c>
      <c r="T8" s="524">
        <v>280</v>
      </c>
      <c r="U8" s="524">
        <v>279</v>
      </c>
      <c r="V8" s="524">
        <v>369</v>
      </c>
      <c r="W8" s="524">
        <v>272</v>
      </c>
      <c r="X8" s="524">
        <v>257</v>
      </c>
      <c r="Y8" s="524">
        <v>171</v>
      </c>
      <c r="Z8" s="524">
        <f>270</f>
        <v>270</v>
      </c>
      <c r="AA8" s="524">
        <v>305</v>
      </c>
      <c r="AB8" s="524">
        <v>301</v>
      </c>
      <c r="AC8" s="524">
        <v>288</v>
      </c>
      <c r="AD8" s="524">
        <v>260</v>
      </c>
      <c r="AE8" s="524">
        <v>311</v>
      </c>
      <c r="AF8" s="524">
        <v>317</v>
      </c>
      <c r="AG8" s="527">
        <v>637</v>
      </c>
      <c r="AH8" s="524">
        <v>594</v>
      </c>
      <c r="AI8" s="524">
        <v>627</v>
      </c>
      <c r="AJ8" s="524">
        <v>799</v>
      </c>
      <c r="AK8" s="524">
        <v>806</v>
      </c>
      <c r="AL8" s="524">
        <v>684</v>
      </c>
      <c r="AM8" s="524">
        <v>755</v>
      </c>
      <c r="AN8" s="524">
        <v>537</v>
      </c>
      <c r="AO8" s="524">
        <v>416</v>
      </c>
      <c r="AP8" s="524">
        <v>458</v>
      </c>
      <c r="AQ8" s="524">
        <v>839</v>
      </c>
      <c r="AR8" s="524">
        <v>635</v>
      </c>
      <c r="AS8" s="524">
        <v>454</v>
      </c>
      <c r="AT8" s="524">
        <v>557</v>
      </c>
      <c r="AU8" s="533">
        <v>672</v>
      </c>
      <c r="AV8" s="524">
        <f aca="true" t="shared" si="1" ref="AV8:BC8">C8+R8+AG8</f>
        <v>1176</v>
      </c>
      <c r="AW8" s="524">
        <f t="shared" si="1"/>
        <v>1183</v>
      </c>
      <c r="AX8" s="524">
        <f t="shared" si="1"/>
        <v>1144</v>
      </c>
      <c r="AY8" s="524">
        <f t="shared" si="1"/>
        <v>1095</v>
      </c>
      <c r="AZ8" s="524">
        <f t="shared" si="1"/>
        <v>1206</v>
      </c>
      <c r="BA8" s="524">
        <f t="shared" si="1"/>
        <v>979</v>
      </c>
      <c r="BB8" s="524">
        <f t="shared" si="1"/>
        <v>1015</v>
      </c>
      <c r="BC8" s="524">
        <f t="shared" si="1"/>
        <v>708</v>
      </c>
      <c r="BD8" s="524">
        <f>SUM(K8,Z8,AO8)</f>
        <v>690</v>
      </c>
      <c r="BE8" s="524">
        <f aca="true" t="shared" si="2" ref="BE8:BJ8">L8+AA8+AP8</f>
        <v>765</v>
      </c>
      <c r="BF8" s="524">
        <f t="shared" si="2"/>
        <v>1142</v>
      </c>
      <c r="BG8" s="524">
        <f t="shared" si="2"/>
        <v>923</v>
      </c>
      <c r="BH8" s="524">
        <f t="shared" si="2"/>
        <v>714</v>
      </c>
      <c r="BI8" s="524">
        <f t="shared" si="2"/>
        <v>869</v>
      </c>
      <c r="BJ8" s="524">
        <f t="shared" si="2"/>
        <v>989</v>
      </c>
      <c r="BK8" s="968">
        <f aca="true" t="shared" si="3" ref="BK8:BK38">BJ8/BI8-1</f>
        <v>0.1380897583429228</v>
      </c>
      <c r="BL8" s="67" t="s">
        <v>62</v>
      </c>
    </row>
    <row r="9" spans="1:64" ht="12.75" customHeight="1">
      <c r="A9" s="8"/>
      <c r="B9" s="408" t="s">
        <v>45</v>
      </c>
      <c r="C9" s="558"/>
      <c r="D9" s="559">
        <v>856</v>
      </c>
      <c r="E9" s="529">
        <v>788</v>
      </c>
      <c r="F9" s="529">
        <v>525</v>
      </c>
      <c r="G9" s="529">
        <v>1047</v>
      </c>
      <c r="H9" s="529">
        <v>424</v>
      </c>
      <c r="I9" s="529">
        <v>107</v>
      </c>
      <c r="J9" s="529">
        <v>57</v>
      </c>
      <c r="K9" s="543">
        <v>46</v>
      </c>
      <c r="L9" s="543">
        <v>246</v>
      </c>
      <c r="M9" s="543">
        <v>361</v>
      </c>
      <c r="N9" s="543">
        <v>332</v>
      </c>
      <c r="O9" s="543">
        <v>506</v>
      </c>
      <c r="P9" s="845">
        <f>AVERAGE(M9:O9)</f>
        <v>399.6666666666667</v>
      </c>
      <c r="Q9" s="845">
        <f>AVERAGE(N9:P9)</f>
        <v>412.5555555555556</v>
      </c>
      <c r="R9" s="531"/>
      <c r="S9" s="532" t="s">
        <v>80</v>
      </c>
      <c r="T9" s="532" t="s">
        <v>80</v>
      </c>
      <c r="U9" s="532" t="s">
        <v>80</v>
      </c>
      <c r="V9" s="532" t="s">
        <v>80</v>
      </c>
      <c r="W9" s="532" t="s">
        <v>80</v>
      </c>
      <c r="X9" s="532" t="s">
        <v>80</v>
      </c>
      <c r="Y9" s="532" t="s">
        <v>80</v>
      </c>
      <c r="Z9" s="532" t="s">
        <v>80</v>
      </c>
      <c r="AA9" s="547" t="s">
        <v>80</v>
      </c>
      <c r="AB9" s="547" t="s">
        <v>80</v>
      </c>
      <c r="AC9" s="547" t="s">
        <v>80</v>
      </c>
      <c r="AD9" s="547" t="s">
        <v>80</v>
      </c>
      <c r="AE9" s="547" t="s">
        <v>80</v>
      </c>
      <c r="AF9" s="547" t="s">
        <v>80</v>
      </c>
      <c r="AG9" s="531"/>
      <c r="AH9" s="532" t="s">
        <v>80</v>
      </c>
      <c r="AI9" s="532" t="s">
        <v>80</v>
      </c>
      <c r="AJ9" s="532" t="s">
        <v>80</v>
      </c>
      <c r="AK9" s="532" t="s">
        <v>80</v>
      </c>
      <c r="AL9" s="532" t="s">
        <v>80</v>
      </c>
      <c r="AM9" s="532" t="s">
        <v>80</v>
      </c>
      <c r="AN9" s="532" t="s">
        <v>80</v>
      </c>
      <c r="AO9" s="532" t="s">
        <v>80</v>
      </c>
      <c r="AP9" s="547" t="s">
        <v>80</v>
      </c>
      <c r="AQ9" s="547" t="s">
        <v>80</v>
      </c>
      <c r="AR9" s="547" t="s">
        <v>80</v>
      </c>
      <c r="AS9" s="547" t="s">
        <v>80</v>
      </c>
      <c r="AT9" s="547" t="s">
        <v>80</v>
      </c>
      <c r="AU9" s="548" t="s">
        <v>80</v>
      </c>
      <c r="AV9" s="529"/>
      <c r="AW9" s="529">
        <f aca="true" t="shared" si="4" ref="AW9:BJ9">D9</f>
        <v>856</v>
      </c>
      <c r="AX9" s="529">
        <f t="shared" si="4"/>
        <v>788</v>
      </c>
      <c r="AY9" s="529">
        <f t="shared" si="4"/>
        <v>525</v>
      </c>
      <c r="AZ9" s="529">
        <f t="shared" si="4"/>
        <v>1047</v>
      </c>
      <c r="BA9" s="543">
        <f t="shared" si="4"/>
        <v>424</v>
      </c>
      <c r="BB9" s="543">
        <f t="shared" si="4"/>
        <v>107</v>
      </c>
      <c r="BC9" s="543">
        <f t="shared" si="4"/>
        <v>57</v>
      </c>
      <c r="BD9" s="543">
        <f t="shared" si="4"/>
        <v>46</v>
      </c>
      <c r="BE9" s="543">
        <f t="shared" si="4"/>
        <v>246</v>
      </c>
      <c r="BF9" s="543">
        <f t="shared" si="4"/>
        <v>361</v>
      </c>
      <c r="BG9" s="543">
        <f t="shared" si="4"/>
        <v>332</v>
      </c>
      <c r="BH9" s="543">
        <f t="shared" si="4"/>
        <v>506</v>
      </c>
      <c r="BI9" s="543">
        <f t="shared" si="4"/>
        <v>399.6666666666667</v>
      </c>
      <c r="BJ9" s="845">
        <f t="shared" si="4"/>
        <v>412.5555555555556</v>
      </c>
      <c r="BK9" s="969">
        <f t="shared" si="3"/>
        <v>0.03224909646928009</v>
      </c>
      <c r="BL9" s="359" t="s">
        <v>45</v>
      </c>
    </row>
    <row r="10" spans="1:64" ht="12.75" customHeight="1">
      <c r="A10" s="8"/>
      <c r="B10" s="10" t="s">
        <v>47</v>
      </c>
      <c r="C10" s="557">
        <v>71</v>
      </c>
      <c r="D10" s="442">
        <v>39</v>
      </c>
      <c r="E10" s="524"/>
      <c r="F10" s="524"/>
      <c r="G10" s="524">
        <v>1</v>
      </c>
      <c r="H10" s="524">
        <v>0</v>
      </c>
      <c r="I10" s="524">
        <v>0</v>
      </c>
      <c r="J10" s="524">
        <v>0</v>
      </c>
      <c r="K10" s="524">
        <v>7</v>
      </c>
      <c r="L10" s="524">
        <v>2</v>
      </c>
      <c r="M10" s="524">
        <v>0</v>
      </c>
      <c r="N10" s="524">
        <v>5</v>
      </c>
      <c r="O10" s="524">
        <v>2</v>
      </c>
      <c r="P10" s="524">
        <v>0</v>
      </c>
      <c r="Q10" s="524">
        <v>11</v>
      </c>
      <c r="R10" s="527">
        <v>229</v>
      </c>
      <c r="S10" s="524">
        <v>207</v>
      </c>
      <c r="T10" s="524">
        <v>286</v>
      </c>
      <c r="U10" s="524">
        <v>355</v>
      </c>
      <c r="V10" s="524">
        <v>335</v>
      </c>
      <c r="W10" s="524">
        <v>335</v>
      </c>
      <c r="X10" s="524">
        <v>140</v>
      </c>
      <c r="Y10" s="524">
        <v>165</v>
      </c>
      <c r="Z10" s="524">
        <v>130</v>
      </c>
      <c r="AA10" s="524">
        <v>194</v>
      </c>
      <c r="AB10" s="524">
        <v>124</v>
      </c>
      <c r="AC10" s="524">
        <v>189</v>
      </c>
      <c r="AD10" s="524">
        <v>151</v>
      </c>
      <c r="AE10" s="524">
        <v>145</v>
      </c>
      <c r="AF10" s="524">
        <v>87</v>
      </c>
      <c r="AG10" s="527">
        <v>624</v>
      </c>
      <c r="AH10" s="524">
        <v>630</v>
      </c>
      <c r="AI10" s="524">
        <v>680</v>
      </c>
      <c r="AJ10" s="524">
        <v>614</v>
      </c>
      <c r="AK10" s="524">
        <v>888</v>
      </c>
      <c r="AL10" s="524">
        <v>611</v>
      </c>
      <c r="AM10" s="524">
        <v>525</v>
      </c>
      <c r="AN10" s="524">
        <v>554</v>
      </c>
      <c r="AO10" s="524">
        <v>451</v>
      </c>
      <c r="AP10" s="524">
        <v>613</v>
      </c>
      <c r="AQ10" s="524">
        <v>919</v>
      </c>
      <c r="AR10" s="524">
        <v>1159</v>
      </c>
      <c r="AS10" s="524">
        <v>850</v>
      </c>
      <c r="AT10" s="524">
        <v>571</v>
      </c>
      <c r="AU10" s="533">
        <v>922</v>
      </c>
      <c r="AV10" s="524">
        <f aca="true" t="shared" si="5" ref="AV10:BC17">C10+R10+AG10</f>
        <v>924</v>
      </c>
      <c r="AW10" s="524">
        <f t="shared" si="5"/>
        <v>876</v>
      </c>
      <c r="AX10" s="524">
        <f t="shared" si="5"/>
        <v>966</v>
      </c>
      <c r="AY10" s="524">
        <f t="shared" si="5"/>
        <v>969</v>
      </c>
      <c r="AZ10" s="524">
        <f t="shared" si="5"/>
        <v>1224</v>
      </c>
      <c r="BA10" s="524">
        <f t="shared" si="5"/>
        <v>946</v>
      </c>
      <c r="BB10" s="524">
        <f t="shared" si="5"/>
        <v>665</v>
      </c>
      <c r="BC10" s="524">
        <f t="shared" si="5"/>
        <v>719</v>
      </c>
      <c r="BD10" s="524">
        <f aca="true" t="shared" si="6" ref="BD10:BD17">SUM(K10,Z10,AO10)</f>
        <v>588</v>
      </c>
      <c r="BE10" s="524">
        <f aca="true" t="shared" si="7" ref="BE10:BE19">L10+AA10+AP10</f>
        <v>809</v>
      </c>
      <c r="BF10" s="524">
        <f aca="true" t="shared" si="8" ref="BF10:BF19">M10+AB10+AQ10</f>
        <v>1043</v>
      </c>
      <c r="BG10" s="524">
        <f aca="true" t="shared" si="9" ref="BG10:BG19">N10+AC10+AR10</f>
        <v>1353</v>
      </c>
      <c r="BH10" s="524">
        <f aca="true" t="shared" si="10" ref="BH10:BH19">O10+AD10+AS10</f>
        <v>1003</v>
      </c>
      <c r="BI10" s="524">
        <f aca="true" t="shared" si="11" ref="BI10:BI38">P10+AE10+AT10</f>
        <v>716</v>
      </c>
      <c r="BJ10" s="524">
        <f aca="true" t="shared" si="12" ref="BJ10:BJ38">Q10+AF10+AU10</f>
        <v>1020</v>
      </c>
      <c r="BK10" s="968">
        <f t="shared" si="3"/>
        <v>0.4245810055865922</v>
      </c>
      <c r="BL10" s="67" t="s">
        <v>47</v>
      </c>
    </row>
    <row r="11" spans="1:64" ht="12.75" customHeight="1">
      <c r="A11" s="8"/>
      <c r="B11" s="51" t="s">
        <v>58</v>
      </c>
      <c r="C11" s="558">
        <v>1343</v>
      </c>
      <c r="D11" s="559">
        <v>2022</v>
      </c>
      <c r="E11" s="529">
        <v>2704</v>
      </c>
      <c r="F11" s="529">
        <v>3459</v>
      </c>
      <c r="G11" s="529">
        <v>537</v>
      </c>
      <c r="H11" s="529">
        <v>348</v>
      </c>
      <c r="I11" s="529">
        <v>375</v>
      </c>
      <c r="J11" s="529">
        <v>344</v>
      </c>
      <c r="K11" s="529">
        <v>271</v>
      </c>
      <c r="L11" s="529">
        <v>338</v>
      </c>
      <c r="M11" s="529">
        <v>467</v>
      </c>
      <c r="N11" s="529">
        <v>474</v>
      </c>
      <c r="O11" s="529">
        <v>539</v>
      </c>
      <c r="P11" s="529">
        <v>774</v>
      </c>
      <c r="Q11" s="529">
        <v>838</v>
      </c>
      <c r="R11" s="534">
        <v>95</v>
      </c>
      <c r="S11" s="529">
        <v>154</v>
      </c>
      <c r="T11" s="529">
        <v>94</v>
      </c>
      <c r="U11" s="529">
        <v>158</v>
      </c>
      <c r="V11" s="529">
        <v>225</v>
      </c>
      <c r="W11" s="529">
        <v>300</v>
      </c>
      <c r="X11" s="529">
        <v>254</v>
      </c>
      <c r="Y11" s="529">
        <v>164</v>
      </c>
      <c r="Z11" s="529">
        <v>169</v>
      </c>
      <c r="AA11" s="529">
        <v>137</v>
      </c>
      <c r="AB11" s="529">
        <v>192</v>
      </c>
      <c r="AC11" s="529">
        <v>281</v>
      </c>
      <c r="AD11" s="529">
        <v>309</v>
      </c>
      <c r="AE11" s="529">
        <v>421</v>
      </c>
      <c r="AF11" s="529">
        <v>319</v>
      </c>
      <c r="AG11" s="534">
        <v>319</v>
      </c>
      <c r="AH11" s="529">
        <v>267</v>
      </c>
      <c r="AI11" s="529">
        <v>390</v>
      </c>
      <c r="AJ11" s="529">
        <v>295</v>
      </c>
      <c r="AK11" s="529">
        <v>429</v>
      </c>
      <c r="AL11" s="529">
        <v>464</v>
      </c>
      <c r="AM11" s="529">
        <v>375</v>
      </c>
      <c r="AN11" s="529">
        <v>294</v>
      </c>
      <c r="AO11" s="529">
        <v>324</v>
      </c>
      <c r="AP11" s="529">
        <v>259</v>
      </c>
      <c r="AQ11" s="529">
        <v>269</v>
      </c>
      <c r="AR11" s="529">
        <v>169</v>
      </c>
      <c r="AS11" s="529">
        <v>157</v>
      </c>
      <c r="AT11" s="529">
        <v>215</v>
      </c>
      <c r="AU11" s="530">
        <v>184</v>
      </c>
      <c r="AV11" s="529">
        <f t="shared" si="5"/>
        <v>1757</v>
      </c>
      <c r="AW11" s="529">
        <f t="shared" si="5"/>
        <v>2443</v>
      </c>
      <c r="AX11" s="529">
        <f t="shared" si="5"/>
        <v>3188</v>
      </c>
      <c r="AY11" s="529">
        <f t="shared" si="5"/>
        <v>3912</v>
      </c>
      <c r="AZ11" s="529">
        <f t="shared" si="5"/>
        <v>1191</v>
      </c>
      <c r="BA11" s="529">
        <f t="shared" si="5"/>
        <v>1112</v>
      </c>
      <c r="BB11" s="529">
        <f t="shared" si="5"/>
        <v>1004</v>
      </c>
      <c r="BC11" s="543">
        <f t="shared" si="5"/>
        <v>802</v>
      </c>
      <c r="BD11" s="543">
        <f t="shared" si="6"/>
        <v>764</v>
      </c>
      <c r="BE11" s="543">
        <f t="shared" si="7"/>
        <v>734</v>
      </c>
      <c r="BF11" s="543">
        <f t="shared" si="8"/>
        <v>928</v>
      </c>
      <c r="BG11" s="543">
        <f t="shared" si="9"/>
        <v>924</v>
      </c>
      <c r="BH11" s="543">
        <f t="shared" si="10"/>
        <v>1005</v>
      </c>
      <c r="BI11" s="543">
        <f t="shared" si="11"/>
        <v>1410</v>
      </c>
      <c r="BJ11" s="543">
        <f t="shared" si="12"/>
        <v>1341</v>
      </c>
      <c r="BK11" s="969">
        <f t="shared" si="3"/>
        <v>-0.04893617021276597</v>
      </c>
      <c r="BL11" s="65" t="s">
        <v>58</v>
      </c>
    </row>
    <row r="12" spans="1:64" ht="12.75" customHeight="1">
      <c r="A12" s="8"/>
      <c r="B12" s="10" t="s">
        <v>63</v>
      </c>
      <c r="C12" s="557">
        <v>78</v>
      </c>
      <c r="D12" s="442">
        <v>98</v>
      </c>
      <c r="E12" s="524">
        <v>35</v>
      </c>
      <c r="F12" s="524">
        <v>30</v>
      </c>
      <c r="G12" s="524">
        <v>28</v>
      </c>
      <c r="H12" s="524">
        <v>12</v>
      </c>
      <c r="I12" s="524">
        <v>4</v>
      </c>
      <c r="J12" s="524">
        <v>18</v>
      </c>
      <c r="K12" s="524">
        <v>27</v>
      </c>
      <c r="L12" s="524">
        <v>18</v>
      </c>
      <c r="M12" s="524">
        <v>14</v>
      </c>
      <c r="N12" s="524">
        <v>19</v>
      </c>
      <c r="O12" s="524">
        <v>11</v>
      </c>
      <c r="P12" s="524">
        <v>9</v>
      </c>
      <c r="Q12" s="524">
        <v>18</v>
      </c>
      <c r="R12" s="527">
        <v>997</v>
      </c>
      <c r="S12" s="524">
        <v>907</v>
      </c>
      <c r="T12" s="524">
        <v>966</v>
      </c>
      <c r="U12" s="524">
        <v>907</v>
      </c>
      <c r="V12" s="524">
        <v>1226</v>
      </c>
      <c r="W12" s="524">
        <v>987</v>
      </c>
      <c r="X12" s="524">
        <v>928</v>
      </c>
      <c r="Y12" s="524">
        <v>775</v>
      </c>
      <c r="Z12" s="524">
        <v>986</v>
      </c>
      <c r="AA12" s="524">
        <v>1321</v>
      </c>
      <c r="AB12" s="524">
        <v>1009</v>
      </c>
      <c r="AC12" s="524">
        <v>1174</v>
      </c>
      <c r="AD12" s="524">
        <v>1097</v>
      </c>
      <c r="AE12" s="524">
        <v>1264</v>
      </c>
      <c r="AF12" s="524">
        <v>1167</v>
      </c>
      <c r="AG12" s="527">
        <v>4322</v>
      </c>
      <c r="AH12" s="524">
        <v>4421</v>
      </c>
      <c r="AI12" s="524">
        <v>4709</v>
      </c>
      <c r="AJ12" s="524">
        <v>4534</v>
      </c>
      <c r="AK12" s="524">
        <v>4631</v>
      </c>
      <c r="AL12" s="524">
        <v>4613</v>
      </c>
      <c r="AM12" s="524">
        <v>4287</v>
      </c>
      <c r="AN12" s="524">
        <v>4249</v>
      </c>
      <c r="AO12" s="524">
        <v>4126</v>
      </c>
      <c r="AP12" s="524">
        <v>4485</v>
      </c>
      <c r="AQ12" s="524">
        <v>4628</v>
      </c>
      <c r="AR12" s="524">
        <v>4945</v>
      </c>
      <c r="AS12" s="524">
        <v>5575</v>
      </c>
      <c r="AT12" s="524">
        <v>5424</v>
      </c>
      <c r="AU12" s="533">
        <v>5502</v>
      </c>
      <c r="AV12" s="524">
        <f t="shared" si="5"/>
        <v>5397</v>
      </c>
      <c r="AW12" s="524">
        <f t="shared" si="5"/>
        <v>5426</v>
      </c>
      <c r="AX12" s="524">
        <f t="shared" si="5"/>
        <v>5710</v>
      </c>
      <c r="AY12" s="524">
        <f t="shared" si="5"/>
        <v>5471</v>
      </c>
      <c r="AZ12" s="524">
        <f t="shared" si="5"/>
        <v>5885</v>
      </c>
      <c r="BA12" s="524">
        <f t="shared" si="5"/>
        <v>5612</v>
      </c>
      <c r="BB12" s="524">
        <f t="shared" si="5"/>
        <v>5219</v>
      </c>
      <c r="BC12" s="524">
        <f t="shared" si="5"/>
        <v>5042</v>
      </c>
      <c r="BD12" s="524">
        <f t="shared" si="6"/>
        <v>5139</v>
      </c>
      <c r="BE12" s="524">
        <f t="shared" si="7"/>
        <v>5824</v>
      </c>
      <c r="BF12" s="524">
        <f t="shared" si="8"/>
        <v>5651</v>
      </c>
      <c r="BG12" s="524">
        <f t="shared" si="9"/>
        <v>6138</v>
      </c>
      <c r="BH12" s="524">
        <f t="shared" si="10"/>
        <v>6683</v>
      </c>
      <c r="BI12" s="524">
        <f t="shared" si="11"/>
        <v>6697</v>
      </c>
      <c r="BJ12" s="524">
        <f t="shared" si="12"/>
        <v>6687</v>
      </c>
      <c r="BK12" s="968">
        <f t="shared" si="3"/>
        <v>-0.00149320591309543</v>
      </c>
      <c r="BL12" s="67" t="s">
        <v>63</v>
      </c>
    </row>
    <row r="13" spans="1:64" ht="12.75" customHeight="1">
      <c r="A13" s="8"/>
      <c r="B13" s="51" t="s">
        <v>48</v>
      </c>
      <c r="C13" s="558">
        <v>14</v>
      </c>
      <c r="D13" s="559">
        <v>26</v>
      </c>
      <c r="E13" s="529">
        <v>21</v>
      </c>
      <c r="F13" s="529">
        <v>36</v>
      </c>
      <c r="G13" s="529">
        <v>26</v>
      </c>
      <c r="H13" s="529">
        <v>1</v>
      </c>
      <c r="I13" s="529">
        <v>0</v>
      </c>
      <c r="J13" s="529">
        <v>0</v>
      </c>
      <c r="K13" s="529">
        <v>1</v>
      </c>
      <c r="L13" s="529">
        <v>4</v>
      </c>
      <c r="M13" s="529">
        <v>1</v>
      </c>
      <c r="N13" s="529">
        <v>1</v>
      </c>
      <c r="O13" s="529">
        <v>0</v>
      </c>
      <c r="P13" s="529">
        <v>0</v>
      </c>
      <c r="Q13" s="529">
        <v>0</v>
      </c>
      <c r="R13" s="534">
        <v>42</v>
      </c>
      <c r="S13" s="529">
        <v>53</v>
      </c>
      <c r="T13" s="529">
        <v>103</v>
      </c>
      <c r="U13" s="529">
        <v>103</v>
      </c>
      <c r="V13" s="529">
        <v>96</v>
      </c>
      <c r="W13" s="529">
        <v>85</v>
      </c>
      <c r="X13" s="529">
        <v>120</v>
      </c>
      <c r="Y13" s="529">
        <v>65</v>
      </c>
      <c r="Z13" s="529">
        <v>55</v>
      </c>
      <c r="AA13" s="529">
        <v>74</v>
      </c>
      <c r="AB13" s="529">
        <v>124</v>
      </c>
      <c r="AC13" s="529">
        <v>125</v>
      </c>
      <c r="AD13" s="529">
        <v>112</v>
      </c>
      <c r="AE13" s="529">
        <v>58</v>
      </c>
      <c r="AF13" s="529">
        <v>73</v>
      </c>
      <c r="AG13" s="534">
        <v>1</v>
      </c>
      <c r="AH13" s="529">
        <v>17</v>
      </c>
      <c r="AI13" s="529">
        <v>37</v>
      </c>
      <c r="AJ13" s="529">
        <v>101</v>
      </c>
      <c r="AK13" s="529">
        <v>22</v>
      </c>
      <c r="AL13" s="529">
        <v>26</v>
      </c>
      <c r="AM13" s="529">
        <v>48</v>
      </c>
      <c r="AN13" s="529">
        <v>30</v>
      </c>
      <c r="AO13" s="529">
        <v>100</v>
      </c>
      <c r="AP13" s="529">
        <v>158</v>
      </c>
      <c r="AQ13" s="529">
        <v>62</v>
      </c>
      <c r="AR13" s="529">
        <v>106</v>
      </c>
      <c r="AS13" s="529">
        <v>59</v>
      </c>
      <c r="AT13" s="529">
        <v>154</v>
      </c>
      <c r="AU13" s="530">
        <v>69</v>
      </c>
      <c r="AV13" s="529">
        <f t="shared" si="5"/>
        <v>57</v>
      </c>
      <c r="AW13" s="529">
        <f t="shared" si="5"/>
        <v>96</v>
      </c>
      <c r="AX13" s="529">
        <f t="shared" si="5"/>
        <v>161</v>
      </c>
      <c r="AY13" s="529">
        <f t="shared" si="5"/>
        <v>240</v>
      </c>
      <c r="AZ13" s="529">
        <f t="shared" si="5"/>
        <v>144</v>
      </c>
      <c r="BA13" s="529">
        <f t="shared" si="5"/>
        <v>112</v>
      </c>
      <c r="BB13" s="529">
        <f t="shared" si="5"/>
        <v>168</v>
      </c>
      <c r="BC13" s="543">
        <f t="shared" si="5"/>
        <v>95</v>
      </c>
      <c r="BD13" s="543">
        <f t="shared" si="6"/>
        <v>156</v>
      </c>
      <c r="BE13" s="543">
        <f t="shared" si="7"/>
        <v>236</v>
      </c>
      <c r="BF13" s="543">
        <f t="shared" si="8"/>
        <v>187</v>
      </c>
      <c r="BG13" s="543">
        <f t="shared" si="9"/>
        <v>232</v>
      </c>
      <c r="BH13" s="543">
        <f t="shared" si="10"/>
        <v>171</v>
      </c>
      <c r="BI13" s="543">
        <f t="shared" si="11"/>
        <v>212</v>
      </c>
      <c r="BJ13" s="543">
        <f t="shared" si="12"/>
        <v>142</v>
      </c>
      <c r="BK13" s="969">
        <f t="shared" si="3"/>
        <v>-0.33018867924528306</v>
      </c>
      <c r="BL13" s="65" t="s">
        <v>48</v>
      </c>
    </row>
    <row r="14" spans="1:64" ht="12.75" customHeight="1">
      <c r="A14" s="8"/>
      <c r="B14" s="10" t="s">
        <v>66</v>
      </c>
      <c r="C14" s="557">
        <v>475</v>
      </c>
      <c r="D14" s="442">
        <v>554</v>
      </c>
      <c r="E14" s="524">
        <v>485</v>
      </c>
      <c r="F14" s="524">
        <v>658</v>
      </c>
      <c r="G14" s="524">
        <v>600</v>
      </c>
      <c r="H14" s="524">
        <v>130</v>
      </c>
      <c r="I14" s="524">
        <v>88</v>
      </c>
      <c r="J14" s="524">
        <v>99</v>
      </c>
      <c r="K14" s="524">
        <v>58</v>
      </c>
      <c r="L14" s="524">
        <v>32</v>
      </c>
      <c r="M14" s="524">
        <v>22</v>
      </c>
      <c r="N14" s="524">
        <v>0</v>
      </c>
      <c r="O14" s="524">
        <v>26</v>
      </c>
      <c r="P14" s="524">
        <v>37</v>
      </c>
      <c r="Q14" s="524">
        <v>71</v>
      </c>
      <c r="R14" s="527">
        <v>70</v>
      </c>
      <c r="S14" s="524">
        <v>106</v>
      </c>
      <c r="T14" s="524">
        <v>136</v>
      </c>
      <c r="U14" s="524">
        <v>94</v>
      </c>
      <c r="V14" s="524">
        <v>116</v>
      </c>
      <c r="W14" s="524">
        <v>107</v>
      </c>
      <c r="X14" s="524">
        <v>48</v>
      </c>
      <c r="Y14" s="524">
        <v>25</v>
      </c>
      <c r="Z14" s="524">
        <v>39</v>
      </c>
      <c r="AA14" s="524">
        <v>53</v>
      </c>
      <c r="AB14" s="524">
        <v>48</v>
      </c>
      <c r="AC14" s="524">
        <v>61</v>
      </c>
      <c r="AD14" s="524">
        <v>136</v>
      </c>
      <c r="AE14" s="524">
        <v>145</v>
      </c>
      <c r="AF14" s="524">
        <v>253</v>
      </c>
      <c r="AG14" s="527">
        <v>284</v>
      </c>
      <c r="AH14" s="524">
        <v>205</v>
      </c>
      <c r="AI14" s="524">
        <v>327</v>
      </c>
      <c r="AJ14" s="524">
        <v>311</v>
      </c>
      <c r="AK14" s="524">
        <v>436</v>
      </c>
      <c r="AL14" s="524">
        <v>130</v>
      </c>
      <c r="AM14" s="524">
        <v>36</v>
      </c>
      <c r="AN14" s="524">
        <v>58</v>
      </c>
      <c r="AO14" s="524">
        <v>222</v>
      </c>
      <c r="AP14" s="524">
        <v>157</v>
      </c>
      <c r="AQ14" s="524">
        <v>205</v>
      </c>
      <c r="AR14" s="524">
        <v>303</v>
      </c>
      <c r="AS14" s="524">
        <v>337</v>
      </c>
      <c r="AT14" s="524">
        <v>259</v>
      </c>
      <c r="AU14" s="533">
        <v>294</v>
      </c>
      <c r="AV14" s="524">
        <f t="shared" si="5"/>
        <v>829</v>
      </c>
      <c r="AW14" s="524">
        <f t="shared" si="5"/>
        <v>865</v>
      </c>
      <c r="AX14" s="524">
        <f t="shared" si="5"/>
        <v>948</v>
      </c>
      <c r="AY14" s="524">
        <f t="shared" si="5"/>
        <v>1063</v>
      </c>
      <c r="AZ14" s="524">
        <f t="shared" si="5"/>
        <v>1152</v>
      </c>
      <c r="BA14" s="524">
        <f t="shared" si="5"/>
        <v>367</v>
      </c>
      <c r="BB14" s="524">
        <f t="shared" si="5"/>
        <v>172</v>
      </c>
      <c r="BC14" s="524">
        <f t="shared" si="5"/>
        <v>182</v>
      </c>
      <c r="BD14" s="524">
        <f t="shared" si="6"/>
        <v>319</v>
      </c>
      <c r="BE14" s="524">
        <f t="shared" si="7"/>
        <v>242</v>
      </c>
      <c r="BF14" s="524">
        <f t="shared" si="8"/>
        <v>275</v>
      </c>
      <c r="BG14" s="524">
        <f t="shared" si="9"/>
        <v>364</v>
      </c>
      <c r="BH14" s="524">
        <f t="shared" si="10"/>
        <v>499</v>
      </c>
      <c r="BI14" s="524">
        <f t="shared" si="11"/>
        <v>441</v>
      </c>
      <c r="BJ14" s="524">
        <f t="shared" si="12"/>
        <v>618</v>
      </c>
      <c r="BK14" s="968">
        <f t="shared" si="3"/>
        <v>0.4013605442176871</v>
      </c>
      <c r="BL14" s="67" t="s">
        <v>66</v>
      </c>
    </row>
    <row r="15" spans="1:64" ht="12.75" customHeight="1">
      <c r="A15" s="8"/>
      <c r="B15" s="51" t="s">
        <v>59</v>
      </c>
      <c r="C15" s="558">
        <v>85</v>
      </c>
      <c r="D15" s="559">
        <v>45</v>
      </c>
      <c r="E15" s="529">
        <v>44</v>
      </c>
      <c r="F15" s="529">
        <v>50</v>
      </c>
      <c r="G15" s="529">
        <v>61</v>
      </c>
      <c r="H15" s="529">
        <v>57</v>
      </c>
      <c r="I15" s="529">
        <v>38</v>
      </c>
      <c r="J15" s="529">
        <v>8</v>
      </c>
      <c r="K15" s="529">
        <v>9</v>
      </c>
      <c r="L15" s="529">
        <v>52</v>
      </c>
      <c r="M15" s="529">
        <v>98</v>
      </c>
      <c r="N15" s="529">
        <v>71</v>
      </c>
      <c r="O15" s="529">
        <v>87</v>
      </c>
      <c r="P15" s="529">
        <v>72</v>
      </c>
      <c r="Q15" s="529">
        <v>80</v>
      </c>
      <c r="R15" s="534">
        <v>101</v>
      </c>
      <c r="S15" s="529">
        <v>91</v>
      </c>
      <c r="T15" s="529">
        <v>122</v>
      </c>
      <c r="U15" s="529">
        <v>132</v>
      </c>
      <c r="V15" s="529">
        <v>162</v>
      </c>
      <c r="W15" s="529">
        <v>318</v>
      </c>
      <c r="X15" s="529">
        <v>80</v>
      </c>
      <c r="Y15" s="529">
        <v>47</v>
      </c>
      <c r="Z15" s="529">
        <v>70</v>
      </c>
      <c r="AA15" s="529">
        <v>38</v>
      </c>
      <c r="AB15" s="529">
        <v>44</v>
      </c>
      <c r="AC15" s="529">
        <v>19</v>
      </c>
      <c r="AD15" s="529">
        <v>28</v>
      </c>
      <c r="AE15" s="529">
        <v>75</v>
      </c>
      <c r="AF15" s="529">
        <v>87</v>
      </c>
      <c r="AG15" s="534">
        <v>1323</v>
      </c>
      <c r="AH15" s="529">
        <v>524</v>
      </c>
      <c r="AI15" s="529">
        <v>308</v>
      </c>
      <c r="AJ15" s="529">
        <v>444</v>
      </c>
      <c r="AK15" s="529">
        <v>352</v>
      </c>
      <c r="AL15" s="529">
        <v>637</v>
      </c>
      <c r="AM15" s="529">
        <v>285</v>
      </c>
      <c r="AN15" s="529">
        <v>43</v>
      </c>
      <c r="AO15" s="529">
        <v>39</v>
      </c>
      <c r="AP15" s="529">
        <v>10</v>
      </c>
      <c r="AQ15" s="529">
        <v>33</v>
      </c>
      <c r="AR15" s="529">
        <v>32</v>
      </c>
      <c r="AS15" s="529">
        <v>75</v>
      </c>
      <c r="AT15" s="529">
        <v>33</v>
      </c>
      <c r="AU15" s="530">
        <v>96</v>
      </c>
      <c r="AV15" s="529">
        <f t="shared" si="5"/>
        <v>1509</v>
      </c>
      <c r="AW15" s="529">
        <f t="shared" si="5"/>
        <v>660</v>
      </c>
      <c r="AX15" s="529">
        <f t="shared" si="5"/>
        <v>474</v>
      </c>
      <c r="AY15" s="529">
        <f t="shared" si="5"/>
        <v>626</v>
      </c>
      <c r="AZ15" s="529">
        <f t="shared" si="5"/>
        <v>575</v>
      </c>
      <c r="BA15" s="529">
        <f t="shared" si="5"/>
        <v>1012</v>
      </c>
      <c r="BB15" s="529">
        <f t="shared" si="5"/>
        <v>403</v>
      </c>
      <c r="BC15" s="543">
        <f t="shared" si="5"/>
        <v>98</v>
      </c>
      <c r="BD15" s="543">
        <f t="shared" si="6"/>
        <v>118</v>
      </c>
      <c r="BE15" s="543">
        <f t="shared" si="7"/>
        <v>100</v>
      </c>
      <c r="BF15" s="543">
        <f t="shared" si="8"/>
        <v>175</v>
      </c>
      <c r="BG15" s="543">
        <f t="shared" si="9"/>
        <v>122</v>
      </c>
      <c r="BH15" s="543">
        <f t="shared" si="10"/>
        <v>190</v>
      </c>
      <c r="BI15" s="543">
        <f t="shared" si="11"/>
        <v>180</v>
      </c>
      <c r="BJ15" s="543">
        <f t="shared" si="12"/>
        <v>263</v>
      </c>
      <c r="BK15" s="969">
        <f t="shared" si="3"/>
        <v>0.461111111111111</v>
      </c>
      <c r="BL15" s="65" t="s">
        <v>59</v>
      </c>
    </row>
    <row r="16" spans="1:64" ht="12.75" customHeight="1">
      <c r="A16" s="8"/>
      <c r="B16" s="10" t="s">
        <v>64</v>
      </c>
      <c r="C16" s="557"/>
      <c r="D16" s="442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>
        <v>0</v>
      </c>
      <c r="P16" s="524">
        <v>0</v>
      </c>
      <c r="Q16" s="524">
        <v>0</v>
      </c>
      <c r="R16" s="527">
        <v>716</v>
      </c>
      <c r="S16" s="524">
        <v>1069</v>
      </c>
      <c r="T16" s="524">
        <v>867</v>
      </c>
      <c r="U16" s="524">
        <v>861</v>
      </c>
      <c r="V16" s="524">
        <v>1172</v>
      </c>
      <c r="W16" s="524">
        <v>849</v>
      </c>
      <c r="X16" s="524">
        <v>723</v>
      </c>
      <c r="Y16" s="524">
        <v>712</v>
      </c>
      <c r="Z16" s="524">
        <v>613</v>
      </c>
      <c r="AA16" s="524">
        <v>443</v>
      </c>
      <c r="AB16" s="524">
        <v>506</v>
      </c>
      <c r="AC16" s="524">
        <v>694</v>
      </c>
      <c r="AD16" s="524">
        <v>848</v>
      </c>
      <c r="AE16" s="524">
        <v>887</v>
      </c>
      <c r="AF16" s="524">
        <v>748</v>
      </c>
      <c r="AG16" s="527">
        <v>2645</v>
      </c>
      <c r="AH16" s="524">
        <v>2781</v>
      </c>
      <c r="AI16" s="524">
        <v>2765</v>
      </c>
      <c r="AJ16" s="524">
        <v>2942</v>
      </c>
      <c r="AK16" s="524">
        <v>2299</v>
      </c>
      <c r="AL16" s="524">
        <v>1795</v>
      </c>
      <c r="AM16" s="524">
        <v>1687</v>
      </c>
      <c r="AN16" s="524">
        <v>1961</v>
      </c>
      <c r="AO16" s="524">
        <v>1371</v>
      </c>
      <c r="AP16" s="524">
        <v>1212</v>
      </c>
      <c r="AQ16" s="524">
        <v>1390</v>
      </c>
      <c r="AR16" s="524">
        <v>1923</v>
      </c>
      <c r="AS16" s="524">
        <v>2452</v>
      </c>
      <c r="AT16" s="524">
        <v>2640</v>
      </c>
      <c r="AU16" s="533">
        <v>2579</v>
      </c>
      <c r="AV16" s="524">
        <f t="shared" si="5"/>
        <v>3361</v>
      </c>
      <c r="AW16" s="524">
        <f t="shared" si="5"/>
        <v>3850</v>
      </c>
      <c r="AX16" s="524">
        <f t="shared" si="5"/>
        <v>3632</v>
      </c>
      <c r="AY16" s="524">
        <f t="shared" si="5"/>
        <v>3803</v>
      </c>
      <c r="AZ16" s="524">
        <f t="shared" si="5"/>
        <v>3471</v>
      </c>
      <c r="BA16" s="524">
        <f t="shared" si="5"/>
        <v>2644</v>
      </c>
      <c r="BB16" s="524">
        <f t="shared" si="5"/>
        <v>2410</v>
      </c>
      <c r="BC16" s="524">
        <f t="shared" si="5"/>
        <v>2673</v>
      </c>
      <c r="BD16" s="524">
        <f t="shared" si="6"/>
        <v>1984</v>
      </c>
      <c r="BE16" s="524">
        <f t="shared" si="7"/>
        <v>1655</v>
      </c>
      <c r="BF16" s="524">
        <f t="shared" si="8"/>
        <v>1896</v>
      </c>
      <c r="BG16" s="524">
        <f t="shared" si="9"/>
        <v>2617</v>
      </c>
      <c r="BH16" s="524">
        <f t="shared" si="10"/>
        <v>3300</v>
      </c>
      <c r="BI16" s="524">
        <f t="shared" si="11"/>
        <v>3527</v>
      </c>
      <c r="BJ16" s="524">
        <f t="shared" si="12"/>
        <v>3327</v>
      </c>
      <c r="BK16" s="968">
        <f t="shared" si="3"/>
        <v>-0.056705415367167555</v>
      </c>
      <c r="BL16" s="67" t="s">
        <v>64</v>
      </c>
    </row>
    <row r="17" spans="1:64" ht="12.75" customHeight="1">
      <c r="A17" s="8"/>
      <c r="B17" s="51" t="s">
        <v>65</v>
      </c>
      <c r="C17" s="558">
        <v>107</v>
      </c>
      <c r="D17" s="559">
        <v>75</v>
      </c>
      <c r="E17" s="529">
        <v>79</v>
      </c>
      <c r="F17" s="529">
        <v>39</v>
      </c>
      <c r="G17" s="529">
        <v>9</v>
      </c>
      <c r="H17" s="529">
        <v>2</v>
      </c>
      <c r="I17" s="529">
        <v>1</v>
      </c>
      <c r="J17" s="529">
        <v>3</v>
      </c>
      <c r="K17" s="529"/>
      <c r="L17" s="529"/>
      <c r="M17" s="529">
        <v>1</v>
      </c>
      <c r="N17" s="529">
        <v>0</v>
      </c>
      <c r="O17" s="529">
        <v>0</v>
      </c>
      <c r="P17" s="529">
        <v>0</v>
      </c>
      <c r="Q17" s="529">
        <v>0</v>
      </c>
      <c r="R17" s="534">
        <v>1082</v>
      </c>
      <c r="S17" s="529">
        <v>1214</v>
      </c>
      <c r="T17" s="529">
        <v>1221</v>
      </c>
      <c r="U17" s="529">
        <v>1335</v>
      </c>
      <c r="V17" s="529">
        <v>1689</v>
      </c>
      <c r="W17" s="529">
        <v>1659</v>
      </c>
      <c r="X17" s="529">
        <v>1240</v>
      </c>
      <c r="Y17" s="529">
        <v>1295</v>
      </c>
      <c r="Z17" s="529">
        <v>1203</v>
      </c>
      <c r="AA17" s="529">
        <v>1518</v>
      </c>
      <c r="AB17" s="529">
        <v>1145</v>
      </c>
      <c r="AC17" s="529">
        <v>1478</v>
      </c>
      <c r="AD17" s="529">
        <v>1424</v>
      </c>
      <c r="AE17" s="529">
        <v>1161</v>
      </c>
      <c r="AF17" s="529">
        <v>1199</v>
      </c>
      <c r="AG17" s="534">
        <v>3670</v>
      </c>
      <c r="AH17" s="529">
        <v>4153</v>
      </c>
      <c r="AI17" s="529">
        <v>4550</v>
      </c>
      <c r="AJ17" s="529">
        <v>4797</v>
      </c>
      <c r="AK17" s="529">
        <v>4926</v>
      </c>
      <c r="AL17" s="529">
        <v>5773</v>
      </c>
      <c r="AM17" s="529">
        <v>4666</v>
      </c>
      <c r="AN17" s="529">
        <v>5508</v>
      </c>
      <c r="AO17" s="529">
        <v>4859</v>
      </c>
      <c r="AP17" s="529">
        <v>5445</v>
      </c>
      <c r="AQ17" s="529">
        <v>4751</v>
      </c>
      <c r="AR17" s="529">
        <v>5867</v>
      </c>
      <c r="AS17" s="529">
        <v>5169</v>
      </c>
      <c r="AT17" s="529">
        <v>5168</v>
      </c>
      <c r="AU17" s="530">
        <v>5031</v>
      </c>
      <c r="AV17" s="529">
        <f t="shared" si="5"/>
        <v>4859</v>
      </c>
      <c r="AW17" s="529">
        <f t="shared" si="5"/>
        <v>5442</v>
      </c>
      <c r="AX17" s="529">
        <f t="shared" si="5"/>
        <v>5850</v>
      </c>
      <c r="AY17" s="529">
        <f t="shared" si="5"/>
        <v>6171</v>
      </c>
      <c r="AZ17" s="529">
        <f t="shared" si="5"/>
        <v>6624</v>
      </c>
      <c r="BA17" s="529">
        <f t="shared" si="5"/>
        <v>7434</v>
      </c>
      <c r="BB17" s="529">
        <f t="shared" si="5"/>
        <v>5907</v>
      </c>
      <c r="BC17" s="543">
        <f t="shared" si="5"/>
        <v>6806</v>
      </c>
      <c r="BD17" s="543">
        <f t="shared" si="6"/>
        <v>6062</v>
      </c>
      <c r="BE17" s="543">
        <f t="shared" si="7"/>
        <v>6963</v>
      </c>
      <c r="BF17" s="543">
        <f t="shared" si="8"/>
        <v>5897</v>
      </c>
      <c r="BG17" s="543">
        <f t="shared" si="9"/>
        <v>7345</v>
      </c>
      <c r="BH17" s="543">
        <f t="shared" si="10"/>
        <v>6593</v>
      </c>
      <c r="BI17" s="543">
        <f t="shared" si="11"/>
        <v>6329</v>
      </c>
      <c r="BJ17" s="543">
        <f t="shared" si="12"/>
        <v>6230</v>
      </c>
      <c r="BK17" s="969">
        <f t="shared" si="3"/>
        <v>-0.01564228156106806</v>
      </c>
      <c r="BL17" s="65" t="s">
        <v>65</v>
      </c>
    </row>
    <row r="18" spans="1:64" ht="12.75" customHeight="1">
      <c r="A18" s="8"/>
      <c r="B18" s="10" t="s">
        <v>76</v>
      </c>
      <c r="C18" s="557">
        <v>288</v>
      </c>
      <c r="D18" s="442">
        <v>381</v>
      </c>
      <c r="E18" s="524">
        <v>376</v>
      </c>
      <c r="F18" s="524">
        <v>433</v>
      </c>
      <c r="G18" s="524">
        <v>391</v>
      </c>
      <c r="H18" s="524">
        <v>484</v>
      </c>
      <c r="I18" s="524">
        <v>195</v>
      </c>
      <c r="J18" s="524">
        <v>173</v>
      </c>
      <c r="K18" s="524">
        <v>217</v>
      </c>
      <c r="L18" s="535">
        <v>2</v>
      </c>
      <c r="M18" s="524">
        <v>1</v>
      </c>
      <c r="N18" s="524">
        <v>4</v>
      </c>
      <c r="O18" s="524">
        <v>0</v>
      </c>
      <c r="P18" s="524">
        <v>0</v>
      </c>
      <c r="Q18" s="524">
        <v>0</v>
      </c>
      <c r="R18" s="560" t="s">
        <v>80</v>
      </c>
      <c r="S18" s="538" t="s">
        <v>80</v>
      </c>
      <c r="T18" s="538" t="s">
        <v>80</v>
      </c>
      <c r="U18" s="538" t="s">
        <v>80</v>
      </c>
      <c r="V18" s="538" t="s">
        <v>80</v>
      </c>
      <c r="W18" s="538" t="s">
        <v>80</v>
      </c>
      <c r="X18" s="538" t="s">
        <v>80</v>
      </c>
      <c r="Y18" s="538" t="s">
        <v>80</v>
      </c>
      <c r="Z18" s="538" t="s">
        <v>80</v>
      </c>
      <c r="AA18" s="539">
        <v>55</v>
      </c>
      <c r="AB18" s="539">
        <v>38</v>
      </c>
      <c r="AC18" s="539">
        <v>67</v>
      </c>
      <c r="AD18" s="539">
        <v>59</v>
      </c>
      <c r="AE18" s="539">
        <v>67</v>
      </c>
      <c r="AF18" s="539">
        <v>60</v>
      </c>
      <c r="AG18" s="560" t="s">
        <v>80</v>
      </c>
      <c r="AH18" s="538" t="s">
        <v>80</v>
      </c>
      <c r="AI18" s="538" t="s">
        <v>80</v>
      </c>
      <c r="AJ18" s="538" t="s">
        <v>80</v>
      </c>
      <c r="AK18" s="538" t="s">
        <v>80</v>
      </c>
      <c r="AL18" s="538" t="s">
        <v>80</v>
      </c>
      <c r="AM18" s="538" t="s">
        <v>80</v>
      </c>
      <c r="AN18" s="538" t="s">
        <v>80</v>
      </c>
      <c r="AO18" s="538" t="s">
        <v>80</v>
      </c>
      <c r="AP18" s="539">
        <v>54</v>
      </c>
      <c r="AQ18" s="539">
        <v>59</v>
      </c>
      <c r="AR18" s="539">
        <v>62</v>
      </c>
      <c r="AS18" s="539">
        <v>123</v>
      </c>
      <c r="AT18" s="539">
        <v>133</v>
      </c>
      <c r="AU18" s="540">
        <v>182</v>
      </c>
      <c r="AV18" s="524">
        <f aca="true" t="shared" si="13" ref="AV18:BD18">C18</f>
        <v>288</v>
      </c>
      <c r="AW18" s="524">
        <f t="shared" si="13"/>
        <v>381</v>
      </c>
      <c r="AX18" s="524">
        <f t="shared" si="13"/>
        <v>376</v>
      </c>
      <c r="AY18" s="524">
        <f t="shared" si="13"/>
        <v>433</v>
      </c>
      <c r="AZ18" s="524">
        <f t="shared" si="13"/>
        <v>391</v>
      </c>
      <c r="BA18" s="524">
        <f t="shared" si="13"/>
        <v>484</v>
      </c>
      <c r="BB18" s="524">
        <f t="shared" si="13"/>
        <v>195</v>
      </c>
      <c r="BC18" s="524">
        <f t="shared" si="13"/>
        <v>173</v>
      </c>
      <c r="BD18" s="524">
        <f t="shared" si="13"/>
        <v>217</v>
      </c>
      <c r="BE18" s="524">
        <f t="shared" si="7"/>
        <v>111</v>
      </c>
      <c r="BF18" s="524">
        <f t="shared" si="8"/>
        <v>98</v>
      </c>
      <c r="BG18" s="524">
        <f t="shared" si="9"/>
        <v>133</v>
      </c>
      <c r="BH18" s="524">
        <f t="shared" si="10"/>
        <v>182</v>
      </c>
      <c r="BI18" s="524">
        <f t="shared" si="11"/>
        <v>200</v>
      </c>
      <c r="BJ18" s="524">
        <f t="shared" si="12"/>
        <v>242</v>
      </c>
      <c r="BK18" s="968">
        <f t="shared" si="3"/>
        <v>0.20999999999999996</v>
      </c>
      <c r="BL18" s="67" t="s">
        <v>76</v>
      </c>
    </row>
    <row r="19" spans="1:64" ht="12.75" customHeight="1">
      <c r="A19" s="8"/>
      <c r="B19" s="156" t="s">
        <v>67</v>
      </c>
      <c r="C19" s="561">
        <v>40</v>
      </c>
      <c r="D19" s="443">
        <v>32</v>
      </c>
      <c r="E19" s="543">
        <v>52</v>
      </c>
      <c r="F19" s="543">
        <v>79</v>
      </c>
      <c r="G19" s="543">
        <v>41</v>
      </c>
      <c r="H19" s="543">
        <v>26</v>
      </c>
      <c r="I19" s="543">
        <v>31</v>
      </c>
      <c r="J19" s="543">
        <v>0</v>
      </c>
      <c r="K19" s="543">
        <v>24</v>
      </c>
      <c r="L19" s="543">
        <v>99</v>
      </c>
      <c r="M19" s="543">
        <v>33</v>
      </c>
      <c r="N19" s="543">
        <v>40</v>
      </c>
      <c r="O19" s="543">
        <v>40</v>
      </c>
      <c r="P19" s="543">
        <v>21</v>
      </c>
      <c r="Q19" s="543">
        <v>21</v>
      </c>
      <c r="R19" s="545">
        <v>1586</v>
      </c>
      <c r="S19" s="543">
        <v>1699</v>
      </c>
      <c r="T19" s="543">
        <v>1974</v>
      </c>
      <c r="U19" s="543">
        <v>1624</v>
      </c>
      <c r="V19" s="543">
        <v>1932</v>
      </c>
      <c r="W19" s="543">
        <v>1770</v>
      </c>
      <c r="X19" s="543">
        <v>1829</v>
      </c>
      <c r="Y19" s="543">
        <v>1878</v>
      </c>
      <c r="Z19" s="543">
        <v>1120</v>
      </c>
      <c r="AA19" s="543">
        <v>926</v>
      </c>
      <c r="AB19" s="543">
        <v>755</v>
      </c>
      <c r="AC19" s="543">
        <v>850</v>
      </c>
      <c r="AD19" s="543">
        <v>1270</v>
      </c>
      <c r="AE19" s="543">
        <v>1223</v>
      </c>
      <c r="AF19" s="543">
        <v>1229</v>
      </c>
      <c r="AG19" s="545">
        <v>3237</v>
      </c>
      <c r="AH19" s="543">
        <v>3311</v>
      </c>
      <c r="AI19" s="543">
        <v>2796</v>
      </c>
      <c r="AJ19" s="543">
        <v>2770</v>
      </c>
      <c r="AK19" s="543">
        <v>2770</v>
      </c>
      <c r="AL19" s="543">
        <v>1473</v>
      </c>
      <c r="AM19" s="543">
        <v>2442</v>
      </c>
      <c r="AN19" s="543">
        <v>4030</v>
      </c>
      <c r="AO19" s="543">
        <v>1149</v>
      </c>
      <c r="AP19" s="543">
        <v>1676</v>
      </c>
      <c r="AQ19" s="543">
        <v>1271</v>
      </c>
      <c r="AR19" s="543">
        <v>1549</v>
      </c>
      <c r="AS19" s="543">
        <v>1671</v>
      </c>
      <c r="AT19" s="543">
        <v>1938</v>
      </c>
      <c r="AU19" s="544">
        <v>3119</v>
      </c>
      <c r="AV19" s="543">
        <f aca="true" t="shared" si="14" ref="AV19:BC19">C19+R19+AG19</f>
        <v>4863</v>
      </c>
      <c r="AW19" s="543">
        <f t="shared" si="14"/>
        <v>5042</v>
      </c>
      <c r="AX19" s="543">
        <f t="shared" si="14"/>
        <v>4822</v>
      </c>
      <c r="AY19" s="543">
        <f t="shared" si="14"/>
        <v>4473</v>
      </c>
      <c r="AZ19" s="543">
        <f t="shared" si="14"/>
        <v>4743</v>
      </c>
      <c r="BA19" s="543">
        <f t="shared" si="14"/>
        <v>3269</v>
      </c>
      <c r="BB19" s="543">
        <f t="shared" si="14"/>
        <v>4302</v>
      </c>
      <c r="BC19" s="543">
        <f t="shared" si="14"/>
        <v>5908</v>
      </c>
      <c r="BD19" s="543">
        <f>SUM(K19,Z19,AO19)</f>
        <v>2293</v>
      </c>
      <c r="BE19" s="543">
        <f t="shared" si="7"/>
        <v>2701</v>
      </c>
      <c r="BF19" s="543">
        <f t="shared" si="8"/>
        <v>2059</v>
      </c>
      <c r="BG19" s="543">
        <f t="shared" si="9"/>
        <v>2439</v>
      </c>
      <c r="BH19" s="543">
        <f t="shared" si="10"/>
        <v>2981</v>
      </c>
      <c r="BI19" s="543">
        <f t="shared" si="11"/>
        <v>3182</v>
      </c>
      <c r="BJ19" s="543">
        <f t="shared" si="12"/>
        <v>4369</v>
      </c>
      <c r="BK19" s="969">
        <f t="shared" si="3"/>
        <v>0.37303582652419864</v>
      </c>
      <c r="BL19" s="359" t="s">
        <v>67</v>
      </c>
    </row>
    <row r="20" spans="1:64" ht="12.75" customHeight="1">
      <c r="A20" s="8"/>
      <c r="B20" s="402" t="s">
        <v>46</v>
      </c>
      <c r="C20" s="557">
        <v>59</v>
      </c>
      <c r="D20" s="442">
        <v>66</v>
      </c>
      <c r="E20" s="524">
        <v>47</v>
      </c>
      <c r="F20" s="524">
        <v>61</v>
      </c>
      <c r="G20" s="524">
        <v>64</v>
      </c>
      <c r="H20" s="524">
        <v>41</v>
      </c>
      <c r="I20" s="524">
        <v>248</v>
      </c>
      <c r="J20" s="524">
        <v>44</v>
      </c>
      <c r="K20" s="524">
        <v>45</v>
      </c>
      <c r="L20" s="524">
        <v>64</v>
      </c>
      <c r="M20" s="524">
        <v>47</v>
      </c>
      <c r="N20" s="524">
        <v>82</v>
      </c>
      <c r="O20" s="524">
        <v>55</v>
      </c>
      <c r="P20" s="524">
        <v>47</v>
      </c>
      <c r="Q20" s="524">
        <v>45</v>
      </c>
      <c r="R20" s="560" t="s">
        <v>80</v>
      </c>
      <c r="S20" s="538" t="s">
        <v>80</v>
      </c>
      <c r="T20" s="538" t="s">
        <v>80</v>
      </c>
      <c r="U20" s="538" t="s">
        <v>80</v>
      </c>
      <c r="V20" s="538" t="s">
        <v>80</v>
      </c>
      <c r="W20" s="538" t="s">
        <v>80</v>
      </c>
      <c r="X20" s="538" t="s">
        <v>80</v>
      </c>
      <c r="Y20" s="538" t="s">
        <v>80</v>
      </c>
      <c r="Z20" s="538" t="s">
        <v>80</v>
      </c>
      <c r="AA20" s="538" t="s">
        <v>80</v>
      </c>
      <c r="AB20" s="538" t="s">
        <v>80</v>
      </c>
      <c r="AC20" s="538" t="s">
        <v>80</v>
      </c>
      <c r="AD20" s="538" t="s">
        <v>80</v>
      </c>
      <c r="AE20" s="538" t="s">
        <v>80</v>
      </c>
      <c r="AF20" s="538" t="s">
        <v>80</v>
      </c>
      <c r="AG20" s="560" t="s">
        <v>80</v>
      </c>
      <c r="AH20" s="538" t="s">
        <v>80</v>
      </c>
      <c r="AI20" s="538" t="s">
        <v>80</v>
      </c>
      <c r="AJ20" s="538" t="s">
        <v>80</v>
      </c>
      <c r="AK20" s="538" t="s">
        <v>80</v>
      </c>
      <c r="AL20" s="538" t="s">
        <v>80</v>
      </c>
      <c r="AM20" s="538" t="s">
        <v>80</v>
      </c>
      <c r="AN20" s="538" t="s">
        <v>80</v>
      </c>
      <c r="AO20" s="538" t="s">
        <v>80</v>
      </c>
      <c r="AP20" s="538" t="s">
        <v>80</v>
      </c>
      <c r="AQ20" s="538" t="s">
        <v>80</v>
      </c>
      <c r="AR20" s="538" t="s">
        <v>80</v>
      </c>
      <c r="AS20" s="538" t="s">
        <v>80</v>
      </c>
      <c r="AT20" s="538" t="s">
        <v>80</v>
      </c>
      <c r="AU20" s="844" t="s">
        <v>80</v>
      </c>
      <c r="AV20" s="524">
        <f aca="true" t="shared" si="15" ref="AV20:BF20">C20</f>
        <v>59</v>
      </c>
      <c r="AW20" s="524">
        <f t="shared" si="15"/>
        <v>66</v>
      </c>
      <c r="AX20" s="524">
        <f t="shared" si="15"/>
        <v>47</v>
      </c>
      <c r="AY20" s="524">
        <f t="shared" si="15"/>
        <v>61</v>
      </c>
      <c r="AZ20" s="524">
        <f t="shared" si="15"/>
        <v>64</v>
      </c>
      <c r="BA20" s="524">
        <f t="shared" si="15"/>
        <v>41</v>
      </c>
      <c r="BB20" s="524">
        <f t="shared" si="15"/>
        <v>248</v>
      </c>
      <c r="BC20" s="539">
        <f t="shared" si="15"/>
        <v>44</v>
      </c>
      <c r="BD20" s="539">
        <f t="shared" si="15"/>
        <v>45</v>
      </c>
      <c r="BE20" s="539">
        <f t="shared" si="15"/>
        <v>64</v>
      </c>
      <c r="BF20" s="539">
        <f t="shared" si="15"/>
        <v>47</v>
      </c>
      <c r="BG20" s="539">
        <v>37</v>
      </c>
      <c r="BH20" s="539">
        <f>O20</f>
        <v>55</v>
      </c>
      <c r="BI20" s="539">
        <f>P20</f>
        <v>47</v>
      </c>
      <c r="BJ20" s="539">
        <f>Q20</f>
        <v>45</v>
      </c>
      <c r="BK20" s="968">
        <f t="shared" si="3"/>
        <v>-0.04255319148936165</v>
      </c>
      <c r="BL20" s="67" t="s">
        <v>46</v>
      </c>
    </row>
    <row r="21" spans="1:64" ht="12.75" customHeight="1">
      <c r="A21" s="8"/>
      <c r="B21" s="156" t="s">
        <v>50</v>
      </c>
      <c r="C21" s="561">
        <v>2</v>
      </c>
      <c r="D21" s="443">
        <v>13</v>
      </c>
      <c r="E21" s="543">
        <v>116</v>
      </c>
      <c r="F21" s="543">
        <v>154</v>
      </c>
      <c r="G21" s="543">
        <v>26</v>
      </c>
      <c r="H21" s="543">
        <v>5</v>
      </c>
      <c r="I21" s="543">
        <v>0</v>
      </c>
      <c r="J21" s="543">
        <v>1</v>
      </c>
      <c r="K21" s="543">
        <v>11</v>
      </c>
      <c r="L21" s="543">
        <v>2</v>
      </c>
      <c r="M21" s="543">
        <v>1</v>
      </c>
      <c r="N21" s="543">
        <v>0</v>
      </c>
      <c r="O21" s="543">
        <v>0</v>
      </c>
      <c r="P21" s="543">
        <v>0</v>
      </c>
      <c r="Q21" s="543">
        <v>4</v>
      </c>
      <c r="R21" s="545">
        <v>151</v>
      </c>
      <c r="S21" s="543">
        <v>127</v>
      </c>
      <c r="T21" s="543">
        <v>38</v>
      </c>
      <c r="U21" s="543">
        <v>29</v>
      </c>
      <c r="V21" s="543">
        <v>140</v>
      </c>
      <c r="W21" s="543">
        <v>30</v>
      </c>
      <c r="X21" s="543">
        <v>82</v>
      </c>
      <c r="Y21" s="543">
        <v>170</v>
      </c>
      <c r="Z21" s="543">
        <v>67</v>
      </c>
      <c r="AA21" s="543">
        <v>201</v>
      </c>
      <c r="AB21" s="543">
        <v>145</v>
      </c>
      <c r="AC21" s="543">
        <v>123</v>
      </c>
      <c r="AD21" s="543">
        <v>138</v>
      </c>
      <c r="AE21" s="543">
        <v>95</v>
      </c>
      <c r="AF21" s="543">
        <v>62</v>
      </c>
      <c r="AG21" s="545">
        <v>89</v>
      </c>
      <c r="AH21" s="543">
        <v>24</v>
      </c>
      <c r="AI21" s="543">
        <v>52</v>
      </c>
      <c r="AJ21" s="543">
        <v>17</v>
      </c>
      <c r="AK21" s="543">
        <v>57</v>
      </c>
      <c r="AL21" s="543">
        <v>22</v>
      </c>
      <c r="AM21" s="543">
        <v>47</v>
      </c>
      <c r="AN21" s="543">
        <v>16</v>
      </c>
      <c r="AO21" s="543">
        <v>9</v>
      </c>
      <c r="AP21" s="543">
        <v>25</v>
      </c>
      <c r="AQ21" s="543">
        <v>57</v>
      </c>
      <c r="AR21" s="543">
        <v>119</v>
      </c>
      <c r="AS21" s="543">
        <v>43</v>
      </c>
      <c r="AT21" s="543">
        <v>109</v>
      </c>
      <c r="AU21" s="544">
        <v>46</v>
      </c>
      <c r="AV21" s="543">
        <f aca="true" t="shared" si="16" ref="AV21:BC23">C21+R21+AG21</f>
        <v>242</v>
      </c>
      <c r="AW21" s="543">
        <f t="shared" si="16"/>
        <v>164</v>
      </c>
      <c r="AX21" s="543">
        <f t="shared" si="16"/>
        <v>206</v>
      </c>
      <c r="AY21" s="543">
        <f t="shared" si="16"/>
        <v>200</v>
      </c>
      <c r="AZ21" s="543">
        <f t="shared" si="16"/>
        <v>223</v>
      </c>
      <c r="BA21" s="543">
        <f t="shared" si="16"/>
        <v>57</v>
      </c>
      <c r="BB21" s="543">
        <f t="shared" si="16"/>
        <v>129</v>
      </c>
      <c r="BC21" s="543">
        <f t="shared" si="16"/>
        <v>187</v>
      </c>
      <c r="BD21" s="543">
        <f aca="true" t="shared" si="17" ref="BD21:BD38">SUM(K21,Z21,AO21)</f>
        <v>87</v>
      </c>
      <c r="BE21" s="543">
        <f aca="true" t="shared" si="18" ref="BE21:BE34">L21+AA21+AP21</f>
        <v>228</v>
      </c>
      <c r="BF21" s="543">
        <f aca="true" t="shared" si="19" ref="BF21:BF34">M21+AB21+AQ21</f>
        <v>203</v>
      </c>
      <c r="BG21" s="543">
        <f aca="true" t="shared" si="20" ref="BG21:BG34">N21+AC21+AR21</f>
        <v>242</v>
      </c>
      <c r="BH21" s="543">
        <f aca="true" t="shared" si="21" ref="BH21:BH34">O21+AD21+AS21</f>
        <v>181</v>
      </c>
      <c r="BI21" s="543">
        <f t="shared" si="11"/>
        <v>204</v>
      </c>
      <c r="BJ21" s="543">
        <f t="shared" si="12"/>
        <v>112</v>
      </c>
      <c r="BK21" s="969">
        <f t="shared" si="3"/>
        <v>-0.4509803921568627</v>
      </c>
      <c r="BL21" s="359" t="s">
        <v>50</v>
      </c>
    </row>
    <row r="22" spans="1:64" ht="12.75" customHeight="1">
      <c r="A22" s="8"/>
      <c r="B22" s="10" t="s">
        <v>51</v>
      </c>
      <c r="C22" s="557">
        <v>219</v>
      </c>
      <c r="D22" s="442">
        <v>334</v>
      </c>
      <c r="E22" s="524">
        <v>189</v>
      </c>
      <c r="F22" s="524">
        <v>61</v>
      </c>
      <c r="G22" s="524">
        <v>95</v>
      </c>
      <c r="H22" s="524">
        <v>21</v>
      </c>
      <c r="I22" s="524">
        <v>4</v>
      </c>
      <c r="J22" s="524">
        <v>5</v>
      </c>
      <c r="K22" s="524"/>
      <c r="L22" s="524">
        <v>3</v>
      </c>
      <c r="M22" s="524">
        <v>3</v>
      </c>
      <c r="N22" s="524">
        <v>0</v>
      </c>
      <c r="O22" s="524">
        <v>0</v>
      </c>
      <c r="P22" s="524">
        <v>0</v>
      </c>
      <c r="Q22" s="524">
        <v>0</v>
      </c>
      <c r="R22" s="527">
        <v>53</v>
      </c>
      <c r="S22" s="524">
        <v>18</v>
      </c>
      <c r="T22" s="524">
        <v>30</v>
      </c>
      <c r="U22" s="524">
        <v>141</v>
      </c>
      <c r="V22" s="524">
        <v>95</v>
      </c>
      <c r="W22" s="524">
        <v>91</v>
      </c>
      <c r="X22" s="524">
        <v>86</v>
      </c>
      <c r="Y22" s="524">
        <v>86</v>
      </c>
      <c r="Z22" s="524">
        <v>106</v>
      </c>
      <c r="AA22" s="524">
        <v>125</v>
      </c>
      <c r="AB22" s="524">
        <v>163</v>
      </c>
      <c r="AC22" s="524">
        <v>166</v>
      </c>
      <c r="AD22" s="524">
        <v>213</v>
      </c>
      <c r="AE22" s="524">
        <v>299</v>
      </c>
      <c r="AF22" s="524">
        <v>346</v>
      </c>
      <c r="AG22" s="527">
        <v>67</v>
      </c>
      <c r="AH22" s="524">
        <v>80</v>
      </c>
      <c r="AI22" s="524">
        <v>60</v>
      </c>
      <c r="AJ22" s="524">
        <v>25</v>
      </c>
      <c r="AK22" s="524">
        <v>4</v>
      </c>
      <c r="AL22" s="524">
        <v>1</v>
      </c>
      <c r="AM22" s="524">
        <v>4</v>
      </c>
      <c r="AN22" s="524">
        <v>18</v>
      </c>
      <c r="AO22" s="524">
        <v>39</v>
      </c>
      <c r="AP22" s="524">
        <v>51</v>
      </c>
      <c r="AQ22" s="524">
        <v>125</v>
      </c>
      <c r="AR22" s="524">
        <v>29</v>
      </c>
      <c r="AS22" s="524">
        <v>50</v>
      </c>
      <c r="AT22" s="524">
        <v>93</v>
      </c>
      <c r="AU22" s="533">
        <v>350</v>
      </c>
      <c r="AV22" s="524">
        <f t="shared" si="16"/>
        <v>339</v>
      </c>
      <c r="AW22" s="524">
        <f t="shared" si="16"/>
        <v>432</v>
      </c>
      <c r="AX22" s="524">
        <f t="shared" si="16"/>
        <v>279</v>
      </c>
      <c r="AY22" s="524">
        <f t="shared" si="16"/>
        <v>227</v>
      </c>
      <c r="AZ22" s="524">
        <f t="shared" si="16"/>
        <v>194</v>
      </c>
      <c r="BA22" s="524">
        <f t="shared" si="16"/>
        <v>113</v>
      </c>
      <c r="BB22" s="524">
        <f t="shared" si="16"/>
        <v>94</v>
      </c>
      <c r="BC22" s="524">
        <f t="shared" si="16"/>
        <v>109</v>
      </c>
      <c r="BD22" s="524">
        <f t="shared" si="17"/>
        <v>145</v>
      </c>
      <c r="BE22" s="524">
        <f t="shared" si="18"/>
        <v>179</v>
      </c>
      <c r="BF22" s="524">
        <f t="shared" si="19"/>
        <v>291</v>
      </c>
      <c r="BG22" s="524">
        <f t="shared" si="20"/>
        <v>195</v>
      </c>
      <c r="BH22" s="524">
        <f t="shared" si="21"/>
        <v>263</v>
      </c>
      <c r="BI22" s="524">
        <f t="shared" si="11"/>
        <v>392</v>
      </c>
      <c r="BJ22" s="524">
        <f t="shared" si="12"/>
        <v>696</v>
      </c>
      <c r="BK22" s="968">
        <f t="shared" si="3"/>
        <v>0.7755102040816326</v>
      </c>
      <c r="BL22" s="67" t="s">
        <v>51</v>
      </c>
    </row>
    <row r="23" spans="1:64" ht="18" customHeight="1">
      <c r="A23" s="8"/>
      <c r="B23" s="156" t="s">
        <v>68</v>
      </c>
      <c r="C23" s="561"/>
      <c r="D23" s="443"/>
      <c r="E23" s="543"/>
      <c r="F23" s="543"/>
      <c r="G23" s="543"/>
      <c r="H23" s="543"/>
      <c r="I23" s="543"/>
      <c r="J23" s="543"/>
      <c r="K23" s="543"/>
      <c r="L23" s="543"/>
      <c r="M23" s="543">
        <v>0</v>
      </c>
      <c r="N23" s="543">
        <v>0</v>
      </c>
      <c r="O23" s="543">
        <v>0</v>
      </c>
      <c r="P23" s="543">
        <v>0</v>
      </c>
      <c r="Q23" s="543">
        <v>4</v>
      </c>
      <c r="R23" s="545">
        <v>16</v>
      </c>
      <c r="S23" s="543">
        <v>22</v>
      </c>
      <c r="T23" s="543">
        <v>14</v>
      </c>
      <c r="U23" s="543">
        <v>20</v>
      </c>
      <c r="V23" s="543">
        <v>19</v>
      </c>
      <c r="W23" s="543">
        <v>34</v>
      </c>
      <c r="X23" s="543">
        <v>15</v>
      </c>
      <c r="Y23" s="543">
        <v>26</v>
      </c>
      <c r="Z23" s="543">
        <v>10</v>
      </c>
      <c r="AA23" s="543">
        <v>30</v>
      </c>
      <c r="AB23" s="543">
        <v>13</v>
      </c>
      <c r="AC23" s="543">
        <v>17</v>
      </c>
      <c r="AD23" s="543">
        <v>25</v>
      </c>
      <c r="AE23" s="543">
        <v>27</v>
      </c>
      <c r="AF23" s="543">
        <v>22</v>
      </c>
      <c r="AG23" s="545">
        <v>110</v>
      </c>
      <c r="AH23" s="543">
        <v>136</v>
      </c>
      <c r="AI23" s="543">
        <v>154</v>
      </c>
      <c r="AJ23" s="543">
        <v>156</v>
      </c>
      <c r="AK23" s="543">
        <v>206</v>
      </c>
      <c r="AL23" s="543">
        <v>175</v>
      </c>
      <c r="AM23" s="543">
        <v>159</v>
      </c>
      <c r="AN23" s="543">
        <v>162</v>
      </c>
      <c r="AO23" s="543">
        <v>149</v>
      </c>
      <c r="AP23" s="543">
        <v>141</v>
      </c>
      <c r="AQ23" s="543">
        <v>146</v>
      </c>
      <c r="AR23" s="543">
        <v>234</v>
      </c>
      <c r="AS23" s="543">
        <v>180</v>
      </c>
      <c r="AT23" s="543">
        <v>212</v>
      </c>
      <c r="AU23" s="544">
        <v>199</v>
      </c>
      <c r="AV23" s="543">
        <f t="shared" si="16"/>
        <v>126</v>
      </c>
      <c r="AW23" s="543">
        <f t="shared" si="16"/>
        <v>158</v>
      </c>
      <c r="AX23" s="543">
        <f t="shared" si="16"/>
        <v>168</v>
      </c>
      <c r="AY23" s="543">
        <f t="shared" si="16"/>
        <v>176</v>
      </c>
      <c r="AZ23" s="543">
        <f t="shared" si="16"/>
        <v>225</v>
      </c>
      <c r="BA23" s="543">
        <f t="shared" si="16"/>
        <v>209</v>
      </c>
      <c r="BB23" s="543">
        <f t="shared" si="16"/>
        <v>174</v>
      </c>
      <c r="BC23" s="543">
        <f t="shared" si="16"/>
        <v>188</v>
      </c>
      <c r="BD23" s="543">
        <f t="shared" si="17"/>
        <v>159</v>
      </c>
      <c r="BE23" s="543">
        <f t="shared" si="18"/>
        <v>171</v>
      </c>
      <c r="BF23" s="543">
        <f t="shared" si="19"/>
        <v>159</v>
      </c>
      <c r="BG23" s="543">
        <f t="shared" si="20"/>
        <v>251</v>
      </c>
      <c r="BH23" s="543">
        <f t="shared" si="21"/>
        <v>205</v>
      </c>
      <c r="BI23" s="543">
        <f t="shared" si="11"/>
        <v>239</v>
      </c>
      <c r="BJ23" s="543">
        <f t="shared" si="12"/>
        <v>225</v>
      </c>
      <c r="BK23" s="969">
        <f t="shared" si="3"/>
        <v>-0.05857740585774063</v>
      </c>
      <c r="BL23" s="359" t="s">
        <v>68</v>
      </c>
    </row>
    <row r="24" spans="1:64" ht="12.75" customHeight="1">
      <c r="A24" s="8"/>
      <c r="B24" s="10" t="s">
        <v>49</v>
      </c>
      <c r="C24" s="557"/>
      <c r="D24" s="442"/>
      <c r="E24" s="524"/>
      <c r="F24" s="524"/>
      <c r="G24" s="524"/>
      <c r="H24" s="524"/>
      <c r="I24" s="524">
        <v>8</v>
      </c>
      <c r="J24" s="524">
        <v>3</v>
      </c>
      <c r="K24" s="524">
        <v>2</v>
      </c>
      <c r="L24" s="524">
        <v>7</v>
      </c>
      <c r="M24" s="524">
        <v>12</v>
      </c>
      <c r="N24" s="524">
        <v>7</v>
      </c>
      <c r="O24" s="524">
        <v>4</v>
      </c>
      <c r="P24" s="524">
        <v>1</v>
      </c>
      <c r="Q24" s="524">
        <v>1</v>
      </c>
      <c r="R24" s="527"/>
      <c r="S24" s="524"/>
      <c r="T24" s="524"/>
      <c r="U24" s="524"/>
      <c r="V24" s="524"/>
      <c r="W24" s="524"/>
      <c r="X24" s="524">
        <v>105</v>
      </c>
      <c r="Y24" s="524">
        <v>52</v>
      </c>
      <c r="Z24" s="524">
        <v>29</v>
      </c>
      <c r="AA24" s="524">
        <v>33</v>
      </c>
      <c r="AB24" s="524">
        <v>49</v>
      </c>
      <c r="AC24" s="524">
        <v>138</v>
      </c>
      <c r="AD24" s="524">
        <v>117</v>
      </c>
      <c r="AE24" s="524">
        <v>159</v>
      </c>
      <c r="AF24" s="524">
        <v>228</v>
      </c>
      <c r="AG24" s="527"/>
      <c r="AH24" s="524"/>
      <c r="AI24" s="524"/>
      <c r="AJ24" s="524"/>
      <c r="AK24" s="524"/>
      <c r="AL24" s="524"/>
      <c r="AM24" s="524">
        <v>167</v>
      </c>
      <c r="AN24" s="524">
        <v>97</v>
      </c>
      <c r="AO24" s="524">
        <v>19</v>
      </c>
      <c r="AP24" s="524">
        <v>392</v>
      </c>
      <c r="AQ24" s="524">
        <v>406</v>
      </c>
      <c r="AR24" s="524">
        <v>401</v>
      </c>
      <c r="AS24" s="524">
        <v>290</v>
      </c>
      <c r="AT24" s="524">
        <v>483</v>
      </c>
      <c r="AU24" s="533">
        <v>434</v>
      </c>
      <c r="AV24" s="524"/>
      <c r="AW24" s="524">
        <v>600</v>
      </c>
      <c r="AX24" s="524">
        <v>814</v>
      </c>
      <c r="AY24" s="524">
        <v>734</v>
      </c>
      <c r="AZ24" s="524">
        <f aca="true" t="shared" si="22" ref="AZ24:AZ38">G24+V24+AK24</f>
        <v>0</v>
      </c>
      <c r="BA24" s="524">
        <f aca="true" t="shared" si="23" ref="BA24:BA38">H24+W24+AL24</f>
        <v>0</v>
      </c>
      <c r="BB24" s="524">
        <f aca="true" t="shared" si="24" ref="BB24:BB38">I24+X24+AM24</f>
        <v>280</v>
      </c>
      <c r="BC24" s="524">
        <f aca="true" t="shared" si="25" ref="BC24:BC38">J24+Y24+AN24</f>
        <v>152</v>
      </c>
      <c r="BD24" s="524">
        <f t="shared" si="17"/>
        <v>50</v>
      </c>
      <c r="BE24" s="524">
        <f t="shared" si="18"/>
        <v>432</v>
      </c>
      <c r="BF24" s="524">
        <f t="shared" si="19"/>
        <v>467</v>
      </c>
      <c r="BG24" s="524">
        <f t="shared" si="20"/>
        <v>546</v>
      </c>
      <c r="BH24" s="524">
        <f t="shared" si="21"/>
        <v>411</v>
      </c>
      <c r="BI24" s="524">
        <f t="shared" si="11"/>
        <v>643</v>
      </c>
      <c r="BJ24" s="524">
        <f t="shared" si="12"/>
        <v>663</v>
      </c>
      <c r="BK24" s="968">
        <f t="shared" si="3"/>
        <v>0.031104199066874116</v>
      </c>
      <c r="BL24" s="67" t="s">
        <v>49</v>
      </c>
    </row>
    <row r="25" spans="1:64" ht="12.75" customHeight="1">
      <c r="A25" s="8"/>
      <c r="B25" s="156" t="s">
        <v>52</v>
      </c>
      <c r="C25" s="561">
        <v>21</v>
      </c>
      <c r="D25" s="443">
        <v>23</v>
      </c>
      <c r="E25" s="543">
        <v>10</v>
      </c>
      <c r="F25" s="543">
        <v>13</v>
      </c>
      <c r="G25" s="543">
        <v>21</v>
      </c>
      <c r="H25" s="543">
        <v>26</v>
      </c>
      <c r="I25" s="543">
        <v>15</v>
      </c>
      <c r="J25" s="543">
        <v>7</v>
      </c>
      <c r="K25" s="543">
        <v>10</v>
      </c>
      <c r="L25" s="543">
        <v>12</v>
      </c>
      <c r="M25" s="543">
        <v>8</v>
      </c>
      <c r="N25" s="543">
        <v>34</v>
      </c>
      <c r="O25" s="543">
        <v>32</v>
      </c>
      <c r="P25" s="543">
        <v>18</v>
      </c>
      <c r="Q25" s="543">
        <v>21</v>
      </c>
      <c r="R25" s="545">
        <v>0</v>
      </c>
      <c r="S25" s="543">
        <v>0</v>
      </c>
      <c r="T25" s="543">
        <v>0</v>
      </c>
      <c r="U25" s="543">
        <v>0</v>
      </c>
      <c r="V25" s="543">
        <v>0</v>
      </c>
      <c r="W25" s="543">
        <v>0</v>
      </c>
      <c r="X25" s="543">
        <v>0</v>
      </c>
      <c r="Y25" s="543">
        <v>184</v>
      </c>
      <c r="Z25" s="543">
        <v>0</v>
      </c>
      <c r="AA25" s="543">
        <v>0</v>
      </c>
      <c r="AB25" s="543">
        <v>0</v>
      </c>
      <c r="AC25" s="543">
        <v>143</v>
      </c>
      <c r="AD25" s="543">
        <v>33</v>
      </c>
      <c r="AE25" s="543">
        <v>28</v>
      </c>
      <c r="AF25" s="543">
        <v>28</v>
      </c>
      <c r="AG25" s="545">
        <v>0</v>
      </c>
      <c r="AH25" s="543">
        <v>0</v>
      </c>
      <c r="AI25" s="543">
        <v>0</v>
      </c>
      <c r="AJ25" s="543">
        <v>0</v>
      </c>
      <c r="AK25" s="543">
        <v>1</v>
      </c>
      <c r="AL25" s="543">
        <v>4</v>
      </c>
      <c r="AM25" s="543">
        <v>8</v>
      </c>
      <c r="AN25" s="543">
        <v>19</v>
      </c>
      <c r="AO25" s="543">
        <v>9</v>
      </c>
      <c r="AP25" s="543">
        <v>3</v>
      </c>
      <c r="AQ25" s="543">
        <v>2</v>
      </c>
      <c r="AR25" s="543">
        <v>2</v>
      </c>
      <c r="AS25" s="543">
        <v>0</v>
      </c>
      <c r="AT25" s="543">
        <v>3</v>
      </c>
      <c r="AU25" s="544">
        <v>1</v>
      </c>
      <c r="AV25" s="543">
        <f aca="true" t="shared" si="26" ref="AV25:AY29">C25+R25+AG25</f>
        <v>21</v>
      </c>
      <c r="AW25" s="543">
        <f t="shared" si="26"/>
        <v>23</v>
      </c>
      <c r="AX25" s="543">
        <f t="shared" si="26"/>
        <v>10</v>
      </c>
      <c r="AY25" s="543">
        <f t="shared" si="26"/>
        <v>13</v>
      </c>
      <c r="AZ25" s="543">
        <f t="shared" si="22"/>
        <v>22</v>
      </c>
      <c r="BA25" s="543">
        <f t="shared" si="23"/>
        <v>30</v>
      </c>
      <c r="BB25" s="543">
        <f t="shared" si="24"/>
        <v>23</v>
      </c>
      <c r="BC25" s="543">
        <f t="shared" si="25"/>
        <v>210</v>
      </c>
      <c r="BD25" s="543">
        <f t="shared" si="17"/>
        <v>19</v>
      </c>
      <c r="BE25" s="543">
        <f t="shared" si="18"/>
        <v>15</v>
      </c>
      <c r="BF25" s="543">
        <f t="shared" si="19"/>
        <v>10</v>
      </c>
      <c r="BG25" s="543">
        <f t="shared" si="20"/>
        <v>179</v>
      </c>
      <c r="BH25" s="543">
        <f t="shared" si="21"/>
        <v>65</v>
      </c>
      <c r="BI25" s="543">
        <f t="shared" si="11"/>
        <v>49</v>
      </c>
      <c r="BJ25" s="543">
        <f t="shared" si="12"/>
        <v>50</v>
      </c>
      <c r="BK25" s="969">
        <f t="shared" si="3"/>
        <v>0.020408163265306145</v>
      </c>
      <c r="BL25" s="359" t="s">
        <v>52</v>
      </c>
    </row>
    <row r="26" spans="1:64" ht="12.75" customHeight="1">
      <c r="A26" s="8"/>
      <c r="B26" s="10" t="s">
        <v>60</v>
      </c>
      <c r="C26" s="557">
        <v>7</v>
      </c>
      <c r="D26" s="442">
        <v>1</v>
      </c>
      <c r="E26" s="524">
        <v>4</v>
      </c>
      <c r="F26" s="524"/>
      <c r="G26" s="524"/>
      <c r="H26" s="524"/>
      <c r="I26" s="524"/>
      <c r="J26" s="524"/>
      <c r="K26" s="524"/>
      <c r="L26" s="524"/>
      <c r="M26" s="524"/>
      <c r="N26" s="524"/>
      <c r="O26" s="524">
        <v>0</v>
      </c>
      <c r="P26" s="524">
        <v>0</v>
      </c>
      <c r="Q26" s="524">
        <v>1</v>
      </c>
      <c r="R26" s="527">
        <v>242</v>
      </c>
      <c r="S26" s="524">
        <v>531</v>
      </c>
      <c r="T26" s="524">
        <v>47</v>
      </c>
      <c r="U26" s="524">
        <v>459</v>
      </c>
      <c r="V26" s="524">
        <v>487</v>
      </c>
      <c r="W26" s="524">
        <v>110</v>
      </c>
      <c r="X26" s="524">
        <v>260</v>
      </c>
      <c r="Y26" s="524">
        <v>3</v>
      </c>
      <c r="Z26" s="524">
        <v>79</v>
      </c>
      <c r="AA26" s="524">
        <v>48</v>
      </c>
      <c r="AB26" s="524">
        <v>131</v>
      </c>
      <c r="AC26" s="524">
        <v>53</v>
      </c>
      <c r="AD26" s="524">
        <v>221</v>
      </c>
      <c r="AE26" s="524">
        <v>128</v>
      </c>
      <c r="AF26" s="524">
        <v>112</v>
      </c>
      <c r="AG26" s="527">
        <v>691</v>
      </c>
      <c r="AH26" s="524">
        <v>612</v>
      </c>
      <c r="AI26" s="524">
        <v>745</v>
      </c>
      <c r="AJ26" s="524">
        <v>699</v>
      </c>
      <c r="AK26" s="524">
        <v>724</v>
      </c>
      <c r="AL26" s="524">
        <v>1052</v>
      </c>
      <c r="AM26" s="524">
        <v>312</v>
      </c>
      <c r="AN26" s="524">
        <v>226</v>
      </c>
      <c r="AO26" s="524">
        <v>705</v>
      </c>
      <c r="AP26" s="524">
        <v>547</v>
      </c>
      <c r="AQ26" s="524">
        <v>538</v>
      </c>
      <c r="AR26" s="524">
        <v>291</v>
      </c>
      <c r="AS26" s="524">
        <v>619</v>
      </c>
      <c r="AT26" s="524">
        <v>760</v>
      </c>
      <c r="AU26" s="533">
        <v>317</v>
      </c>
      <c r="AV26" s="524">
        <f t="shared" si="26"/>
        <v>940</v>
      </c>
      <c r="AW26" s="524">
        <f t="shared" si="26"/>
        <v>1144</v>
      </c>
      <c r="AX26" s="524">
        <f t="shared" si="26"/>
        <v>796</v>
      </c>
      <c r="AY26" s="524">
        <f t="shared" si="26"/>
        <v>1158</v>
      </c>
      <c r="AZ26" s="524">
        <f t="shared" si="22"/>
        <v>1211</v>
      </c>
      <c r="BA26" s="524">
        <f t="shared" si="23"/>
        <v>1162</v>
      </c>
      <c r="BB26" s="524">
        <f t="shared" si="24"/>
        <v>572</v>
      </c>
      <c r="BC26" s="524">
        <f t="shared" si="25"/>
        <v>229</v>
      </c>
      <c r="BD26" s="524">
        <f t="shared" si="17"/>
        <v>784</v>
      </c>
      <c r="BE26" s="524">
        <f t="shared" si="18"/>
        <v>595</v>
      </c>
      <c r="BF26" s="524">
        <f t="shared" si="19"/>
        <v>669</v>
      </c>
      <c r="BG26" s="524">
        <f t="shared" si="20"/>
        <v>344</v>
      </c>
      <c r="BH26" s="524">
        <f t="shared" si="21"/>
        <v>840</v>
      </c>
      <c r="BI26" s="524">
        <f t="shared" si="11"/>
        <v>888</v>
      </c>
      <c r="BJ26" s="524">
        <f t="shared" si="12"/>
        <v>430</v>
      </c>
      <c r="BK26" s="968">
        <f t="shared" si="3"/>
        <v>-0.5157657657657657</v>
      </c>
      <c r="BL26" s="67" t="s">
        <v>60</v>
      </c>
    </row>
    <row r="27" spans="1:64" ht="12.75" customHeight="1">
      <c r="A27" s="8"/>
      <c r="B27" s="156" t="s">
        <v>69</v>
      </c>
      <c r="C27" s="561">
        <v>19</v>
      </c>
      <c r="D27" s="443">
        <v>28</v>
      </c>
      <c r="E27" s="543">
        <v>22</v>
      </c>
      <c r="F27" s="543">
        <v>13</v>
      </c>
      <c r="G27" s="543">
        <v>12</v>
      </c>
      <c r="H27" s="543"/>
      <c r="I27" s="543">
        <v>10</v>
      </c>
      <c r="J27" s="543">
        <v>6</v>
      </c>
      <c r="K27" s="543">
        <v>4</v>
      </c>
      <c r="L27" s="543">
        <v>6</v>
      </c>
      <c r="M27" s="543">
        <v>2</v>
      </c>
      <c r="N27" s="543">
        <v>3</v>
      </c>
      <c r="O27" s="543">
        <v>2</v>
      </c>
      <c r="P27" s="543">
        <v>0</v>
      </c>
      <c r="Q27" s="543">
        <v>1</v>
      </c>
      <c r="R27" s="545">
        <v>145</v>
      </c>
      <c r="S27" s="543">
        <v>124</v>
      </c>
      <c r="T27" s="543">
        <v>91</v>
      </c>
      <c r="U27" s="543">
        <v>100</v>
      </c>
      <c r="V27" s="543">
        <v>155</v>
      </c>
      <c r="W27" s="543">
        <v>116</v>
      </c>
      <c r="X27" s="543">
        <v>119</v>
      </c>
      <c r="Y27" s="543">
        <v>109</v>
      </c>
      <c r="Z27" s="543">
        <v>118</v>
      </c>
      <c r="AA27" s="543">
        <v>97</v>
      </c>
      <c r="AB27" s="543">
        <v>119</v>
      </c>
      <c r="AC27" s="543">
        <v>106</v>
      </c>
      <c r="AD27" s="543">
        <v>135</v>
      </c>
      <c r="AE27" s="543">
        <v>123</v>
      </c>
      <c r="AF27" s="543">
        <v>123</v>
      </c>
      <c r="AG27" s="545">
        <v>765</v>
      </c>
      <c r="AH27" s="543">
        <v>506</v>
      </c>
      <c r="AI27" s="543">
        <v>714</v>
      </c>
      <c r="AJ27" s="543">
        <v>657</v>
      </c>
      <c r="AK27" s="543">
        <v>783</v>
      </c>
      <c r="AL27" s="543">
        <v>528</v>
      </c>
      <c r="AM27" s="543">
        <v>580</v>
      </c>
      <c r="AN27" s="543">
        <v>487</v>
      </c>
      <c r="AO27" s="543">
        <v>610</v>
      </c>
      <c r="AP27" s="543">
        <v>610</v>
      </c>
      <c r="AQ27" s="543">
        <v>779</v>
      </c>
      <c r="AR27" s="543">
        <v>790</v>
      </c>
      <c r="AS27" s="543">
        <v>906</v>
      </c>
      <c r="AT27" s="543">
        <v>1121</v>
      </c>
      <c r="AU27" s="544">
        <v>937</v>
      </c>
      <c r="AV27" s="543">
        <f t="shared" si="26"/>
        <v>929</v>
      </c>
      <c r="AW27" s="543">
        <f t="shared" si="26"/>
        <v>658</v>
      </c>
      <c r="AX27" s="543">
        <f t="shared" si="26"/>
        <v>827</v>
      </c>
      <c r="AY27" s="543">
        <f t="shared" si="26"/>
        <v>770</v>
      </c>
      <c r="AZ27" s="543">
        <f t="shared" si="22"/>
        <v>950</v>
      </c>
      <c r="BA27" s="543">
        <f t="shared" si="23"/>
        <v>644</v>
      </c>
      <c r="BB27" s="543">
        <f t="shared" si="24"/>
        <v>709</v>
      </c>
      <c r="BC27" s="543">
        <f t="shared" si="25"/>
        <v>602</v>
      </c>
      <c r="BD27" s="543">
        <f t="shared" si="17"/>
        <v>732</v>
      </c>
      <c r="BE27" s="543">
        <f t="shared" si="18"/>
        <v>713</v>
      </c>
      <c r="BF27" s="543">
        <f t="shared" si="19"/>
        <v>900</v>
      </c>
      <c r="BG27" s="543">
        <f t="shared" si="20"/>
        <v>899</v>
      </c>
      <c r="BH27" s="543">
        <f t="shared" si="21"/>
        <v>1043</v>
      </c>
      <c r="BI27" s="543">
        <f t="shared" si="11"/>
        <v>1244</v>
      </c>
      <c r="BJ27" s="543">
        <f t="shared" si="12"/>
        <v>1061</v>
      </c>
      <c r="BK27" s="969">
        <f t="shared" si="3"/>
        <v>-0.14710610932475887</v>
      </c>
      <c r="BL27" s="359" t="s">
        <v>69</v>
      </c>
    </row>
    <row r="28" spans="1:64" ht="12.75" customHeight="1">
      <c r="A28" s="8"/>
      <c r="B28" s="10" t="s">
        <v>53</v>
      </c>
      <c r="C28" s="557">
        <v>1841</v>
      </c>
      <c r="D28" s="442">
        <v>1505</v>
      </c>
      <c r="E28" s="524">
        <v>1501</v>
      </c>
      <c r="F28" s="524">
        <v>2352</v>
      </c>
      <c r="G28" s="524">
        <v>2891</v>
      </c>
      <c r="H28" s="524">
        <v>1817</v>
      </c>
      <c r="I28" s="524">
        <v>1877</v>
      </c>
      <c r="J28" s="524">
        <v>1555</v>
      </c>
      <c r="K28" s="524">
        <v>1713</v>
      </c>
      <c r="L28" s="524">
        <v>2633</v>
      </c>
      <c r="M28" s="524">
        <v>3071</v>
      </c>
      <c r="N28" s="524">
        <v>4298</v>
      </c>
      <c r="O28" s="535">
        <v>3</v>
      </c>
      <c r="P28" s="524">
        <v>0</v>
      </c>
      <c r="Q28" s="524">
        <v>1</v>
      </c>
      <c r="R28" s="527"/>
      <c r="S28" s="524"/>
      <c r="T28" s="524"/>
      <c r="U28" s="524">
        <v>0</v>
      </c>
      <c r="V28" s="524">
        <v>0</v>
      </c>
      <c r="W28" s="524">
        <v>2</v>
      </c>
      <c r="X28" s="524">
        <v>21</v>
      </c>
      <c r="Y28" s="524">
        <v>0</v>
      </c>
      <c r="Z28" s="524">
        <v>352</v>
      </c>
      <c r="AA28" s="524">
        <v>435</v>
      </c>
      <c r="AB28" s="524">
        <v>546</v>
      </c>
      <c r="AC28" s="524">
        <v>1398</v>
      </c>
      <c r="AD28" s="524">
        <v>1133</v>
      </c>
      <c r="AE28" s="524">
        <v>1058</v>
      </c>
      <c r="AF28" s="524">
        <v>1026</v>
      </c>
      <c r="AG28" s="527"/>
      <c r="AH28" s="524"/>
      <c r="AI28" s="524"/>
      <c r="AJ28" s="524"/>
      <c r="AK28" s="524"/>
      <c r="AL28" s="524"/>
      <c r="AM28" s="524"/>
      <c r="AN28" s="524"/>
      <c r="AO28" s="524"/>
      <c r="AP28" s="524"/>
      <c r="AQ28" s="524"/>
      <c r="AR28" s="524"/>
      <c r="AS28" s="524"/>
      <c r="AT28" s="524"/>
      <c r="AU28" s="533"/>
      <c r="AV28" s="524">
        <f t="shared" si="26"/>
        <v>1841</v>
      </c>
      <c r="AW28" s="524">
        <f t="shared" si="26"/>
        <v>1505</v>
      </c>
      <c r="AX28" s="524">
        <f t="shared" si="26"/>
        <v>1501</v>
      </c>
      <c r="AY28" s="524">
        <f t="shared" si="26"/>
        <v>2352</v>
      </c>
      <c r="AZ28" s="524">
        <f t="shared" si="22"/>
        <v>2891</v>
      </c>
      <c r="BA28" s="524">
        <f t="shared" si="23"/>
        <v>1819</v>
      </c>
      <c r="BB28" s="524">
        <f t="shared" si="24"/>
        <v>1898</v>
      </c>
      <c r="BC28" s="524">
        <f t="shared" si="25"/>
        <v>1555</v>
      </c>
      <c r="BD28" s="524">
        <f t="shared" si="17"/>
        <v>2065</v>
      </c>
      <c r="BE28" s="524">
        <f t="shared" si="18"/>
        <v>3068</v>
      </c>
      <c r="BF28" s="524">
        <f t="shared" si="19"/>
        <v>3617</v>
      </c>
      <c r="BG28" s="524">
        <f t="shared" si="20"/>
        <v>5696</v>
      </c>
      <c r="BH28" s="535">
        <f t="shared" si="21"/>
        <v>1136</v>
      </c>
      <c r="BI28" s="524">
        <f t="shared" si="11"/>
        <v>1058</v>
      </c>
      <c r="BJ28" s="524">
        <f t="shared" si="12"/>
        <v>1027</v>
      </c>
      <c r="BK28" s="968">
        <f t="shared" si="3"/>
        <v>-0.02930056710775042</v>
      </c>
      <c r="BL28" s="67" t="s">
        <v>53</v>
      </c>
    </row>
    <row r="29" spans="1:64" ht="12.75" customHeight="1">
      <c r="A29" s="8"/>
      <c r="B29" s="156" t="s">
        <v>70</v>
      </c>
      <c r="C29" s="561">
        <v>393</v>
      </c>
      <c r="D29" s="443">
        <v>298</v>
      </c>
      <c r="E29" s="543">
        <v>140</v>
      </c>
      <c r="F29" s="543"/>
      <c r="G29" s="543"/>
      <c r="H29" s="543"/>
      <c r="I29" s="543"/>
      <c r="J29" s="543"/>
      <c r="K29" s="543"/>
      <c r="L29" s="543">
        <v>2</v>
      </c>
      <c r="M29" s="543">
        <v>5</v>
      </c>
      <c r="N29" s="543">
        <v>5</v>
      </c>
      <c r="O29" s="543">
        <v>0</v>
      </c>
      <c r="P29" s="543">
        <v>0</v>
      </c>
      <c r="Q29" s="543">
        <v>35</v>
      </c>
      <c r="R29" s="545">
        <v>331</v>
      </c>
      <c r="S29" s="543">
        <v>323</v>
      </c>
      <c r="T29" s="543">
        <v>312</v>
      </c>
      <c r="U29" s="543">
        <v>407</v>
      </c>
      <c r="V29" s="543">
        <v>438</v>
      </c>
      <c r="W29" s="543">
        <v>311</v>
      </c>
      <c r="X29" s="543">
        <v>238</v>
      </c>
      <c r="Y29" s="543">
        <v>151</v>
      </c>
      <c r="Z29" s="543">
        <v>94</v>
      </c>
      <c r="AA29" s="543">
        <v>51</v>
      </c>
      <c r="AB29" s="543">
        <v>97</v>
      </c>
      <c r="AC29" s="543">
        <v>101</v>
      </c>
      <c r="AD29" s="543">
        <v>139</v>
      </c>
      <c r="AE29" s="543">
        <v>132</v>
      </c>
      <c r="AF29" s="543">
        <v>180</v>
      </c>
      <c r="AG29" s="545">
        <v>310</v>
      </c>
      <c r="AH29" s="543">
        <v>405</v>
      </c>
      <c r="AI29" s="543">
        <v>267</v>
      </c>
      <c r="AJ29" s="543">
        <v>320</v>
      </c>
      <c r="AK29" s="543">
        <v>358</v>
      </c>
      <c r="AL29" s="543">
        <v>318</v>
      </c>
      <c r="AM29" s="543">
        <v>254</v>
      </c>
      <c r="AN29" s="543">
        <v>187</v>
      </c>
      <c r="AO29" s="543">
        <v>133</v>
      </c>
      <c r="AP29" s="543">
        <v>119</v>
      </c>
      <c r="AQ29" s="543">
        <v>135</v>
      </c>
      <c r="AR29" s="543">
        <v>146</v>
      </c>
      <c r="AS29" s="543">
        <v>211</v>
      </c>
      <c r="AT29" s="543">
        <v>222</v>
      </c>
      <c r="AU29" s="544">
        <v>320</v>
      </c>
      <c r="AV29" s="543">
        <f t="shared" si="26"/>
        <v>1034</v>
      </c>
      <c r="AW29" s="543">
        <f t="shared" si="26"/>
        <v>1026</v>
      </c>
      <c r="AX29" s="543">
        <f t="shared" si="26"/>
        <v>719</v>
      </c>
      <c r="AY29" s="543">
        <f t="shared" si="26"/>
        <v>727</v>
      </c>
      <c r="AZ29" s="543">
        <f t="shared" si="22"/>
        <v>796</v>
      </c>
      <c r="BA29" s="543">
        <f t="shared" si="23"/>
        <v>629</v>
      </c>
      <c r="BB29" s="543">
        <f t="shared" si="24"/>
        <v>492</v>
      </c>
      <c r="BC29" s="543">
        <f t="shared" si="25"/>
        <v>338</v>
      </c>
      <c r="BD29" s="543">
        <f t="shared" si="17"/>
        <v>227</v>
      </c>
      <c r="BE29" s="543">
        <f t="shared" si="18"/>
        <v>172</v>
      </c>
      <c r="BF29" s="543">
        <f t="shared" si="19"/>
        <v>237</v>
      </c>
      <c r="BG29" s="543">
        <f t="shared" si="20"/>
        <v>252</v>
      </c>
      <c r="BH29" s="543">
        <f t="shared" si="21"/>
        <v>350</v>
      </c>
      <c r="BI29" s="543">
        <f t="shared" si="11"/>
        <v>354</v>
      </c>
      <c r="BJ29" s="543">
        <f t="shared" si="12"/>
        <v>535</v>
      </c>
      <c r="BK29" s="969">
        <f t="shared" si="3"/>
        <v>0.5112994350282485</v>
      </c>
      <c r="BL29" s="359" t="s">
        <v>70</v>
      </c>
    </row>
    <row r="30" spans="1:64" ht="12.75" customHeight="1">
      <c r="A30" s="8"/>
      <c r="B30" s="10" t="s">
        <v>54</v>
      </c>
      <c r="C30" s="557"/>
      <c r="D30" s="442"/>
      <c r="E30" s="524">
        <v>1161</v>
      </c>
      <c r="F30" s="524">
        <v>1790</v>
      </c>
      <c r="G30" s="524">
        <v>2686</v>
      </c>
      <c r="H30" s="524">
        <v>877</v>
      </c>
      <c r="I30" s="524">
        <v>717</v>
      </c>
      <c r="J30" s="524">
        <v>688</v>
      </c>
      <c r="K30" s="524">
        <v>618</v>
      </c>
      <c r="L30" s="524">
        <v>634</v>
      </c>
      <c r="M30" s="524">
        <v>480</v>
      </c>
      <c r="N30" s="535">
        <v>43</v>
      </c>
      <c r="O30" s="524">
        <v>12</v>
      </c>
      <c r="P30" s="524">
        <v>1</v>
      </c>
      <c r="Q30" s="524">
        <v>1</v>
      </c>
      <c r="R30" s="527"/>
      <c r="S30" s="524"/>
      <c r="T30" s="524">
        <v>519</v>
      </c>
      <c r="U30" s="524">
        <v>674</v>
      </c>
      <c r="V30" s="524">
        <v>522</v>
      </c>
      <c r="W30" s="524">
        <v>8</v>
      </c>
      <c r="X30" s="524">
        <v>8</v>
      </c>
      <c r="Y30" s="524">
        <v>46</v>
      </c>
      <c r="Z30" s="524">
        <v>109</v>
      </c>
      <c r="AA30" s="524">
        <v>474</v>
      </c>
      <c r="AB30" s="524">
        <v>630</v>
      </c>
      <c r="AC30" s="535">
        <v>2251</v>
      </c>
      <c r="AD30" s="524">
        <v>1007</v>
      </c>
      <c r="AE30" s="524">
        <v>887</v>
      </c>
      <c r="AF30" s="524">
        <v>926</v>
      </c>
      <c r="AG30" s="527"/>
      <c r="AH30" s="524"/>
      <c r="AI30" s="524">
        <v>828</v>
      </c>
      <c r="AJ30" s="524">
        <v>525</v>
      </c>
      <c r="AK30" s="524">
        <v>968</v>
      </c>
      <c r="AL30" s="524">
        <v>204</v>
      </c>
      <c r="AM30" s="524">
        <v>97</v>
      </c>
      <c r="AN30" s="524">
        <v>48</v>
      </c>
      <c r="AO30" s="524">
        <v>14</v>
      </c>
      <c r="AP30" s="524">
        <v>30</v>
      </c>
      <c r="AQ30" s="524">
        <v>53</v>
      </c>
      <c r="AR30" s="524">
        <v>181</v>
      </c>
      <c r="AS30" s="524">
        <v>106</v>
      </c>
      <c r="AT30" s="524">
        <v>121</v>
      </c>
      <c r="AU30" s="533">
        <v>103</v>
      </c>
      <c r="AV30" s="524"/>
      <c r="AW30" s="524"/>
      <c r="AX30" s="524">
        <f aca="true" t="shared" si="27" ref="AX30:AX38">E30+T30+AI30</f>
        <v>2508</v>
      </c>
      <c r="AY30" s="524">
        <f aca="true" t="shared" si="28" ref="AY30:AY38">F30+U30+AJ30</f>
        <v>2989</v>
      </c>
      <c r="AZ30" s="524">
        <f t="shared" si="22"/>
        <v>4176</v>
      </c>
      <c r="BA30" s="524">
        <f t="shared" si="23"/>
        <v>1089</v>
      </c>
      <c r="BB30" s="524">
        <f t="shared" si="24"/>
        <v>822</v>
      </c>
      <c r="BC30" s="524">
        <f t="shared" si="25"/>
        <v>782</v>
      </c>
      <c r="BD30" s="524">
        <f t="shared" si="17"/>
        <v>741</v>
      </c>
      <c r="BE30" s="524">
        <f t="shared" si="18"/>
        <v>1138</v>
      </c>
      <c r="BF30" s="524">
        <f t="shared" si="19"/>
        <v>1163</v>
      </c>
      <c r="BG30" s="524">
        <f t="shared" si="20"/>
        <v>2475</v>
      </c>
      <c r="BH30" s="524">
        <f t="shared" si="21"/>
        <v>1125</v>
      </c>
      <c r="BI30" s="524">
        <f t="shared" si="11"/>
        <v>1009</v>
      </c>
      <c r="BJ30" s="524">
        <f t="shared" si="12"/>
        <v>1030</v>
      </c>
      <c r="BK30" s="968">
        <f t="shared" si="3"/>
        <v>0.020812685827552135</v>
      </c>
      <c r="BL30" s="67" t="s">
        <v>54</v>
      </c>
    </row>
    <row r="31" spans="1:64" ht="12.75" customHeight="1">
      <c r="A31" s="8"/>
      <c r="B31" s="156" t="s">
        <v>56</v>
      </c>
      <c r="C31" s="561">
        <v>12</v>
      </c>
      <c r="D31" s="443">
        <v>16</v>
      </c>
      <c r="E31" s="543">
        <v>16</v>
      </c>
      <c r="F31" s="543">
        <v>9</v>
      </c>
      <c r="G31" s="543">
        <v>8</v>
      </c>
      <c r="H31" s="543">
        <v>9</v>
      </c>
      <c r="I31" s="543">
        <v>1</v>
      </c>
      <c r="J31" s="543">
        <v>0</v>
      </c>
      <c r="K31" s="543">
        <v>2</v>
      </c>
      <c r="L31" s="543"/>
      <c r="M31" s="543">
        <v>2</v>
      </c>
      <c r="N31" s="543">
        <v>2</v>
      </c>
      <c r="O31" s="543">
        <v>1</v>
      </c>
      <c r="P31" s="543">
        <v>0</v>
      </c>
      <c r="Q31" s="543">
        <v>0</v>
      </c>
      <c r="R31" s="545">
        <v>29</v>
      </c>
      <c r="S31" s="543">
        <v>21</v>
      </c>
      <c r="T31" s="543">
        <v>24</v>
      </c>
      <c r="U31" s="543">
        <v>41</v>
      </c>
      <c r="V31" s="543">
        <v>59</v>
      </c>
      <c r="W31" s="543">
        <v>51</v>
      </c>
      <c r="X31" s="543">
        <v>46</v>
      </c>
      <c r="Y31" s="543">
        <v>45</v>
      </c>
      <c r="Z31" s="543">
        <v>59</v>
      </c>
      <c r="AA31" s="543">
        <v>46</v>
      </c>
      <c r="AB31" s="543">
        <v>65</v>
      </c>
      <c r="AC31" s="543">
        <v>75</v>
      </c>
      <c r="AD31" s="543">
        <v>61</v>
      </c>
      <c r="AE31" s="543">
        <v>48</v>
      </c>
      <c r="AF31" s="543">
        <v>56</v>
      </c>
      <c r="AG31" s="545">
        <v>88</v>
      </c>
      <c r="AH31" s="543">
        <v>77</v>
      </c>
      <c r="AI31" s="543">
        <v>108</v>
      </c>
      <c r="AJ31" s="543">
        <v>99</v>
      </c>
      <c r="AK31" s="543">
        <v>131</v>
      </c>
      <c r="AL31" s="543">
        <v>75</v>
      </c>
      <c r="AM31" s="543">
        <v>96</v>
      </c>
      <c r="AN31" s="543">
        <v>78</v>
      </c>
      <c r="AO31" s="543">
        <v>33</v>
      </c>
      <c r="AP31" s="543">
        <v>108</v>
      </c>
      <c r="AQ31" s="543">
        <v>103</v>
      </c>
      <c r="AR31" s="543">
        <v>88</v>
      </c>
      <c r="AS31" s="543">
        <v>127</v>
      </c>
      <c r="AT31" s="543">
        <v>130</v>
      </c>
      <c r="AU31" s="544">
        <v>131</v>
      </c>
      <c r="AV31" s="543">
        <f aca="true" t="shared" si="29" ref="AV31:AW38">C31+R31+AG31</f>
        <v>129</v>
      </c>
      <c r="AW31" s="543">
        <f t="shared" si="29"/>
        <v>114</v>
      </c>
      <c r="AX31" s="543">
        <f t="shared" si="27"/>
        <v>148</v>
      </c>
      <c r="AY31" s="543">
        <f t="shared" si="28"/>
        <v>149</v>
      </c>
      <c r="AZ31" s="543">
        <f t="shared" si="22"/>
        <v>198</v>
      </c>
      <c r="BA31" s="543">
        <f t="shared" si="23"/>
        <v>135</v>
      </c>
      <c r="BB31" s="543">
        <f t="shared" si="24"/>
        <v>143</v>
      </c>
      <c r="BC31" s="543">
        <f t="shared" si="25"/>
        <v>123</v>
      </c>
      <c r="BD31" s="543">
        <f t="shared" si="17"/>
        <v>94</v>
      </c>
      <c r="BE31" s="543">
        <f t="shared" si="18"/>
        <v>154</v>
      </c>
      <c r="BF31" s="543">
        <f t="shared" si="19"/>
        <v>170</v>
      </c>
      <c r="BG31" s="543">
        <f t="shared" si="20"/>
        <v>165</v>
      </c>
      <c r="BH31" s="543">
        <f t="shared" si="21"/>
        <v>189</v>
      </c>
      <c r="BI31" s="543">
        <f t="shared" si="11"/>
        <v>178</v>
      </c>
      <c r="BJ31" s="543">
        <f t="shared" si="12"/>
        <v>187</v>
      </c>
      <c r="BK31" s="969">
        <f t="shared" si="3"/>
        <v>0.050561797752809</v>
      </c>
      <c r="BL31" s="359" t="s">
        <v>56</v>
      </c>
    </row>
    <row r="32" spans="1:64" ht="12.75" customHeight="1">
      <c r="A32" s="8"/>
      <c r="B32" s="10" t="s">
        <v>55</v>
      </c>
      <c r="C32" s="557">
        <v>0</v>
      </c>
      <c r="D32" s="442">
        <v>2</v>
      </c>
      <c r="E32" s="524">
        <v>2</v>
      </c>
      <c r="F32" s="524"/>
      <c r="G32" s="524">
        <v>5</v>
      </c>
      <c r="H32" s="524">
        <v>7</v>
      </c>
      <c r="I32" s="524">
        <v>0</v>
      </c>
      <c r="J32" s="524">
        <v>0</v>
      </c>
      <c r="K32" s="524"/>
      <c r="L32" s="524"/>
      <c r="M32" s="524"/>
      <c r="N32" s="524"/>
      <c r="O32" s="524">
        <v>0</v>
      </c>
      <c r="P32" s="524">
        <v>0</v>
      </c>
      <c r="Q32" s="524">
        <v>0</v>
      </c>
      <c r="R32" s="527">
        <v>70</v>
      </c>
      <c r="S32" s="524">
        <v>133</v>
      </c>
      <c r="T32" s="524">
        <v>199</v>
      </c>
      <c r="U32" s="524">
        <v>145</v>
      </c>
      <c r="V32" s="524">
        <v>246</v>
      </c>
      <c r="W32" s="524">
        <v>225</v>
      </c>
      <c r="X32" s="524">
        <v>105</v>
      </c>
      <c r="Y32" s="524">
        <v>69</v>
      </c>
      <c r="Z32" s="524">
        <v>99</v>
      </c>
      <c r="AA32" s="524">
        <v>82</v>
      </c>
      <c r="AB32" s="524">
        <v>89</v>
      </c>
      <c r="AC32" s="524">
        <v>16</v>
      </c>
      <c r="AD32" s="524">
        <v>58</v>
      </c>
      <c r="AE32" s="524">
        <v>30</v>
      </c>
      <c r="AF32" s="524">
        <v>45</v>
      </c>
      <c r="AG32" s="527">
        <v>186</v>
      </c>
      <c r="AH32" s="524">
        <v>142</v>
      </c>
      <c r="AI32" s="524">
        <v>319</v>
      </c>
      <c r="AJ32" s="524">
        <v>188</v>
      </c>
      <c r="AK32" s="524">
        <v>345</v>
      </c>
      <c r="AL32" s="524">
        <v>442</v>
      </c>
      <c r="AM32" s="524">
        <v>323</v>
      </c>
      <c r="AN32" s="524">
        <v>235</v>
      </c>
      <c r="AO32" s="524">
        <v>180</v>
      </c>
      <c r="AP32" s="524">
        <v>184</v>
      </c>
      <c r="AQ32" s="524">
        <v>358</v>
      </c>
      <c r="AR32" s="539">
        <v>173</v>
      </c>
      <c r="AS32" s="539">
        <v>282</v>
      </c>
      <c r="AT32" s="539">
        <v>388</v>
      </c>
      <c r="AU32" s="540">
        <v>257</v>
      </c>
      <c r="AV32" s="524">
        <f t="shared" si="29"/>
        <v>256</v>
      </c>
      <c r="AW32" s="524">
        <f t="shared" si="29"/>
        <v>277</v>
      </c>
      <c r="AX32" s="524">
        <f t="shared" si="27"/>
        <v>520</v>
      </c>
      <c r="AY32" s="524">
        <f t="shared" si="28"/>
        <v>333</v>
      </c>
      <c r="AZ32" s="524">
        <f t="shared" si="22"/>
        <v>596</v>
      </c>
      <c r="BA32" s="524">
        <f t="shared" si="23"/>
        <v>674</v>
      </c>
      <c r="BB32" s="524">
        <f t="shared" si="24"/>
        <v>428</v>
      </c>
      <c r="BC32" s="524">
        <f t="shared" si="25"/>
        <v>304</v>
      </c>
      <c r="BD32" s="524">
        <f t="shared" si="17"/>
        <v>279</v>
      </c>
      <c r="BE32" s="524">
        <f t="shared" si="18"/>
        <v>266</v>
      </c>
      <c r="BF32" s="524">
        <f t="shared" si="19"/>
        <v>447</v>
      </c>
      <c r="BG32" s="524">
        <f t="shared" si="20"/>
        <v>189</v>
      </c>
      <c r="BH32" s="524">
        <f t="shared" si="21"/>
        <v>340</v>
      </c>
      <c r="BI32" s="524">
        <f t="shared" si="11"/>
        <v>418</v>
      </c>
      <c r="BJ32" s="524">
        <f t="shared" si="12"/>
        <v>302</v>
      </c>
      <c r="BK32" s="968">
        <f t="shared" si="3"/>
        <v>-0.27751196172248804</v>
      </c>
      <c r="BL32" s="67" t="s">
        <v>55</v>
      </c>
    </row>
    <row r="33" spans="1:64" ht="12.75" customHeight="1">
      <c r="A33" s="8"/>
      <c r="B33" s="156" t="s">
        <v>71</v>
      </c>
      <c r="C33" s="561">
        <v>98</v>
      </c>
      <c r="D33" s="443">
        <v>81</v>
      </c>
      <c r="E33" s="543">
        <v>89</v>
      </c>
      <c r="F33" s="543">
        <v>86</v>
      </c>
      <c r="G33" s="543">
        <v>72</v>
      </c>
      <c r="H33" s="543">
        <v>21</v>
      </c>
      <c r="I33" s="543">
        <v>16</v>
      </c>
      <c r="J33" s="543">
        <v>14</v>
      </c>
      <c r="K33" s="543">
        <v>17</v>
      </c>
      <c r="L33" s="543">
        <v>4</v>
      </c>
      <c r="M33" s="543">
        <v>5</v>
      </c>
      <c r="N33" s="543">
        <v>2</v>
      </c>
      <c r="O33" s="543">
        <v>6</v>
      </c>
      <c r="P33" s="543">
        <v>8</v>
      </c>
      <c r="Q33" s="543">
        <v>4</v>
      </c>
      <c r="R33" s="545">
        <v>155</v>
      </c>
      <c r="S33" s="543">
        <v>125</v>
      </c>
      <c r="T33" s="543">
        <v>127</v>
      </c>
      <c r="U33" s="543">
        <v>163</v>
      </c>
      <c r="V33" s="543">
        <v>261</v>
      </c>
      <c r="W33" s="543">
        <v>302</v>
      </c>
      <c r="X33" s="543">
        <v>247</v>
      </c>
      <c r="Y33" s="543">
        <v>196</v>
      </c>
      <c r="Z33" s="543">
        <v>258</v>
      </c>
      <c r="AA33" s="543">
        <v>211</v>
      </c>
      <c r="AB33" s="543">
        <v>395</v>
      </c>
      <c r="AC33" s="543">
        <v>276</v>
      </c>
      <c r="AD33" s="543">
        <v>315</v>
      </c>
      <c r="AE33" s="543">
        <v>308</v>
      </c>
      <c r="AF33" s="543">
        <v>344</v>
      </c>
      <c r="AG33" s="545">
        <v>256</v>
      </c>
      <c r="AH33" s="543">
        <v>207</v>
      </c>
      <c r="AI33" s="543">
        <v>222</v>
      </c>
      <c r="AJ33" s="543">
        <v>247</v>
      </c>
      <c r="AK33" s="543">
        <v>270</v>
      </c>
      <c r="AL33" s="543">
        <v>266</v>
      </c>
      <c r="AM33" s="543">
        <v>256</v>
      </c>
      <c r="AN33" s="543">
        <v>191</v>
      </c>
      <c r="AO33" s="543">
        <v>264</v>
      </c>
      <c r="AP33" s="543">
        <v>172</v>
      </c>
      <c r="AQ33" s="543">
        <v>291</v>
      </c>
      <c r="AR33" s="543">
        <v>246</v>
      </c>
      <c r="AS33" s="543">
        <v>264</v>
      </c>
      <c r="AT33" s="543">
        <v>198</v>
      </c>
      <c r="AU33" s="544">
        <v>153</v>
      </c>
      <c r="AV33" s="543">
        <f t="shared" si="29"/>
        <v>509</v>
      </c>
      <c r="AW33" s="543">
        <f t="shared" si="29"/>
        <v>413</v>
      </c>
      <c r="AX33" s="543">
        <f t="shared" si="27"/>
        <v>438</v>
      </c>
      <c r="AY33" s="543">
        <f t="shared" si="28"/>
        <v>496</v>
      </c>
      <c r="AZ33" s="543">
        <f t="shared" si="22"/>
        <v>603</v>
      </c>
      <c r="BA33" s="543">
        <f t="shared" si="23"/>
        <v>589</v>
      </c>
      <c r="BB33" s="543">
        <f t="shared" si="24"/>
        <v>519</v>
      </c>
      <c r="BC33" s="543">
        <f t="shared" si="25"/>
        <v>401</v>
      </c>
      <c r="BD33" s="543">
        <f t="shared" si="17"/>
        <v>539</v>
      </c>
      <c r="BE33" s="543">
        <f t="shared" si="18"/>
        <v>387</v>
      </c>
      <c r="BF33" s="543">
        <f t="shared" si="19"/>
        <v>691</v>
      </c>
      <c r="BG33" s="543">
        <f t="shared" si="20"/>
        <v>524</v>
      </c>
      <c r="BH33" s="543">
        <f t="shared" si="21"/>
        <v>585</v>
      </c>
      <c r="BI33" s="543">
        <f t="shared" si="11"/>
        <v>514</v>
      </c>
      <c r="BJ33" s="543">
        <f t="shared" si="12"/>
        <v>501</v>
      </c>
      <c r="BK33" s="969">
        <f t="shared" si="3"/>
        <v>-0.02529182879377434</v>
      </c>
      <c r="BL33" s="359" t="s">
        <v>71</v>
      </c>
    </row>
    <row r="34" spans="1:64" ht="12.75" customHeight="1">
      <c r="A34" s="8"/>
      <c r="B34" s="10" t="s">
        <v>72</v>
      </c>
      <c r="C34" s="557">
        <v>134</v>
      </c>
      <c r="D34" s="442">
        <v>30</v>
      </c>
      <c r="E34" s="524">
        <v>84</v>
      </c>
      <c r="F34" s="524">
        <v>90</v>
      </c>
      <c r="G34" s="524">
        <v>134</v>
      </c>
      <c r="H34" s="524">
        <v>134</v>
      </c>
      <c r="I34" s="524">
        <v>235</v>
      </c>
      <c r="J34" s="524">
        <v>161</v>
      </c>
      <c r="K34" s="524">
        <v>135</v>
      </c>
      <c r="L34" s="524">
        <v>71</v>
      </c>
      <c r="M34" s="524"/>
      <c r="N34" s="524"/>
      <c r="O34" s="524">
        <v>3</v>
      </c>
      <c r="P34" s="524">
        <v>0</v>
      </c>
      <c r="Q34" s="524">
        <v>14</v>
      </c>
      <c r="R34" s="527">
        <v>338</v>
      </c>
      <c r="S34" s="524">
        <v>290</v>
      </c>
      <c r="T34" s="524">
        <v>330</v>
      </c>
      <c r="U34" s="524">
        <v>205</v>
      </c>
      <c r="V34" s="524">
        <v>396</v>
      </c>
      <c r="W34" s="524">
        <v>260</v>
      </c>
      <c r="X34" s="524">
        <v>317</v>
      </c>
      <c r="Y34" s="524">
        <v>200</v>
      </c>
      <c r="Z34" s="524">
        <v>363</v>
      </c>
      <c r="AA34" s="524">
        <v>304</v>
      </c>
      <c r="AB34" s="524">
        <v>275</v>
      </c>
      <c r="AC34" s="524">
        <v>334</v>
      </c>
      <c r="AD34" s="524">
        <v>333</v>
      </c>
      <c r="AE34" s="524">
        <v>376</v>
      </c>
      <c r="AF34" s="524">
        <v>279</v>
      </c>
      <c r="AG34" s="527">
        <v>661</v>
      </c>
      <c r="AH34" s="524">
        <v>852</v>
      </c>
      <c r="AI34" s="524">
        <v>934</v>
      </c>
      <c r="AJ34" s="524">
        <v>696</v>
      </c>
      <c r="AK34" s="524">
        <v>680</v>
      </c>
      <c r="AL34" s="524">
        <v>782</v>
      </c>
      <c r="AM34" s="524">
        <v>1105</v>
      </c>
      <c r="AN34" s="524">
        <v>1269</v>
      </c>
      <c r="AO34" s="524">
        <v>1020</v>
      </c>
      <c r="AP34" s="524">
        <v>1007</v>
      </c>
      <c r="AQ34" s="524">
        <v>1060</v>
      </c>
      <c r="AR34" s="524">
        <v>996</v>
      </c>
      <c r="AS34" s="524">
        <v>997</v>
      </c>
      <c r="AT34" s="524">
        <v>925</v>
      </c>
      <c r="AU34" s="533">
        <v>593</v>
      </c>
      <c r="AV34" s="524">
        <f t="shared" si="29"/>
        <v>1133</v>
      </c>
      <c r="AW34" s="524">
        <f t="shared" si="29"/>
        <v>1172</v>
      </c>
      <c r="AX34" s="524">
        <f t="shared" si="27"/>
        <v>1348</v>
      </c>
      <c r="AY34" s="524">
        <f t="shared" si="28"/>
        <v>991</v>
      </c>
      <c r="AZ34" s="524">
        <f t="shared" si="22"/>
        <v>1210</v>
      </c>
      <c r="BA34" s="524">
        <f t="shared" si="23"/>
        <v>1176</v>
      </c>
      <c r="BB34" s="524">
        <f t="shared" si="24"/>
        <v>1657</v>
      </c>
      <c r="BC34" s="524">
        <f t="shared" si="25"/>
        <v>1630</v>
      </c>
      <c r="BD34" s="524">
        <f t="shared" si="17"/>
        <v>1518</v>
      </c>
      <c r="BE34" s="524">
        <f t="shared" si="18"/>
        <v>1382</v>
      </c>
      <c r="BF34" s="524">
        <f t="shared" si="19"/>
        <v>1335</v>
      </c>
      <c r="BG34" s="524">
        <f t="shared" si="20"/>
        <v>1330</v>
      </c>
      <c r="BH34" s="524">
        <f t="shared" si="21"/>
        <v>1333</v>
      </c>
      <c r="BI34" s="524">
        <f t="shared" si="11"/>
        <v>1301</v>
      </c>
      <c r="BJ34" s="524">
        <f t="shared" si="12"/>
        <v>886</v>
      </c>
      <c r="BK34" s="968">
        <f t="shared" si="3"/>
        <v>-0.3189853958493467</v>
      </c>
      <c r="BL34" s="67" t="s">
        <v>72</v>
      </c>
    </row>
    <row r="35" spans="1:64" ht="12.75" customHeight="1">
      <c r="A35" s="8"/>
      <c r="B35" s="157" t="s">
        <v>61</v>
      </c>
      <c r="C35" s="562">
        <v>9000</v>
      </c>
      <c r="D35" s="453">
        <v>7853</v>
      </c>
      <c r="E35" s="549">
        <v>7353</v>
      </c>
      <c r="F35" s="549">
        <v>7530</v>
      </c>
      <c r="G35" s="549">
        <v>4383</v>
      </c>
      <c r="H35" s="549">
        <v>3160</v>
      </c>
      <c r="I35" s="549">
        <v>3169</v>
      </c>
      <c r="J35" s="549">
        <v>2365</v>
      </c>
      <c r="K35" s="549">
        <v>2495</v>
      </c>
      <c r="L35" s="549">
        <v>2286</v>
      </c>
      <c r="M35" s="549">
        <v>2440</v>
      </c>
      <c r="N35" s="823">
        <v>9873</v>
      </c>
      <c r="O35" s="549">
        <v>10240</v>
      </c>
      <c r="P35" s="549">
        <v>9049</v>
      </c>
      <c r="Q35" s="549">
        <v>8208</v>
      </c>
      <c r="R35" s="551">
        <v>3183</v>
      </c>
      <c r="S35" s="549">
        <v>4487</v>
      </c>
      <c r="T35" s="549">
        <v>4333</v>
      </c>
      <c r="U35" s="549">
        <v>5558</v>
      </c>
      <c r="V35" s="549">
        <v>5346</v>
      </c>
      <c r="W35" s="549">
        <v>4447</v>
      </c>
      <c r="X35" s="549">
        <v>4326</v>
      </c>
      <c r="Y35" s="549">
        <v>3008</v>
      </c>
      <c r="Z35" s="549">
        <v>4580</v>
      </c>
      <c r="AA35" s="549">
        <v>4564</v>
      </c>
      <c r="AB35" s="549">
        <v>4065</v>
      </c>
      <c r="AC35" s="847" t="s">
        <v>80</v>
      </c>
      <c r="AD35" s="847" t="s">
        <v>80</v>
      </c>
      <c r="AE35" s="847" t="s">
        <v>80</v>
      </c>
      <c r="AF35" s="847" t="s">
        <v>80</v>
      </c>
      <c r="AG35" s="551">
        <v>2588</v>
      </c>
      <c r="AH35" s="549">
        <v>2630</v>
      </c>
      <c r="AI35" s="549">
        <v>2611</v>
      </c>
      <c r="AJ35" s="549">
        <v>2339</v>
      </c>
      <c r="AK35" s="549">
        <v>2867</v>
      </c>
      <c r="AL35" s="549">
        <v>2800</v>
      </c>
      <c r="AM35" s="549">
        <v>1954</v>
      </c>
      <c r="AN35" s="549">
        <v>2200</v>
      </c>
      <c r="AO35" s="549">
        <v>2525</v>
      </c>
      <c r="AP35" s="549">
        <v>2130</v>
      </c>
      <c r="AQ35" s="549">
        <v>2138</v>
      </c>
      <c r="AR35" s="847" t="s">
        <v>80</v>
      </c>
      <c r="AS35" s="847" t="s">
        <v>80</v>
      </c>
      <c r="AT35" s="847" t="s">
        <v>80</v>
      </c>
      <c r="AU35" s="846" t="s">
        <v>80</v>
      </c>
      <c r="AV35" s="543">
        <f t="shared" si="29"/>
        <v>14771</v>
      </c>
      <c r="AW35" s="543">
        <f t="shared" si="29"/>
        <v>14970</v>
      </c>
      <c r="AX35" s="543">
        <f t="shared" si="27"/>
        <v>14297</v>
      </c>
      <c r="AY35" s="543">
        <f t="shared" si="28"/>
        <v>15427</v>
      </c>
      <c r="AZ35" s="549">
        <f t="shared" si="22"/>
        <v>12596</v>
      </c>
      <c r="BA35" s="549">
        <f t="shared" si="23"/>
        <v>10407</v>
      </c>
      <c r="BB35" s="549">
        <f t="shared" si="24"/>
        <v>9449</v>
      </c>
      <c r="BC35" s="549">
        <f t="shared" si="25"/>
        <v>7573</v>
      </c>
      <c r="BD35" s="549">
        <f t="shared" si="17"/>
        <v>9600</v>
      </c>
      <c r="BE35" s="549">
        <f aca="true" t="shared" si="30" ref="BE35:BF38">L35+AA35+AP35</f>
        <v>8980</v>
      </c>
      <c r="BF35" s="549">
        <f t="shared" si="30"/>
        <v>8643</v>
      </c>
      <c r="BG35" s="823">
        <f>N35</f>
        <v>9873</v>
      </c>
      <c r="BH35" s="549">
        <f>O35</f>
        <v>10240</v>
      </c>
      <c r="BI35" s="549">
        <f>P35</f>
        <v>9049</v>
      </c>
      <c r="BJ35" s="549">
        <f>Q35</f>
        <v>8208</v>
      </c>
      <c r="BK35" s="970">
        <f t="shared" si="3"/>
        <v>-0.0929384462371533</v>
      </c>
      <c r="BL35" s="360" t="s">
        <v>61</v>
      </c>
    </row>
    <row r="36" spans="1:64" ht="12.75" customHeight="1">
      <c r="A36" s="8"/>
      <c r="B36" s="10" t="s">
        <v>43</v>
      </c>
      <c r="C36" s="563">
        <v>38</v>
      </c>
      <c r="D36" s="564">
        <v>54</v>
      </c>
      <c r="E36" s="524">
        <v>30</v>
      </c>
      <c r="F36" s="524">
        <v>23</v>
      </c>
      <c r="G36" s="524">
        <v>26</v>
      </c>
      <c r="H36" s="524">
        <v>6</v>
      </c>
      <c r="I36" s="524">
        <v>10</v>
      </c>
      <c r="J36" s="524">
        <v>22</v>
      </c>
      <c r="K36" s="524">
        <v>36</v>
      </c>
      <c r="L36" s="524">
        <v>20</v>
      </c>
      <c r="M36" s="524">
        <v>52</v>
      </c>
      <c r="N36" s="524">
        <v>72</v>
      </c>
      <c r="O36" s="524">
        <v>141</v>
      </c>
      <c r="P36" s="524">
        <v>107</v>
      </c>
      <c r="Q36" s="524">
        <v>60</v>
      </c>
      <c r="R36" s="527">
        <v>11</v>
      </c>
      <c r="S36" s="524">
        <v>17</v>
      </c>
      <c r="T36" s="524">
        <v>12</v>
      </c>
      <c r="U36" s="524">
        <v>12</v>
      </c>
      <c r="V36" s="524">
        <v>11</v>
      </c>
      <c r="W36" s="524">
        <v>2</v>
      </c>
      <c r="X36" s="524">
        <v>7</v>
      </c>
      <c r="Y36" s="524">
        <v>8</v>
      </c>
      <c r="Z36" s="524">
        <v>4</v>
      </c>
      <c r="AA36" s="524">
        <v>19</v>
      </c>
      <c r="AB36" s="524">
        <v>10</v>
      </c>
      <c r="AC36" s="524">
        <v>7</v>
      </c>
      <c r="AD36" s="524">
        <v>19</v>
      </c>
      <c r="AE36" s="524">
        <v>9</v>
      </c>
      <c r="AF36" s="524">
        <v>7</v>
      </c>
      <c r="AG36" s="527">
        <v>7</v>
      </c>
      <c r="AH36" s="524">
        <v>35</v>
      </c>
      <c r="AI36" s="524">
        <v>14</v>
      </c>
      <c r="AJ36" s="524">
        <v>11</v>
      </c>
      <c r="AK36" s="524">
        <v>7</v>
      </c>
      <c r="AL36" s="524">
        <v>0</v>
      </c>
      <c r="AM36" s="524">
        <v>11</v>
      </c>
      <c r="AN36" s="524">
        <v>4</v>
      </c>
      <c r="AO36" s="524">
        <v>28</v>
      </c>
      <c r="AP36" s="524">
        <v>35</v>
      </c>
      <c r="AQ36" s="524">
        <v>42</v>
      </c>
      <c r="AR36" s="524">
        <v>31</v>
      </c>
      <c r="AS36" s="524">
        <v>85</v>
      </c>
      <c r="AT36" s="524">
        <v>36</v>
      </c>
      <c r="AU36" s="965">
        <v>58</v>
      </c>
      <c r="AV36" s="919">
        <f t="shared" si="29"/>
        <v>56</v>
      </c>
      <c r="AW36" s="525">
        <f t="shared" si="29"/>
        <v>106</v>
      </c>
      <c r="AX36" s="525">
        <f t="shared" si="27"/>
        <v>56</v>
      </c>
      <c r="AY36" s="525">
        <f t="shared" si="28"/>
        <v>46</v>
      </c>
      <c r="AZ36" s="524">
        <f t="shared" si="22"/>
        <v>44</v>
      </c>
      <c r="BA36" s="524">
        <f t="shared" si="23"/>
        <v>8</v>
      </c>
      <c r="BB36" s="524">
        <f t="shared" si="24"/>
        <v>28</v>
      </c>
      <c r="BC36" s="524">
        <f t="shared" si="25"/>
        <v>34</v>
      </c>
      <c r="BD36" s="524">
        <f t="shared" si="17"/>
        <v>68</v>
      </c>
      <c r="BE36" s="524">
        <f t="shared" si="30"/>
        <v>74</v>
      </c>
      <c r="BF36" s="524">
        <f t="shared" si="30"/>
        <v>104</v>
      </c>
      <c r="BG36" s="524">
        <f>N36+AC36+AR36</f>
        <v>110</v>
      </c>
      <c r="BH36" s="524">
        <v>85</v>
      </c>
      <c r="BI36" s="524">
        <f t="shared" si="11"/>
        <v>152</v>
      </c>
      <c r="BJ36" s="524">
        <f t="shared" si="12"/>
        <v>125</v>
      </c>
      <c r="BK36" s="968">
        <f t="shared" si="3"/>
        <v>-0.17763157894736847</v>
      </c>
      <c r="BL36" s="67" t="s">
        <v>43</v>
      </c>
    </row>
    <row r="37" spans="1:64" ht="12.75" customHeight="1">
      <c r="A37" s="8"/>
      <c r="B37" s="156" t="s">
        <v>73</v>
      </c>
      <c r="C37" s="565">
        <v>127</v>
      </c>
      <c r="D37" s="566">
        <v>138</v>
      </c>
      <c r="E37" s="543">
        <v>105</v>
      </c>
      <c r="F37" s="543">
        <v>55</v>
      </c>
      <c r="G37" s="543">
        <v>58</v>
      </c>
      <c r="H37" s="543">
        <v>55</v>
      </c>
      <c r="I37" s="543">
        <v>37</v>
      </c>
      <c r="J37" s="543">
        <v>6</v>
      </c>
      <c r="K37" s="543">
        <v>44</v>
      </c>
      <c r="L37" s="543">
        <v>36</v>
      </c>
      <c r="M37" s="543">
        <v>39</v>
      </c>
      <c r="N37" s="543">
        <v>50</v>
      </c>
      <c r="O37" s="543">
        <v>73</v>
      </c>
      <c r="P37" s="543">
        <v>71</v>
      </c>
      <c r="Q37" s="543">
        <v>23</v>
      </c>
      <c r="R37" s="545">
        <v>308</v>
      </c>
      <c r="S37" s="543">
        <v>430</v>
      </c>
      <c r="T37" s="543">
        <v>315</v>
      </c>
      <c r="U37" s="543">
        <v>462</v>
      </c>
      <c r="V37" s="543">
        <v>483</v>
      </c>
      <c r="W37" s="543">
        <v>396</v>
      </c>
      <c r="X37" s="543">
        <v>466</v>
      </c>
      <c r="Y37" s="543">
        <v>401</v>
      </c>
      <c r="Z37" s="543">
        <v>412</v>
      </c>
      <c r="AA37" s="543">
        <v>438</v>
      </c>
      <c r="AB37" s="543">
        <v>377</v>
      </c>
      <c r="AC37" s="543">
        <v>380</v>
      </c>
      <c r="AD37" s="543">
        <v>342</v>
      </c>
      <c r="AE37" s="543">
        <v>522</v>
      </c>
      <c r="AF37" s="543">
        <v>397</v>
      </c>
      <c r="AG37" s="545">
        <v>502</v>
      </c>
      <c r="AH37" s="543">
        <v>600</v>
      </c>
      <c r="AI37" s="543">
        <v>423</v>
      </c>
      <c r="AJ37" s="543">
        <v>621</v>
      </c>
      <c r="AK37" s="543">
        <v>691</v>
      </c>
      <c r="AL37" s="543">
        <v>709</v>
      </c>
      <c r="AM37" s="543">
        <v>979</v>
      </c>
      <c r="AN37" s="543">
        <v>938</v>
      </c>
      <c r="AO37" s="543">
        <v>775</v>
      </c>
      <c r="AP37" s="543">
        <v>785</v>
      </c>
      <c r="AQ37" s="543">
        <v>599</v>
      </c>
      <c r="AR37" s="543">
        <v>540</v>
      </c>
      <c r="AS37" s="543">
        <v>983</v>
      </c>
      <c r="AT37" s="543">
        <v>597</v>
      </c>
      <c r="AU37" s="544">
        <v>604</v>
      </c>
      <c r="AV37" s="543">
        <f t="shared" si="29"/>
        <v>937</v>
      </c>
      <c r="AW37" s="543">
        <f t="shared" si="29"/>
        <v>1168</v>
      </c>
      <c r="AX37" s="543">
        <f t="shared" si="27"/>
        <v>843</v>
      </c>
      <c r="AY37" s="543">
        <f t="shared" si="28"/>
        <v>1138</v>
      </c>
      <c r="AZ37" s="543">
        <f t="shared" si="22"/>
        <v>1232</v>
      </c>
      <c r="BA37" s="543">
        <f t="shared" si="23"/>
        <v>1160</v>
      </c>
      <c r="BB37" s="543">
        <f t="shared" si="24"/>
        <v>1482</v>
      </c>
      <c r="BC37" s="543">
        <f t="shared" si="25"/>
        <v>1345</v>
      </c>
      <c r="BD37" s="543">
        <f t="shared" si="17"/>
        <v>1231</v>
      </c>
      <c r="BE37" s="543">
        <f t="shared" si="30"/>
        <v>1259</v>
      </c>
      <c r="BF37" s="543">
        <f t="shared" si="30"/>
        <v>1015</v>
      </c>
      <c r="BG37" s="543">
        <f>N37+AC37+AR37</f>
        <v>970</v>
      </c>
      <c r="BH37" s="543">
        <v>983</v>
      </c>
      <c r="BI37" s="543">
        <f t="shared" si="11"/>
        <v>1190</v>
      </c>
      <c r="BJ37" s="543">
        <f t="shared" si="12"/>
        <v>1024</v>
      </c>
      <c r="BK37" s="969">
        <f t="shared" si="3"/>
        <v>-0.13949579831932768</v>
      </c>
      <c r="BL37" s="359" t="s">
        <v>73</v>
      </c>
    </row>
    <row r="38" spans="1:64" ht="12.75" customHeight="1">
      <c r="A38" s="8"/>
      <c r="B38" s="11" t="s">
        <v>44</v>
      </c>
      <c r="C38" s="567">
        <v>777</v>
      </c>
      <c r="D38" s="568">
        <v>822</v>
      </c>
      <c r="E38" s="552">
        <v>521</v>
      </c>
      <c r="F38" s="552">
        <v>408</v>
      </c>
      <c r="G38" s="552">
        <v>470</v>
      </c>
      <c r="H38" s="552">
        <v>514</v>
      </c>
      <c r="I38" s="552">
        <v>453</v>
      </c>
      <c r="J38" s="552">
        <v>313</v>
      </c>
      <c r="K38" s="552">
        <v>468</v>
      </c>
      <c r="L38" s="552">
        <v>347</v>
      </c>
      <c r="M38" s="552">
        <v>181</v>
      </c>
      <c r="N38" s="552">
        <v>386</v>
      </c>
      <c r="O38" s="552">
        <v>175</v>
      </c>
      <c r="P38" s="552">
        <v>142</v>
      </c>
      <c r="Q38" s="552">
        <v>159</v>
      </c>
      <c r="R38" s="554">
        <v>111</v>
      </c>
      <c r="S38" s="552">
        <v>99</v>
      </c>
      <c r="T38" s="552">
        <v>124</v>
      </c>
      <c r="U38" s="552">
        <v>133</v>
      </c>
      <c r="V38" s="552">
        <v>154</v>
      </c>
      <c r="W38" s="552">
        <v>191</v>
      </c>
      <c r="X38" s="552">
        <v>115</v>
      </c>
      <c r="Y38" s="552">
        <v>113</v>
      </c>
      <c r="Z38" s="552">
        <v>123</v>
      </c>
      <c r="AA38" s="552">
        <v>129</v>
      </c>
      <c r="AB38" s="552">
        <v>161</v>
      </c>
      <c r="AC38" s="552">
        <v>148</v>
      </c>
      <c r="AD38" s="552">
        <v>187</v>
      </c>
      <c r="AE38" s="552">
        <v>153</v>
      </c>
      <c r="AF38" s="552">
        <v>168</v>
      </c>
      <c r="AG38" s="554">
        <v>487</v>
      </c>
      <c r="AH38" s="552">
        <v>402</v>
      </c>
      <c r="AI38" s="552">
        <v>431</v>
      </c>
      <c r="AJ38" s="552">
        <v>397</v>
      </c>
      <c r="AK38" s="552">
        <v>727</v>
      </c>
      <c r="AL38" s="552">
        <v>418</v>
      </c>
      <c r="AM38" s="552">
        <v>372</v>
      </c>
      <c r="AN38" s="552">
        <v>511</v>
      </c>
      <c r="AO38" s="552">
        <v>347</v>
      </c>
      <c r="AP38" s="552">
        <v>452</v>
      </c>
      <c r="AQ38" s="552">
        <v>483</v>
      </c>
      <c r="AR38" s="552">
        <v>589</v>
      </c>
      <c r="AS38" s="552">
        <v>506</v>
      </c>
      <c r="AT38" s="552">
        <v>521</v>
      </c>
      <c r="AU38" s="553">
        <v>446</v>
      </c>
      <c r="AV38" s="552">
        <f t="shared" si="29"/>
        <v>1375</v>
      </c>
      <c r="AW38" s="552">
        <f t="shared" si="29"/>
        <v>1323</v>
      </c>
      <c r="AX38" s="552">
        <f t="shared" si="27"/>
        <v>1076</v>
      </c>
      <c r="AY38" s="552">
        <f t="shared" si="28"/>
        <v>938</v>
      </c>
      <c r="AZ38" s="552">
        <f t="shared" si="22"/>
        <v>1351</v>
      </c>
      <c r="BA38" s="552">
        <f t="shared" si="23"/>
        <v>1123</v>
      </c>
      <c r="BB38" s="552">
        <f t="shared" si="24"/>
        <v>940</v>
      </c>
      <c r="BC38" s="552">
        <f t="shared" si="25"/>
        <v>937</v>
      </c>
      <c r="BD38" s="552">
        <f t="shared" si="17"/>
        <v>938</v>
      </c>
      <c r="BE38" s="552">
        <f t="shared" si="30"/>
        <v>928</v>
      </c>
      <c r="BF38" s="552">
        <f t="shared" si="30"/>
        <v>825</v>
      </c>
      <c r="BG38" s="552">
        <f>N38+AC38+AR38</f>
        <v>1123</v>
      </c>
      <c r="BH38" s="552">
        <v>506</v>
      </c>
      <c r="BI38" s="552">
        <f t="shared" si="11"/>
        <v>816</v>
      </c>
      <c r="BJ38" s="552">
        <f t="shared" si="12"/>
        <v>773</v>
      </c>
      <c r="BK38" s="971">
        <f t="shared" si="3"/>
        <v>-0.052696078431372584</v>
      </c>
      <c r="BL38" s="68" t="s">
        <v>44</v>
      </c>
    </row>
    <row r="39" spans="1:64" ht="12.75" customHeight="1">
      <c r="A39" s="8"/>
      <c r="B39" s="1033" t="s">
        <v>238</v>
      </c>
      <c r="C39" s="1033"/>
      <c r="D39" s="1033"/>
      <c r="E39" s="1033"/>
      <c r="F39" s="1033"/>
      <c r="G39" s="1033"/>
      <c r="H39" s="1033"/>
      <c r="I39" s="1033"/>
      <c r="J39" s="1033"/>
      <c r="K39" s="1033"/>
      <c r="L39" s="1033"/>
      <c r="M39" s="1033"/>
      <c r="N39" s="1033"/>
      <c r="O39" s="1033"/>
      <c r="P39" s="1033"/>
      <c r="Q39" s="1033"/>
      <c r="R39" s="1033"/>
      <c r="S39" s="1033"/>
      <c r="T39" s="1033"/>
      <c r="U39" s="1033"/>
      <c r="V39" s="1033"/>
      <c r="W39" s="1033"/>
      <c r="X39" s="1033"/>
      <c r="Y39" s="1033"/>
      <c r="Z39" s="1033"/>
      <c r="AA39" s="1033"/>
      <c r="AB39" s="1033"/>
      <c r="AC39" s="1033"/>
      <c r="AD39" s="1033"/>
      <c r="AE39" s="1033"/>
      <c r="AF39" s="1033"/>
      <c r="AG39" s="1033"/>
      <c r="AH39" s="1033"/>
      <c r="AI39" s="1033"/>
      <c r="AJ39" s="1033"/>
      <c r="AK39" s="1033"/>
      <c r="AL39" s="1033"/>
      <c r="AM39" s="1033"/>
      <c r="AN39" s="1033"/>
      <c r="AO39" s="1033"/>
      <c r="AP39" s="1033"/>
      <c r="AQ39" s="1033"/>
      <c r="AR39" s="1033"/>
      <c r="AS39" s="1033"/>
      <c r="AT39" s="1033"/>
      <c r="AU39" s="1033"/>
      <c r="AV39" s="1033"/>
      <c r="AW39" s="1033"/>
      <c r="AX39" s="1033"/>
      <c r="AY39" s="1033"/>
      <c r="AZ39" s="1033"/>
      <c r="BA39" s="1033"/>
      <c r="BB39" s="1033"/>
      <c r="BC39" s="1033"/>
      <c r="BD39" s="1033"/>
      <c r="BE39" s="1033"/>
      <c r="BF39" s="1033"/>
      <c r="BG39" s="759"/>
      <c r="BH39" s="759"/>
      <c r="BI39" s="1"/>
      <c r="BL39" s="759"/>
    </row>
    <row r="40" spans="1:64" ht="12.75" customHeight="1">
      <c r="A40" s="8"/>
      <c r="B40" s="190" t="s">
        <v>81</v>
      </c>
      <c r="BG40" s="759"/>
      <c r="BH40" s="759"/>
      <c r="BI40" s="1"/>
      <c r="BL40" s="759"/>
    </row>
    <row r="41" spans="2:64" ht="27.75" customHeight="1">
      <c r="B41" s="56" t="s">
        <v>138</v>
      </c>
      <c r="V41" s="1"/>
      <c r="BG41" s="759"/>
      <c r="BH41" s="759"/>
      <c r="BI41" s="1"/>
      <c r="BL41" s="759"/>
    </row>
    <row r="42" spans="15:64" ht="12.75">
      <c r="O42" s="398"/>
      <c r="R42" s="398"/>
      <c r="S42" s="398"/>
      <c r="T42" s="398"/>
      <c r="U42" s="398"/>
      <c r="V42" s="398"/>
      <c r="W42" s="398"/>
      <c r="X42" s="398"/>
      <c r="Y42" s="398"/>
      <c r="Z42" s="398"/>
      <c r="AC42" s="398"/>
      <c r="AD42" s="398"/>
      <c r="AG42" s="398"/>
      <c r="AH42" s="398"/>
      <c r="AI42" s="398"/>
      <c r="AJ42" s="398"/>
      <c r="AK42" s="398"/>
      <c r="AL42" s="398"/>
      <c r="AM42" s="398"/>
      <c r="AN42" s="398"/>
      <c r="AQ42" s="398"/>
      <c r="AR42" s="398"/>
      <c r="AS42" s="398"/>
      <c r="AV42" s="398"/>
      <c r="AW42" s="398"/>
      <c r="AX42" s="398"/>
      <c r="AY42" s="398"/>
      <c r="BG42" s="759"/>
      <c r="BH42" s="759"/>
      <c r="BI42" s="1"/>
      <c r="BL42" s="759"/>
    </row>
    <row r="43" spans="15:64" ht="15.75" customHeight="1">
      <c r="O43" s="398"/>
      <c r="R43" s="398"/>
      <c r="S43" s="398"/>
      <c r="T43" s="398"/>
      <c r="U43" s="398"/>
      <c r="V43" s="398"/>
      <c r="W43" s="398"/>
      <c r="X43" s="398"/>
      <c r="Y43" s="398"/>
      <c r="Z43" s="398"/>
      <c r="AC43" s="398"/>
      <c r="AD43" s="398"/>
      <c r="AG43" s="398"/>
      <c r="AH43" s="398"/>
      <c r="AI43" s="398"/>
      <c r="AJ43" s="398"/>
      <c r="AK43" s="398"/>
      <c r="AL43" s="398"/>
      <c r="AM43" s="398"/>
      <c r="AN43" s="398"/>
      <c r="AQ43" s="398"/>
      <c r="AR43" s="398"/>
      <c r="AS43" s="398"/>
      <c r="AV43" s="398"/>
      <c r="AW43" s="398"/>
      <c r="AX43" s="398"/>
      <c r="AY43" s="398"/>
      <c r="BG43" s="759"/>
      <c r="BH43" s="759"/>
      <c r="BI43" s="1"/>
      <c r="BL43" s="759"/>
    </row>
    <row r="44" spans="15:64" ht="12.75">
      <c r="O44" s="398"/>
      <c r="R44" s="398"/>
      <c r="S44" s="398"/>
      <c r="T44" s="398"/>
      <c r="U44" s="398"/>
      <c r="V44" s="398"/>
      <c r="W44" s="398"/>
      <c r="X44" s="398"/>
      <c r="Y44" s="398"/>
      <c r="Z44" s="398"/>
      <c r="AC44" s="398"/>
      <c r="AD44" s="398"/>
      <c r="AG44" s="398"/>
      <c r="AH44" s="398"/>
      <c r="AI44" s="398"/>
      <c r="AJ44" s="398"/>
      <c r="AK44" s="398"/>
      <c r="AL44" s="398"/>
      <c r="AM44" s="398"/>
      <c r="AN44" s="398"/>
      <c r="AQ44" s="398"/>
      <c r="AR44" s="398"/>
      <c r="AS44" s="398"/>
      <c r="AV44" s="398"/>
      <c r="AW44" s="398"/>
      <c r="AX44" s="398"/>
      <c r="AY44" s="398"/>
      <c r="BG44" s="759"/>
      <c r="BH44" s="759"/>
      <c r="BI44" s="1"/>
      <c r="BL44" s="759"/>
    </row>
    <row r="45" spans="15:64" ht="12.75">
      <c r="O45" s="398"/>
      <c r="R45" s="398"/>
      <c r="S45" s="398"/>
      <c r="T45" s="398"/>
      <c r="U45" s="398"/>
      <c r="V45" s="398"/>
      <c r="W45" s="398"/>
      <c r="X45" s="398"/>
      <c r="Y45" s="398"/>
      <c r="Z45" s="398"/>
      <c r="AC45" s="398"/>
      <c r="AD45" s="398"/>
      <c r="AG45" s="398"/>
      <c r="AH45" s="398"/>
      <c r="AI45" s="398"/>
      <c r="AJ45" s="398"/>
      <c r="AK45" s="398"/>
      <c r="AL45" s="398"/>
      <c r="AM45" s="398"/>
      <c r="AN45" s="398"/>
      <c r="AQ45" s="398"/>
      <c r="AR45" s="398"/>
      <c r="AS45" s="398"/>
      <c r="AV45" s="398"/>
      <c r="AW45" s="398"/>
      <c r="AX45" s="398"/>
      <c r="AY45" s="398"/>
      <c r="BG45" s="759"/>
      <c r="BH45" s="759"/>
      <c r="BL45" s="759"/>
    </row>
    <row r="46" spans="15:64" ht="12.75">
      <c r="O46" s="398"/>
      <c r="R46" s="398"/>
      <c r="S46" s="398"/>
      <c r="T46" s="398"/>
      <c r="U46" s="398"/>
      <c r="V46" s="398"/>
      <c r="W46" s="398"/>
      <c r="X46" s="398"/>
      <c r="Y46" s="398"/>
      <c r="Z46" s="398"/>
      <c r="AC46" s="398"/>
      <c r="AD46" s="398"/>
      <c r="AG46" s="398"/>
      <c r="AH46" s="398"/>
      <c r="AI46" s="398"/>
      <c r="AJ46" s="398"/>
      <c r="AK46" s="398"/>
      <c r="AL46" s="398"/>
      <c r="AM46" s="398"/>
      <c r="AN46" s="398"/>
      <c r="AQ46" s="398"/>
      <c r="AR46" s="398"/>
      <c r="AS46" s="964"/>
      <c r="AV46" s="398"/>
      <c r="AW46" s="398"/>
      <c r="AX46" s="398"/>
      <c r="AY46" s="398"/>
      <c r="BG46" s="759"/>
      <c r="BH46" s="759"/>
      <c r="BL46" s="759"/>
    </row>
    <row r="47" spans="15:64" ht="12.75">
      <c r="O47" s="398"/>
      <c r="R47" s="398"/>
      <c r="S47" s="398"/>
      <c r="T47" s="398"/>
      <c r="U47" s="398"/>
      <c r="V47" s="398"/>
      <c r="W47" s="398"/>
      <c r="X47" s="398"/>
      <c r="Y47" s="398"/>
      <c r="Z47" s="398"/>
      <c r="AC47" s="398"/>
      <c r="AD47" s="398"/>
      <c r="AG47" s="398"/>
      <c r="AH47" s="398"/>
      <c r="AI47" s="398"/>
      <c r="AJ47" s="398"/>
      <c r="AK47" s="398"/>
      <c r="AL47" s="398"/>
      <c r="AM47" s="398"/>
      <c r="AN47" s="398"/>
      <c r="AQ47" s="398"/>
      <c r="AR47" s="398"/>
      <c r="AS47" s="398"/>
      <c r="AV47" s="398"/>
      <c r="AW47" s="398"/>
      <c r="AX47" s="398"/>
      <c r="AY47" s="398"/>
      <c r="BG47" s="759"/>
      <c r="BH47" s="759"/>
      <c r="BL47" s="759"/>
    </row>
    <row r="48" spans="15:64" ht="12.75">
      <c r="O48" s="398"/>
      <c r="R48" s="398"/>
      <c r="S48" s="398"/>
      <c r="T48" s="398"/>
      <c r="U48" s="398"/>
      <c r="V48" s="398"/>
      <c r="W48" s="398"/>
      <c r="X48" s="398"/>
      <c r="Y48" s="398"/>
      <c r="Z48" s="398"/>
      <c r="AC48" s="398"/>
      <c r="AD48" s="398"/>
      <c r="AG48" s="398"/>
      <c r="AH48" s="398"/>
      <c r="AI48" s="398"/>
      <c r="AJ48" s="398"/>
      <c r="AK48" s="398"/>
      <c r="AL48" s="398"/>
      <c r="AM48" s="398"/>
      <c r="AN48" s="398"/>
      <c r="AQ48" s="398"/>
      <c r="AR48" s="398"/>
      <c r="AS48" s="398"/>
      <c r="AV48" s="398"/>
      <c r="AW48" s="398"/>
      <c r="AX48" s="398"/>
      <c r="AY48" s="398"/>
      <c r="BG48" s="759"/>
      <c r="BH48" s="759"/>
      <c r="BL48" s="759"/>
    </row>
    <row r="49" spans="15:64" ht="12.75">
      <c r="O49" s="398"/>
      <c r="R49" s="398"/>
      <c r="S49" s="398"/>
      <c r="T49" s="398"/>
      <c r="U49" s="398"/>
      <c r="V49" s="398"/>
      <c r="W49" s="398"/>
      <c r="X49" s="398"/>
      <c r="Y49" s="398"/>
      <c r="Z49" s="398"/>
      <c r="AC49" s="398"/>
      <c r="AD49" s="398"/>
      <c r="AG49" s="398"/>
      <c r="AH49" s="398"/>
      <c r="AI49" s="398"/>
      <c r="AJ49" s="398"/>
      <c r="AK49" s="398"/>
      <c r="AL49" s="398"/>
      <c r="AM49" s="398"/>
      <c r="AN49" s="398"/>
      <c r="AQ49" s="398"/>
      <c r="AR49" s="398"/>
      <c r="AS49" s="398"/>
      <c r="AV49" s="398"/>
      <c r="AW49" s="398"/>
      <c r="AX49" s="398"/>
      <c r="AY49" s="398"/>
      <c r="BG49" s="759"/>
      <c r="BH49" s="759"/>
      <c r="BL49" s="759"/>
    </row>
    <row r="50" spans="15:64" ht="12.75">
      <c r="O50" s="398"/>
      <c r="R50" s="398"/>
      <c r="S50" s="398"/>
      <c r="T50" s="398"/>
      <c r="U50" s="398"/>
      <c r="V50" s="398"/>
      <c r="W50" s="398"/>
      <c r="X50" s="398"/>
      <c r="Y50" s="398"/>
      <c r="Z50" s="398"/>
      <c r="AC50" s="398"/>
      <c r="AD50" s="398"/>
      <c r="AG50" s="398"/>
      <c r="AH50" s="398"/>
      <c r="AI50" s="398"/>
      <c r="AJ50" s="398"/>
      <c r="AK50" s="398"/>
      <c r="AL50" s="398"/>
      <c r="AM50" s="398"/>
      <c r="AN50" s="398"/>
      <c r="AQ50" s="398"/>
      <c r="AR50" s="398"/>
      <c r="AS50" s="398"/>
      <c r="AV50" s="398"/>
      <c r="AW50" s="398"/>
      <c r="AX50" s="398"/>
      <c r="AY50" s="398"/>
      <c r="BG50" s="759"/>
      <c r="BH50" s="759"/>
      <c r="BL50" s="759"/>
    </row>
    <row r="51" spans="15:64" ht="12.75">
      <c r="O51" s="398"/>
      <c r="R51" s="398"/>
      <c r="S51" s="398"/>
      <c r="T51" s="398"/>
      <c r="U51" s="398"/>
      <c r="V51" s="398"/>
      <c r="W51" s="398"/>
      <c r="X51" s="398"/>
      <c r="Y51" s="398"/>
      <c r="Z51" s="398"/>
      <c r="AC51" s="398"/>
      <c r="AD51" s="398"/>
      <c r="AG51" s="398"/>
      <c r="AH51" s="398"/>
      <c r="AI51" s="398"/>
      <c r="AJ51" s="398"/>
      <c r="AK51" s="398"/>
      <c r="AL51" s="398"/>
      <c r="AM51" s="398"/>
      <c r="AN51" s="398"/>
      <c r="AQ51" s="398"/>
      <c r="AR51" s="398"/>
      <c r="AS51" s="398"/>
      <c r="AV51" s="398"/>
      <c r="AW51" s="398"/>
      <c r="AX51" s="398"/>
      <c r="AY51" s="398"/>
      <c r="BG51" s="759"/>
      <c r="BH51" s="759"/>
      <c r="BL51" s="759"/>
    </row>
    <row r="52" spans="15:51" ht="12.75">
      <c r="O52" s="398"/>
      <c r="R52" s="398"/>
      <c r="S52" s="398"/>
      <c r="T52" s="398"/>
      <c r="U52" s="398"/>
      <c r="V52" s="398"/>
      <c r="W52" s="398"/>
      <c r="X52" s="398"/>
      <c r="Y52" s="398"/>
      <c r="Z52" s="398"/>
      <c r="AC52" s="398"/>
      <c r="AD52" s="398"/>
      <c r="AG52" s="398"/>
      <c r="AH52" s="398"/>
      <c r="AI52" s="398"/>
      <c r="AJ52" s="398"/>
      <c r="AK52" s="398"/>
      <c r="AL52" s="398"/>
      <c r="AM52" s="398"/>
      <c r="AN52" s="398"/>
      <c r="AQ52" s="398"/>
      <c r="AR52" s="398"/>
      <c r="AS52" s="398"/>
      <c r="AV52" s="398"/>
      <c r="AW52" s="398"/>
      <c r="AX52" s="398"/>
      <c r="AY52" s="398"/>
    </row>
    <row r="53" spans="15:51" ht="12.75">
      <c r="O53" s="398"/>
      <c r="R53" s="398"/>
      <c r="S53" s="398"/>
      <c r="T53" s="398"/>
      <c r="U53" s="398"/>
      <c r="V53" s="398"/>
      <c r="W53" s="398"/>
      <c r="X53" s="398"/>
      <c r="Y53" s="398"/>
      <c r="Z53" s="398"/>
      <c r="AC53" s="398"/>
      <c r="AD53" s="398"/>
      <c r="AG53" s="398"/>
      <c r="AH53" s="398"/>
      <c r="AI53" s="398"/>
      <c r="AJ53" s="398"/>
      <c r="AK53" s="398"/>
      <c r="AL53" s="398"/>
      <c r="AM53" s="398"/>
      <c r="AN53" s="398"/>
      <c r="AQ53" s="398"/>
      <c r="AR53" s="398"/>
      <c r="AS53" s="398"/>
      <c r="AV53" s="398"/>
      <c r="AW53" s="398"/>
      <c r="AX53" s="398"/>
      <c r="AY53" s="398"/>
    </row>
    <row r="54" spans="15:51" ht="12.75">
      <c r="O54" s="398"/>
      <c r="R54" s="398"/>
      <c r="S54" s="398"/>
      <c r="T54" s="398"/>
      <c r="U54" s="398"/>
      <c r="V54" s="398"/>
      <c r="W54" s="398"/>
      <c r="X54" s="398"/>
      <c r="Y54" s="398"/>
      <c r="Z54" s="398"/>
      <c r="AC54" s="398"/>
      <c r="AD54" s="398"/>
      <c r="AG54" s="398"/>
      <c r="AH54" s="398"/>
      <c r="AI54" s="398"/>
      <c r="AJ54" s="398"/>
      <c r="AK54" s="398"/>
      <c r="AL54" s="398"/>
      <c r="AM54" s="398"/>
      <c r="AN54" s="398"/>
      <c r="AQ54" s="398"/>
      <c r="AR54" s="398"/>
      <c r="AS54" s="398"/>
      <c r="AV54" s="398"/>
      <c r="AW54" s="398"/>
      <c r="AX54" s="398"/>
      <c r="AY54" s="398"/>
    </row>
    <row r="55" spans="15:51" ht="12.75">
      <c r="O55" s="398"/>
      <c r="R55" s="398"/>
      <c r="S55" s="398"/>
      <c r="T55" s="398"/>
      <c r="U55" s="398"/>
      <c r="V55" s="398"/>
      <c r="W55" s="398"/>
      <c r="X55" s="398"/>
      <c r="Y55" s="398"/>
      <c r="Z55" s="398"/>
      <c r="AC55" s="398"/>
      <c r="AD55" s="398"/>
      <c r="AG55" s="398"/>
      <c r="AH55" s="398"/>
      <c r="AI55" s="398"/>
      <c r="AJ55" s="398"/>
      <c r="AK55" s="398"/>
      <c r="AL55" s="398"/>
      <c r="AM55" s="398"/>
      <c r="AN55" s="398"/>
      <c r="AQ55" s="398"/>
      <c r="AR55" s="398"/>
      <c r="AS55" s="398"/>
      <c r="AV55" s="398"/>
      <c r="AW55" s="398"/>
      <c r="AX55" s="398"/>
      <c r="AY55" s="398"/>
    </row>
    <row r="56" spans="15:51" ht="12.75">
      <c r="O56" s="398"/>
      <c r="R56" s="398"/>
      <c r="S56" s="398"/>
      <c r="T56" s="398"/>
      <c r="U56" s="398"/>
      <c r="V56" s="398"/>
      <c r="W56" s="398"/>
      <c r="X56" s="398"/>
      <c r="Y56" s="398"/>
      <c r="Z56" s="398"/>
      <c r="AC56" s="398"/>
      <c r="AD56" s="398"/>
      <c r="AG56" s="398"/>
      <c r="AH56" s="398"/>
      <c r="AI56" s="398"/>
      <c r="AJ56" s="398"/>
      <c r="AK56" s="398"/>
      <c r="AL56" s="398"/>
      <c r="AM56" s="398"/>
      <c r="AN56" s="398"/>
      <c r="AQ56" s="398"/>
      <c r="AR56" s="398"/>
      <c r="AS56" s="398"/>
      <c r="AV56" s="398"/>
      <c r="AW56" s="398"/>
      <c r="AX56" s="398"/>
      <c r="AY56" s="398"/>
    </row>
    <row r="57" spans="15:51" ht="12.75">
      <c r="O57" s="398"/>
      <c r="R57" s="398"/>
      <c r="S57" s="398"/>
      <c r="T57" s="398"/>
      <c r="U57" s="398"/>
      <c r="V57" s="398"/>
      <c r="W57" s="398"/>
      <c r="X57" s="398"/>
      <c r="Y57" s="398"/>
      <c r="Z57" s="398"/>
      <c r="AC57" s="398"/>
      <c r="AD57" s="398"/>
      <c r="AG57" s="398"/>
      <c r="AH57" s="398"/>
      <c r="AI57" s="398"/>
      <c r="AJ57" s="398"/>
      <c r="AK57" s="398"/>
      <c r="AL57" s="398"/>
      <c r="AM57" s="398"/>
      <c r="AN57" s="398"/>
      <c r="AQ57" s="398"/>
      <c r="AR57" s="398"/>
      <c r="AS57" s="398"/>
      <c r="AV57" s="398"/>
      <c r="AW57" s="398"/>
      <c r="AX57" s="398"/>
      <c r="AY57" s="398"/>
    </row>
    <row r="58" spans="15:51" ht="12.75">
      <c r="O58" s="398"/>
      <c r="R58" s="398"/>
      <c r="S58" s="398"/>
      <c r="T58" s="398"/>
      <c r="U58" s="398"/>
      <c r="V58" s="398"/>
      <c r="W58" s="398"/>
      <c r="X58" s="398"/>
      <c r="Y58" s="398"/>
      <c r="Z58" s="398"/>
      <c r="AC58" s="398"/>
      <c r="AD58" s="398"/>
      <c r="AG58" s="398"/>
      <c r="AH58" s="398"/>
      <c r="AI58" s="398"/>
      <c r="AJ58" s="398"/>
      <c r="AK58" s="398"/>
      <c r="AL58" s="398"/>
      <c r="AM58" s="398"/>
      <c r="AN58" s="398"/>
      <c r="AQ58" s="398"/>
      <c r="AR58" s="398"/>
      <c r="AS58" s="398"/>
      <c r="AV58" s="398"/>
      <c r="AW58" s="398"/>
      <c r="AX58" s="398"/>
      <c r="AY58" s="398"/>
    </row>
    <row r="59" spans="15:51" ht="12.75">
      <c r="O59" s="398"/>
      <c r="R59" s="398"/>
      <c r="S59" s="398"/>
      <c r="T59" s="398"/>
      <c r="U59" s="398"/>
      <c r="V59" s="398"/>
      <c r="W59" s="398"/>
      <c r="X59" s="398"/>
      <c r="Y59" s="398"/>
      <c r="Z59" s="398"/>
      <c r="AC59" s="398"/>
      <c r="AD59" s="398"/>
      <c r="AG59" s="398"/>
      <c r="AH59" s="398"/>
      <c r="AI59" s="398"/>
      <c r="AJ59" s="398"/>
      <c r="AK59" s="398"/>
      <c r="AL59" s="398"/>
      <c r="AM59" s="398"/>
      <c r="AN59" s="398"/>
      <c r="AQ59" s="398"/>
      <c r="AR59" s="398"/>
      <c r="AS59" s="398"/>
      <c r="AV59" s="398"/>
      <c r="AW59" s="398"/>
      <c r="AX59" s="398"/>
      <c r="AY59" s="398"/>
    </row>
    <row r="60" spans="15:51" ht="12.75">
      <c r="O60" s="398"/>
      <c r="R60" s="398"/>
      <c r="S60" s="398"/>
      <c r="T60" s="398"/>
      <c r="U60" s="398"/>
      <c r="V60" s="398"/>
      <c r="W60" s="398"/>
      <c r="X60" s="398"/>
      <c r="Y60" s="398"/>
      <c r="Z60" s="398"/>
      <c r="AC60" s="398"/>
      <c r="AD60" s="398"/>
      <c r="AG60" s="398"/>
      <c r="AH60" s="398"/>
      <c r="AI60" s="398"/>
      <c r="AJ60" s="398"/>
      <c r="AK60" s="398"/>
      <c r="AL60" s="398"/>
      <c r="AM60" s="398"/>
      <c r="AN60" s="398"/>
      <c r="AQ60" s="398"/>
      <c r="AR60" s="398"/>
      <c r="AS60" s="398"/>
      <c r="AV60" s="398"/>
      <c r="AW60" s="398"/>
      <c r="AX60" s="398"/>
      <c r="AY60" s="398"/>
    </row>
    <row r="61" spans="15:51" ht="12.75">
      <c r="O61" s="398"/>
      <c r="R61" s="398"/>
      <c r="S61" s="398"/>
      <c r="T61" s="398"/>
      <c r="U61" s="398"/>
      <c r="V61" s="398"/>
      <c r="W61" s="398"/>
      <c r="X61" s="398"/>
      <c r="Y61" s="398"/>
      <c r="Z61" s="398"/>
      <c r="AC61" s="398"/>
      <c r="AD61" s="398"/>
      <c r="AG61" s="398"/>
      <c r="AH61" s="398"/>
      <c r="AI61" s="398"/>
      <c r="AJ61" s="398"/>
      <c r="AK61" s="398"/>
      <c r="AL61" s="398"/>
      <c r="AM61" s="398"/>
      <c r="AN61" s="398"/>
      <c r="AQ61" s="398"/>
      <c r="AR61" s="398"/>
      <c r="AS61" s="398"/>
      <c r="AV61" s="398"/>
      <c r="AW61" s="398"/>
      <c r="AX61" s="398"/>
      <c r="AY61" s="398"/>
    </row>
    <row r="62" spans="15:51" ht="12.75">
      <c r="O62" s="398"/>
      <c r="R62" s="398"/>
      <c r="S62" s="398"/>
      <c r="T62" s="398"/>
      <c r="U62" s="398"/>
      <c r="V62" s="398"/>
      <c r="W62" s="398"/>
      <c r="X62" s="398"/>
      <c r="Y62" s="398"/>
      <c r="Z62" s="398"/>
      <c r="AC62" s="398"/>
      <c r="AD62" s="398"/>
      <c r="AG62" s="398"/>
      <c r="AH62" s="398"/>
      <c r="AI62" s="398"/>
      <c r="AJ62" s="398"/>
      <c r="AK62" s="398"/>
      <c r="AL62" s="398"/>
      <c r="AM62" s="398"/>
      <c r="AN62" s="398"/>
      <c r="AQ62" s="398"/>
      <c r="AR62" s="398"/>
      <c r="AS62" s="398"/>
      <c r="AV62" s="398"/>
      <c r="AW62" s="398"/>
      <c r="AX62" s="398"/>
      <c r="AY62" s="398"/>
    </row>
    <row r="63" spans="15:51" ht="12.75">
      <c r="O63" s="398"/>
      <c r="R63" s="398"/>
      <c r="S63" s="398"/>
      <c r="T63" s="398"/>
      <c r="U63" s="398"/>
      <c r="V63" s="398"/>
      <c r="W63" s="398"/>
      <c r="X63" s="398"/>
      <c r="Y63" s="398"/>
      <c r="Z63" s="398"/>
      <c r="AC63" s="398"/>
      <c r="AD63" s="398"/>
      <c r="AG63" s="398"/>
      <c r="AH63" s="398"/>
      <c r="AI63" s="398"/>
      <c r="AJ63" s="398"/>
      <c r="AK63" s="398"/>
      <c r="AL63" s="398"/>
      <c r="AM63" s="398"/>
      <c r="AN63" s="398"/>
      <c r="AQ63" s="398"/>
      <c r="AR63" s="398"/>
      <c r="AS63" s="398"/>
      <c r="AV63" s="398"/>
      <c r="AW63" s="398"/>
      <c r="AX63" s="398"/>
      <c r="AY63" s="398"/>
    </row>
    <row r="64" spans="15:51" ht="12.75">
      <c r="O64" s="398"/>
      <c r="R64" s="398"/>
      <c r="S64" s="398"/>
      <c r="T64" s="398"/>
      <c r="U64" s="398"/>
      <c r="V64" s="398"/>
      <c r="W64" s="398"/>
      <c r="X64" s="398"/>
      <c r="Y64" s="398"/>
      <c r="Z64" s="398"/>
      <c r="AC64" s="398"/>
      <c r="AD64" s="398"/>
      <c r="AG64" s="398"/>
      <c r="AH64" s="398"/>
      <c r="AI64" s="398"/>
      <c r="AJ64" s="398"/>
      <c r="AK64" s="398"/>
      <c r="AL64" s="398"/>
      <c r="AM64" s="398"/>
      <c r="AN64" s="398"/>
      <c r="AQ64" s="398"/>
      <c r="AR64" s="398"/>
      <c r="AS64" s="398"/>
      <c r="AV64" s="398"/>
      <c r="AW64" s="398"/>
      <c r="AX64" s="398"/>
      <c r="AY64" s="398"/>
    </row>
    <row r="65" spans="15:51" ht="12.75">
      <c r="O65" s="398"/>
      <c r="R65" s="398"/>
      <c r="S65" s="398"/>
      <c r="T65" s="398"/>
      <c r="U65" s="398"/>
      <c r="V65" s="398"/>
      <c r="W65" s="398"/>
      <c r="X65" s="398"/>
      <c r="Y65" s="398"/>
      <c r="Z65" s="398"/>
      <c r="AC65" s="398"/>
      <c r="AD65" s="398"/>
      <c r="AG65" s="398"/>
      <c r="AH65" s="398"/>
      <c r="AI65" s="398"/>
      <c r="AJ65" s="398"/>
      <c r="AK65" s="398"/>
      <c r="AL65" s="398"/>
      <c r="AM65" s="398"/>
      <c r="AN65" s="398"/>
      <c r="AQ65" s="398"/>
      <c r="AR65" s="398"/>
      <c r="AS65" s="398"/>
      <c r="AV65" s="398"/>
      <c r="AW65" s="398"/>
      <c r="AX65" s="398"/>
      <c r="AY65" s="398"/>
    </row>
    <row r="66" spans="15:51" ht="12.75">
      <c r="O66" s="398"/>
      <c r="R66" s="398"/>
      <c r="S66" s="398"/>
      <c r="T66" s="398"/>
      <c r="U66" s="398"/>
      <c r="V66" s="398"/>
      <c r="W66" s="398"/>
      <c r="X66" s="398"/>
      <c r="Y66" s="398"/>
      <c r="Z66" s="398"/>
      <c r="AC66" s="398"/>
      <c r="AD66" s="398"/>
      <c r="AG66" s="398"/>
      <c r="AH66" s="398"/>
      <c r="AI66" s="398"/>
      <c r="AJ66" s="398"/>
      <c r="AK66" s="398"/>
      <c r="AL66" s="398"/>
      <c r="AM66" s="398"/>
      <c r="AN66" s="398"/>
      <c r="AQ66" s="398"/>
      <c r="AR66" s="398"/>
      <c r="AS66" s="398"/>
      <c r="AV66" s="398"/>
      <c r="AW66" s="398"/>
      <c r="AX66" s="398"/>
      <c r="AY66" s="398"/>
    </row>
    <row r="67" spans="15:51" ht="12.75">
      <c r="O67" s="398"/>
      <c r="R67" s="398"/>
      <c r="S67" s="398"/>
      <c r="T67" s="398"/>
      <c r="U67" s="398"/>
      <c r="V67" s="398"/>
      <c r="W67" s="398"/>
      <c r="X67" s="398"/>
      <c r="Y67" s="398"/>
      <c r="Z67" s="398"/>
      <c r="AC67" s="398"/>
      <c r="AD67" s="398"/>
      <c r="AG67" s="398"/>
      <c r="AH67" s="398"/>
      <c r="AI67" s="398"/>
      <c r="AJ67" s="398"/>
      <c r="AK67" s="398"/>
      <c r="AL67" s="398"/>
      <c r="AM67" s="398"/>
      <c r="AN67" s="398"/>
      <c r="AQ67" s="398"/>
      <c r="AR67" s="398"/>
      <c r="AS67" s="398"/>
      <c r="AV67" s="398"/>
      <c r="AW67" s="398"/>
      <c r="AX67" s="398"/>
      <c r="AY67" s="398"/>
    </row>
    <row r="68" spans="15:51" ht="12.75">
      <c r="O68" s="398"/>
      <c r="R68" s="398"/>
      <c r="S68" s="398"/>
      <c r="T68" s="398"/>
      <c r="U68" s="398"/>
      <c r="V68" s="398"/>
      <c r="W68" s="398"/>
      <c r="X68" s="398"/>
      <c r="Y68" s="398"/>
      <c r="Z68" s="398"/>
      <c r="AC68" s="398"/>
      <c r="AD68" s="398"/>
      <c r="AG68" s="398"/>
      <c r="AH68" s="398"/>
      <c r="AI68" s="398"/>
      <c r="AJ68" s="398"/>
      <c r="AK68" s="398"/>
      <c r="AL68" s="398"/>
      <c r="AM68" s="398"/>
      <c r="AN68" s="398"/>
      <c r="AQ68" s="398"/>
      <c r="AR68" s="398"/>
      <c r="AS68" s="398"/>
      <c r="AV68" s="398"/>
      <c r="AW68" s="398"/>
      <c r="AX68" s="398"/>
      <c r="AY68" s="398"/>
    </row>
    <row r="69" spans="15:51" ht="12.75">
      <c r="O69" s="398"/>
      <c r="R69" s="398"/>
      <c r="S69" s="398"/>
      <c r="T69" s="398"/>
      <c r="U69" s="398"/>
      <c r="V69" s="398"/>
      <c r="W69" s="398"/>
      <c r="X69" s="398"/>
      <c r="Y69" s="398"/>
      <c r="Z69" s="398"/>
      <c r="AC69" s="398"/>
      <c r="AD69" s="398"/>
      <c r="AG69" s="398"/>
      <c r="AH69" s="398"/>
      <c r="AI69" s="398"/>
      <c r="AJ69" s="398"/>
      <c r="AK69" s="398"/>
      <c r="AL69" s="398"/>
      <c r="AM69" s="398"/>
      <c r="AN69" s="398"/>
      <c r="AQ69" s="398"/>
      <c r="AR69" s="398"/>
      <c r="AS69" s="398"/>
      <c r="AV69" s="398"/>
      <c r="AW69" s="398"/>
      <c r="AX69" s="398"/>
      <c r="AY69" s="398"/>
    </row>
    <row r="70" spans="15:51" ht="12.75">
      <c r="O70" s="398"/>
      <c r="R70" s="398"/>
      <c r="S70" s="398"/>
      <c r="T70" s="398"/>
      <c r="U70" s="398"/>
      <c r="V70" s="398"/>
      <c r="W70" s="398"/>
      <c r="X70" s="398"/>
      <c r="Y70" s="398"/>
      <c r="Z70" s="398"/>
      <c r="AC70" s="398"/>
      <c r="AD70" s="398"/>
      <c r="AG70" s="398"/>
      <c r="AH70" s="398"/>
      <c r="AI70" s="398"/>
      <c r="AJ70" s="398"/>
      <c r="AK70" s="398"/>
      <c r="AL70" s="398"/>
      <c r="AM70" s="398"/>
      <c r="AN70" s="398"/>
      <c r="AQ70" s="398"/>
      <c r="AR70" s="398"/>
      <c r="AS70" s="398"/>
      <c r="AV70" s="398"/>
      <c r="AW70" s="398"/>
      <c r="AX70" s="398"/>
      <c r="AY70" s="398"/>
    </row>
  </sheetData>
  <sheetProtection/>
  <mergeCells count="11">
    <mergeCell ref="B2:BF2"/>
    <mergeCell ref="B3:BF3"/>
    <mergeCell ref="AZ5:BC5"/>
    <mergeCell ref="B39:BF39"/>
    <mergeCell ref="AG4:AT4"/>
    <mergeCell ref="AG5:AT5"/>
    <mergeCell ref="AV4:BI4"/>
    <mergeCell ref="R4:AE4"/>
    <mergeCell ref="R5:AE5"/>
    <mergeCell ref="C4:P4"/>
    <mergeCell ref="C5:P5"/>
  </mergeCells>
  <printOptions horizontalCentered="1"/>
  <pageMargins left="0.6692913385826772" right="0.6692913385826772" top="0.38" bottom="0.1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BORMANS Yves (MOVE)</cp:lastModifiedBy>
  <cp:lastPrinted>2013-02-18T14:00:29Z</cp:lastPrinted>
  <dcterms:created xsi:type="dcterms:W3CDTF">2003-09-05T14:33:05Z</dcterms:created>
  <dcterms:modified xsi:type="dcterms:W3CDTF">2019-09-17T14:34:12Z</dcterms:modified>
  <cp:category/>
  <cp:version/>
  <cp:contentType/>
  <cp:contentStatus/>
</cp:coreProperties>
</file>