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0" yWindow="255" windowWidth="18765" windowHeight="12225" tabRatio="882" activeTab="1"/>
  </bookViews>
  <sheets>
    <sheet name="T2.3" sheetId="1" r:id="rId1"/>
    <sheet name="passeng_graph" sheetId="2" r:id="rId2"/>
    <sheet name="perf_mode_pkm" sheetId="3" r:id="rId3"/>
    <sheet name="split_mode_pkm" sheetId="4" r:id="rId4"/>
    <sheet name="cars" sheetId="5" r:id="rId5"/>
    <sheet name="bus_coach" sheetId="6" r:id="rId6"/>
    <sheet name="tram_metro" sheetId="7" r:id="rId7"/>
    <sheet name="rail_pkm" sheetId="8" r:id="rId8"/>
    <sheet name="hs_rail" sheetId="9" r:id="rId9"/>
    <sheet name="USA" sheetId="10" r:id="rId10"/>
  </sheets>
  <definedNames>
    <definedName name="A" localSheetId="0">'T2.3'!$A$65500</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'bus_coach'!$B$1:$AF$52</definedName>
    <definedName name="_xlnm.Print_Area" localSheetId="4">'cars'!$B$1:$AF$49</definedName>
    <definedName name="_xlnm.Print_Area" localSheetId="8">'hs_rail'!#REF!</definedName>
    <definedName name="_xlnm.Print_Area" localSheetId="1">'passeng_graph'!$B$1:$N$32</definedName>
    <definedName name="_xlnm.Print_Area" localSheetId="2">'perf_mode_pkm'!$B$1:$J$58</definedName>
    <definedName name="_xlnm.Print_Area" localSheetId="7">'rail_pkm'!$B$1:$AJ$45</definedName>
    <definedName name="_xlnm.Print_Area" localSheetId="3">'split_mode_pkm'!$B$1:$G$50</definedName>
    <definedName name="_xlnm.Print_Area" localSheetId="0">'T2.3'!$B$1:$E$25</definedName>
    <definedName name="_xlnm.Print_Area" localSheetId="6">'tram_metro'!$B$1:$AF$49</definedName>
    <definedName name="_xlnm.Print_Area" localSheetId="9">'USA'!$B$1:$I$74</definedName>
    <definedName name="Z_534C28F4_E90D_11D3_A4B3_0050041AE0D6_.wvu.PrintArea" localSheetId="3" hidden="1">'split_mode_pkm'!$C$1:$G$21</definedName>
  </definedNames>
  <calcPr fullCalcOnLoad="1"/>
</workbook>
</file>

<file path=xl/sharedStrings.xml><?xml version="1.0" encoding="utf-8"?>
<sst xmlns="http://schemas.openxmlformats.org/spreadsheetml/2006/main" count="1272" uniqueCount="149">
  <si>
    <t>Passenger Transport</t>
  </si>
  <si>
    <t>Tram &amp; Metro</t>
  </si>
  <si>
    <t>Bus &amp; Coach</t>
  </si>
  <si>
    <t>passenger-km in %</t>
  </si>
  <si>
    <t>Buses and Coaches</t>
  </si>
  <si>
    <t>Notes:</t>
  </si>
  <si>
    <t>MK</t>
  </si>
  <si>
    <r>
      <t>Notes:</t>
    </r>
    <r>
      <rPr>
        <sz val="8"/>
        <rFont val="Arial"/>
        <family val="2"/>
      </rPr>
      <t xml:space="preserve"> </t>
    </r>
  </si>
  <si>
    <t>Powered 2-wheelers</t>
  </si>
  <si>
    <t>P2W</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</si>
  <si>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</si>
  <si>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</si>
  <si>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</si>
  <si>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</si>
  <si>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</si>
  <si>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</si>
  <si>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</si>
  <si>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</si>
  <si>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</si>
  <si>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</si>
  <si>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</si>
  <si>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</si>
  <si>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</si>
  <si>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</si>
  <si>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</si>
  <si>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</si>
  <si>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</si>
  <si>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</si>
  <si>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</si>
  <si>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</si>
  <si>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</si>
  <si>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</si>
  <si>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</si>
  <si>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</si>
  <si>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</si>
  <si>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</si>
  <si>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</si>
  <si>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</si>
  <si>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</si>
  <si>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</si>
  <si>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</si>
  <si>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</si>
  <si>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</si>
  <si>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t>
  </si>
  <si>
    <t>HR</t>
  </si>
  <si>
    <t>Passenger Cars</t>
  </si>
  <si>
    <t>Buses &amp; Coaches</t>
  </si>
  <si>
    <t>Railways</t>
  </si>
  <si>
    <t>Sea</t>
  </si>
  <si>
    <t>Air</t>
  </si>
  <si>
    <t>Total</t>
  </si>
  <si>
    <t>Share of high speed rail transport in total passenger-kilometres in rail transport</t>
  </si>
  <si>
    <t>Note:</t>
  </si>
  <si>
    <t>per year</t>
  </si>
  <si>
    <t>Modal split</t>
  </si>
  <si>
    <t>EUROPEAN UNION</t>
  </si>
  <si>
    <t>European Commission</t>
  </si>
  <si>
    <t>Performance by Mode (graph)</t>
  </si>
  <si>
    <r>
      <t xml:space="preserve">in co-operation with </t>
    </r>
    <r>
      <rPr>
        <b/>
        <sz val="10"/>
        <rFont val="Arial"/>
        <family val="2"/>
      </rPr>
      <t>Eurostat</t>
    </r>
  </si>
  <si>
    <t xml:space="preserve">Performance by Mode and Year </t>
  </si>
  <si>
    <t>Modal Split of Land Transport by Country</t>
  </si>
  <si>
    <t>Rail : High Speed Rail Transport</t>
  </si>
  <si>
    <t>Performance of Passenger Transport</t>
  </si>
  <si>
    <t>expressed in passenger-kilometres</t>
  </si>
  <si>
    <t>USA</t>
  </si>
  <si>
    <t>Performance by Mode of Transport : Passengers</t>
  </si>
  <si>
    <t>Passenger Cars *</t>
  </si>
  <si>
    <t>Motor- cycles</t>
  </si>
  <si>
    <t>Railway</t>
  </si>
  <si>
    <t>Bus</t>
  </si>
  <si>
    <t>Light and Commuter rail</t>
  </si>
  <si>
    <t>Average annual change</t>
  </si>
  <si>
    <t>% per year</t>
  </si>
  <si>
    <t>1990- 1995</t>
  </si>
  <si>
    <r>
      <t>UK:</t>
    </r>
    <r>
      <rPr>
        <sz val="8"/>
        <rFont val="Arial"/>
        <family val="2"/>
      </rPr>
      <t xml:space="preserve"> data refer to Great Britain only; include pkm by vans</t>
    </r>
  </si>
  <si>
    <t>Rail: High Speed Rail Transport</t>
  </si>
  <si>
    <t>USA: Performance by Mode of Transport: Passengers</t>
  </si>
  <si>
    <r>
      <t>Source</t>
    </r>
    <r>
      <rPr>
        <sz val="8"/>
        <rFont val="Arial"/>
        <family val="2"/>
      </rPr>
      <t>:</t>
    </r>
    <r>
      <rPr>
        <b/>
        <sz val="8"/>
        <rFont val="Arial"/>
        <family val="2"/>
      </rPr>
      <t xml:space="preserve"> </t>
    </r>
    <r>
      <rPr>
        <sz val="8"/>
        <rFont val="Arial"/>
        <family val="2"/>
      </rPr>
      <t xml:space="preserve">national statistics, International Union of Public Transport, study for DG Energy and Transport, estimates </t>
    </r>
    <r>
      <rPr>
        <i/>
        <sz val="8"/>
        <rFont val="Arial"/>
        <family val="2"/>
      </rPr>
      <t>(in italics)</t>
    </r>
  </si>
  <si>
    <r>
      <t>Source</t>
    </r>
    <r>
      <rPr>
        <sz val="8"/>
        <rFont val="Arial"/>
        <family val="2"/>
      </rPr>
      <t>: Union Internationale des Chemins de Fer, national statistics, estimates</t>
    </r>
    <r>
      <rPr>
        <i/>
        <sz val="8"/>
        <rFont val="Arial"/>
        <family val="2"/>
      </rPr>
      <t xml:space="preserve"> (in italics)</t>
    </r>
  </si>
  <si>
    <t>change %</t>
  </si>
  <si>
    <r>
      <t>Source</t>
    </r>
    <r>
      <rPr>
        <sz val="8"/>
        <rFont val="Arial"/>
        <family val="2"/>
      </rPr>
      <t>: U.S. Department of Transportation</t>
    </r>
  </si>
  <si>
    <t>Pass -enger Cars</t>
  </si>
  <si>
    <t>Rail -way</t>
  </si>
  <si>
    <t>Modal Split of Passenger Transport on Land by Country</t>
  </si>
  <si>
    <r>
      <t>UK:</t>
    </r>
    <r>
      <rPr>
        <sz val="8"/>
        <rFont val="Arial"/>
        <family val="2"/>
      </rPr>
      <t xml:space="preserve"> GB data + 1.5 bln pkm throughout to account for Northern Ireland</t>
    </r>
  </si>
  <si>
    <r>
      <t>P2W</t>
    </r>
    <r>
      <rPr>
        <sz val="8"/>
        <rFont val="Arial"/>
        <family val="2"/>
      </rPr>
      <t>: Powered two-wheelers</t>
    </r>
  </si>
  <si>
    <t>2.3.1</t>
  </si>
  <si>
    <r>
      <t>Source</t>
    </r>
    <r>
      <rPr>
        <sz val="8"/>
        <rFont val="Arial"/>
        <family val="2"/>
      </rPr>
      <t xml:space="preserve">: tables 2.3.4, 2.3.5, 2.3.6, 2.3.7, estimates </t>
    </r>
  </si>
  <si>
    <r>
      <t>Source :</t>
    </r>
    <r>
      <rPr>
        <sz val="8"/>
        <rFont val="Arial"/>
        <family val="2"/>
      </rPr>
      <t xml:space="preserve"> tables 2.3.4, 2.3.5, 2.3.6, 2.3.7, estimates (</t>
    </r>
    <r>
      <rPr>
        <i/>
        <sz val="8"/>
        <rFont val="Arial"/>
        <family val="2"/>
      </rPr>
      <t>in italics</t>
    </r>
    <r>
      <rPr>
        <sz val="8"/>
        <rFont val="Arial"/>
        <family val="2"/>
      </rPr>
      <t>)</t>
    </r>
  </si>
  <si>
    <t>2.3.3</t>
  </si>
  <si>
    <t>2.3.2</t>
  </si>
  <si>
    <t>2.3.4</t>
  </si>
  <si>
    <t>2.3.5</t>
  </si>
  <si>
    <t>2.3.6</t>
  </si>
  <si>
    <t>2.3.7</t>
  </si>
  <si>
    <t>2.3.8</t>
  </si>
  <si>
    <t>2.3.9</t>
  </si>
  <si>
    <t>Directorate-General for Mobility and Transport</t>
  </si>
  <si>
    <t>TRANSPORT IN FIGURES</t>
  </si>
  <si>
    <t>Chapter 2.3  :</t>
  </si>
  <si>
    <t>Part 2 :  TRANSPORT</t>
  </si>
  <si>
    <r>
      <t>Source:</t>
    </r>
    <r>
      <rPr>
        <sz val="8"/>
        <rFont val="Arial"/>
        <family val="2"/>
      </rPr>
      <t xml:space="preserve"> tables 2.3.4, 2.3.5, 2.3.6, 2.3.7</t>
    </r>
  </si>
  <si>
    <r>
      <t xml:space="preserve">Note: </t>
    </r>
    <r>
      <rPr>
        <sz val="8"/>
        <rFont val="Arial"/>
        <family val="2"/>
      </rPr>
      <t xml:space="preserve">In this table, high-speed rail transport covers all traffic with high-speed rolling stock (incl. tilting trains able to run 200 km/h). This does not necessarily require high-speed infrastructure as defined in table 2.5.4.   </t>
    </r>
  </si>
  <si>
    <t>*: It includes: light duty vehicles, short wheel base and long wheel base</t>
  </si>
  <si>
    <r>
      <t>Source</t>
    </r>
    <r>
      <rPr>
        <sz val="8"/>
        <rFont val="Arial"/>
        <family val="2"/>
      </rPr>
      <t xml:space="preserve">: table 2.3.7. </t>
    </r>
  </si>
  <si>
    <r>
      <t>Source</t>
    </r>
    <r>
      <rPr>
        <sz val="8"/>
        <rFont val="Arial"/>
        <family val="2"/>
      </rPr>
      <t>: national statistics, International Transport Forum, Eurostat, estimates</t>
    </r>
    <r>
      <rPr>
        <i/>
        <sz val="8"/>
        <rFont val="Arial"/>
        <family val="2"/>
      </rPr>
      <t xml:space="preserve"> (in italics)</t>
    </r>
  </si>
  <si>
    <r>
      <t>Source</t>
    </r>
    <r>
      <rPr>
        <sz val="8"/>
        <rFont val="Arial"/>
        <family val="2"/>
      </rPr>
      <t xml:space="preserve">: national statistics, International Transport Forum, Eurostat, study for DG Energy and Transport, estimates </t>
    </r>
    <r>
      <rPr>
        <i/>
        <sz val="8"/>
        <rFont val="Arial"/>
        <family val="2"/>
      </rPr>
      <t>(in italics)</t>
    </r>
  </si>
  <si>
    <t>ME</t>
  </si>
  <si>
    <t>RS</t>
  </si>
  <si>
    <t>billion pkm</t>
  </si>
  <si>
    <t>Billion passenger-kilometres</t>
  </si>
  <si>
    <t>Billion pkm</t>
  </si>
  <si>
    <t>1995- 2000</t>
  </si>
  <si>
    <t>EU-28 Performance by Mode</t>
  </si>
  <si>
    <r>
      <t xml:space="preserve">Air </t>
    </r>
    <r>
      <rPr>
        <sz val="8"/>
        <rFont val="Arial"/>
        <family val="2"/>
      </rPr>
      <t>and</t>
    </r>
    <r>
      <rPr>
        <b/>
        <sz val="8"/>
        <rFont val="Arial"/>
        <family val="2"/>
      </rPr>
      <t xml:space="preserve"> Sea</t>
    </r>
    <r>
      <rPr>
        <sz val="8"/>
        <rFont val="Arial"/>
        <family val="2"/>
      </rPr>
      <t>: only domestic and intra-EU-28 transport; provisional estimates</t>
    </r>
  </si>
  <si>
    <t>% under PSO (*)</t>
  </si>
  <si>
    <t>AL</t>
  </si>
  <si>
    <t>EU-28</t>
  </si>
  <si>
    <t>EU-15</t>
  </si>
  <si>
    <t>EU-13</t>
  </si>
  <si>
    <r>
      <t>FR:</t>
    </r>
    <r>
      <rPr>
        <sz val="8"/>
        <rFont val="Arial"/>
        <family val="2"/>
      </rPr>
      <t xml:space="preserve"> passenger-km include transport activity on the territory of vehicles not registered in France. Includes foreign vans.</t>
    </r>
  </si>
  <si>
    <r>
      <t xml:space="preserve">CS: </t>
    </r>
    <r>
      <rPr>
        <sz val="8"/>
        <rFont val="Arial"/>
        <family val="2"/>
      </rPr>
      <t>1990: 43.4 (included in</t>
    </r>
    <r>
      <rPr>
        <b/>
        <sz val="8"/>
        <rFont val="Arial"/>
        <family val="2"/>
      </rPr>
      <t xml:space="preserve"> EU-28</t>
    </r>
    <r>
      <rPr>
        <sz val="8"/>
        <rFont val="Arial"/>
        <family val="2"/>
      </rPr>
      <t xml:space="preserve"> and </t>
    </r>
    <r>
      <rPr>
        <b/>
        <sz val="8"/>
        <rFont val="Arial"/>
        <family val="2"/>
      </rPr>
      <t>EU-13</t>
    </r>
    <r>
      <rPr>
        <sz val="8"/>
        <rFont val="Arial"/>
        <family val="2"/>
      </rPr>
      <t xml:space="preserve"> totals)</t>
    </r>
  </si>
  <si>
    <r>
      <t xml:space="preserve">DE: </t>
    </r>
    <r>
      <rPr>
        <sz val="8"/>
        <rFont val="Arial"/>
        <family val="2"/>
      </rPr>
      <t xml:space="preserve">includes </t>
    </r>
    <r>
      <rPr>
        <b/>
        <sz val="8"/>
        <rFont val="Arial"/>
        <family val="2"/>
      </rPr>
      <t>DE-E:</t>
    </r>
    <r>
      <rPr>
        <sz val="8"/>
        <rFont val="Arial"/>
        <family val="2"/>
      </rPr>
      <t xml:space="preserve"> 1970=24.5, 1980=56.0, 1990=90.3</t>
    </r>
  </si>
  <si>
    <r>
      <rPr>
        <b/>
        <sz val="8"/>
        <rFont val="Arial"/>
        <family val="2"/>
      </rPr>
      <t xml:space="preserve">CH: </t>
    </r>
    <r>
      <rPr>
        <sz val="8"/>
        <rFont val="Arial"/>
        <family val="2"/>
      </rPr>
      <t>includes activity of foreign vehicles in the country.</t>
    </r>
  </si>
  <si>
    <r>
      <rPr>
        <b/>
        <sz val="8"/>
        <rFont val="Arial"/>
        <family val="2"/>
      </rPr>
      <t>TR:</t>
    </r>
    <r>
      <rPr>
        <sz val="8"/>
        <rFont val="Arial"/>
        <family val="2"/>
      </rPr>
      <t xml:space="preserve"> excludes urban traffic.</t>
    </r>
  </si>
  <si>
    <r>
      <rPr>
        <b/>
        <sz val="8"/>
        <rFont val="Arial"/>
        <family val="2"/>
      </rPr>
      <t>ES:</t>
    </r>
    <r>
      <rPr>
        <sz val="8"/>
        <rFont val="Arial"/>
        <family val="2"/>
      </rPr>
      <t xml:space="preserve"> break in series between 2013 and 2014 due to a change in methodology. The two years are not comparable.</t>
    </r>
  </si>
  <si>
    <r>
      <rPr>
        <b/>
        <sz val="8"/>
        <rFont val="Arial"/>
        <family val="2"/>
      </rPr>
      <t xml:space="preserve">ES: </t>
    </r>
    <r>
      <rPr>
        <sz val="8"/>
        <rFont val="Arial"/>
        <family val="2"/>
      </rPr>
      <t>including metro of Malaga since 2014.</t>
    </r>
  </si>
  <si>
    <r>
      <t xml:space="preserve">FR: </t>
    </r>
    <r>
      <rPr>
        <sz val="8"/>
        <rFont val="Arial"/>
        <family val="2"/>
      </rPr>
      <t>data refer to the Paris Metro, RER (Réseau Express Régional) systems, tramways d'Île-de-France (as of 2000) and metros in other French cities.</t>
    </r>
  </si>
  <si>
    <r>
      <t>PT:</t>
    </r>
    <r>
      <rPr>
        <sz val="8"/>
        <rFont val="Arial"/>
        <family val="2"/>
      </rPr>
      <t xml:space="preserve"> data refer to Lisbon, Porto and Sul do Tejo Metro systems (the latter as from 2014).</t>
    </r>
  </si>
  <si>
    <r>
      <t>Notes:</t>
    </r>
    <r>
      <rPr>
        <sz val="8"/>
        <rFont val="Arial"/>
        <family val="2"/>
      </rPr>
      <t xml:space="preserve">  </t>
    </r>
    <r>
      <rPr>
        <b/>
        <sz val="8"/>
        <rFont val="Arial"/>
        <family val="2"/>
      </rPr>
      <t>BE</t>
    </r>
    <r>
      <rPr>
        <sz val="8"/>
        <rFont val="Arial"/>
        <family val="2"/>
      </rPr>
      <t xml:space="preserve"> 2010 and 2012 pkm values based on quarter data from Eurostat. </t>
    </r>
    <r>
      <rPr>
        <b/>
        <sz val="8"/>
        <rFont val="Arial"/>
        <family val="2"/>
      </rPr>
      <t>UK</t>
    </r>
    <r>
      <rPr>
        <sz val="8"/>
        <rFont val="Arial"/>
        <family val="2"/>
      </rPr>
      <t xml:space="preserve"> share of PSO excludes Northern Ireland. EU-28 shares of PSO estimated on the basis of the available data.</t>
    </r>
  </si>
  <si>
    <r>
      <rPr>
        <b/>
        <sz val="8"/>
        <rFont val="Arial"/>
        <family val="2"/>
      </rPr>
      <t xml:space="preserve">AT: </t>
    </r>
    <r>
      <rPr>
        <sz val="8"/>
        <rFont val="Arial"/>
        <family val="2"/>
      </rPr>
      <t>the times series includes an estimate for trolleybuses.</t>
    </r>
  </si>
  <si>
    <r>
      <t xml:space="preserve">AT: </t>
    </r>
    <r>
      <rPr>
        <sz val="8"/>
        <rFont val="Arial"/>
        <family val="2"/>
      </rPr>
      <t>it includes regional rail transport activity.</t>
    </r>
  </si>
  <si>
    <r>
      <t xml:space="preserve">PL: </t>
    </r>
    <r>
      <rPr>
        <sz val="8"/>
        <rFont val="Arial"/>
        <family val="2"/>
      </rPr>
      <t>estimated activity</t>
    </r>
  </si>
  <si>
    <r>
      <t xml:space="preserve">DK: </t>
    </r>
    <r>
      <rPr>
        <sz val="8"/>
        <rFont val="Arial"/>
        <family val="2"/>
      </rPr>
      <t>figures exclude activity of vans with a mass higher than 2000 kg.</t>
    </r>
  </si>
  <si>
    <r>
      <rPr>
        <b/>
        <sz val="8"/>
        <rFont val="Arial"/>
        <family val="2"/>
      </rPr>
      <t>PL:</t>
    </r>
    <r>
      <rPr>
        <sz val="8"/>
        <rFont val="Arial"/>
        <family val="2"/>
      </rPr>
      <t xml:space="preserve"> includes long-distance transport and estimated data for urban transport.</t>
    </r>
  </si>
  <si>
    <t>change 14/15</t>
  </si>
  <si>
    <r>
      <rPr>
        <b/>
        <sz val="8"/>
        <rFont val="Arial"/>
        <family val="2"/>
      </rPr>
      <t>FR:</t>
    </r>
    <r>
      <rPr>
        <sz val="8"/>
        <rFont val="Arial"/>
        <family val="2"/>
      </rPr>
      <t xml:space="preserve"> includes tram transport activity at province level, and tram transport in the ile de France until 2000. It also includes occasional bus transport in the territory of France performed by foreign buses. </t>
    </r>
  </si>
  <si>
    <t>Data is not harmonised and therefore not fully comparable. 2015 data may be provisional. Data sometimes includes activity of foreign vehicles performed within the country, therefore  EU aggregates might be affected by double-counting. Generally vans are not considered in this table, but there may be exceptions.</t>
  </si>
  <si>
    <t xml:space="preserve">Data is not harmonised and therefore not fully comparable. 2015 data may be provisional. Data sometimes includes activity of foreign vehicles performed within the country, therefore  EU aggregates might be affected by double-counting. </t>
  </si>
  <si>
    <t>Data are not harmonised and therefore not fully comparable across countries. Data for 2015 are mostly provisional.</t>
  </si>
  <si>
    <r>
      <t xml:space="preserve">* Public Service Obligation (PSO) </t>
    </r>
    <r>
      <rPr>
        <sz val="8"/>
        <rFont val="Arial"/>
        <family val="2"/>
      </rPr>
      <t>means a requirement defined or 
determined by a competent authority in order to ensure public
passenger transport services in the general interest that an 
operator, if it were considering its own commercial interests,
would not assume or would not assume to the same extent
 or under the same conditions without reward.</t>
    </r>
  </si>
  <si>
    <r>
      <t xml:space="preserve">NL: </t>
    </r>
    <r>
      <rPr>
        <sz val="8"/>
        <rFont val="Arial"/>
        <family val="2"/>
      </rPr>
      <t>the time series from 2010 estimates the share of bus transport over the aggregate "bus/tram/metro" published in the OViN Travel Survey. Previous years' estimates have been retrofitted until 2010.</t>
    </r>
  </si>
  <si>
    <r>
      <t xml:space="preserve">NL: </t>
    </r>
    <r>
      <rPr>
        <sz val="8"/>
        <rFont val="Arial"/>
        <family val="2"/>
      </rPr>
      <t>the time series from 2010 estimates the share of tram &amp; metro over the aggregate "bus/tram/metro" published in the OViN Travel Survey. Previous years' estimates have been retrofitted until 2010.</t>
    </r>
  </si>
  <si>
    <t>2000- 2015</t>
  </si>
  <si>
    <t>1995 -2015</t>
  </si>
  <si>
    <t>2000 -2015</t>
  </si>
  <si>
    <t>2014- 2015</t>
  </si>
  <si>
    <t xml:space="preserve">If powered two-wheelers are included, they account for 2.10% of the total in EU-28 (2.10% in EU-15, 2.11% in EU-13), while the share of the other modes becomes: </t>
  </si>
  <si>
    <r>
      <t>Source</t>
    </r>
    <r>
      <rPr>
        <sz val="8"/>
        <rFont val="Arial"/>
        <family val="2"/>
      </rPr>
      <t>: Eurostat, International Transport Forum, UNECE, Union Internationale des Chemins de Fer, DG MOVE Rail Market Monitoring (</t>
    </r>
    <r>
      <rPr>
        <b/>
        <sz val="8"/>
        <rFont val="Arial"/>
        <family val="2"/>
      </rPr>
      <t>BE</t>
    </r>
    <r>
      <rPr>
        <sz val="8"/>
        <rFont val="Arial"/>
        <family val="2"/>
      </rPr>
      <t xml:space="preserve"> 2012, 2013, 2014) national statistics, estimates (</t>
    </r>
    <r>
      <rPr>
        <i/>
        <sz val="8"/>
        <rFont val="Arial"/>
        <family val="2"/>
      </rPr>
      <t>in italics</t>
    </r>
    <r>
      <rPr>
        <sz val="8"/>
        <rFont val="Arial"/>
        <family val="2"/>
      </rPr>
      <t>). Shares under PSO from Rail Market Monitoring (DG MOVE) and DG MOVE estimates, based on different volumes than Eurostat.</t>
    </r>
  </si>
</sst>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 numFmtId="166" formatCode="#\ ##0"/>
    <numFmt numFmtId="167" formatCode="0.0\ \ \ "/>
    <numFmt numFmtId="168" formatCode="0.0%"/>
    <numFmt numFmtId="169" formatCode="0.0\ "/>
    <numFmt numFmtId="170" formatCode="0.0%;\-0.0%"/>
    <numFmt numFmtId="171" formatCode="General_)"/>
    <numFmt numFmtId="172" formatCode="[&gt;0.5]#,##0;[&lt;-0.5]\-#,##0;\-"/>
    <numFmt numFmtId="173" formatCode="_-* #,##0.00\ [$€]_-;\-* #,##0.00\ [$€]_-;_-* &quot;-&quot;??\ [$€]_-;_-@_-"/>
    <numFmt numFmtId="174" formatCode="#\ ##0.0"/>
    <numFmt numFmtId="175" formatCode="_(* #,##0.00_);_(* \(#,##0.00\);_(* &quot;-&quot;??_);_(@_)"/>
    <numFmt numFmtId="176" formatCode="###0.00_)"/>
    <numFmt numFmtId="177" formatCode="#,##0_)"/>
    <numFmt numFmtId="178" formatCode="0.000"/>
    <numFmt numFmtId="179" formatCode="0.00000"/>
    <numFmt numFmtId="180" formatCode="_(&quot;$&quot;* #,##0.00_);_(&quot;$&quot;* \(#,##0.00\);_(&quot;$&quot;* &quot;-&quot;??_);_(@_)"/>
    <numFmt numFmtId="181" formatCode="&quot; &quot;General"/>
    <numFmt numFmtId="182" formatCode="_-* #,##0.00\ &quot;zł&quot;_-;\-* #,##0.00\ &quot;zł&quot;_-;_-* &quot;-&quot;??\ &quot;zł&quot;_-;_-@_-"/>
    <numFmt numFmtId="183" formatCode="_-* #,##0.00,&quot;DM&quot;_-;\-* #,##0.00,&quot;DM&quot;_-;_-* \-??&quot; DM&quot;_-;_-@_-"/>
    <numFmt numFmtId="184" formatCode="#,##0.000_);[Red]\(#,##0.000\);\-_)"/>
    <numFmt numFmtId="185" formatCode="#,##0.0%;[Red]\(#,##0.0%\);\-"/>
  </numFmts>
  <fonts count="118">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sz val="10"/>
      <name val="Times"/>
      <family val="1"/>
    </font>
    <font>
      <b/>
      <sz val="18"/>
      <name val="Arial"/>
      <family val="2"/>
    </font>
    <font>
      <sz val="12"/>
      <name val="Arial"/>
      <family val="2"/>
    </font>
    <font>
      <b/>
      <sz val="10"/>
      <name val="Arial"/>
      <family val="2"/>
    </font>
    <font>
      <b/>
      <sz val="8"/>
      <name val="Times"/>
      <family val="1"/>
    </font>
    <font>
      <b/>
      <sz val="10"/>
      <name val="Times"/>
      <family val="1"/>
    </font>
    <font>
      <b/>
      <i/>
      <sz val="10"/>
      <name val="Times"/>
      <family val="1"/>
    </font>
    <font>
      <b/>
      <sz val="9"/>
      <name val="Arial"/>
      <family val="2"/>
    </font>
    <font>
      <sz val="8"/>
      <name val="Times"/>
      <family val="1"/>
    </font>
    <font>
      <i/>
      <sz val="8"/>
      <name val="Times"/>
      <family val="1"/>
    </font>
    <font>
      <sz val="9"/>
      <name val="Arial"/>
      <family val="2"/>
    </font>
    <font>
      <i/>
      <sz val="8"/>
      <name val="Arial"/>
      <family val="2"/>
    </font>
    <font>
      <b/>
      <i/>
      <sz val="8"/>
      <name val="Arial"/>
      <family val="2"/>
    </font>
    <font>
      <b/>
      <sz val="10"/>
      <color indexed="18"/>
      <name val="Arial"/>
      <family val="2"/>
    </font>
    <font>
      <b/>
      <sz val="10"/>
      <color indexed="8"/>
      <name val="Arial"/>
      <family val="2"/>
    </font>
    <font>
      <sz val="10"/>
      <name val="Helvetica"/>
      <family val="2"/>
    </font>
    <font>
      <sz val="14"/>
      <name val="Arial"/>
      <family val="2"/>
    </font>
    <font>
      <b/>
      <sz val="7"/>
      <name val="Arial"/>
      <family val="2"/>
    </font>
    <font>
      <sz val="7"/>
      <name val="Arial"/>
      <family val="2"/>
    </font>
    <font>
      <sz val="8"/>
      <name val="Helvetica"/>
      <family val="2"/>
    </font>
    <font>
      <b/>
      <sz val="8"/>
      <name val="Helvetica"/>
      <family val="2"/>
    </font>
    <font>
      <sz val="8"/>
      <name val="Helv"/>
      <family val="2"/>
    </font>
    <font>
      <sz val="10"/>
      <color indexed="8"/>
      <name val="Arial"/>
      <family val="2"/>
    </font>
    <font>
      <sz val="11"/>
      <name val="Arial"/>
      <family val="2"/>
    </font>
    <font>
      <sz val="10"/>
      <name val="Times New Roman"/>
      <family val="1"/>
    </font>
    <font>
      <sz val="16"/>
      <name val="Helvetica"/>
      <family val="2"/>
    </font>
    <font>
      <i/>
      <sz val="12"/>
      <name val="Times New Roman"/>
      <family val="1"/>
    </font>
    <font>
      <sz val="9"/>
      <name val="Verdana"/>
      <family val="2"/>
    </font>
    <font>
      <i/>
      <sz val="9"/>
      <color indexed="60"/>
      <name val="Verdana"/>
      <family val="2"/>
    </font>
    <font>
      <b/>
      <sz val="9"/>
      <name val="Verdana"/>
      <family val="2"/>
    </font>
    <font>
      <u val="single"/>
      <sz val="10"/>
      <color indexed="12"/>
      <name val="Times New Roman"/>
      <family val="1"/>
    </font>
    <font>
      <sz val="8"/>
      <color indexed="10"/>
      <name val="Arial"/>
      <family val="2"/>
    </font>
    <font>
      <sz val="12"/>
      <name val="Helv"/>
      <family val="0"/>
    </font>
    <font>
      <b/>
      <sz val="12"/>
      <name val="Helv"/>
      <family val="0"/>
    </font>
    <font>
      <sz val="10"/>
      <name val="Helv"/>
      <family val="0"/>
    </font>
    <font>
      <sz val="9"/>
      <name val="Helv"/>
      <family val="0"/>
    </font>
    <font>
      <vertAlign val="superscript"/>
      <sz val="12"/>
      <name val="Helv"/>
      <family val="0"/>
    </font>
    <font>
      <b/>
      <sz val="10"/>
      <name val="Helv"/>
      <family val="0"/>
    </font>
    <font>
      <b/>
      <sz val="9"/>
      <name val="Helv"/>
      <family val="0"/>
    </font>
    <font>
      <sz val="8.5"/>
      <name val="Helv"/>
      <family val="0"/>
    </font>
    <font>
      <b/>
      <sz val="14"/>
      <name val="Helv"/>
      <family val="0"/>
    </font>
    <font>
      <u val="single"/>
      <sz val="8"/>
      <color indexed="12"/>
      <name val="Arial"/>
      <family val="2"/>
    </font>
    <font>
      <u val="single"/>
      <sz val="10"/>
      <color indexed="36"/>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8"/>
      <name val="P-AVGARD"/>
      <family val="0"/>
    </font>
    <font>
      <b/>
      <sz val="15"/>
      <color indexed="56"/>
      <name val="Calibri"/>
      <family val="2"/>
    </font>
    <font>
      <b/>
      <sz val="13"/>
      <color indexed="56"/>
      <name val="Calibri"/>
      <family val="2"/>
    </font>
    <font>
      <b/>
      <sz val="11"/>
      <color indexed="56"/>
      <name val="Calibri"/>
      <family val="2"/>
    </font>
    <font>
      <b/>
      <sz val="18"/>
      <color indexed="56"/>
      <name val="Cambria"/>
      <family val="2"/>
    </font>
    <font>
      <u val="single"/>
      <sz val="10"/>
      <color indexed="12"/>
      <name val="Arial"/>
      <family val="2"/>
    </font>
    <font>
      <sz val="10"/>
      <color indexed="8"/>
      <name val="Times New Roman"/>
      <family val="1"/>
    </font>
    <font>
      <sz val="16"/>
      <color indexed="8"/>
      <name val="Helvetica"/>
      <family val="2"/>
    </font>
    <font>
      <u val="single"/>
      <sz val="7"/>
      <color indexed="12"/>
      <name val="Arial"/>
      <family val="2"/>
    </font>
    <font>
      <u val="single"/>
      <sz val="8"/>
      <color indexed="12"/>
      <name val="Times New Roman"/>
      <family val="1"/>
    </font>
    <font>
      <sz val="8"/>
      <color indexed="8"/>
      <name val="Arial"/>
      <family val="2"/>
    </font>
    <font>
      <i/>
      <sz val="12"/>
      <color indexed="8"/>
      <name val="Times New Roman"/>
      <family val="1"/>
    </font>
    <font>
      <u val="single"/>
      <sz val="11"/>
      <color indexed="30"/>
      <name val="Calibri"/>
      <family val="2"/>
    </font>
    <font>
      <sz val="10"/>
      <color indexed="24"/>
      <name val="Arial"/>
      <family val="2"/>
    </font>
    <font>
      <sz val="12"/>
      <color indexed="24"/>
      <name val="Arial"/>
      <family val="2"/>
    </font>
    <font>
      <sz val="16"/>
      <name val="Times New Roman"/>
      <family val="1"/>
    </font>
    <font>
      <sz val="11"/>
      <color indexed="8"/>
      <name val="Czcionka tekstu podstawowego"/>
      <family val="2"/>
    </font>
    <font>
      <b/>
      <sz val="13"/>
      <color indexed="9"/>
      <name val="Calibri"/>
      <family val="2"/>
    </font>
    <font>
      <b/>
      <sz val="12"/>
      <name val="Calibri"/>
      <family val="2"/>
    </font>
    <font>
      <sz val="10"/>
      <name val="Calibri"/>
      <family val="2"/>
    </font>
    <font>
      <b/>
      <sz val="8"/>
      <color indexed="8"/>
      <name val="Arial"/>
      <family val="0"/>
    </font>
    <font>
      <b/>
      <sz val="12"/>
      <color indexed="8"/>
      <name val="Arial"/>
      <family val="0"/>
    </font>
    <font>
      <sz val="7.35"/>
      <color indexed="8"/>
      <name val="Arial"/>
      <family val="0"/>
    </font>
    <font>
      <sz val="11"/>
      <color theme="1"/>
      <name val="Calibri"/>
      <family val="2"/>
    </font>
    <font>
      <sz val="11"/>
      <color theme="0"/>
      <name val="Calibri"/>
      <family val="2"/>
    </font>
    <font>
      <b/>
      <sz val="13"/>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6"/>
      <color rgb="FF000000"/>
      <name val="Helvetica"/>
      <family val="2"/>
    </font>
    <font>
      <u val="single"/>
      <sz val="8"/>
      <color rgb="FF0000FF"/>
      <name val="Times New Roman"/>
      <family val="1"/>
    </font>
    <font>
      <u val="single"/>
      <sz val="7"/>
      <color rgb="FF0000FF"/>
      <name val="Arial"/>
      <family val="2"/>
    </font>
    <font>
      <u val="single"/>
      <sz val="11"/>
      <color rgb="FF0563C1"/>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sz val="11"/>
      <color theme="1"/>
      <name val="Czcionka tekstu podstawowego"/>
      <family val="2"/>
    </font>
    <font>
      <sz val="10"/>
      <color theme="1"/>
      <name val="Arial"/>
      <family val="2"/>
    </font>
    <font>
      <sz val="8"/>
      <color rgb="FF000000"/>
      <name val="Arial"/>
      <family val="2"/>
    </font>
    <font>
      <b/>
      <sz val="11"/>
      <color rgb="FF3F3F3F"/>
      <name val="Calibri"/>
      <family val="2"/>
    </font>
    <font>
      <sz val="10"/>
      <color rgb="FF000000"/>
      <name val="Arial"/>
      <family val="2"/>
    </font>
    <font>
      <i/>
      <sz val="12"/>
      <color rgb="FF000000"/>
      <name val="Times New Roman"/>
      <family val="1"/>
    </font>
    <font>
      <b/>
      <sz val="18"/>
      <color theme="3"/>
      <name val="Cambria"/>
      <family val="2"/>
    </font>
    <font>
      <b/>
      <sz val="11"/>
      <color theme="1"/>
      <name val="Calibri"/>
      <family val="2"/>
    </font>
    <font>
      <sz val="11"/>
      <color rgb="FFFF0000"/>
      <name val="Calibri"/>
      <family val="2"/>
    </font>
    <font>
      <sz val="8"/>
      <color rgb="FFFF0000"/>
      <name val="Arial"/>
      <family val="2"/>
    </font>
  </fonts>
  <fills count="73">
    <fill>
      <patternFill/>
    </fill>
    <fill>
      <patternFill patternType="gray125"/>
    </fill>
    <fill>
      <patternFill patternType="solid">
        <fgColor indexed="4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57626E"/>
        <bgColor indexed="64"/>
      </patternFill>
    </fill>
    <fill>
      <patternFill patternType="solid">
        <fgColor rgb="FFA2A5AD"/>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mediumGray">
        <fgColor indexed="9"/>
        <bgColor indexed="31"/>
      </patternFill>
    </fill>
    <fill>
      <patternFill patternType="mediumGray">
        <fgColor indexed="9"/>
        <bgColor indexed="44"/>
      </patternFill>
    </fill>
    <fill>
      <patternFill patternType="solid">
        <fgColor indexed="57"/>
        <bgColor indexed="64"/>
      </patternFill>
    </fill>
    <fill>
      <patternFill patternType="mediumGray">
        <fgColor indexed="9"/>
        <bgColor indexed="29"/>
      </patternFill>
    </fill>
    <fill>
      <patternFill patternType="mediumGray">
        <fgColor indexed="22"/>
        <bgColor indexed="31"/>
      </patternFill>
    </fill>
    <fill>
      <patternFill patternType="mediumGray">
        <fgColor indexed="22"/>
        <bgColor indexed="44"/>
      </patternFill>
    </fill>
    <fill>
      <patternFill patternType="mediumGray">
        <fgColor indexed="9"/>
        <bgColor indexed="52"/>
      </patternFill>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34"/>
        <bgColor indexed="64"/>
      </patternFill>
    </fill>
    <fill>
      <patternFill patternType="solid">
        <fgColor indexed="9"/>
        <bgColor indexed="64"/>
      </patternFill>
    </fill>
    <fill>
      <patternFill patternType="solid">
        <fgColor rgb="FFCCFFCC"/>
        <bgColor indexed="64"/>
      </patternFill>
    </fill>
    <fill>
      <patternFill patternType="solid">
        <fgColor rgb="FF00B0F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n">
        <color indexed="22"/>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hair"/>
    </border>
    <border>
      <left/>
      <right/>
      <top/>
      <bottom style="thin"/>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hair">
        <color indexed="8"/>
      </bottom>
    </border>
    <border>
      <left style="thin">
        <color indexed="24"/>
      </left>
      <right style="thin">
        <color indexed="24"/>
      </right>
      <top style="thin">
        <color indexed="24"/>
      </top>
      <bottom style="thin">
        <color indexed="24"/>
      </bottom>
    </border>
    <border>
      <left style="thin"/>
      <right style="thin"/>
      <top style="thin"/>
      <bottom/>
    </border>
    <border>
      <left style="thin"/>
      <right style="thin"/>
      <top style="thin"/>
      <bottom style="thin"/>
    </border>
    <border>
      <left style="thin"/>
      <right/>
      <top style="thin"/>
      <bottom style="thin"/>
    </border>
    <border>
      <left/>
      <right/>
      <top style="thin">
        <color theme="4"/>
      </top>
      <bottom style="double">
        <color theme="4"/>
      </bottom>
    </border>
    <border>
      <left/>
      <right/>
      <top style="thin">
        <color indexed="62"/>
      </top>
      <bottom style="double">
        <color indexed="62"/>
      </bottom>
    </border>
    <border>
      <left style="thin"/>
      <right style="thin"/>
      <top/>
      <bottom/>
    </border>
    <border>
      <left style="thin"/>
      <right style="thin"/>
      <top/>
      <bottom style="thin"/>
    </border>
    <border>
      <left/>
      <right style="thin"/>
      <top/>
      <bottom/>
    </border>
    <border>
      <left style="thin"/>
      <right/>
      <top/>
      <bottom/>
    </border>
    <border>
      <left/>
      <right/>
      <top style="thin"/>
      <bottom style="thin"/>
    </border>
    <border>
      <left style="thin"/>
      <right/>
      <top style="hair"/>
      <bottom style="thin"/>
    </border>
    <border>
      <left/>
      <right/>
      <top style="hair"/>
      <bottom style="thin"/>
    </border>
    <border>
      <left style="thin"/>
      <right style="thin"/>
      <top style="hair"/>
      <bottom style="thin"/>
    </border>
    <border>
      <left style="thin"/>
      <right/>
      <top style="thin"/>
      <bottom style="hair"/>
    </border>
    <border>
      <left/>
      <right/>
      <top style="thin"/>
      <bottom style="hair"/>
    </border>
    <border>
      <left/>
      <right style="thin"/>
      <top style="thin"/>
      <bottom style="hair"/>
    </border>
    <border>
      <left/>
      <right/>
      <top style="thin"/>
      <bottom/>
    </border>
    <border>
      <left/>
      <right style="thin"/>
      <top style="thin"/>
      <bottom/>
    </border>
    <border>
      <left style="thin"/>
      <right/>
      <top style="thin"/>
      <bottom/>
    </border>
    <border>
      <left/>
      <right style="thin"/>
      <top style="thin"/>
      <bottom style="thin"/>
    </border>
    <border>
      <left/>
      <right/>
      <top style="thick"/>
      <bottom/>
    </border>
    <border>
      <left style="thick"/>
      <right/>
      <top/>
      <bottom style="thin"/>
    </border>
    <border>
      <left/>
      <right style="thick"/>
      <top/>
      <bottom style="thin"/>
    </border>
    <border>
      <left style="thick"/>
      <right/>
      <top/>
      <bottom/>
    </border>
    <border>
      <left/>
      <right style="thick"/>
      <top/>
      <bottom/>
    </border>
    <border>
      <left style="thin"/>
      <right/>
      <top/>
      <bottom style="thin"/>
    </border>
    <border>
      <left/>
      <right style="thin"/>
      <top/>
      <bottom style="thin"/>
    </border>
    <border>
      <left style="thin"/>
      <right style="thin"/>
      <top/>
      <bottom style="medium"/>
    </border>
    <border>
      <left style="thin"/>
      <right style="thin"/>
      <top style="medium"/>
      <bottom/>
    </border>
    <border>
      <left style="thin"/>
      <right/>
      <top style="thick"/>
      <bottom/>
    </border>
    <border>
      <left/>
      <right style="thin"/>
      <top style="thick"/>
      <bottom/>
    </border>
    <border>
      <left style="thick"/>
      <right/>
      <top style="thin"/>
      <bottom/>
    </border>
  </borders>
  <cellStyleXfs count="2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Font="0" applyBorder="0" applyAlignment="0" applyProtection="0"/>
    <xf numFmtId="0" fontId="88" fillId="3" borderId="0" applyNumberFormat="0" applyBorder="0" applyAlignment="0" applyProtection="0"/>
    <xf numFmtId="0" fontId="1" fillId="4" borderId="0" applyNumberFormat="0" applyBorder="0" applyAlignment="0" applyProtection="0"/>
    <xf numFmtId="0" fontId="88" fillId="5" borderId="0" applyNumberFormat="0" applyBorder="0" applyAlignment="0" applyProtection="0"/>
    <xf numFmtId="0" fontId="1" fillId="6" borderId="0" applyNumberFormat="0" applyBorder="0" applyAlignment="0" applyProtection="0"/>
    <xf numFmtId="0" fontId="88" fillId="7" borderId="0" applyNumberFormat="0" applyBorder="0" applyAlignment="0" applyProtection="0"/>
    <xf numFmtId="0" fontId="1" fillId="8" borderId="0" applyNumberFormat="0" applyBorder="0" applyAlignment="0" applyProtection="0"/>
    <xf numFmtId="0" fontId="88" fillId="9" borderId="0" applyNumberFormat="0" applyBorder="0" applyAlignment="0" applyProtection="0"/>
    <xf numFmtId="0" fontId="1" fillId="10" borderId="0" applyNumberFormat="0" applyBorder="0" applyAlignment="0" applyProtection="0"/>
    <xf numFmtId="0" fontId="88" fillId="11" borderId="0" applyNumberFormat="0" applyBorder="0" applyAlignment="0" applyProtection="0"/>
    <xf numFmtId="0" fontId="1" fillId="12" borderId="0" applyNumberFormat="0" applyBorder="0" applyAlignment="0" applyProtection="0"/>
    <xf numFmtId="0" fontId="88" fillId="13" borderId="0" applyNumberFormat="0" applyBorder="0" applyAlignment="0" applyProtection="0"/>
    <xf numFmtId="0" fontId="1" fillId="2" borderId="0" applyNumberFormat="0" applyBorder="0" applyAlignment="0" applyProtection="0"/>
    <xf numFmtId="0" fontId="88" fillId="14" borderId="0" applyNumberFormat="0" applyBorder="0" applyAlignment="0" applyProtection="0"/>
    <xf numFmtId="0" fontId="1" fillId="15" borderId="0" applyNumberFormat="0" applyBorder="0" applyAlignment="0" applyProtection="0"/>
    <xf numFmtId="0" fontId="88" fillId="16" borderId="0" applyNumberFormat="0" applyBorder="0" applyAlignment="0" applyProtection="0"/>
    <xf numFmtId="0" fontId="1" fillId="17" borderId="0" applyNumberFormat="0" applyBorder="0" applyAlignment="0" applyProtection="0"/>
    <xf numFmtId="0" fontId="88" fillId="18" borderId="0" applyNumberFormat="0" applyBorder="0" applyAlignment="0" applyProtection="0"/>
    <xf numFmtId="0" fontId="1" fillId="19" borderId="0" applyNumberFormat="0" applyBorder="0" applyAlignment="0" applyProtection="0"/>
    <xf numFmtId="0" fontId="88" fillId="20" borderId="0" applyNumberFormat="0" applyBorder="0" applyAlignment="0" applyProtection="0"/>
    <xf numFmtId="0" fontId="1" fillId="10" borderId="0" applyNumberFormat="0" applyBorder="0" applyAlignment="0" applyProtection="0"/>
    <xf numFmtId="0" fontId="88" fillId="21" borderId="0" applyNumberFormat="0" applyBorder="0" applyAlignment="0" applyProtection="0"/>
    <xf numFmtId="0" fontId="1" fillId="15" borderId="0" applyNumberFormat="0" applyBorder="0" applyAlignment="0" applyProtection="0"/>
    <xf numFmtId="0" fontId="88" fillId="22" borderId="0" applyNumberFormat="0" applyBorder="0" applyAlignment="0" applyProtection="0"/>
    <xf numFmtId="0" fontId="1" fillId="23" borderId="0" applyNumberFormat="0" applyBorder="0" applyAlignment="0" applyProtection="0"/>
    <xf numFmtId="0" fontId="89" fillId="24" borderId="0" applyNumberFormat="0" applyBorder="0" applyAlignment="0" applyProtection="0"/>
    <xf numFmtId="0" fontId="64" fillId="25" borderId="0" applyNumberFormat="0" applyBorder="0" applyAlignment="0" applyProtection="0"/>
    <xf numFmtId="0" fontId="89" fillId="26" borderId="0" applyNumberFormat="0" applyBorder="0" applyAlignment="0" applyProtection="0"/>
    <xf numFmtId="0" fontId="64" fillId="17" borderId="0" applyNumberFormat="0" applyBorder="0" applyAlignment="0" applyProtection="0"/>
    <xf numFmtId="0" fontId="89" fillId="27" borderId="0" applyNumberFormat="0" applyBorder="0" applyAlignment="0" applyProtection="0"/>
    <xf numFmtId="0" fontId="64" fillId="19" borderId="0" applyNumberFormat="0" applyBorder="0" applyAlignment="0" applyProtection="0"/>
    <xf numFmtId="0" fontId="89" fillId="28" borderId="0" applyNumberFormat="0" applyBorder="0" applyAlignment="0" applyProtection="0"/>
    <xf numFmtId="0" fontId="64" fillId="29" borderId="0" applyNumberFormat="0" applyBorder="0" applyAlignment="0" applyProtection="0"/>
    <xf numFmtId="0" fontId="89" fillId="30" borderId="0" applyNumberFormat="0" applyBorder="0" applyAlignment="0" applyProtection="0"/>
    <xf numFmtId="0" fontId="64" fillId="31" borderId="0" applyNumberFormat="0" applyBorder="0" applyAlignment="0" applyProtection="0"/>
    <xf numFmtId="0" fontId="89" fillId="32" borderId="0" applyNumberFormat="0" applyBorder="0" applyAlignment="0" applyProtection="0"/>
    <xf numFmtId="0" fontId="64" fillId="33" borderId="0" applyNumberFormat="0" applyBorder="0" applyAlignment="0" applyProtection="0"/>
    <xf numFmtId="0" fontId="90" fillId="34" borderId="0" applyProtection="0">
      <alignment vertical="center"/>
    </xf>
    <xf numFmtId="0" fontId="83" fillId="35" borderId="0" applyProtection="0">
      <alignment vertical="center"/>
    </xf>
    <xf numFmtId="0" fontId="89" fillId="36" borderId="0" applyNumberFormat="0" applyBorder="0" applyAlignment="0" applyProtection="0"/>
    <xf numFmtId="0" fontId="64" fillId="37" borderId="0" applyNumberFormat="0" applyBorder="0" applyAlignment="0" applyProtection="0"/>
    <xf numFmtId="0" fontId="89" fillId="38" borderId="0" applyNumberFormat="0" applyBorder="0" applyAlignment="0" applyProtection="0"/>
    <xf numFmtId="0" fontId="64" fillId="39" borderId="0" applyNumberFormat="0" applyBorder="0" applyAlignment="0" applyProtection="0"/>
    <xf numFmtId="0" fontId="89" fillId="40" borderId="0" applyNumberFormat="0" applyBorder="0" applyAlignment="0" applyProtection="0"/>
    <xf numFmtId="0" fontId="64" fillId="41" borderId="0" applyNumberFormat="0" applyBorder="0" applyAlignment="0" applyProtection="0"/>
    <xf numFmtId="0" fontId="89" fillId="42" borderId="0" applyNumberFormat="0" applyBorder="0" applyAlignment="0" applyProtection="0"/>
    <xf numFmtId="0" fontId="64" fillId="29" borderId="0" applyNumberFormat="0" applyBorder="0" applyAlignment="0" applyProtection="0"/>
    <xf numFmtId="0" fontId="89" fillId="43" borderId="0" applyNumberFormat="0" applyBorder="0" applyAlignment="0" applyProtection="0"/>
    <xf numFmtId="0" fontId="64" fillId="31" borderId="0" applyNumberFormat="0" applyBorder="0" applyAlignment="0" applyProtection="0"/>
    <xf numFmtId="0" fontId="89" fillId="44" borderId="0" applyNumberFormat="0" applyBorder="0" applyAlignment="0" applyProtection="0"/>
    <xf numFmtId="0" fontId="64" fillId="45" borderId="0" applyNumberFormat="0" applyBorder="0" applyAlignment="0" applyProtection="0"/>
    <xf numFmtId="0" fontId="91" fillId="46" borderId="0" applyNumberFormat="0" applyBorder="0" applyAlignment="0" applyProtection="0"/>
    <xf numFmtId="0" fontId="54" fillId="6" borderId="0" applyNumberFormat="0" applyBorder="0" applyAlignment="0" applyProtection="0"/>
    <xf numFmtId="184" fontId="84" fillId="0" borderId="0">
      <alignment vertical="center"/>
      <protection/>
    </xf>
    <xf numFmtId="185" fontId="84" fillId="0" borderId="0">
      <alignment horizontal="right" vertical="center"/>
      <protection/>
    </xf>
    <xf numFmtId="0" fontId="92" fillId="47" borderId="1" applyNumberFormat="0" applyAlignment="0" applyProtection="0"/>
    <xf numFmtId="0" fontId="58" fillId="48" borderId="2" applyNumberFormat="0" applyAlignment="0" applyProtection="0"/>
    <xf numFmtId="0" fontId="93" fillId="49" borderId="3" applyNumberFormat="0" applyAlignment="0" applyProtection="0"/>
    <xf numFmtId="0" fontId="60" fillId="50" borderId="4" applyNumberFormat="0" applyAlignment="0" applyProtection="0"/>
    <xf numFmtId="0" fontId="38"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5" fontId="88"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88" fillId="0" borderId="0" applyFont="0" applyFill="0" applyBorder="0" applyAlignment="0" applyProtection="0"/>
    <xf numFmtId="175" fontId="88" fillId="0" borderId="0" applyFont="0" applyFill="0" applyBorder="0" applyAlignment="0" applyProtection="0"/>
    <xf numFmtId="175" fontId="88" fillId="0" borderId="0" applyFont="0" applyFill="0" applyBorder="0" applyAlignment="0" applyProtection="0"/>
    <xf numFmtId="175" fontId="88" fillId="0" borderId="0" applyFont="0" applyFill="0" applyBorder="0" applyAlignment="0" applyProtection="0"/>
    <xf numFmtId="0" fontId="39"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80" fontId="88" fillId="0" borderId="0" applyFont="0" applyFill="0" applyBorder="0" applyAlignment="0" applyProtection="0"/>
    <xf numFmtId="180" fontId="88" fillId="0" borderId="0" applyFont="0" applyFill="0" applyBorder="0" applyAlignment="0" applyProtection="0"/>
    <xf numFmtId="180" fontId="0" fillId="0" borderId="0" applyFont="0" applyFill="0" applyBorder="0" applyAlignment="0" applyProtection="0"/>
    <xf numFmtId="182" fontId="94" fillId="0" borderId="0" applyFont="0" applyFill="0" applyBorder="0" applyAlignment="0" applyProtection="0"/>
    <xf numFmtId="176" fontId="40" fillId="0" borderId="5" applyNumberFormat="0" applyFill="0">
      <alignment horizontal="right"/>
      <protection/>
    </xf>
    <xf numFmtId="176" fontId="40" fillId="0" borderId="5" applyNumberFormat="0" applyFill="0">
      <alignment horizontal="right"/>
      <protection/>
    </xf>
    <xf numFmtId="176" fontId="40" fillId="0" borderId="5" applyNumberFormat="0" applyFill="0">
      <alignment horizontal="right"/>
      <protection/>
    </xf>
    <xf numFmtId="176" fontId="40" fillId="0" borderId="5" applyNumberFormat="0" applyFill="0">
      <alignment horizontal="right"/>
      <protection/>
    </xf>
    <xf numFmtId="177" fontId="41" fillId="0" borderId="5">
      <alignment horizontal="right" vertical="center"/>
      <protection/>
    </xf>
    <xf numFmtId="177" fontId="41" fillId="0" borderId="5">
      <alignment horizontal="right" vertical="center"/>
      <protection/>
    </xf>
    <xf numFmtId="49" fontId="42" fillId="0" borderId="5">
      <alignment horizontal="left" vertical="center"/>
      <protection/>
    </xf>
    <xf numFmtId="49" fontId="42" fillId="0" borderId="5">
      <alignment horizontal="left" vertical="center"/>
      <protection/>
    </xf>
    <xf numFmtId="176" fontId="40" fillId="0" borderId="5" applyNumberFormat="0" applyFill="0">
      <alignment horizontal="right"/>
      <protection/>
    </xf>
    <xf numFmtId="173" fontId="30" fillId="0" borderId="0" applyFont="0" applyFill="0" applyBorder="0" applyAlignment="0" applyProtection="0"/>
    <xf numFmtId="0" fontId="95" fillId="0" borderId="0" applyNumberFormat="0" applyFill="0" applyBorder="0" applyAlignment="0" applyProtection="0"/>
    <xf numFmtId="0" fontId="62" fillId="0" borderId="0" applyNumberFormat="0" applyFill="0" applyBorder="0" applyAlignment="0" applyProtection="0"/>
    <xf numFmtId="183" fontId="94" fillId="0" borderId="0" applyBorder="0" applyProtection="0">
      <alignment/>
    </xf>
    <xf numFmtId="2" fontId="79" fillId="0" borderId="0" applyFill="0" applyBorder="0" applyAlignment="0" applyProtection="0"/>
    <xf numFmtId="0" fontId="48" fillId="0" borderId="0" applyNumberFormat="0" applyFill="0" applyBorder="0" applyAlignment="0" applyProtection="0"/>
    <xf numFmtId="0" fontId="96" fillId="51" borderId="0" applyNumberFormat="0" applyBorder="0" applyAlignment="0" applyProtection="0"/>
    <xf numFmtId="0" fontId="53" fillId="8" borderId="0" applyNumberFormat="0" applyBorder="0" applyAlignment="0" applyProtection="0"/>
    <xf numFmtId="0" fontId="31" fillId="0" borderId="0">
      <alignment horizontal="left"/>
      <protection/>
    </xf>
    <xf numFmtId="0" fontId="97" fillId="0" borderId="6" applyNumberFormat="0" applyFill="0" applyAlignment="0" applyProtection="0"/>
    <xf numFmtId="0" fontId="66" fillId="0" borderId="7" applyNumberFormat="0" applyFill="0" applyAlignment="0" applyProtection="0"/>
    <xf numFmtId="0" fontId="98" fillId="0" borderId="8" applyNumberFormat="0" applyFill="0" applyAlignment="0" applyProtection="0"/>
    <xf numFmtId="0" fontId="67" fillId="0" borderId="9" applyNumberFormat="0" applyFill="0" applyAlignment="0" applyProtection="0"/>
    <xf numFmtId="0" fontId="99" fillId="0" borderId="10" applyNumberFormat="0" applyFill="0" applyAlignment="0" applyProtection="0"/>
    <xf numFmtId="0" fontId="68" fillId="0" borderId="11" applyNumberFormat="0" applyFill="0" applyAlignment="0" applyProtection="0"/>
    <xf numFmtId="0" fontId="99" fillId="0" borderId="0" applyNumberFormat="0" applyFill="0" applyBorder="0" applyAlignment="0" applyProtection="0"/>
    <xf numFmtId="0" fontId="68" fillId="0" borderId="0" applyNumberFormat="0" applyFill="0" applyBorder="0" applyAlignment="0" applyProtection="0"/>
    <xf numFmtId="0" fontId="100" fillId="0" borderId="0" applyBorder="0" applyProtection="0">
      <alignment horizontal="left"/>
    </xf>
    <xf numFmtId="0" fontId="43" fillId="0" borderId="5">
      <alignment horizontal="left"/>
      <protection/>
    </xf>
    <xf numFmtId="0" fontId="43" fillId="0" borderId="5">
      <alignment horizontal="left"/>
      <protection/>
    </xf>
    <xf numFmtId="0" fontId="43" fillId="0" borderId="5">
      <alignment horizontal="left"/>
      <protection/>
    </xf>
    <xf numFmtId="0" fontId="43" fillId="0" borderId="5">
      <alignment horizontal="left"/>
      <protection/>
    </xf>
    <xf numFmtId="0" fontId="44" fillId="0" borderId="12">
      <alignment horizontal="right" vertical="center"/>
      <protection/>
    </xf>
    <xf numFmtId="0" fontId="45" fillId="0" borderId="5">
      <alignment horizontal="left" vertical="center"/>
      <protection/>
    </xf>
    <xf numFmtId="0" fontId="45" fillId="0" borderId="5">
      <alignment horizontal="left" vertical="center"/>
      <protection/>
    </xf>
    <xf numFmtId="0" fontId="40" fillId="0" borderId="5">
      <alignment horizontal="left" vertical="center"/>
      <protection/>
    </xf>
    <xf numFmtId="0" fontId="40" fillId="0" borderId="5">
      <alignment horizontal="left" vertical="center"/>
      <protection/>
    </xf>
    <xf numFmtId="0" fontId="43" fillId="0" borderId="5">
      <alignment horizontal="left"/>
      <protection/>
    </xf>
    <xf numFmtId="0" fontId="43" fillId="52" borderId="0">
      <alignment horizontal="centerContinuous" wrapText="1"/>
      <protection/>
    </xf>
    <xf numFmtId="49" fontId="43" fillId="52" borderId="13">
      <alignment horizontal="left" vertical="center"/>
      <protection/>
    </xf>
    <xf numFmtId="49" fontId="43" fillId="52" borderId="13">
      <alignment horizontal="left" vertical="center"/>
      <protection/>
    </xf>
    <xf numFmtId="0" fontId="43" fillId="52" borderId="0">
      <alignment horizontal="centerContinuous" vertical="center" wrapText="1"/>
      <protection/>
    </xf>
    <xf numFmtId="0" fontId="47" fillId="0" borderId="0" applyNumberFormat="0" applyFill="0" applyBorder="0" applyAlignment="0" applyProtection="0"/>
    <xf numFmtId="0" fontId="36" fillId="0" borderId="0" applyNumberFormat="0" applyFill="0" applyBorder="0" applyAlignment="0" applyProtection="0"/>
    <xf numFmtId="0" fontId="70" fillId="0" borderId="0" applyNumberFormat="0" applyFill="0" applyBorder="0" applyAlignment="0" applyProtection="0"/>
    <xf numFmtId="0" fontId="101" fillId="0" borderId="0" applyFill="0" applyBorder="0" applyAlignment="0" applyProtection="0"/>
    <xf numFmtId="0" fontId="102" fillId="0" borderId="0" applyFill="0" applyBorder="0" applyAlignment="0" applyProtection="0"/>
    <xf numFmtId="0" fontId="103" fillId="0" borderId="0" applyBorder="0" applyProtection="0">
      <alignment/>
    </xf>
    <xf numFmtId="0" fontId="104" fillId="53" borderId="1" applyNumberFormat="0" applyAlignment="0" applyProtection="0"/>
    <xf numFmtId="0" fontId="56" fillId="2" borderId="2" applyNumberFormat="0" applyAlignment="0" applyProtection="0"/>
    <xf numFmtId="0" fontId="105" fillId="0" borderId="14" applyNumberFormat="0" applyFill="0" applyAlignment="0" applyProtection="0"/>
    <xf numFmtId="0" fontId="59" fillId="0" borderId="15" applyNumberFormat="0" applyFill="0" applyAlignment="0" applyProtection="0"/>
    <xf numFmtId="0" fontId="106" fillId="54" borderId="0" applyNumberFormat="0" applyBorder="0" applyAlignment="0" applyProtection="0"/>
    <xf numFmtId="0" fontId="55" fillId="55" borderId="0" applyNumberFormat="0" applyBorder="0" applyAlignment="0" applyProtection="0"/>
    <xf numFmtId="0" fontId="94" fillId="0" borderId="0" applyNumberFormat="0" applyBorder="0" applyAlignment="0">
      <protection/>
    </xf>
    <xf numFmtId="0" fontId="29" fillId="0" borderId="0">
      <alignment/>
      <protection/>
    </xf>
    <xf numFmtId="0" fontId="88" fillId="0" borderId="0">
      <alignment/>
      <protection/>
    </xf>
    <xf numFmtId="181" fontId="107" fillId="0" borderId="0">
      <alignment/>
      <protection/>
    </xf>
    <xf numFmtId="0" fontId="94" fillId="0" borderId="0">
      <alignment/>
      <protection/>
    </xf>
    <xf numFmtId="0" fontId="108" fillId="0" borderId="0">
      <alignment/>
      <protection/>
    </xf>
    <xf numFmtId="0" fontId="88" fillId="0" borderId="0">
      <alignment/>
      <protection/>
    </xf>
    <xf numFmtId="0" fontId="88" fillId="0" borderId="0">
      <alignment/>
      <protection/>
    </xf>
    <xf numFmtId="0" fontId="109" fillId="0" borderId="0">
      <alignment/>
      <protection/>
    </xf>
    <xf numFmtId="0" fontId="0" fillId="0" borderId="0">
      <alignment/>
      <protection/>
    </xf>
    <xf numFmtId="0" fontId="3" fillId="0" borderId="0">
      <alignment/>
      <protection/>
    </xf>
    <xf numFmtId="0" fontId="65" fillId="0" borderId="0">
      <alignment/>
      <protection/>
    </xf>
    <xf numFmtId="0" fontId="110" fillId="0" borderId="0" applyBorder="0" applyProtection="0">
      <alignment/>
    </xf>
    <xf numFmtId="0" fontId="0" fillId="0" borderId="0">
      <alignment vertical="top" wrapText="1"/>
      <protection/>
    </xf>
    <xf numFmtId="0" fontId="29" fillId="0" borderId="0">
      <alignment/>
      <protection/>
    </xf>
    <xf numFmtId="0" fontId="0"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110" fillId="0" borderId="0" applyBorder="0" applyProtection="0">
      <alignment/>
    </xf>
    <xf numFmtId="0" fontId="0" fillId="0" borderId="0">
      <alignment/>
      <protection/>
    </xf>
    <xf numFmtId="0" fontId="3"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88" fillId="0" borderId="0">
      <alignment/>
      <protection/>
    </xf>
    <xf numFmtId="0" fontId="0" fillId="0" borderId="0">
      <alignment/>
      <protection/>
    </xf>
    <xf numFmtId="0" fontId="0" fillId="0" borderId="0">
      <alignment/>
      <protection/>
    </xf>
    <xf numFmtId="0" fontId="0" fillId="0" borderId="0">
      <alignment wrapText="1"/>
      <protection/>
    </xf>
    <xf numFmtId="171" fontId="30"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30" fillId="0" borderId="0">
      <alignment/>
      <protection/>
    </xf>
    <xf numFmtId="0" fontId="88" fillId="0" borderId="0">
      <alignment/>
      <protection/>
    </xf>
    <xf numFmtId="0" fontId="88" fillId="0" borderId="0">
      <alignment/>
      <protection/>
    </xf>
    <xf numFmtId="0" fontId="0" fillId="0" borderId="0">
      <alignment/>
      <protection/>
    </xf>
    <xf numFmtId="0" fontId="88" fillId="0" borderId="0">
      <alignment/>
      <protection/>
    </xf>
    <xf numFmtId="0" fontId="0" fillId="0" borderId="0">
      <alignment/>
      <protection/>
    </xf>
    <xf numFmtId="0" fontId="0" fillId="0" borderId="0">
      <alignment/>
      <protection/>
    </xf>
    <xf numFmtId="0" fontId="0" fillId="0" borderId="0">
      <alignment/>
      <protection/>
    </xf>
    <xf numFmtId="0" fontId="0" fillId="56" borderId="16" applyNumberFormat="0" applyFont="0" applyAlignment="0" applyProtection="0"/>
    <xf numFmtId="0" fontId="88" fillId="56" borderId="16" applyNumberFormat="0" applyFont="0" applyAlignment="0" applyProtection="0"/>
    <xf numFmtId="0" fontId="0" fillId="57" borderId="17" applyNumberFormat="0" applyFont="0" applyAlignment="0" applyProtection="0"/>
    <xf numFmtId="0" fontId="111" fillId="47" borderId="18" applyNumberFormat="0" applyAlignment="0" applyProtection="0"/>
    <xf numFmtId="0" fontId="57" fillId="48" borderId="1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3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8" fillId="0" borderId="0" applyFont="0" applyFill="0" applyBorder="0" applyAlignment="0" applyProtection="0"/>
    <xf numFmtId="9" fontId="107" fillId="0" borderId="0" applyFont="0" applyFill="0" applyBorder="0" applyAlignment="0" applyProtection="0"/>
    <xf numFmtId="9" fontId="88"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172" fontId="30" fillId="0" borderId="0" applyFill="0" applyBorder="0" applyAlignment="0" applyProtection="0"/>
    <xf numFmtId="0" fontId="0" fillId="0" borderId="0">
      <alignment/>
      <protection/>
    </xf>
    <xf numFmtId="0" fontId="112" fillId="0" borderId="0" applyBorder="0" applyProtection="0">
      <alignment/>
    </xf>
    <xf numFmtId="3" fontId="41" fillId="0" borderId="0">
      <alignment horizontal="left" vertical="center"/>
      <protection/>
    </xf>
    <xf numFmtId="0" fontId="38" fillId="0" borderId="0">
      <alignment horizontal="left" vertical="center"/>
      <protection/>
    </xf>
    <xf numFmtId="0" fontId="112" fillId="0" borderId="0" applyBorder="0" applyProtection="0">
      <alignment/>
    </xf>
    <xf numFmtId="0" fontId="32" fillId="0" borderId="0">
      <alignment/>
      <protection/>
    </xf>
    <xf numFmtId="0" fontId="113" fillId="0" borderId="0" applyBorder="0" applyProtection="0">
      <alignment/>
    </xf>
    <xf numFmtId="0" fontId="27" fillId="0" borderId="0">
      <alignment horizontal="right"/>
      <protection/>
    </xf>
    <xf numFmtId="49" fontId="27" fillId="0" borderId="0">
      <alignment horizontal="center"/>
      <protection/>
    </xf>
    <xf numFmtId="0" fontId="42" fillId="0" borderId="0">
      <alignment horizontal="right"/>
      <protection/>
    </xf>
    <xf numFmtId="0" fontId="42" fillId="0" borderId="0">
      <alignment horizontal="right"/>
      <protection/>
    </xf>
    <xf numFmtId="0" fontId="27" fillId="0" borderId="0">
      <alignment horizontal="left"/>
      <protection/>
    </xf>
    <xf numFmtId="0" fontId="27" fillId="0" borderId="0">
      <alignment horizontal="lef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8" fillId="0" borderId="0">
      <alignment/>
      <protection/>
    </xf>
    <xf numFmtId="49" fontId="41" fillId="0" borderId="0">
      <alignment horizontal="left" vertical="center"/>
      <protection/>
    </xf>
    <xf numFmtId="49" fontId="42" fillId="0" borderId="5">
      <alignment horizontal="left"/>
      <protection/>
    </xf>
    <xf numFmtId="49" fontId="42" fillId="0" borderId="5">
      <alignment horizontal="left"/>
      <protection/>
    </xf>
    <xf numFmtId="176" fontId="41" fillId="0" borderId="0" applyNumberFormat="0">
      <alignment horizontal="right"/>
      <protection/>
    </xf>
    <xf numFmtId="0" fontId="44" fillId="58" borderId="0">
      <alignment horizontal="centerContinuous" vertical="center" wrapText="1"/>
      <protection/>
    </xf>
    <xf numFmtId="0" fontId="44" fillId="0" borderId="20">
      <alignment horizontal="left" vertical="center"/>
      <protection/>
    </xf>
    <xf numFmtId="0" fontId="46" fillId="0" borderId="0">
      <alignment horizontal="left" vertical="top"/>
      <protection/>
    </xf>
    <xf numFmtId="164" fontId="33" fillId="59" borderId="21">
      <alignment vertical="center"/>
      <protection/>
    </xf>
    <xf numFmtId="168" fontId="34" fillId="59" borderId="21">
      <alignment vertical="center"/>
      <protection/>
    </xf>
    <xf numFmtId="164" fontId="35" fillId="60" borderId="21">
      <alignment vertical="center"/>
      <protection/>
    </xf>
    <xf numFmtId="0" fontId="0" fillId="61" borderId="22" applyBorder="0">
      <alignment horizontal="left" vertical="center"/>
      <protection/>
    </xf>
    <xf numFmtId="49" fontId="0" fillId="62" borderId="23">
      <alignment vertical="center" wrapText="1"/>
      <protection/>
    </xf>
    <xf numFmtId="0" fontId="0" fillId="63" borderId="24">
      <alignment horizontal="left" vertical="center" wrapText="1"/>
      <protection/>
    </xf>
    <xf numFmtId="0" fontId="13" fillId="64" borderId="23">
      <alignment horizontal="left" vertical="center" wrapText="1"/>
      <protection/>
    </xf>
    <xf numFmtId="0" fontId="0" fillId="33" borderId="23">
      <alignment horizontal="left" vertical="center" wrapText="1"/>
      <protection/>
    </xf>
    <xf numFmtId="0" fontId="0" fillId="65" borderId="23">
      <alignment horizontal="left" vertical="center" wrapText="1"/>
      <protection/>
    </xf>
    <xf numFmtId="0" fontId="114" fillId="0" borderId="0" applyNumberFormat="0" applyFill="0" applyBorder="0" applyAlignment="0" applyProtection="0"/>
    <xf numFmtId="0" fontId="69" fillId="0" borderId="0" applyNumberFormat="0" applyFill="0" applyBorder="0" applyAlignment="0" applyProtection="0"/>
    <xf numFmtId="0" fontId="43" fillId="0" borderId="0">
      <alignment horizontal="left"/>
      <protection/>
    </xf>
    <xf numFmtId="0" fontId="39" fillId="0" borderId="0">
      <alignment horizontal="left"/>
      <protection/>
    </xf>
    <xf numFmtId="0" fontId="40" fillId="0" borderId="0">
      <alignment horizontal="left"/>
      <protection/>
    </xf>
    <xf numFmtId="0" fontId="46" fillId="0" borderId="0">
      <alignment horizontal="left" vertical="top"/>
      <protection/>
    </xf>
    <xf numFmtId="0" fontId="39" fillId="0" borderId="0">
      <alignment horizontal="left"/>
      <protection/>
    </xf>
    <xf numFmtId="0" fontId="40" fillId="0" borderId="0">
      <alignment horizontal="left"/>
      <protection/>
    </xf>
    <xf numFmtId="0" fontId="19" fillId="66" borderId="0" applyNumberFormat="0" applyBorder="0">
      <alignment/>
      <protection locked="0"/>
    </xf>
    <xf numFmtId="0" fontId="115" fillId="0" borderId="25" applyNumberFormat="0" applyFill="0" applyAlignment="0" applyProtection="0"/>
    <xf numFmtId="0" fontId="63" fillId="0" borderId="26" applyNumberFormat="0" applyFill="0" applyAlignment="0" applyProtection="0"/>
    <xf numFmtId="0" fontId="20" fillId="67" borderId="0" applyNumberFormat="0" applyBorder="0">
      <alignment/>
      <protection locked="0"/>
    </xf>
    <xf numFmtId="0" fontId="116" fillId="0" borderId="0" applyNumberFormat="0" applyFill="0" applyBorder="0" applyAlignment="0" applyProtection="0"/>
    <xf numFmtId="0" fontId="61" fillId="0" borderId="0" applyNumberFormat="0" applyFill="0" applyBorder="0" applyAlignment="0" applyProtection="0"/>
    <xf numFmtId="49" fontId="41" fillId="0" borderId="5">
      <alignment horizontal="left"/>
      <protection/>
    </xf>
    <xf numFmtId="49" fontId="41" fillId="0" borderId="5">
      <alignment horizontal="left"/>
      <protection/>
    </xf>
    <xf numFmtId="0" fontId="44" fillId="0" borderId="12">
      <alignment horizontal="left"/>
      <protection/>
    </xf>
    <xf numFmtId="0" fontId="43" fillId="0" borderId="0">
      <alignment horizontal="left" vertical="center"/>
      <protection/>
    </xf>
    <xf numFmtId="49" fontId="27" fillId="0" borderId="5">
      <alignment horizontal="left"/>
      <protection/>
    </xf>
  </cellStyleXfs>
  <cellXfs count="613">
    <xf numFmtId="0" fontId="0" fillId="0" borderId="0" xfId="0" applyAlignment="1">
      <alignment/>
    </xf>
    <xf numFmtId="0" fontId="0" fillId="0" borderId="0" xfId="0" applyBorder="1" applyAlignment="1">
      <alignment/>
    </xf>
    <xf numFmtId="0" fontId="3" fillId="0" borderId="0" xfId="0" applyFont="1" applyAlignment="1">
      <alignment/>
    </xf>
    <xf numFmtId="0" fontId="0" fillId="0" borderId="0" xfId="0" applyFill="1" applyBorder="1" applyAlignment="1">
      <alignment/>
    </xf>
    <xf numFmtId="0" fontId="6" fillId="0" borderId="0" xfId="0" applyFont="1" applyAlignment="1">
      <alignment/>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left"/>
    </xf>
    <xf numFmtId="0" fontId="10" fillId="0" borderId="0" xfId="0" applyFont="1" applyAlignment="1">
      <alignment/>
    </xf>
    <xf numFmtId="0" fontId="4" fillId="0" borderId="0" xfId="0" applyFont="1" applyAlignment="1">
      <alignment/>
    </xf>
    <xf numFmtId="0" fontId="3" fillId="0" borderId="0" xfId="0" applyFont="1" applyAlignment="1">
      <alignment/>
    </xf>
    <xf numFmtId="0" fontId="14" fillId="0" borderId="0" xfId="0" applyFont="1" applyAlignment="1">
      <alignment horizontal="left" vertical="center"/>
    </xf>
    <xf numFmtId="0" fontId="15" fillId="0" borderId="0" xfId="0" applyFont="1" applyAlignment="1">
      <alignment/>
    </xf>
    <xf numFmtId="0" fontId="0" fillId="0" borderId="0" xfId="0" applyAlignment="1">
      <alignment horizontal="center"/>
    </xf>
    <xf numFmtId="0" fontId="0" fillId="0" borderId="0" xfId="0" applyFill="1" applyAlignment="1">
      <alignment/>
    </xf>
    <xf numFmtId="0" fontId="4" fillId="0" borderId="22"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5" fillId="0" borderId="0" xfId="0" applyFont="1" applyAlignment="1" quotePrefix="1">
      <alignment horizontal="right" vertical="top"/>
    </xf>
    <xf numFmtId="0" fontId="0" fillId="0" borderId="0" xfId="0" applyAlignment="1">
      <alignment vertical="top"/>
    </xf>
    <xf numFmtId="0" fontId="9" fillId="0" borderId="0" xfId="0" applyFont="1" applyAlignment="1">
      <alignment horizontal="center"/>
    </xf>
    <xf numFmtId="0" fontId="0" fillId="0" borderId="0" xfId="0" applyAlignment="1">
      <alignment/>
    </xf>
    <xf numFmtId="0" fontId="0" fillId="0" borderId="0" xfId="0" applyAlignment="1">
      <alignment vertical="center"/>
    </xf>
    <xf numFmtId="0" fontId="3" fillId="0" borderId="0" xfId="0" applyFont="1" applyAlignment="1">
      <alignment vertical="center"/>
    </xf>
    <xf numFmtId="0" fontId="0" fillId="0" borderId="0" xfId="0" applyBorder="1" applyAlignment="1">
      <alignment vertical="center"/>
    </xf>
    <xf numFmtId="0" fontId="5" fillId="0" borderId="0" xfId="0" applyFont="1" applyAlignment="1" quotePrefix="1">
      <alignment horizontal="right" vertical="top"/>
    </xf>
    <xf numFmtId="0" fontId="3" fillId="0" borderId="0" xfId="0" applyFont="1" applyFill="1" applyBorder="1" applyAlignment="1">
      <alignment horizontal="center" vertical="center"/>
    </xf>
    <xf numFmtId="0" fontId="21" fillId="0" borderId="0" xfId="0" applyFont="1" applyAlignment="1">
      <alignment vertical="center"/>
    </xf>
    <xf numFmtId="0" fontId="9" fillId="0" borderId="0" xfId="0" applyFont="1" applyFill="1" applyBorder="1" applyAlignment="1">
      <alignment horizontal="center"/>
    </xf>
    <xf numFmtId="0" fontId="4" fillId="0" borderId="0" xfId="0" applyFont="1" applyFill="1" applyBorder="1" applyAlignment="1">
      <alignment horizontal="center"/>
    </xf>
    <xf numFmtId="0" fontId="8" fillId="0" borderId="0" xfId="0" applyFont="1" applyAlignment="1">
      <alignment/>
    </xf>
    <xf numFmtId="0" fontId="5" fillId="0" borderId="0" xfId="0" applyFont="1" applyBorder="1" applyAlignment="1" quotePrefix="1">
      <alignment horizontal="right" vertical="top"/>
    </xf>
    <xf numFmtId="0" fontId="5" fillId="0" borderId="0" xfId="0" applyFont="1" applyAlignment="1">
      <alignment horizontal="center"/>
    </xf>
    <xf numFmtId="0" fontId="5" fillId="0" borderId="0" xfId="0" applyFont="1" applyBorder="1" applyAlignment="1">
      <alignment horizontal="right"/>
    </xf>
    <xf numFmtId="0" fontId="9" fillId="0" borderId="0" xfId="0" applyFont="1" applyBorder="1" applyAlignment="1">
      <alignment horizontal="center"/>
    </xf>
    <xf numFmtId="0" fontId="0" fillId="0" borderId="0" xfId="0" applyBorder="1" applyAlignment="1">
      <alignment/>
    </xf>
    <xf numFmtId="0" fontId="21" fillId="0" borderId="0" xfId="0" applyFont="1" applyBorder="1" applyAlignment="1">
      <alignment vertical="center"/>
    </xf>
    <xf numFmtId="0" fontId="4" fillId="0" borderId="0" xfId="0" applyFont="1" applyBorder="1" applyAlignment="1">
      <alignment/>
    </xf>
    <xf numFmtId="0" fontId="4" fillId="0" borderId="0" xfId="0" applyFont="1" applyAlignment="1">
      <alignment/>
    </xf>
    <xf numFmtId="0" fontId="4" fillId="0" borderId="0" xfId="0" applyFont="1" applyFill="1" applyBorder="1" applyAlignment="1">
      <alignment horizontal="left"/>
    </xf>
    <xf numFmtId="0" fontId="8" fillId="0" borderId="0" xfId="0" applyFont="1" applyAlignment="1">
      <alignment vertical="top"/>
    </xf>
    <xf numFmtId="0" fontId="4" fillId="0" borderId="0" xfId="0" applyFont="1" applyAlignment="1">
      <alignment vertical="top"/>
    </xf>
    <xf numFmtId="0" fontId="4" fillId="0" borderId="0" xfId="0" applyFont="1" applyFill="1" applyBorder="1" applyAlignment="1">
      <alignment horizontal="center" vertical="center" wrapText="1"/>
    </xf>
    <xf numFmtId="2" fontId="3" fillId="0" borderId="0" xfId="0" applyNumberFormat="1" applyFont="1" applyFill="1" applyBorder="1" applyAlignment="1">
      <alignment horizontal="right" vertical="center"/>
    </xf>
    <xf numFmtId="0" fontId="8" fillId="0" borderId="0" xfId="0" applyFont="1" applyAlignment="1">
      <alignment/>
    </xf>
    <xf numFmtId="0" fontId="22" fillId="0" borderId="0" xfId="0" applyFont="1" applyAlignment="1">
      <alignment/>
    </xf>
    <xf numFmtId="0" fontId="4" fillId="0" borderId="29" xfId="0" applyFont="1" applyBorder="1" applyAlignment="1">
      <alignment horizontal="left" vertical="center"/>
    </xf>
    <xf numFmtId="0" fontId="17" fillId="0" borderId="0" xfId="0" applyFont="1" applyFill="1" applyBorder="1" applyAlignment="1">
      <alignment horizontal="center" vertical="center"/>
    </xf>
    <xf numFmtId="1" fontId="4" fillId="0" borderId="0" xfId="0" applyNumberFormat="1" applyFont="1" applyFill="1" applyBorder="1" applyAlignment="1">
      <alignment horizontal="center" vertical="center"/>
    </xf>
    <xf numFmtId="0" fontId="18" fillId="0" borderId="0" xfId="0" applyFont="1" applyFill="1" applyBorder="1" applyAlignment="1">
      <alignment horizontal="center" vertical="center"/>
    </xf>
    <xf numFmtId="2" fontId="17" fillId="0" borderId="0" xfId="0" applyNumberFormat="1" applyFont="1" applyFill="1" applyBorder="1" applyAlignment="1">
      <alignment horizontal="right" vertical="center"/>
    </xf>
    <xf numFmtId="0" fontId="0" fillId="0" borderId="0" xfId="0" applyFont="1" applyBorder="1" applyAlignment="1">
      <alignment horizontal="center" vertical="center"/>
    </xf>
    <xf numFmtId="17" fontId="2" fillId="0" borderId="0" xfId="0" applyNumberFormat="1" applyFont="1" applyBorder="1" applyAlignment="1" quotePrefix="1">
      <alignment horizontal="center" vertical="center" wrapText="1"/>
    </xf>
    <xf numFmtId="49" fontId="0" fillId="0" borderId="0" xfId="0" applyNumberFormat="1" applyFont="1" applyAlignment="1">
      <alignment horizontal="left" vertical="center"/>
    </xf>
    <xf numFmtId="167" fontId="0" fillId="0" borderId="0" xfId="0" applyNumberFormat="1" applyFont="1" applyAlignment="1" quotePrefix="1">
      <alignment horizontal="left" vertical="center"/>
    </xf>
    <xf numFmtId="0" fontId="0" fillId="0" borderId="0" xfId="0" applyFont="1" applyAlignment="1">
      <alignment horizontal="left" vertical="center" wrapText="1"/>
    </xf>
    <xf numFmtId="0" fontId="11" fillId="0" borderId="0" xfId="0" applyFont="1" applyAlignment="1">
      <alignment horizontal="left" vertical="center"/>
    </xf>
    <xf numFmtId="0" fontId="0" fillId="0" borderId="0" xfId="0" applyFont="1" applyAlignment="1">
      <alignment horizontal="left" vertical="center"/>
    </xf>
    <xf numFmtId="0" fontId="4" fillId="0" borderId="0" xfId="0" applyFont="1" applyBorder="1" applyAlignment="1">
      <alignment horizontal="left" wrapText="1"/>
    </xf>
    <xf numFmtId="0" fontId="4" fillId="8" borderId="27" xfId="0" applyFont="1" applyFill="1" applyBorder="1" applyAlignment="1">
      <alignment horizontal="center" vertical="center"/>
    </xf>
    <xf numFmtId="0" fontId="4" fillId="68" borderId="23" xfId="0" applyFont="1" applyFill="1" applyBorder="1" applyAlignment="1">
      <alignment horizontal="center" vertical="center"/>
    </xf>
    <xf numFmtId="0" fontId="4" fillId="68" borderId="23" xfId="0" applyFont="1" applyFill="1" applyBorder="1" applyAlignment="1">
      <alignment horizontal="center" vertical="center" wrapText="1"/>
    </xf>
    <xf numFmtId="1" fontId="4" fillId="8" borderId="22" xfId="0" applyNumberFormat="1" applyFont="1" applyFill="1" applyBorder="1" applyAlignment="1">
      <alignment horizontal="center" vertical="center"/>
    </xf>
    <xf numFmtId="1" fontId="4" fillId="8" borderId="27" xfId="0" applyNumberFormat="1" applyFont="1" applyFill="1" applyBorder="1" applyAlignment="1">
      <alignment horizontal="center" vertical="center"/>
    </xf>
    <xf numFmtId="0" fontId="5" fillId="0" borderId="0" xfId="0" applyFont="1" applyBorder="1" applyAlignment="1" quotePrefix="1">
      <alignment horizontal="right" vertical="top"/>
    </xf>
    <xf numFmtId="165" fontId="3" fillId="0" borderId="30"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0" borderId="29" xfId="0" applyNumberFormat="1" applyFont="1" applyFill="1" applyBorder="1" applyAlignment="1">
      <alignment horizontal="center" vertical="center"/>
    </xf>
    <xf numFmtId="165" fontId="4" fillId="0" borderId="29" xfId="0" applyNumberFormat="1" applyFont="1" applyFill="1" applyBorder="1" applyAlignment="1">
      <alignment horizontal="center" vertical="center"/>
    </xf>
    <xf numFmtId="0" fontId="11" fillId="0" borderId="0" xfId="0" applyFont="1" applyAlignment="1">
      <alignment/>
    </xf>
    <xf numFmtId="0" fontId="8" fillId="0" borderId="0" xfId="0" applyFont="1" applyBorder="1" applyAlignment="1">
      <alignment vertical="center"/>
    </xf>
    <xf numFmtId="0" fontId="8" fillId="0" borderId="0" xfId="0" applyFont="1" applyBorder="1" applyAlignment="1">
      <alignment/>
    </xf>
    <xf numFmtId="0" fontId="23" fillId="8" borderId="22" xfId="0" applyFont="1" applyFill="1" applyBorder="1" applyAlignment="1">
      <alignment horizontal="center" vertical="center"/>
    </xf>
    <xf numFmtId="0" fontId="4" fillId="0" borderId="0" xfId="0" applyFont="1" applyFill="1" applyBorder="1" applyAlignment="1">
      <alignment horizontal="center" vertical="center" textRotation="90"/>
    </xf>
    <xf numFmtId="0" fontId="23" fillId="8" borderId="27" xfId="0" applyFont="1" applyFill="1" applyBorder="1" applyAlignment="1">
      <alignment horizontal="center" vertical="center"/>
    </xf>
    <xf numFmtId="0" fontId="23" fillId="8" borderId="30" xfId="0" applyFont="1" applyFill="1" applyBorder="1" applyAlignment="1">
      <alignment horizontal="center" vertical="center"/>
    </xf>
    <xf numFmtId="0" fontId="4" fillId="0" borderId="0" xfId="0"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vertical="center" wrapText="1"/>
    </xf>
    <xf numFmtId="0" fontId="17" fillId="0" borderId="0" xfId="0" applyFont="1" applyFill="1" applyBorder="1" applyAlignment="1">
      <alignment/>
    </xf>
    <xf numFmtId="0" fontId="4" fillId="0" borderId="0" xfId="0" applyFont="1" applyFill="1" applyBorder="1" applyAlignment="1">
      <alignment/>
    </xf>
    <xf numFmtId="0" fontId="24" fillId="0" borderId="0" xfId="0" applyFont="1" applyAlignment="1">
      <alignment/>
    </xf>
    <xf numFmtId="0" fontId="23" fillId="8" borderId="3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xf>
    <xf numFmtId="0" fontId="4" fillId="8" borderId="22" xfId="0" applyFont="1" applyFill="1" applyBorder="1" applyAlignment="1">
      <alignment horizontal="center" vertical="center"/>
    </xf>
    <xf numFmtId="0" fontId="4" fillId="8" borderId="27" xfId="0" applyFont="1" applyFill="1" applyBorder="1" applyAlignment="1">
      <alignment horizontal="center" vertical="center"/>
    </xf>
    <xf numFmtId="0" fontId="4" fillId="8" borderId="28" xfId="0" applyFont="1" applyFill="1" applyBorder="1" applyAlignment="1">
      <alignment horizontal="center" vertical="center"/>
    </xf>
    <xf numFmtId="0" fontId="3" fillId="69" borderId="23" xfId="0" applyFont="1" applyFill="1" applyBorder="1" applyAlignment="1">
      <alignment horizontal="left" vertical="top" wrapText="1"/>
    </xf>
    <xf numFmtId="0" fontId="4" fillId="69" borderId="23" xfId="0" applyFont="1" applyFill="1" applyBorder="1" applyAlignment="1">
      <alignment horizontal="center"/>
    </xf>
    <xf numFmtId="0" fontId="5" fillId="0" borderId="0" xfId="0" applyFont="1" applyBorder="1" applyAlignment="1" quotePrefix="1">
      <alignment horizontal="left" vertical="top"/>
    </xf>
    <xf numFmtId="2" fontId="3" fillId="0" borderId="0" xfId="0" applyNumberFormat="1" applyFont="1" applyBorder="1" applyAlignment="1">
      <alignment vertical="center"/>
    </xf>
    <xf numFmtId="0" fontId="23" fillId="0" borderId="30" xfId="0" applyFont="1" applyFill="1" applyBorder="1" applyAlignment="1">
      <alignment horizontal="center" vertical="center" wrapText="1"/>
    </xf>
    <xf numFmtId="169" fontId="3" fillId="0" borderId="30" xfId="0" applyNumberFormat="1" applyFont="1" applyFill="1" applyBorder="1" applyAlignment="1">
      <alignment horizontal="center" vertical="center"/>
    </xf>
    <xf numFmtId="169" fontId="3" fillId="0" borderId="0" xfId="0" applyNumberFormat="1" applyFont="1" applyFill="1" applyBorder="1" applyAlignment="1">
      <alignment horizontal="center" vertical="center"/>
    </xf>
    <xf numFmtId="169" fontId="3" fillId="0" borderId="29" xfId="0" applyNumberFormat="1" applyFont="1" applyFill="1" applyBorder="1" applyAlignment="1">
      <alignment horizontal="center" vertical="center"/>
    </xf>
    <xf numFmtId="0" fontId="4" fillId="0" borderId="0" xfId="0" applyNumberFormat="1" applyFont="1" applyAlignment="1" applyProtection="1">
      <alignment horizontal="left" vertical="center"/>
      <protection locked="0"/>
    </xf>
    <xf numFmtId="164" fontId="17" fillId="0" borderId="0" xfId="0" applyNumberFormat="1" applyFont="1" applyBorder="1" applyAlignment="1">
      <alignment horizontal="center" vertical="center"/>
    </xf>
    <xf numFmtId="0" fontId="4" fillId="0" borderId="0" xfId="0" applyFont="1" applyAlignment="1">
      <alignment horizontal="left" vertical="center"/>
    </xf>
    <xf numFmtId="0" fontId="4" fillId="69" borderId="24" xfId="0" applyFont="1" applyFill="1" applyBorder="1" applyAlignment="1">
      <alignment horizontal="center" vertical="center"/>
    </xf>
    <xf numFmtId="0" fontId="4" fillId="69" borderId="31" xfId="0" applyFont="1" applyFill="1" applyBorder="1" applyAlignment="1">
      <alignment horizontal="center" vertical="center"/>
    </xf>
    <xf numFmtId="165" fontId="0" fillId="0" borderId="0" xfId="0" applyNumberFormat="1" applyFont="1" applyFill="1" applyBorder="1" applyAlignment="1">
      <alignment horizontal="center" vertical="center"/>
    </xf>
    <xf numFmtId="0" fontId="4" fillId="8" borderId="22" xfId="0" applyFont="1" applyFill="1" applyBorder="1" applyAlignment="1">
      <alignment horizontal="center" vertical="center"/>
    </xf>
    <xf numFmtId="165" fontId="3" fillId="0" borderId="24" xfId="0" applyNumberFormat="1" applyFont="1" applyFill="1" applyBorder="1" applyAlignment="1">
      <alignment horizontal="right" vertical="center"/>
    </xf>
    <xf numFmtId="165" fontId="3" fillId="0" borderId="31" xfId="0" applyNumberFormat="1" applyFont="1" applyFill="1" applyBorder="1" applyAlignment="1">
      <alignment horizontal="right" vertical="center"/>
    </xf>
    <xf numFmtId="165" fontId="3" fillId="0" borderId="31" xfId="0" applyNumberFormat="1" applyFont="1" applyBorder="1" applyAlignment="1">
      <alignment vertical="center"/>
    </xf>
    <xf numFmtId="165" fontId="3" fillId="0" borderId="24" xfId="0" applyNumberFormat="1" applyFont="1" applyBorder="1" applyAlignment="1">
      <alignment horizontal="right" vertical="center"/>
    </xf>
    <xf numFmtId="165" fontId="3" fillId="0" borderId="31" xfId="0" applyNumberFormat="1" applyFont="1" applyBorder="1" applyAlignment="1">
      <alignment horizontal="right" vertical="center"/>
    </xf>
    <xf numFmtId="165" fontId="3" fillId="0" borderId="24" xfId="0" applyNumberFormat="1" applyFont="1" applyBorder="1" applyAlignment="1">
      <alignment vertical="center"/>
    </xf>
    <xf numFmtId="165" fontId="3" fillId="0" borderId="31" xfId="0" applyNumberFormat="1" applyFont="1" applyBorder="1" applyAlignment="1">
      <alignment vertical="center"/>
    </xf>
    <xf numFmtId="0" fontId="23" fillId="8" borderId="32" xfId="0" applyFont="1" applyFill="1" applyBorder="1" applyAlignment="1">
      <alignment horizontal="center" vertical="center" wrapText="1"/>
    </xf>
    <xf numFmtId="165" fontId="3" fillId="0" borderId="32" xfId="0" applyNumberFormat="1" applyFont="1" applyFill="1" applyBorder="1" applyAlignment="1">
      <alignment horizontal="center" vertical="center"/>
    </xf>
    <xf numFmtId="165" fontId="3" fillId="0" borderId="33" xfId="0" applyNumberFormat="1" applyFont="1" applyFill="1" applyBorder="1" applyAlignment="1">
      <alignment horizontal="center" vertical="center"/>
    </xf>
    <xf numFmtId="165" fontId="4" fillId="0" borderId="34" xfId="0" applyNumberFormat="1" applyFont="1" applyFill="1" applyBorder="1" applyAlignment="1">
      <alignment horizontal="center" vertical="center"/>
    </xf>
    <xf numFmtId="0" fontId="23" fillId="8" borderId="35" xfId="0" applyFont="1" applyFill="1" applyBorder="1" applyAlignment="1">
      <alignment horizontal="center" vertical="center" wrapText="1"/>
    </xf>
    <xf numFmtId="165" fontId="3" fillId="0" borderId="35" xfId="0" applyNumberFormat="1" applyFont="1" applyFill="1" applyBorder="1" applyAlignment="1">
      <alignment horizontal="center" vertical="center"/>
    </xf>
    <xf numFmtId="165" fontId="3" fillId="0" borderId="36" xfId="0" applyNumberFormat="1" applyFont="1" applyFill="1" applyBorder="1" applyAlignment="1">
      <alignment horizontal="center" vertical="center"/>
    </xf>
    <xf numFmtId="165" fontId="3" fillId="0" borderId="37" xfId="0" applyNumberFormat="1" applyFont="1" applyFill="1" applyBorder="1" applyAlignment="1">
      <alignment horizontal="center" vertical="center"/>
    </xf>
    <xf numFmtId="165" fontId="4" fillId="0" borderId="37" xfId="0" applyNumberFormat="1" applyFont="1" applyFill="1" applyBorder="1" applyAlignment="1">
      <alignment horizontal="center" vertical="center"/>
    </xf>
    <xf numFmtId="0" fontId="4" fillId="0" borderId="0" xfId="0" applyFont="1" applyAlignment="1">
      <alignment/>
    </xf>
    <xf numFmtId="0" fontId="4" fillId="0" borderId="0" xfId="0" applyNumberFormat="1" applyFont="1" applyAlignment="1" applyProtection="1">
      <alignment horizontal="left"/>
      <protection locked="0"/>
    </xf>
    <xf numFmtId="0" fontId="4" fillId="0" borderId="0" xfId="0" applyFont="1" applyAlignment="1">
      <alignment horizontal="left"/>
    </xf>
    <xf numFmtId="2" fontId="3" fillId="0" borderId="0" xfId="0" applyNumberFormat="1" applyFont="1" applyFill="1" applyBorder="1" applyAlignment="1" quotePrefix="1">
      <alignment horizontal="right" vertical="center"/>
    </xf>
    <xf numFmtId="2" fontId="3" fillId="0" borderId="38" xfId="0" applyNumberFormat="1" applyFont="1" applyFill="1" applyBorder="1" applyAlignment="1">
      <alignment horizontal="right" vertical="center"/>
    </xf>
    <xf numFmtId="2" fontId="3" fillId="0" borderId="30" xfId="0" applyNumberFormat="1" applyFont="1" applyFill="1" applyBorder="1" applyAlignment="1">
      <alignment horizontal="right" vertical="center"/>
    </xf>
    <xf numFmtId="0" fontId="23" fillId="68" borderId="23" xfId="0" applyFont="1" applyFill="1" applyBorder="1" applyAlignment="1">
      <alignment horizontal="center" vertical="center" wrapText="1"/>
    </xf>
    <xf numFmtId="168" fontId="3" fillId="0" borderId="27" xfId="0" applyNumberFormat="1" applyFont="1" applyBorder="1" applyAlignment="1">
      <alignment horizontal="right" vertical="center"/>
    </xf>
    <xf numFmtId="0" fontId="4" fillId="68" borderId="24" xfId="0" applyFont="1" applyFill="1" applyBorder="1" applyAlignment="1">
      <alignment horizontal="center" vertical="center" wrapText="1"/>
    </xf>
    <xf numFmtId="2" fontId="4" fillId="0" borderId="22" xfId="0" applyNumberFormat="1" applyFont="1" applyFill="1" applyBorder="1" applyAlignment="1">
      <alignment horizontal="right" vertical="center"/>
    </xf>
    <xf numFmtId="2" fontId="4" fillId="0" borderId="27" xfId="0" applyNumberFormat="1" applyFont="1" applyFill="1" applyBorder="1" applyAlignment="1">
      <alignment horizontal="right" vertical="center"/>
    </xf>
    <xf numFmtId="2" fontId="18" fillId="0" borderId="27" xfId="0" applyNumberFormat="1" applyFont="1" applyFill="1" applyBorder="1" applyAlignment="1">
      <alignment horizontal="right" vertical="center"/>
    </xf>
    <xf numFmtId="2" fontId="3" fillId="0" borderId="30" xfId="0" applyNumberFormat="1" applyFont="1" applyFill="1" applyBorder="1" applyAlignment="1" quotePrefix="1">
      <alignment horizontal="right" vertical="center"/>
    </xf>
    <xf numFmtId="165" fontId="3" fillId="0" borderId="0" xfId="0" applyNumberFormat="1" applyFont="1" applyAlignment="1">
      <alignment horizontal="center" vertical="center"/>
    </xf>
    <xf numFmtId="165" fontId="3" fillId="0" borderId="39" xfId="0" applyNumberFormat="1" applyFont="1" applyBorder="1" applyAlignment="1">
      <alignment horizontal="center" vertical="center"/>
    </xf>
    <xf numFmtId="165" fontId="3" fillId="0" borderId="22" xfId="0" applyNumberFormat="1" applyFont="1" applyBorder="1" applyAlignment="1">
      <alignment horizontal="center" vertical="center"/>
    </xf>
    <xf numFmtId="165" fontId="3" fillId="0" borderId="29" xfId="0" applyNumberFormat="1" applyFont="1" applyBorder="1" applyAlignment="1">
      <alignment horizontal="center" vertical="center"/>
    </xf>
    <xf numFmtId="165" fontId="3" fillId="0" borderId="27" xfId="0" applyNumberFormat="1" applyFont="1" applyBorder="1" applyAlignment="1">
      <alignment horizontal="center" vertical="center"/>
    </xf>
    <xf numFmtId="2" fontId="3" fillId="0" borderId="38" xfId="0" applyNumberFormat="1" applyFont="1" applyFill="1" applyBorder="1" applyAlignment="1" quotePrefix="1">
      <alignment horizontal="right" vertical="center"/>
    </xf>
    <xf numFmtId="2" fontId="3" fillId="0" borderId="40" xfId="0" applyNumberFormat="1" applyFont="1" applyFill="1" applyBorder="1" applyAlignment="1" quotePrefix="1">
      <alignment horizontal="right" vertical="center"/>
    </xf>
    <xf numFmtId="0" fontId="0" fillId="0" borderId="22" xfId="0" applyBorder="1" applyAlignment="1">
      <alignment vertical="center"/>
    </xf>
    <xf numFmtId="165" fontId="0" fillId="0" borderId="0" xfId="0" applyNumberFormat="1" applyAlignment="1">
      <alignment/>
    </xf>
    <xf numFmtId="165" fontId="18" fillId="8" borderId="0" xfId="0" applyNumberFormat="1" applyFont="1" applyFill="1" applyBorder="1" applyAlignment="1">
      <alignment horizontal="right" vertical="center"/>
    </xf>
    <xf numFmtId="165" fontId="18" fillId="8" borderId="13" xfId="0" applyNumberFormat="1" applyFont="1" applyFill="1" applyBorder="1" applyAlignment="1">
      <alignment horizontal="right" vertical="center"/>
    </xf>
    <xf numFmtId="165" fontId="17" fillId="0" borderId="0" xfId="0" applyNumberFormat="1" applyFont="1" applyBorder="1" applyAlignment="1">
      <alignment horizontal="right" vertical="center"/>
    </xf>
    <xf numFmtId="165" fontId="17" fillId="0" borderId="0" xfId="0" applyNumberFormat="1" applyFont="1" applyFill="1" applyBorder="1" applyAlignment="1">
      <alignment horizontal="right" vertical="center"/>
    </xf>
    <xf numFmtId="165" fontId="17" fillId="8" borderId="0" xfId="0" applyNumberFormat="1" applyFont="1" applyFill="1" applyBorder="1" applyAlignment="1">
      <alignment horizontal="right" vertical="center"/>
    </xf>
    <xf numFmtId="165" fontId="17" fillId="0" borderId="13" xfId="0" applyNumberFormat="1" applyFont="1" applyFill="1" applyBorder="1" applyAlignment="1">
      <alignment horizontal="right" vertical="center"/>
    </xf>
    <xf numFmtId="0" fontId="4" fillId="68" borderId="31" xfId="0" applyFont="1" applyFill="1" applyBorder="1" applyAlignment="1">
      <alignment horizontal="center" vertical="center" wrapText="1"/>
    </xf>
    <xf numFmtId="0" fontId="4" fillId="68" borderId="41" xfId="0" applyFont="1" applyFill="1" applyBorder="1" applyAlignment="1">
      <alignment horizontal="center" vertical="center" wrapText="1"/>
    </xf>
    <xf numFmtId="165" fontId="18" fillId="8" borderId="38" xfId="0" applyNumberFormat="1" applyFont="1" applyFill="1" applyBorder="1" applyAlignment="1">
      <alignment horizontal="right"/>
    </xf>
    <xf numFmtId="165" fontId="18" fillId="8" borderId="0" xfId="0" applyNumberFormat="1" applyFont="1" applyFill="1" applyBorder="1" applyAlignment="1">
      <alignment horizontal="right"/>
    </xf>
    <xf numFmtId="165" fontId="18" fillId="8" borderId="13" xfId="0" applyNumberFormat="1" applyFont="1" applyFill="1" applyBorder="1" applyAlignment="1">
      <alignment horizontal="right"/>
    </xf>
    <xf numFmtId="165" fontId="17" fillId="0" borderId="0" xfId="0" applyNumberFormat="1" applyFont="1" applyBorder="1" applyAlignment="1">
      <alignment/>
    </xf>
    <xf numFmtId="165" fontId="17" fillId="70" borderId="0" xfId="0" applyNumberFormat="1" applyFont="1" applyFill="1" applyBorder="1" applyAlignment="1">
      <alignment horizontal="right" vertical="center"/>
    </xf>
    <xf numFmtId="166" fontId="17" fillId="0" borderId="38" xfId="0" applyNumberFormat="1" applyFont="1" applyBorder="1" applyAlignment="1">
      <alignment horizontal="center" vertical="center"/>
    </xf>
    <xf numFmtId="166" fontId="3" fillId="0" borderId="38" xfId="0" applyNumberFormat="1" applyFont="1" applyBorder="1" applyAlignment="1">
      <alignment horizontal="center" vertical="center"/>
    </xf>
    <xf numFmtId="166" fontId="17" fillId="0" borderId="0" xfId="0" applyNumberFormat="1" applyFont="1" applyBorder="1" applyAlignment="1">
      <alignment horizontal="center" vertical="center"/>
    </xf>
    <xf numFmtId="166" fontId="3" fillId="0" borderId="0" xfId="0" applyNumberFormat="1" applyFont="1" applyBorder="1" applyAlignment="1">
      <alignment horizontal="center" vertical="center"/>
    </xf>
    <xf numFmtId="166" fontId="18" fillId="0" borderId="22" xfId="0" applyNumberFormat="1" applyFont="1" applyBorder="1" applyAlignment="1">
      <alignment horizontal="center" vertical="center"/>
    </xf>
    <xf numFmtId="166" fontId="18" fillId="0" borderId="27" xfId="0" applyNumberFormat="1" applyFont="1" applyBorder="1" applyAlignment="1">
      <alignment horizontal="center" vertical="center"/>
    </xf>
    <xf numFmtId="170" fontId="25" fillId="0" borderId="38" xfId="0" applyNumberFormat="1" applyFont="1" applyFill="1" applyBorder="1" applyAlignment="1">
      <alignment horizontal="right" vertical="center"/>
    </xf>
    <xf numFmtId="170" fontId="25" fillId="0" borderId="0" xfId="0" applyNumberFormat="1" applyFont="1" applyFill="1" applyBorder="1" applyAlignment="1">
      <alignment horizontal="right" vertical="center"/>
    </xf>
    <xf numFmtId="170" fontId="25" fillId="0" borderId="31" xfId="0" applyNumberFormat="1" applyFont="1" applyFill="1" applyBorder="1" applyAlignment="1">
      <alignment horizontal="right" vertical="center"/>
    </xf>
    <xf numFmtId="0" fontId="4" fillId="8" borderId="27" xfId="0" applyFont="1" applyFill="1" applyBorder="1" applyAlignment="1">
      <alignment horizontal="center" vertical="center" wrapText="1"/>
    </xf>
    <xf numFmtId="165" fontId="17" fillId="0" borderId="38" xfId="0" applyNumberFormat="1" applyFont="1" applyBorder="1" applyAlignment="1">
      <alignment/>
    </xf>
    <xf numFmtId="165" fontId="17" fillId="0" borderId="39" xfId="0" applyNumberFormat="1" applyFont="1" applyBorder="1" applyAlignment="1">
      <alignment/>
    </xf>
    <xf numFmtId="165" fontId="17" fillId="0" borderId="29" xfId="0" applyNumberFormat="1" applyFont="1" applyBorder="1" applyAlignment="1">
      <alignment/>
    </xf>
    <xf numFmtId="165" fontId="4" fillId="0" borderId="0" xfId="0" applyNumberFormat="1" applyFont="1" applyAlignment="1" applyProtection="1">
      <alignment horizontal="left" vertical="center"/>
      <protection locked="0"/>
    </xf>
    <xf numFmtId="0" fontId="4" fillId="8" borderId="23" xfId="0" applyFont="1" applyFill="1" applyBorder="1" applyAlignment="1">
      <alignment horizontal="center"/>
    </xf>
    <xf numFmtId="165" fontId="18" fillId="8" borderId="31" xfId="0" applyNumberFormat="1" applyFont="1" applyFill="1" applyBorder="1" applyAlignment="1">
      <alignment horizontal="center"/>
    </xf>
    <xf numFmtId="0" fontId="4" fillId="8" borderId="23" xfId="0" applyFont="1" applyFill="1" applyBorder="1" applyAlignment="1">
      <alignment horizontal="center" vertical="center"/>
    </xf>
    <xf numFmtId="165" fontId="18" fillId="8" borderId="31" xfId="0" applyNumberFormat="1" applyFont="1" applyFill="1" applyBorder="1" applyAlignment="1">
      <alignment horizontal="center" vertical="center"/>
    </xf>
    <xf numFmtId="170" fontId="26" fillId="0" borderId="22" xfId="0" applyNumberFormat="1" applyFont="1" applyFill="1" applyBorder="1" applyAlignment="1">
      <alignment horizontal="right" vertical="center"/>
    </xf>
    <xf numFmtId="170" fontId="26" fillId="0" borderId="27" xfId="0" applyNumberFormat="1" applyFont="1" applyFill="1" applyBorder="1" applyAlignment="1">
      <alignment horizontal="right" vertical="center"/>
    </xf>
    <xf numFmtId="170" fontId="26" fillId="0" borderId="23" xfId="0" applyNumberFormat="1" applyFont="1" applyFill="1" applyBorder="1" applyAlignment="1">
      <alignment horizontal="right" vertical="center"/>
    </xf>
    <xf numFmtId="169" fontId="3" fillId="0" borderId="40" xfId="0" applyNumberFormat="1" applyFont="1" applyFill="1" applyBorder="1" applyAlignment="1">
      <alignment horizontal="center" vertical="center"/>
    </xf>
    <xf numFmtId="169" fontId="3" fillId="0" borderId="38" xfId="0" applyNumberFormat="1" applyFont="1" applyFill="1" applyBorder="1" applyAlignment="1">
      <alignment horizontal="center" vertical="center"/>
    </xf>
    <xf numFmtId="169" fontId="3" fillId="0" borderId="39" xfId="0" applyNumberFormat="1" applyFont="1" applyFill="1" applyBorder="1" applyAlignment="1">
      <alignment horizontal="center" vertical="center"/>
    </xf>
    <xf numFmtId="165" fontId="3" fillId="0" borderId="0" xfId="0" applyNumberFormat="1" applyFont="1" applyBorder="1" applyAlignment="1">
      <alignment horizontal="center" vertical="center"/>
    </xf>
    <xf numFmtId="165" fontId="0" fillId="0" borderId="0" xfId="0" applyNumberFormat="1" applyBorder="1" applyAlignment="1">
      <alignment/>
    </xf>
    <xf numFmtId="165" fontId="3" fillId="0" borderId="41" xfId="0" applyNumberFormat="1" applyFont="1" applyBorder="1" applyAlignment="1">
      <alignment vertical="center"/>
    </xf>
    <xf numFmtId="165" fontId="3" fillId="0" borderId="41" xfId="0" applyNumberFormat="1" applyFont="1" applyBorder="1" applyAlignment="1">
      <alignment vertical="center"/>
    </xf>
    <xf numFmtId="165" fontId="4" fillId="0" borderId="27" xfId="0" applyNumberFormat="1" applyFont="1" applyFill="1" applyBorder="1" applyAlignment="1">
      <alignment horizontal="center" vertical="center"/>
    </xf>
    <xf numFmtId="165" fontId="3" fillId="0" borderId="0" xfId="0" applyNumberFormat="1" applyFont="1" applyFill="1" applyBorder="1" applyAlignment="1">
      <alignment horizontal="right" vertical="center"/>
    </xf>
    <xf numFmtId="2" fontId="3" fillId="0" borderId="42" xfId="0" applyNumberFormat="1" applyFont="1" applyFill="1" applyBorder="1" applyAlignment="1">
      <alignment horizontal="right" vertical="center"/>
    </xf>
    <xf numFmtId="165" fontId="3" fillId="0" borderId="42" xfId="0" applyNumberFormat="1" applyFont="1" applyBorder="1" applyAlignment="1">
      <alignment horizontal="center" vertical="center"/>
    </xf>
    <xf numFmtId="165" fontId="17" fillId="0" borderId="0" xfId="0" applyNumberFormat="1" applyFont="1" applyBorder="1" applyAlignment="1">
      <alignment horizontal="center" vertical="center"/>
    </xf>
    <xf numFmtId="165" fontId="17" fillId="0" borderId="29" xfId="0" applyNumberFormat="1" applyFont="1" applyBorder="1" applyAlignment="1">
      <alignment horizontal="center" vertical="center"/>
    </xf>
    <xf numFmtId="165" fontId="17" fillId="0" borderId="27" xfId="0" applyNumberFormat="1" applyFont="1" applyBorder="1" applyAlignment="1">
      <alignment horizontal="center" vertical="center"/>
    </xf>
    <xf numFmtId="0" fontId="4" fillId="8" borderId="23"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4" fillId="69" borderId="41" xfId="0" applyFont="1" applyFill="1" applyBorder="1" applyAlignment="1">
      <alignment horizontal="center" vertical="center"/>
    </xf>
    <xf numFmtId="166" fontId="3" fillId="0" borderId="0" xfId="0" applyNumberFormat="1" applyFont="1" applyBorder="1" applyAlignment="1">
      <alignment horizontal="center" vertical="center"/>
    </xf>
    <xf numFmtId="165" fontId="17" fillId="0" borderId="38" xfId="0" applyNumberFormat="1" applyFont="1" applyFill="1" applyBorder="1" applyAlignment="1">
      <alignment horizontal="right" vertical="center"/>
    </xf>
    <xf numFmtId="0" fontId="4" fillId="71" borderId="27" xfId="0" applyFont="1" applyFill="1" applyBorder="1" applyAlignment="1">
      <alignment horizontal="center" vertical="center"/>
    </xf>
    <xf numFmtId="165" fontId="17" fillId="71" borderId="0" xfId="0" applyNumberFormat="1" applyFont="1" applyFill="1" applyBorder="1" applyAlignment="1">
      <alignment horizontal="right" vertical="center"/>
    </xf>
    <xf numFmtId="0" fontId="4" fillId="71" borderId="28" xfId="0" applyFont="1" applyFill="1" applyBorder="1" applyAlignment="1">
      <alignment horizontal="center" vertical="center"/>
    </xf>
    <xf numFmtId="165" fontId="17" fillId="71" borderId="13" xfId="0" applyNumberFormat="1" applyFont="1" applyFill="1" applyBorder="1" applyAlignment="1">
      <alignment horizontal="right" vertical="center"/>
    </xf>
    <xf numFmtId="165" fontId="3" fillId="0" borderId="0" xfId="0" applyNumberFormat="1" applyFont="1" applyFill="1" applyBorder="1" applyAlignment="1">
      <alignment horizontal="center" vertical="center"/>
    </xf>
    <xf numFmtId="165" fontId="17" fillId="0" borderId="0" xfId="0" applyNumberFormat="1" applyFont="1" applyFill="1" applyBorder="1" applyAlignment="1">
      <alignment horizontal="center" vertical="center"/>
    </xf>
    <xf numFmtId="0" fontId="4" fillId="0" borderId="0" xfId="0" applyNumberFormat="1" applyFont="1" applyAlignment="1" applyProtection="1">
      <alignment horizontal="left" vertical="top"/>
      <protection locked="0"/>
    </xf>
    <xf numFmtId="165" fontId="17" fillId="0" borderId="30" xfId="0" applyNumberFormat="1" applyFont="1" applyBorder="1" applyAlignment="1">
      <alignment/>
    </xf>
    <xf numFmtId="165" fontId="3" fillId="0" borderId="0" xfId="0" applyNumberFormat="1" applyFont="1" applyBorder="1" applyAlignment="1">
      <alignment/>
    </xf>
    <xf numFmtId="165" fontId="17" fillId="8" borderId="0" xfId="0" applyNumberFormat="1" applyFont="1" applyFill="1" applyBorder="1" applyAlignment="1">
      <alignment horizontal="right"/>
    </xf>
    <xf numFmtId="165" fontId="17" fillId="71" borderId="0" xfId="0" applyNumberFormat="1" applyFont="1" applyFill="1" applyBorder="1" applyAlignment="1">
      <alignment horizontal="center" vertical="center"/>
    </xf>
    <xf numFmtId="0" fontId="4" fillId="69" borderId="31" xfId="0" applyFont="1" applyFill="1" applyBorder="1" applyAlignment="1">
      <alignment horizontal="center" vertical="center"/>
    </xf>
    <xf numFmtId="0" fontId="4" fillId="68" borderId="24" xfId="0" applyFont="1" applyFill="1" applyBorder="1" applyAlignment="1">
      <alignment horizontal="center" vertical="center"/>
    </xf>
    <xf numFmtId="0" fontId="4" fillId="68" borderId="23" xfId="0" applyFont="1" applyFill="1" applyBorder="1" applyAlignment="1">
      <alignment horizontal="center" vertical="center"/>
    </xf>
    <xf numFmtId="0" fontId="0" fillId="0" borderId="0" xfId="154">
      <alignment/>
      <protection/>
    </xf>
    <xf numFmtId="0" fontId="3" fillId="0" borderId="0" xfId="154" applyFont="1">
      <alignment/>
      <protection/>
    </xf>
    <xf numFmtId="9" fontId="3" fillId="0" borderId="0" xfId="154" applyNumberFormat="1" applyFont="1" applyAlignment="1">
      <alignment horizontal="center"/>
      <protection/>
    </xf>
    <xf numFmtId="0" fontId="4" fillId="0" borderId="0" xfId="154" applyFont="1" applyBorder="1" applyAlignment="1">
      <alignment vertical="top"/>
      <protection/>
    </xf>
    <xf numFmtId="0" fontId="4" fillId="0" borderId="0" xfId="154" applyFont="1" applyAlignment="1">
      <alignment vertical="top"/>
      <protection/>
    </xf>
    <xf numFmtId="0" fontId="3" fillId="0" borderId="0" xfId="154" applyFont="1" applyAlignment="1">
      <alignment vertical="top"/>
      <protection/>
    </xf>
    <xf numFmtId="165" fontId="13" fillId="0" borderId="0" xfId="154" applyNumberFormat="1" applyFont="1" applyBorder="1" applyAlignment="1">
      <alignment horizontal="left" vertical="center"/>
      <protection/>
    </xf>
    <xf numFmtId="0" fontId="13" fillId="0" borderId="0" xfId="154" applyFont="1" applyBorder="1" applyAlignment="1">
      <alignment horizontal="left" vertical="center"/>
      <protection/>
    </xf>
    <xf numFmtId="0" fontId="3" fillId="0" borderId="0" xfId="154" applyFont="1" applyBorder="1" applyAlignment="1">
      <alignment horizontal="left" vertical="center"/>
      <protection/>
    </xf>
    <xf numFmtId="0" fontId="3" fillId="0" borderId="0" xfId="154" applyFont="1" applyAlignment="1">
      <alignment vertical="center"/>
      <protection/>
    </xf>
    <xf numFmtId="0" fontId="3" fillId="0" borderId="0" xfId="154" applyFont="1" applyBorder="1" applyAlignment="1">
      <alignment vertical="center"/>
      <protection/>
    </xf>
    <xf numFmtId="0" fontId="3" fillId="0" borderId="0" xfId="154" applyFont="1" applyBorder="1" applyAlignment="1" quotePrefix="1">
      <alignment horizontal="left" vertical="center"/>
      <protection/>
    </xf>
    <xf numFmtId="0" fontId="4" fillId="0" borderId="0" xfId="154" applyFont="1" applyAlignment="1">
      <alignment horizontal="left"/>
      <protection/>
    </xf>
    <xf numFmtId="0" fontId="4" fillId="0" borderId="0" xfId="154" applyFont="1" applyBorder="1" applyAlignment="1">
      <alignment horizontal="left" wrapText="1"/>
      <protection/>
    </xf>
    <xf numFmtId="0" fontId="4" fillId="0" borderId="38" xfId="154" applyFont="1" applyBorder="1" applyAlignment="1">
      <alignment horizontal="left" wrapText="1"/>
      <protection/>
    </xf>
    <xf numFmtId="0" fontId="4" fillId="0" borderId="0" xfId="154" applyFont="1" applyBorder="1">
      <alignment/>
      <protection/>
    </xf>
    <xf numFmtId="0" fontId="3" fillId="0" borderId="0" xfId="154" applyFont="1" applyAlignment="1">
      <alignment horizontal="center"/>
      <protection/>
    </xf>
    <xf numFmtId="165" fontId="3" fillId="0" borderId="0" xfId="154" applyNumberFormat="1" applyFont="1">
      <alignment/>
      <protection/>
    </xf>
    <xf numFmtId="0" fontId="4" fillId="71" borderId="28" xfId="154" applyFont="1" applyFill="1" applyBorder="1" applyAlignment="1">
      <alignment horizontal="center" vertical="center"/>
      <protection/>
    </xf>
    <xf numFmtId="165" fontId="3" fillId="71" borderId="28" xfId="154" applyNumberFormat="1" applyFont="1" applyFill="1" applyBorder="1" applyAlignment="1">
      <alignment horizontal="right" vertical="center"/>
      <protection/>
    </xf>
    <xf numFmtId="165" fontId="3" fillId="71" borderId="13" xfId="154" applyNumberFormat="1" applyFont="1" applyFill="1" applyBorder="1" applyAlignment="1">
      <alignment horizontal="right" vertical="center"/>
      <protection/>
    </xf>
    <xf numFmtId="165" fontId="3" fillId="71" borderId="43" xfId="154" applyNumberFormat="1" applyFont="1" applyFill="1" applyBorder="1" applyAlignment="1">
      <alignment horizontal="right" vertical="center"/>
      <protection/>
    </xf>
    <xf numFmtId="2" fontId="3" fillId="71" borderId="28" xfId="154" applyNumberFormat="1" applyFont="1" applyFill="1" applyBorder="1" applyAlignment="1">
      <alignment horizontal="right" vertical="center"/>
      <protection/>
    </xf>
    <xf numFmtId="0" fontId="4" fillId="0" borderId="27" xfId="154" applyFont="1" applyFill="1" applyBorder="1" applyAlignment="1">
      <alignment horizontal="center" vertical="center"/>
      <protection/>
    </xf>
    <xf numFmtId="165" fontId="3" fillId="0" borderId="27" xfId="154" applyNumberFormat="1" applyFont="1" applyFill="1" applyBorder="1" applyAlignment="1">
      <alignment horizontal="right" vertical="center"/>
      <protection/>
    </xf>
    <xf numFmtId="165" fontId="3" fillId="0" borderId="0" xfId="154" applyNumberFormat="1" applyFont="1" applyFill="1" applyBorder="1" applyAlignment="1">
      <alignment horizontal="right" vertical="center"/>
      <protection/>
    </xf>
    <xf numFmtId="2" fontId="3" fillId="0" borderId="27" xfId="154" applyNumberFormat="1" applyFont="1" applyFill="1" applyBorder="1" applyAlignment="1">
      <alignment horizontal="right" vertical="center"/>
      <protection/>
    </xf>
    <xf numFmtId="0" fontId="4" fillId="71" borderId="27" xfId="154" applyFont="1" applyFill="1" applyBorder="1" applyAlignment="1">
      <alignment horizontal="center" vertical="center"/>
      <protection/>
    </xf>
    <xf numFmtId="165" fontId="3" fillId="71" borderId="38" xfId="154" applyNumberFormat="1" applyFont="1" applyFill="1" applyBorder="1" applyAlignment="1">
      <alignment horizontal="right" vertical="center"/>
      <protection/>
    </xf>
    <xf numFmtId="165" fontId="3" fillId="71" borderId="0" xfId="154" applyNumberFormat="1" applyFont="1" applyFill="1" applyBorder="1" applyAlignment="1">
      <alignment horizontal="right" vertical="center"/>
      <protection/>
    </xf>
    <xf numFmtId="2" fontId="3" fillId="71" borderId="22" xfId="154" applyNumberFormat="1" applyFont="1" applyFill="1" applyBorder="1" applyAlignment="1">
      <alignment horizontal="right" vertical="center"/>
      <protection/>
    </xf>
    <xf numFmtId="0" fontId="4" fillId="0" borderId="28" xfId="154" applyFont="1" applyFill="1" applyBorder="1" applyAlignment="1">
      <alignment horizontal="center" vertical="center"/>
      <protection/>
    </xf>
    <xf numFmtId="165" fontId="3" fillId="0" borderId="28" xfId="154" applyNumberFormat="1" applyFont="1" applyFill="1" applyBorder="1" applyAlignment="1">
      <alignment horizontal="right" vertical="center"/>
      <protection/>
    </xf>
    <xf numFmtId="165" fontId="3" fillId="0" borderId="13" xfId="154" applyNumberFormat="1" applyFont="1" applyFill="1" applyBorder="1" applyAlignment="1">
      <alignment horizontal="right" vertical="center"/>
      <protection/>
    </xf>
    <xf numFmtId="165" fontId="3" fillId="0" borderId="43" xfId="154" applyNumberFormat="1" applyFont="1" applyFill="1" applyBorder="1" applyAlignment="1">
      <alignment horizontal="right" vertical="center"/>
      <protection/>
    </xf>
    <xf numFmtId="165" fontId="17" fillId="0" borderId="13" xfId="154" applyNumberFormat="1" applyFont="1" applyFill="1" applyBorder="1" applyAlignment="1">
      <alignment horizontal="right" vertical="center"/>
      <protection/>
    </xf>
    <xf numFmtId="2" fontId="3" fillId="0" borderId="28" xfId="154" applyNumberFormat="1" applyFont="1" applyFill="1" applyBorder="1" applyAlignment="1">
      <alignment horizontal="right" vertical="center"/>
      <protection/>
    </xf>
    <xf numFmtId="0" fontId="3" fillId="0" borderId="0" xfId="154" applyFont="1" applyFill="1">
      <alignment/>
      <protection/>
    </xf>
    <xf numFmtId="165" fontId="17" fillId="71" borderId="27" xfId="154" applyNumberFormat="1" applyFont="1" applyFill="1" applyBorder="1" applyAlignment="1">
      <alignment horizontal="right" vertical="center"/>
      <protection/>
    </xf>
    <xf numFmtId="165" fontId="17" fillId="71" borderId="0" xfId="154" applyNumberFormat="1" applyFont="1" applyFill="1" applyBorder="1" applyAlignment="1">
      <alignment horizontal="right" vertical="center"/>
      <protection/>
    </xf>
    <xf numFmtId="165" fontId="17" fillId="71" borderId="0" xfId="154" applyNumberFormat="1" applyFont="1" applyFill="1" applyBorder="1">
      <alignment/>
      <protection/>
    </xf>
    <xf numFmtId="2" fontId="3" fillId="71" borderId="27" xfId="154" applyNumberFormat="1" applyFont="1" applyFill="1" applyBorder="1" applyAlignment="1">
      <alignment horizontal="right" vertical="center"/>
      <protection/>
    </xf>
    <xf numFmtId="0" fontId="3" fillId="0" borderId="0" xfId="154" applyFont="1" applyFill="1" applyAlignment="1">
      <alignment horizontal="center"/>
      <protection/>
    </xf>
    <xf numFmtId="165" fontId="17" fillId="0" borderId="27" xfId="154" applyNumberFormat="1" applyFont="1" applyFill="1" applyBorder="1" applyAlignment="1">
      <alignment horizontal="right" vertical="center"/>
      <protection/>
    </xf>
    <xf numFmtId="165" fontId="17" fillId="0" borderId="0" xfId="154" applyNumberFormat="1" applyFont="1" applyFill="1" applyBorder="1" applyAlignment="1">
      <alignment horizontal="right" vertical="center"/>
      <protection/>
    </xf>
    <xf numFmtId="165" fontId="17" fillId="0" borderId="0" xfId="154" applyNumberFormat="1" applyFont="1" applyFill="1" applyBorder="1">
      <alignment/>
      <protection/>
    </xf>
    <xf numFmtId="0" fontId="4" fillId="0" borderId="22" xfId="154" applyFont="1" applyFill="1" applyBorder="1" applyAlignment="1">
      <alignment horizontal="center" vertical="center"/>
      <protection/>
    </xf>
    <xf numFmtId="165" fontId="3" fillId="0" borderId="22" xfId="154" applyNumberFormat="1" applyFont="1" applyFill="1" applyBorder="1" applyAlignment="1">
      <alignment horizontal="right" vertical="center"/>
      <protection/>
    </xf>
    <xf numFmtId="165" fontId="3" fillId="0" borderId="38" xfId="154" applyNumberFormat="1" applyFont="1" applyFill="1" applyBorder="1" applyAlignment="1">
      <alignment horizontal="right" vertical="center"/>
      <protection/>
    </xf>
    <xf numFmtId="2" fontId="3" fillId="0" borderId="22" xfId="154" applyNumberFormat="1" applyFont="1" applyFill="1" applyBorder="1" applyAlignment="1">
      <alignment horizontal="right" vertical="center"/>
      <protection/>
    </xf>
    <xf numFmtId="165" fontId="3" fillId="71" borderId="27" xfId="154" applyNumberFormat="1" applyFont="1" applyFill="1" applyBorder="1" applyAlignment="1">
      <alignment horizontal="right" vertical="center"/>
      <protection/>
    </xf>
    <xf numFmtId="165" fontId="3" fillId="71" borderId="44" xfId="154" applyNumberFormat="1" applyFont="1" applyFill="1" applyBorder="1" applyAlignment="1">
      <alignment horizontal="right" vertical="center"/>
      <protection/>
    </xf>
    <xf numFmtId="165" fontId="3" fillId="0" borderId="45" xfId="154" applyNumberFormat="1" applyFont="1" applyFill="1" applyBorder="1" applyAlignment="1">
      <alignment horizontal="right" vertical="center"/>
      <protection/>
    </xf>
    <xf numFmtId="2" fontId="3" fillId="0" borderId="46" xfId="154" applyNumberFormat="1" applyFont="1" applyFill="1" applyBorder="1" applyAlignment="1">
      <alignment horizontal="right" vertical="center"/>
      <protection/>
    </xf>
    <xf numFmtId="165" fontId="3" fillId="0" borderId="0" xfId="154" applyNumberFormat="1" applyFont="1" applyFill="1" applyBorder="1" applyAlignment="1" quotePrefix="1">
      <alignment horizontal="right" vertical="center"/>
      <protection/>
    </xf>
    <xf numFmtId="2" fontId="3" fillId="0" borderId="27" xfId="154" applyNumberFormat="1" applyFont="1" applyFill="1" applyBorder="1" applyAlignment="1" quotePrefix="1">
      <alignment horizontal="right" vertical="center"/>
      <protection/>
    </xf>
    <xf numFmtId="165" fontId="4" fillId="0" borderId="0" xfId="154" applyNumberFormat="1" applyFont="1">
      <alignment/>
      <protection/>
    </xf>
    <xf numFmtId="165" fontId="3" fillId="71" borderId="0" xfId="154" applyNumberFormat="1" applyFont="1" applyFill="1" applyBorder="1">
      <alignment/>
      <protection/>
    </xf>
    <xf numFmtId="2" fontId="17" fillId="0" borderId="27" xfId="154" applyNumberFormat="1" applyFont="1" applyFill="1" applyBorder="1" applyAlignment="1">
      <alignment horizontal="right" vertical="center"/>
      <protection/>
    </xf>
    <xf numFmtId="2" fontId="17" fillId="71" borderId="27" xfId="154" applyNumberFormat="1" applyFont="1" applyFill="1" applyBorder="1" applyAlignment="1">
      <alignment horizontal="right" vertical="center"/>
      <protection/>
    </xf>
    <xf numFmtId="0" fontId="4" fillId="0" borderId="0" xfId="154" applyFont="1">
      <alignment/>
      <protection/>
    </xf>
    <xf numFmtId="165" fontId="3" fillId="0" borderId="46" xfId="154" applyNumberFormat="1" applyFont="1" applyFill="1" applyBorder="1" applyAlignment="1">
      <alignment horizontal="right" vertical="center"/>
      <protection/>
    </xf>
    <xf numFmtId="165" fontId="3" fillId="71" borderId="45" xfId="154" applyNumberFormat="1" applyFont="1" applyFill="1" applyBorder="1" applyAlignment="1">
      <alignment horizontal="right" vertical="center"/>
      <protection/>
    </xf>
    <xf numFmtId="165" fontId="3" fillId="71" borderId="46" xfId="154" applyNumberFormat="1" applyFont="1" applyFill="1" applyBorder="1" applyAlignment="1">
      <alignment horizontal="right" vertical="center"/>
      <protection/>
    </xf>
    <xf numFmtId="165" fontId="3" fillId="71" borderId="30" xfId="154" applyNumberFormat="1" applyFont="1" applyFill="1" applyBorder="1" applyAlignment="1">
      <alignment horizontal="right" vertical="center"/>
      <protection/>
    </xf>
    <xf numFmtId="0" fontId="4" fillId="8" borderId="27" xfId="154" applyFont="1" applyFill="1" applyBorder="1" applyAlignment="1">
      <alignment horizontal="center" vertical="center"/>
      <protection/>
    </xf>
    <xf numFmtId="165" fontId="3" fillId="8" borderId="27" xfId="154" applyNumberFormat="1" applyFont="1" applyFill="1" applyBorder="1" applyAlignment="1">
      <alignment horizontal="right" vertical="center"/>
      <protection/>
    </xf>
    <xf numFmtId="165" fontId="3" fillId="8" borderId="0" xfId="154" applyNumberFormat="1" applyFont="1" applyFill="1" applyBorder="1" applyAlignment="1">
      <alignment horizontal="right" vertical="center"/>
      <protection/>
    </xf>
    <xf numFmtId="2" fontId="3" fillId="8" borderId="27" xfId="154" applyNumberFormat="1" applyFont="1" applyFill="1" applyBorder="1" applyAlignment="1">
      <alignment horizontal="right" vertical="center"/>
      <protection/>
    </xf>
    <xf numFmtId="165" fontId="3" fillId="0" borderId="27" xfId="154" applyNumberFormat="1" applyFont="1" applyBorder="1" applyAlignment="1">
      <alignment horizontal="right" vertical="center"/>
      <protection/>
    </xf>
    <xf numFmtId="165" fontId="3" fillId="0" borderId="0" xfId="154" applyNumberFormat="1" applyFont="1" applyBorder="1" applyAlignment="1">
      <alignment horizontal="right" vertical="center"/>
      <protection/>
    </xf>
    <xf numFmtId="165" fontId="17" fillId="0" borderId="0" xfId="154" applyNumberFormat="1" applyFont="1" applyBorder="1" applyAlignment="1">
      <alignment horizontal="right" vertical="center"/>
      <protection/>
    </xf>
    <xf numFmtId="165" fontId="3" fillId="0" borderId="30" xfId="154" applyNumberFormat="1" applyFont="1" applyBorder="1" applyAlignment="1">
      <alignment horizontal="right" vertical="center"/>
      <protection/>
    </xf>
    <xf numFmtId="2" fontId="3" fillId="0" borderId="27" xfId="154" applyNumberFormat="1" applyFont="1" applyBorder="1" applyAlignment="1">
      <alignment horizontal="right" vertical="center"/>
      <protection/>
    </xf>
    <xf numFmtId="165" fontId="17" fillId="8" borderId="27" xfId="154" applyNumberFormat="1" applyFont="1" applyFill="1" applyBorder="1" applyAlignment="1">
      <alignment horizontal="right" vertical="center"/>
      <protection/>
    </xf>
    <xf numFmtId="165" fontId="17" fillId="8" borderId="0" xfId="154" applyNumberFormat="1" applyFont="1" applyFill="1" applyBorder="1" applyAlignment="1">
      <alignment horizontal="right" vertical="center"/>
      <protection/>
    </xf>
    <xf numFmtId="2" fontId="17" fillId="8" borderId="27" xfId="154" applyNumberFormat="1" applyFont="1" applyFill="1" applyBorder="1" applyAlignment="1">
      <alignment horizontal="right" vertical="center"/>
      <protection/>
    </xf>
    <xf numFmtId="165" fontId="17" fillId="0" borderId="0" xfId="154" applyNumberFormat="1" applyFont="1" applyFill="1">
      <alignment/>
      <protection/>
    </xf>
    <xf numFmtId="165" fontId="17" fillId="0" borderId="0" xfId="154" applyNumberFormat="1" applyFont="1" applyBorder="1">
      <alignment/>
      <protection/>
    </xf>
    <xf numFmtId="2" fontId="17" fillId="0" borderId="27" xfId="154" applyNumberFormat="1" applyFont="1" applyBorder="1">
      <alignment/>
      <protection/>
    </xf>
    <xf numFmtId="165" fontId="3" fillId="8" borderId="27" xfId="154" applyNumberFormat="1" applyFont="1" applyFill="1" applyBorder="1">
      <alignment/>
      <protection/>
    </xf>
    <xf numFmtId="165" fontId="3" fillId="8" borderId="0" xfId="154" applyNumberFormat="1" applyFont="1" applyFill="1" applyBorder="1">
      <alignment/>
      <protection/>
    </xf>
    <xf numFmtId="165" fontId="3" fillId="70" borderId="27" xfId="154" applyNumberFormat="1" applyFont="1" applyFill="1" applyBorder="1" applyAlignment="1">
      <alignment horizontal="right" vertical="center"/>
      <protection/>
    </xf>
    <xf numFmtId="165" fontId="3" fillId="70" borderId="0" xfId="154" applyNumberFormat="1" applyFont="1" applyFill="1" applyBorder="1" applyAlignment="1">
      <alignment horizontal="right" vertical="center"/>
      <protection/>
    </xf>
    <xf numFmtId="165" fontId="3" fillId="70" borderId="45" xfId="154" applyNumberFormat="1" applyFont="1" applyFill="1" applyBorder="1" applyAlignment="1">
      <alignment horizontal="right" vertical="center"/>
      <protection/>
    </xf>
    <xf numFmtId="165" fontId="17" fillId="0" borderId="27" xfId="154" applyNumberFormat="1" applyFont="1" applyBorder="1" applyAlignment="1">
      <alignment horizontal="right" vertical="center"/>
      <protection/>
    </xf>
    <xf numFmtId="0" fontId="4" fillId="8" borderId="28" xfId="154" applyFont="1" applyFill="1" applyBorder="1" applyAlignment="1">
      <alignment horizontal="center" vertical="center"/>
      <protection/>
    </xf>
    <xf numFmtId="165" fontId="18" fillId="8" borderId="28" xfId="154" applyNumberFormat="1" applyFont="1" applyFill="1" applyBorder="1" applyAlignment="1">
      <alignment horizontal="right"/>
      <protection/>
    </xf>
    <xf numFmtId="174" fontId="18" fillId="8" borderId="13" xfId="154" applyNumberFormat="1" applyFont="1" applyFill="1" applyBorder="1" applyAlignment="1">
      <alignment horizontal="right"/>
      <protection/>
    </xf>
    <xf numFmtId="174" fontId="18" fillId="8" borderId="13" xfId="154" applyNumberFormat="1" applyFont="1" applyFill="1" applyBorder="1" applyAlignment="1">
      <alignment vertical="center"/>
      <protection/>
    </xf>
    <xf numFmtId="174" fontId="18" fillId="8" borderId="47" xfId="154" applyNumberFormat="1" applyFont="1" applyFill="1" applyBorder="1" applyAlignment="1">
      <alignment vertical="center"/>
      <protection/>
    </xf>
    <xf numFmtId="2" fontId="18" fillId="8" borderId="28" xfId="154" applyNumberFormat="1" applyFont="1" applyFill="1" applyBorder="1" applyAlignment="1">
      <alignment vertical="center"/>
      <protection/>
    </xf>
    <xf numFmtId="165" fontId="18" fillId="8" borderId="27" xfId="154" applyNumberFormat="1" applyFont="1" applyFill="1" applyBorder="1" applyAlignment="1">
      <alignment horizontal="right"/>
      <protection/>
    </xf>
    <xf numFmtId="174" fontId="18" fillId="8" borderId="0" xfId="154" applyNumberFormat="1" applyFont="1" applyFill="1" applyBorder="1" applyAlignment="1">
      <alignment horizontal="right"/>
      <protection/>
    </xf>
    <xf numFmtId="174" fontId="18" fillId="8" borderId="0" xfId="154" applyNumberFormat="1" applyFont="1" applyFill="1" applyBorder="1" applyAlignment="1">
      <alignment vertical="center"/>
      <protection/>
    </xf>
    <xf numFmtId="174" fontId="18" fillId="8" borderId="30" xfId="154" applyNumberFormat="1" applyFont="1" applyFill="1" applyBorder="1" applyAlignment="1">
      <alignment vertical="center"/>
      <protection/>
    </xf>
    <xf numFmtId="2" fontId="18" fillId="8" borderId="27" xfId="154" applyNumberFormat="1" applyFont="1" applyFill="1" applyBorder="1" applyAlignment="1">
      <alignment vertical="center"/>
      <protection/>
    </xf>
    <xf numFmtId="0" fontId="4" fillId="8" borderId="22" xfId="154" applyFont="1" applyFill="1" applyBorder="1" applyAlignment="1">
      <alignment horizontal="center" vertical="center"/>
      <protection/>
    </xf>
    <xf numFmtId="165" fontId="18" fillId="8" borderId="22" xfId="154" applyNumberFormat="1" applyFont="1" applyFill="1" applyBorder="1" applyAlignment="1">
      <alignment horizontal="right"/>
      <protection/>
    </xf>
    <xf numFmtId="174" fontId="18" fillId="8" borderId="38" xfId="154" applyNumberFormat="1" applyFont="1" applyFill="1" applyBorder="1" applyAlignment="1">
      <alignment horizontal="right"/>
      <protection/>
    </xf>
    <xf numFmtId="174" fontId="18" fillId="8" borderId="38" xfId="154" applyNumberFormat="1" applyFont="1" applyFill="1" applyBorder="1" applyAlignment="1">
      <alignment vertical="center"/>
      <protection/>
    </xf>
    <xf numFmtId="174" fontId="18" fillId="8" borderId="40" xfId="154" applyNumberFormat="1" applyFont="1" applyFill="1" applyBorder="1" applyAlignment="1">
      <alignment vertical="center"/>
      <protection/>
    </xf>
    <xf numFmtId="2" fontId="18" fillId="8" borderId="22" xfId="154" applyNumberFormat="1" applyFont="1" applyFill="1" applyBorder="1" applyAlignment="1">
      <alignment vertical="center"/>
      <protection/>
    </xf>
    <xf numFmtId="0" fontId="0" fillId="0" borderId="0" xfId="154" applyFill="1" applyBorder="1">
      <alignment/>
      <protection/>
    </xf>
    <xf numFmtId="0" fontId="4" fillId="68" borderId="28" xfId="154" applyFont="1" applyFill="1" applyBorder="1" applyAlignment="1">
      <alignment horizontal="center" vertical="top"/>
      <protection/>
    </xf>
    <xf numFmtId="1" fontId="4" fillId="68" borderId="0" xfId="154" applyNumberFormat="1" applyFont="1" applyFill="1" applyBorder="1" applyAlignment="1">
      <alignment horizontal="center" vertical="center"/>
      <protection/>
    </xf>
    <xf numFmtId="1" fontId="4" fillId="68" borderId="13" xfId="154" applyNumberFormat="1" applyFont="1" applyFill="1" applyBorder="1" applyAlignment="1">
      <alignment horizontal="center" vertical="center"/>
      <protection/>
    </xf>
    <xf numFmtId="1" fontId="4" fillId="68" borderId="28" xfId="154" applyNumberFormat="1" applyFont="1" applyFill="1" applyBorder="1" applyAlignment="1">
      <alignment horizontal="center" vertical="center"/>
      <protection/>
    </xf>
    <xf numFmtId="0" fontId="0" fillId="0" borderId="48" xfId="154" applyFill="1" applyBorder="1">
      <alignment/>
      <protection/>
    </xf>
    <xf numFmtId="0" fontId="23" fillId="68" borderId="22" xfId="154" applyFont="1" applyFill="1" applyBorder="1" applyAlignment="1">
      <alignment horizontal="center" wrapText="1"/>
      <protection/>
    </xf>
    <xf numFmtId="1" fontId="4" fillId="68" borderId="38" xfId="154" applyNumberFormat="1" applyFont="1" applyFill="1" applyBorder="1" applyAlignment="1">
      <alignment horizontal="center"/>
      <protection/>
    </xf>
    <xf numFmtId="1" fontId="4" fillId="68" borderId="22" xfId="154" applyNumberFormat="1" applyFont="1" applyFill="1" applyBorder="1" applyAlignment="1">
      <alignment horizontal="center"/>
      <protection/>
    </xf>
    <xf numFmtId="0" fontId="0" fillId="0" borderId="29" xfId="154" applyFill="1" applyBorder="1">
      <alignment/>
      <protection/>
    </xf>
    <xf numFmtId="0" fontId="9" fillId="0" borderId="0" xfId="154" applyFont="1">
      <alignment/>
      <protection/>
    </xf>
    <xf numFmtId="0" fontId="3" fillId="0" borderId="0" xfId="154" applyFont="1" applyBorder="1" applyAlignment="1">
      <alignment horizontal="right" vertical="center"/>
      <protection/>
    </xf>
    <xf numFmtId="9" fontId="3" fillId="0" borderId="0" xfId="154" applyNumberFormat="1" applyFont="1" applyAlignment="1">
      <alignment horizontal="center" vertical="top"/>
      <protection/>
    </xf>
    <xf numFmtId="0" fontId="5" fillId="0" borderId="0" xfId="154" applyFont="1" applyBorder="1" applyAlignment="1" quotePrefix="1">
      <alignment horizontal="right" vertical="top"/>
      <protection/>
    </xf>
    <xf numFmtId="0" fontId="5" fillId="0" borderId="0" xfId="154" applyFont="1" applyBorder="1" applyAlignment="1" quotePrefix="1">
      <alignment horizontal="right"/>
      <protection/>
    </xf>
    <xf numFmtId="0" fontId="8" fillId="0" borderId="0" xfId="154" applyFont="1" applyFill="1" applyBorder="1" applyAlignment="1" quotePrefix="1">
      <alignment horizontal="right"/>
      <protection/>
    </xf>
    <xf numFmtId="0" fontId="8" fillId="0" borderId="0" xfId="154" applyFont="1" applyBorder="1" applyAlignment="1">
      <alignment vertical="top"/>
      <protection/>
    </xf>
    <xf numFmtId="0" fontId="0" fillId="0" borderId="0" xfId="154" applyAlignment="1">
      <alignment horizontal="left" vertical="top" wrapText="1"/>
      <protection/>
    </xf>
    <xf numFmtId="0" fontId="9" fillId="0" borderId="0" xfId="154" applyFont="1" applyAlignment="1">
      <alignment horizontal="left" vertical="top" wrapText="1"/>
      <protection/>
    </xf>
    <xf numFmtId="49" fontId="3" fillId="0" borderId="0" xfId="154" applyNumberFormat="1" applyFont="1" applyAlignment="1">
      <alignment vertical="top"/>
      <protection/>
    </xf>
    <xf numFmtId="49" fontId="4" fillId="0" borderId="0" xfId="154" applyNumberFormat="1" applyFont="1" applyAlignment="1">
      <alignment vertical="top"/>
      <protection/>
    </xf>
    <xf numFmtId="0" fontId="3" fillId="0" borderId="0" xfId="154" applyFont="1" applyAlignment="1">
      <alignment/>
      <protection/>
    </xf>
    <xf numFmtId="0" fontId="4" fillId="0" borderId="0" xfId="154" applyFont="1" applyBorder="1" applyAlignment="1">
      <alignment horizontal="center"/>
      <protection/>
    </xf>
    <xf numFmtId="0" fontId="17" fillId="0" borderId="0" xfId="154" applyFont="1" applyBorder="1" applyAlignment="1">
      <alignment horizontal="left" vertical="center"/>
      <protection/>
    </xf>
    <xf numFmtId="0" fontId="4" fillId="0" borderId="0" xfId="154" applyFont="1" applyBorder="1" applyAlignment="1" quotePrefix="1">
      <alignment horizontal="left" vertical="center"/>
      <protection/>
    </xf>
    <xf numFmtId="0" fontId="4" fillId="0" borderId="0" xfId="154" applyFont="1" applyBorder="1" applyAlignment="1">
      <alignment horizontal="left"/>
      <protection/>
    </xf>
    <xf numFmtId="49" fontId="4" fillId="0" borderId="38" xfId="154" applyNumberFormat="1" applyFont="1" applyBorder="1" applyAlignment="1">
      <alignment horizontal="left" wrapText="1"/>
      <protection/>
    </xf>
    <xf numFmtId="49" fontId="4" fillId="0" borderId="38" xfId="154" applyNumberFormat="1" applyFont="1" applyBorder="1" applyAlignment="1">
      <alignment horizontal="left"/>
      <protection/>
    </xf>
    <xf numFmtId="165" fontId="3" fillId="71" borderId="0" xfId="154" applyNumberFormat="1" applyFont="1" applyFill="1" applyBorder="1" applyAlignment="1" quotePrefix="1">
      <alignment horizontal="right" vertical="center"/>
      <protection/>
    </xf>
    <xf numFmtId="2" fontId="3" fillId="71" borderId="27" xfId="154" applyNumberFormat="1" applyFont="1" applyFill="1" applyBorder="1" applyAlignment="1" quotePrefix="1">
      <alignment horizontal="right" vertical="center"/>
      <protection/>
    </xf>
    <xf numFmtId="0" fontId="3" fillId="0" borderId="0" xfId="154" applyFont="1" applyAlignment="1">
      <alignment horizontal="left"/>
      <protection/>
    </xf>
    <xf numFmtId="165" fontId="17" fillId="71" borderId="28" xfId="154" applyNumberFormat="1" applyFont="1" applyFill="1" applyBorder="1" applyAlignment="1">
      <alignment horizontal="right" vertical="center"/>
      <protection/>
    </xf>
    <xf numFmtId="165" fontId="17" fillId="71" borderId="13" xfId="154" applyNumberFormat="1" applyFont="1" applyFill="1" applyBorder="1" applyAlignment="1">
      <alignment horizontal="right" vertical="center"/>
      <protection/>
    </xf>
    <xf numFmtId="165" fontId="17" fillId="71" borderId="44" xfId="154" applyNumberFormat="1" applyFont="1" applyFill="1" applyBorder="1" applyAlignment="1">
      <alignment horizontal="right" vertical="center"/>
      <protection/>
    </xf>
    <xf numFmtId="2" fontId="17" fillId="71" borderId="28" xfId="154" applyNumberFormat="1" applyFont="1" applyFill="1" applyBorder="1" applyAlignment="1">
      <alignment horizontal="right" vertical="center"/>
      <protection/>
    </xf>
    <xf numFmtId="165" fontId="17" fillId="71" borderId="45" xfId="154" applyNumberFormat="1" applyFont="1" applyFill="1" applyBorder="1" applyAlignment="1">
      <alignment horizontal="right" vertical="center"/>
      <protection/>
    </xf>
    <xf numFmtId="0" fontId="3" fillId="71" borderId="0" xfId="154" applyFont="1" applyFill="1" applyAlignment="1">
      <alignment horizontal="center"/>
      <protection/>
    </xf>
    <xf numFmtId="165" fontId="17" fillId="0" borderId="45" xfId="154" applyNumberFormat="1" applyFont="1" applyBorder="1" applyAlignment="1">
      <alignment horizontal="right" vertical="center"/>
      <protection/>
    </xf>
    <xf numFmtId="2" fontId="3" fillId="70" borderId="46" xfId="154" applyNumberFormat="1" applyFont="1" applyFill="1" applyBorder="1" applyAlignment="1">
      <alignment horizontal="right" vertical="center"/>
      <protection/>
    </xf>
    <xf numFmtId="2" fontId="3" fillId="70" borderId="27" xfId="154" applyNumberFormat="1" applyFont="1" applyFill="1" applyBorder="1" applyAlignment="1">
      <alignment horizontal="right" vertical="center"/>
      <protection/>
    </xf>
    <xf numFmtId="165" fontId="3" fillId="70" borderId="46" xfId="154" applyNumberFormat="1" applyFont="1" applyFill="1" applyBorder="1" applyAlignment="1">
      <alignment horizontal="right" vertical="center"/>
      <protection/>
    </xf>
    <xf numFmtId="165" fontId="3" fillId="70" borderId="0" xfId="154" applyNumberFormat="1" applyFont="1" applyFill="1" applyBorder="1" applyAlignment="1" quotePrefix="1">
      <alignment horizontal="right" vertical="center"/>
      <protection/>
    </xf>
    <xf numFmtId="2" fontId="3" fillId="70" borderId="27" xfId="154" applyNumberFormat="1" applyFont="1" applyFill="1" applyBorder="1" applyAlignment="1" quotePrefix="1">
      <alignment horizontal="right" vertical="center"/>
      <protection/>
    </xf>
    <xf numFmtId="165" fontId="18" fillId="8" borderId="13" xfId="154" applyNumberFormat="1" applyFont="1" applyFill="1" applyBorder="1" applyAlignment="1">
      <alignment horizontal="right"/>
      <protection/>
    </xf>
    <xf numFmtId="165" fontId="4" fillId="8" borderId="13" xfId="154" applyNumberFormat="1" applyFont="1" applyFill="1" applyBorder="1" applyAlignment="1">
      <alignment horizontal="right"/>
      <protection/>
    </xf>
    <xf numFmtId="165" fontId="17" fillId="8" borderId="28" xfId="154" applyNumberFormat="1" applyFont="1" applyFill="1" applyBorder="1" applyAlignment="1">
      <alignment horizontal="right"/>
      <protection/>
    </xf>
    <xf numFmtId="165" fontId="18" fillId="8" borderId="0" xfId="154" applyNumberFormat="1" applyFont="1" applyFill="1" applyBorder="1" applyAlignment="1">
      <alignment horizontal="right"/>
      <protection/>
    </xf>
    <xf numFmtId="165" fontId="18" fillId="8" borderId="38" xfId="154" applyNumberFormat="1" applyFont="1" applyFill="1" applyBorder="1" applyAlignment="1">
      <alignment horizontal="right"/>
      <protection/>
    </xf>
    <xf numFmtId="165" fontId="4" fillId="8" borderId="38" xfId="154" applyNumberFormat="1" applyFont="1" applyFill="1" applyBorder="1" applyAlignment="1">
      <alignment horizontal="right"/>
      <protection/>
    </xf>
    <xf numFmtId="165" fontId="3" fillId="8" borderId="22" xfId="154" applyNumberFormat="1" applyFont="1" applyFill="1" applyBorder="1" applyAlignment="1">
      <alignment horizontal="right"/>
      <protection/>
    </xf>
    <xf numFmtId="1" fontId="4" fillId="0" borderId="0" xfId="154" applyNumberFormat="1" applyFont="1" applyFill="1" applyBorder="1" applyAlignment="1">
      <alignment horizontal="center" vertical="center"/>
      <protection/>
    </xf>
    <xf numFmtId="0" fontId="4" fillId="68" borderId="27" xfId="154" applyFont="1" applyFill="1" applyBorder="1" applyAlignment="1">
      <alignment horizontal="center" vertical="top"/>
      <protection/>
    </xf>
    <xf numFmtId="1" fontId="4" fillId="68" borderId="27" xfId="154" applyNumberFormat="1" applyFont="1" applyFill="1" applyBorder="1" applyAlignment="1">
      <alignment horizontal="center" vertical="center"/>
      <protection/>
    </xf>
    <xf numFmtId="0" fontId="4" fillId="0" borderId="0" xfId="154" applyFont="1" applyBorder="1" applyAlignment="1">
      <alignment horizontal="center" vertical="top"/>
      <protection/>
    </xf>
    <xf numFmtId="0" fontId="4" fillId="0" borderId="0" xfId="154" applyFont="1" applyBorder="1" applyAlignment="1">
      <alignment horizontal="left" vertical="top"/>
      <protection/>
    </xf>
    <xf numFmtId="0" fontId="3" fillId="0" borderId="0" xfId="154" applyFont="1" applyAlignment="1">
      <alignment horizontal="left" vertical="top" wrapText="1"/>
      <protection/>
    </xf>
    <xf numFmtId="0" fontId="3" fillId="0" borderId="0" xfId="154" applyFont="1" applyBorder="1" applyAlignment="1">
      <alignment/>
      <protection/>
    </xf>
    <xf numFmtId="165" fontId="3" fillId="0" borderId="29" xfId="154" applyNumberFormat="1" applyFont="1" applyFill="1" applyBorder="1" applyAlignment="1">
      <alignment horizontal="right" vertical="center"/>
      <protection/>
    </xf>
    <xf numFmtId="165" fontId="3" fillId="71" borderId="22" xfId="154" applyNumberFormat="1" applyFont="1" applyFill="1" applyBorder="1" applyAlignment="1">
      <alignment horizontal="center" vertical="center"/>
      <protection/>
    </xf>
    <xf numFmtId="165" fontId="3" fillId="71" borderId="38" xfId="154" applyNumberFormat="1" applyFont="1" applyFill="1" applyBorder="1" applyAlignment="1">
      <alignment horizontal="center" vertical="center"/>
      <protection/>
    </xf>
    <xf numFmtId="2" fontId="3" fillId="71" borderId="22" xfId="154" applyNumberFormat="1" applyFont="1" applyFill="1" applyBorder="1" applyAlignment="1">
      <alignment horizontal="center" vertical="center"/>
      <protection/>
    </xf>
    <xf numFmtId="165" fontId="3" fillId="0" borderId="28" xfId="154" applyNumberFormat="1" applyFont="1" applyFill="1" applyBorder="1" applyAlignment="1">
      <alignment horizontal="center" vertical="center"/>
      <protection/>
    </xf>
    <xf numFmtId="165" fontId="17" fillId="71" borderId="27" xfId="154" applyNumberFormat="1" applyFont="1" applyFill="1" applyBorder="1" applyAlignment="1">
      <alignment horizontal="center" vertical="center"/>
      <protection/>
    </xf>
    <xf numFmtId="165" fontId="17" fillId="71" borderId="0" xfId="154" applyNumberFormat="1" applyFont="1" applyFill="1" applyBorder="1" applyAlignment="1">
      <alignment horizontal="center" vertical="center"/>
      <protection/>
    </xf>
    <xf numFmtId="165" fontId="3" fillId="71" borderId="0" xfId="154" applyNumberFormat="1" applyFont="1" applyFill="1" applyBorder="1" applyAlignment="1">
      <alignment horizontal="center" vertical="center"/>
      <protection/>
    </xf>
    <xf numFmtId="2" fontId="3" fillId="71" borderId="27" xfId="154" applyNumberFormat="1" applyFont="1" applyFill="1" applyBorder="1" applyAlignment="1">
      <alignment horizontal="center" vertical="center"/>
      <protection/>
    </xf>
    <xf numFmtId="165" fontId="3" fillId="0" borderId="27" xfId="154" applyNumberFormat="1" applyFont="1" applyFill="1" applyBorder="1" applyAlignment="1">
      <alignment horizontal="center" vertical="center"/>
      <protection/>
    </xf>
    <xf numFmtId="165" fontId="3" fillId="0" borderId="0" xfId="154" applyNumberFormat="1" applyFont="1" applyFill="1" applyBorder="1" applyAlignment="1">
      <alignment horizontal="center" vertical="center"/>
      <protection/>
    </xf>
    <xf numFmtId="2" fontId="3" fillId="0" borderId="27" xfId="154" applyNumberFormat="1" applyFont="1" applyFill="1" applyBorder="1" applyAlignment="1">
      <alignment horizontal="center" vertical="center"/>
      <protection/>
    </xf>
    <xf numFmtId="165" fontId="3" fillId="71" borderId="0" xfId="154" applyNumberFormat="1" applyFont="1" applyFill="1" applyBorder="1" applyAlignment="1">
      <alignment horizontal="right" vertical="center" wrapText="1"/>
      <protection/>
    </xf>
    <xf numFmtId="165" fontId="3" fillId="71" borderId="27" xfId="154" applyNumberFormat="1" applyFont="1" applyFill="1" applyBorder="1" applyAlignment="1">
      <alignment horizontal="center" vertical="center"/>
      <protection/>
    </xf>
    <xf numFmtId="165" fontId="17" fillId="71" borderId="46" xfId="154" applyNumberFormat="1" applyFont="1" applyFill="1" applyBorder="1" applyAlignment="1">
      <alignment horizontal="right" vertical="center"/>
      <protection/>
    </xf>
    <xf numFmtId="165" fontId="3" fillId="0" borderId="30" xfId="154" applyNumberFormat="1" applyFont="1" applyFill="1" applyBorder="1" applyAlignment="1">
      <alignment horizontal="right" vertical="center"/>
      <protection/>
    </xf>
    <xf numFmtId="2" fontId="3" fillId="0" borderId="30" xfId="154" applyNumberFormat="1" applyFont="1" applyFill="1" applyBorder="1" applyAlignment="1">
      <alignment horizontal="right" vertical="center"/>
      <protection/>
    </xf>
    <xf numFmtId="165" fontId="3" fillId="8" borderId="45" xfId="154" applyNumberFormat="1" applyFont="1" applyFill="1" applyBorder="1" applyAlignment="1">
      <alignment horizontal="right" vertical="center"/>
      <protection/>
    </xf>
    <xf numFmtId="2" fontId="3" fillId="8" borderId="30" xfId="154" applyNumberFormat="1" applyFont="1" applyFill="1" applyBorder="1" applyAlignment="1">
      <alignment horizontal="right" vertical="center"/>
      <protection/>
    </xf>
    <xf numFmtId="165" fontId="3" fillId="0" borderId="0" xfId="154" applyNumberFormat="1" applyFont="1" applyBorder="1" applyAlignment="1">
      <alignment horizontal="center" vertical="center"/>
      <protection/>
    </xf>
    <xf numFmtId="2" fontId="3" fillId="0" borderId="27" xfId="154" applyNumberFormat="1" applyFont="1" applyBorder="1" applyAlignment="1">
      <alignment horizontal="center" vertical="center"/>
      <protection/>
    </xf>
    <xf numFmtId="165" fontId="17" fillId="70" borderId="0" xfId="154" applyNumberFormat="1" applyFont="1" applyFill="1" applyBorder="1" applyAlignment="1">
      <alignment horizontal="right" vertical="center"/>
      <protection/>
    </xf>
    <xf numFmtId="2" fontId="17" fillId="70" borderId="27" xfId="154" applyNumberFormat="1" applyFont="1" applyFill="1" applyBorder="1" applyAlignment="1">
      <alignment horizontal="right" vertical="center"/>
      <protection/>
    </xf>
    <xf numFmtId="165" fontId="3" fillId="8" borderId="0" xfId="154" applyNumberFormat="1" applyFont="1" applyFill="1" applyBorder="1" applyAlignment="1">
      <alignment horizontal="center" vertical="center"/>
      <protection/>
    </xf>
    <xf numFmtId="2" fontId="3" fillId="8" borderId="27" xfId="154" applyNumberFormat="1" applyFont="1" applyFill="1" applyBorder="1" applyAlignment="1">
      <alignment horizontal="center" vertical="center"/>
      <protection/>
    </xf>
    <xf numFmtId="165" fontId="3" fillId="8" borderId="46" xfId="154" applyNumberFormat="1" applyFont="1" applyFill="1" applyBorder="1" applyAlignment="1">
      <alignment horizontal="right" vertical="center"/>
      <protection/>
    </xf>
    <xf numFmtId="165" fontId="18" fillId="8" borderId="28" xfId="154" applyNumberFormat="1" applyFont="1" applyFill="1" applyBorder="1" applyAlignment="1">
      <alignment vertical="center"/>
      <protection/>
    </xf>
    <xf numFmtId="0" fontId="4" fillId="8" borderId="29" xfId="154" applyFont="1" applyFill="1" applyBorder="1" applyAlignment="1">
      <alignment horizontal="center" vertical="center"/>
      <protection/>
    </xf>
    <xf numFmtId="165" fontId="18" fillId="8" borderId="27" xfId="154" applyNumberFormat="1" applyFont="1" applyFill="1" applyBorder="1" applyAlignment="1">
      <alignment horizontal="right" vertical="center"/>
      <protection/>
    </xf>
    <xf numFmtId="0" fontId="4" fillId="8" borderId="39" xfId="154" applyFont="1" applyFill="1" applyBorder="1" applyAlignment="1">
      <alignment horizontal="center" vertical="center"/>
      <protection/>
    </xf>
    <xf numFmtId="165" fontId="18" fillId="8" borderId="22" xfId="154" applyNumberFormat="1" applyFont="1" applyFill="1" applyBorder="1" applyAlignment="1">
      <alignment horizontal="right" vertical="center"/>
      <protection/>
    </xf>
    <xf numFmtId="165" fontId="4" fillId="8" borderId="22" xfId="154" applyNumberFormat="1" applyFont="1" applyFill="1" applyBorder="1" applyAlignment="1">
      <alignment horizontal="right"/>
      <protection/>
    </xf>
    <xf numFmtId="0" fontId="3" fillId="0" borderId="0" xfId="154" applyFont="1" applyAlignment="1">
      <alignment horizontal="center" vertical="top"/>
      <protection/>
    </xf>
    <xf numFmtId="49" fontId="4" fillId="0" borderId="0" xfId="154" applyNumberFormat="1" applyFont="1" applyBorder="1" applyAlignment="1">
      <alignment horizontal="left" wrapText="1"/>
      <protection/>
    </xf>
    <xf numFmtId="49" fontId="4" fillId="0" borderId="0" xfId="154" applyNumberFormat="1" applyFont="1" applyBorder="1" applyAlignment="1">
      <alignment horizontal="left"/>
      <protection/>
    </xf>
    <xf numFmtId="165" fontId="3" fillId="72" borderId="13" xfId="154" applyNumberFormat="1" applyFont="1" applyFill="1" applyBorder="1" applyAlignment="1">
      <alignment horizontal="right" vertical="center"/>
      <protection/>
    </xf>
    <xf numFmtId="165" fontId="3" fillId="72" borderId="29" xfId="154" applyNumberFormat="1" applyFont="1" applyFill="1" applyBorder="1" applyAlignment="1">
      <alignment horizontal="center" vertical="center"/>
      <protection/>
    </xf>
    <xf numFmtId="165" fontId="3" fillId="72" borderId="0" xfId="154" applyNumberFormat="1" applyFont="1" applyFill="1" applyBorder="1" applyAlignment="1">
      <alignment horizontal="center" vertical="center"/>
      <protection/>
    </xf>
    <xf numFmtId="165" fontId="3" fillId="72" borderId="38" xfId="154" applyNumberFormat="1" applyFont="1" applyFill="1" applyBorder="1" applyAlignment="1">
      <alignment horizontal="center" vertical="center"/>
      <protection/>
    </xf>
    <xf numFmtId="165" fontId="3" fillId="72" borderId="29" xfId="154" applyNumberFormat="1" applyFont="1" applyFill="1" applyBorder="1" applyAlignment="1">
      <alignment horizontal="right" vertical="center"/>
      <protection/>
    </xf>
    <xf numFmtId="165" fontId="3" fillId="72" borderId="0" xfId="154" applyNumberFormat="1" applyFont="1" applyFill="1" applyBorder="1" applyAlignment="1">
      <alignment horizontal="right" vertical="center"/>
      <protection/>
    </xf>
    <xf numFmtId="165" fontId="3" fillId="72" borderId="13" xfId="154" applyNumberFormat="1" applyFont="1" applyFill="1" applyBorder="1" applyAlignment="1">
      <alignment horizontal="center" vertical="center"/>
      <protection/>
    </xf>
    <xf numFmtId="165" fontId="3" fillId="71" borderId="47" xfId="154" applyNumberFormat="1" applyFont="1" applyFill="1" applyBorder="1" applyAlignment="1">
      <alignment horizontal="right" vertical="center"/>
      <protection/>
    </xf>
    <xf numFmtId="2" fontId="3" fillId="71" borderId="49" xfId="154" applyNumberFormat="1" applyFont="1" applyFill="1" applyBorder="1" applyAlignment="1">
      <alignment horizontal="right" vertical="center"/>
      <protection/>
    </xf>
    <xf numFmtId="165" fontId="17" fillId="72" borderId="0" xfId="154" applyNumberFormat="1" applyFont="1" applyFill="1" applyBorder="1" applyAlignment="1">
      <alignment horizontal="center" vertical="center"/>
      <protection/>
    </xf>
    <xf numFmtId="2" fontId="3" fillId="0" borderId="50" xfId="154" applyNumberFormat="1" applyFont="1" applyBorder="1" applyAlignment="1">
      <alignment horizontal="right" vertical="center"/>
      <protection/>
    </xf>
    <xf numFmtId="165" fontId="4" fillId="8" borderId="28" xfId="154" applyNumberFormat="1" applyFont="1" applyFill="1" applyBorder="1" applyAlignment="1">
      <alignment vertical="center"/>
      <protection/>
    </xf>
    <xf numFmtId="165" fontId="4" fillId="72" borderId="13" xfId="154" applyNumberFormat="1" applyFont="1" applyFill="1" applyBorder="1" applyAlignment="1">
      <alignment horizontal="center" vertical="center"/>
      <protection/>
    </xf>
    <xf numFmtId="165" fontId="4" fillId="8" borderId="13" xfId="154" applyNumberFormat="1" applyFont="1" applyFill="1" applyBorder="1" applyAlignment="1">
      <alignment vertical="center"/>
      <protection/>
    </xf>
    <xf numFmtId="165" fontId="18" fillId="8" borderId="13" xfId="154" applyNumberFormat="1" applyFont="1" applyFill="1" applyBorder="1" applyAlignment="1">
      <alignment vertical="center"/>
      <protection/>
    </xf>
    <xf numFmtId="165" fontId="4" fillId="8" borderId="47" xfId="154" applyNumberFormat="1" applyFont="1" applyFill="1" applyBorder="1" applyAlignment="1">
      <alignment vertical="center"/>
      <protection/>
    </xf>
    <xf numFmtId="2" fontId="4" fillId="8" borderId="28" xfId="154" applyNumberFormat="1" applyFont="1" applyFill="1" applyBorder="1" applyAlignment="1">
      <alignment vertical="center"/>
      <protection/>
    </xf>
    <xf numFmtId="165" fontId="4" fillId="8" borderId="27" xfId="154" applyNumberFormat="1" applyFont="1" applyFill="1" applyBorder="1" applyAlignment="1">
      <alignment horizontal="right" vertical="center"/>
      <protection/>
    </xf>
    <xf numFmtId="165" fontId="4" fillId="72" borderId="29" xfId="154" applyNumberFormat="1" applyFont="1" applyFill="1" applyBorder="1" applyAlignment="1">
      <alignment horizontal="center" vertical="center"/>
      <protection/>
    </xf>
    <xf numFmtId="165" fontId="4" fillId="72" borderId="0" xfId="154" applyNumberFormat="1" applyFont="1" applyFill="1" applyBorder="1" applyAlignment="1">
      <alignment horizontal="center" vertical="center"/>
      <protection/>
    </xf>
    <xf numFmtId="165" fontId="4" fillId="8" borderId="0" xfId="154" applyNumberFormat="1" applyFont="1" applyFill="1" applyBorder="1" applyAlignment="1">
      <alignment horizontal="right" vertical="center"/>
      <protection/>
    </xf>
    <xf numFmtId="165" fontId="4" fillId="8" borderId="30" xfId="154" applyNumberFormat="1" applyFont="1" applyFill="1" applyBorder="1" applyAlignment="1">
      <alignment horizontal="right" vertical="center"/>
      <protection/>
    </xf>
    <xf numFmtId="2" fontId="4" fillId="8" borderId="27" xfId="154" applyNumberFormat="1" applyFont="1" applyFill="1" applyBorder="1" applyAlignment="1">
      <alignment horizontal="right" vertical="center"/>
      <protection/>
    </xf>
    <xf numFmtId="165" fontId="4" fillId="8" borderId="22" xfId="154" applyNumberFormat="1" applyFont="1" applyFill="1" applyBorder="1" applyAlignment="1">
      <alignment horizontal="right" vertical="center"/>
      <protection/>
    </xf>
    <xf numFmtId="165" fontId="18" fillId="72" borderId="38" xfId="154" applyNumberFormat="1" applyFont="1" applyFill="1" applyBorder="1" applyAlignment="1">
      <alignment horizontal="center" vertical="center"/>
      <protection/>
    </xf>
    <xf numFmtId="165" fontId="4" fillId="8" borderId="38" xfId="154" applyNumberFormat="1" applyFont="1" applyFill="1" applyBorder="1" applyAlignment="1">
      <alignment horizontal="right" vertical="center"/>
      <protection/>
    </xf>
    <xf numFmtId="165" fontId="18" fillId="8" borderId="38" xfId="154" applyNumberFormat="1" applyFont="1" applyFill="1" applyBorder="1" applyAlignment="1">
      <alignment horizontal="right" vertical="center"/>
      <protection/>
    </xf>
    <xf numFmtId="165" fontId="4" fillId="8" borderId="40" xfId="154" applyNumberFormat="1" applyFont="1" applyFill="1" applyBorder="1" applyAlignment="1">
      <alignment horizontal="right" vertical="center"/>
      <protection/>
    </xf>
    <xf numFmtId="2" fontId="4" fillId="8" borderId="22" xfId="154" applyNumberFormat="1" applyFont="1" applyFill="1" applyBorder="1" applyAlignment="1">
      <alignment horizontal="right" vertical="center"/>
      <protection/>
    </xf>
    <xf numFmtId="1" fontId="4" fillId="72" borderId="13" xfId="154" applyNumberFormat="1" applyFont="1" applyFill="1" applyBorder="1" applyAlignment="1">
      <alignment horizontal="center" wrapText="1"/>
      <protection/>
    </xf>
    <xf numFmtId="1" fontId="4" fillId="72" borderId="38" xfId="154" applyNumberFormat="1" applyFont="1" applyFill="1" applyBorder="1" applyAlignment="1">
      <alignment horizontal="center" wrapText="1"/>
      <protection/>
    </xf>
    <xf numFmtId="0" fontId="8" fillId="0" borderId="0" xfId="154" applyFont="1">
      <alignment/>
      <protection/>
    </xf>
    <xf numFmtId="0" fontId="117" fillId="0" borderId="0" xfId="154" applyFont="1">
      <alignment/>
      <protection/>
    </xf>
    <xf numFmtId="165" fontId="4" fillId="0" borderId="0" xfId="154" applyNumberFormat="1" applyFont="1" applyBorder="1" applyAlignment="1">
      <alignment horizontal="center" vertical="top"/>
      <protection/>
    </xf>
    <xf numFmtId="0" fontId="4" fillId="71" borderId="22" xfId="0" applyFont="1" applyFill="1" applyBorder="1" applyAlignment="1">
      <alignment horizontal="center" vertical="center"/>
    </xf>
    <xf numFmtId="165" fontId="17" fillId="71" borderId="38" xfId="0" applyNumberFormat="1" applyFont="1" applyFill="1" applyBorder="1" applyAlignment="1">
      <alignment horizontal="right" vertical="center"/>
    </xf>
    <xf numFmtId="2" fontId="3" fillId="0" borderId="22" xfId="154" applyNumberFormat="1" applyFont="1" applyFill="1" applyBorder="1" applyAlignment="1">
      <alignment horizontal="center" vertical="center"/>
      <protection/>
    </xf>
    <xf numFmtId="165" fontId="3" fillId="0" borderId="38" xfId="154" applyNumberFormat="1" applyFont="1" applyFill="1" applyBorder="1" applyAlignment="1">
      <alignment horizontal="center" vertical="center"/>
      <protection/>
    </xf>
    <xf numFmtId="165" fontId="3" fillId="0" borderId="22" xfId="154" applyNumberFormat="1" applyFont="1" applyFill="1" applyBorder="1" applyAlignment="1">
      <alignment horizontal="center" vertical="center"/>
      <protection/>
    </xf>
    <xf numFmtId="169" fontId="3" fillId="0" borderId="13" xfId="0" applyNumberFormat="1" applyFont="1" applyFill="1" applyBorder="1" applyAlignment="1">
      <alignment horizontal="center" vertical="center"/>
    </xf>
    <xf numFmtId="165" fontId="3" fillId="72" borderId="38" xfId="154" applyNumberFormat="1" applyFont="1" applyFill="1" applyBorder="1" applyAlignment="1">
      <alignment horizontal="center" vertical="center"/>
      <protection/>
    </xf>
    <xf numFmtId="174" fontId="3" fillId="0" borderId="40" xfId="0" applyNumberFormat="1" applyFont="1" applyFill="1" applyBorder="1" applyAlignment="1">
      <alignment horizontal="center" vertical="center"/>
    </xf>
    <xf numFmtId="174" fontId="3" fillId="0" borderId="38" xfId="0" applyNumberFormat="1" applyFont="1" applyFill="1" applyBorder="1" applyAlignment="1">
      <alignment horizontal="center" vertical="center"/>
    </xf>
    <xf numFmtId="174" fontId="3" fillId="0" borderId="39" xfId="0" applyNumberFormat="1" applyFont="1" applyFill="1" applyBorder="1" applyAlignment="1">
      <alignment horizontal="center" vertical="center"/>
    </xf>
    <xf numFmtId="174" fontId="4" fillId="0" borderId="22" xfId="0" applyNumberFormat="1" applyFont="1" applyFill="1" applyBorder="1" applyAlignment="1">
      <alignment horizontal="center" vertical="center"/>
    </xf>
    <xf numFmtId="174" fontId="3" fillId="0" borderId="30" xfId="0" applyNumberFormat="1" applyFont="1" applyFill="1" applyBorder="1" applyAlignment="1">
      <alignment horizontal="center" vertical="center"/>
    </xf>
    <xf numFmtId="174" fontId="3" fillId="0" borderId="0" xfId="0" applyNumberFormat="1" applyFont="1" applyFill="1" applyBorder="1" applyAlignment="1">
      <alignment horizontal="center" vertical="center"/>
    </xf>
    <xf numFmtId="174" fontId="3" fillId="0" borderId="29" xfId="0" applyNumberFormat="1" applyFont="1" applyFill="1" applyBorder="1" applyAlignment="1">
      <alignment horizontal="center" vertical="center"/>
    </xf>
    <xf numFmtId="174" fontId="4" fillId="0" borderId="27" xfId="0" applyNumberFormat="1" applyFont="1" applyFill="1" applyBorder="1" applyAlignment="1">
      <alignment horizontal="center" vertical="center"/>
    </xf>
    <xf numFmtId="174" fontId="3" fillId="0" borderId="51" xfId="0" applyNumberFormat="1" applyFont="1" applyFill="1" applyBorder="1" applyAlignment="1">
      <alignment horizontal="center" vertical="center"/>
    </xf>
    <xf numFmtId="174" fontId="3" fillId="0" borderId="42" xfId="0" applyNumberFormat="1" applyFont="1" applyFill="1" applyBorder="1" applyAlignment="1">
      <alignment horizontal="center" vertical="center"/>
    </xf>
    <xf numFmtId="168" fontId="3" fillId="0" borderId="29" xfId="0" applyNumberFormat="1" applyFont="1" applyBorder="1" applyAlignment="1">
      <alignment horizontal="right" vertical="center"/>
    </xf>
    <xf numFmtId="2" fontId="3" fillId="0" borderId="0" xfId="0" applyNumberFormat="1" applyFont="1" applyFill="1" applyBorder="1" applyAlignment="1">
      <alignment horizontal="right" vertical="center"/>
    </xf>
    <xf numFmtId="165" fontId="3" fillId="0" borderId="0" xfId="154" applyNumberFormat="1" applyFont="1" applyBorder="1" applyAlignment="1">
      <alignment vertical="top"/>
      <protection/>
    </xf>
    <xf numFmtId="165" fontId="17" fillId="0" borderId="38" xfId="0" applyNumberFormat="1" applyFont="1" applyFill="1" applyBorder="1" applyAlignment="1">
      <alignment horizontal="center" vertical="center"/>
    </xf>
    <xf numFmtId="2" fontId="3" fillId="0" borderId="52" xfId="0" applyNumberFormat="1" applyFont="1" applyFill="1" applyBorder="1" applyAlignment="1">
      <alignment horizontal="right" vertical="center"/>
    </xf>
    <xf numFmtId="165" fontId="3" fillId="0" borderId="52" xfId="0" applyNumberFormat="1" applyFont="1" applyBorder="1" applyAlignment="1">
      <alignment horizontal="center" vertical="center"/>
    </xf>
    <xf numFmtId="1" fontId="4" fillId="68" borderId="38" xfId="154" applyNumberFormat="1" applyFont="1" applyFill="1" applyBorder="1" applyAlignment="1">
      <alignment horizontal="center"/>
      <protection/>
    </xf>
    <xf numFmtId="174" fontId="18" fillId="8" borderId="38" xfId="154" applyNumberFormat="1" applyFont="1" applyFill="1" applyBorder="1" applyAlignment="1">
      <alignment horizontal="right"/>
      <protection/>
    </xf>
    <xf numFmtId="174" fontId="18" fillId="8" borderId="13" xfId="154" applyNumberFormat="1" applyFont="1" applyFill="1" applyBorder="1" applyAlignment="1">
      <alignment horizontal="right"/>
      <protection/>
    </xf>
    <xf numFmtId="165" fontId="3" fillId="0" borderId="13" xfId="154" applyNumberFormat="1" applyFont="1" applyFill="1" applyBorder="1" applyAlignment="1">
      <alignment horizontal="right" vertical="center"/>
      <protection/>
    </xf>
    <xf numFmtId="165" fontId="3" fillId="71" borderId="38" xfId="154" applyNumberFormat="1" applyFont="1" applyFill="1" applyBorder="1" applyAlignment="1">
      <alignment horizontal="right" vertical="center"/>
      <protection/>
    </xf>
    <xf numFmtId="165" fontId="3" fillId="71" borderId="13" xfId="154" applyNumberFormat="1" applyFont="1" applyFill="1" applyBorder="1" applyAlignment="1">
      <alignment horizontal="right" vertical="center"/>
      <protection/>
    </xf>
    <xf numFmtId="165" fontId="18" fillId="8" borderId="38" xfId="154" applyNumberFormat="1" applyFont="1" applyFill="1" applyBorder="1" applyAlignment="1">
      <alignment horizontal="right"/>
      <protection/>
    </xf>
    <xf numFmtId="165" fontId="18" fillId="8" borderId="13" xfId="154" applyNumberFormat="1" applyFont="1" applyFill="1" applyBorder="1" applyAlignment="1">
      <alignment horizontal="right"/>
      <protection/>
    </xf>
    <xf numFmtId="165" fontId="17" fillId="71" borderId="13" xfId="154" applyNumberFormat="1" applyFont="1" applyFill="1" applyBorder="1" applyAlignment="1">
      <alignment horizontal="right" vertical="center"/>
      <protection/>
    </xf>
    <xf numFmtId="49" fontId="4" fillId="0" borderId="38" xfId="154" applyNumberFormat="1" applyFont="1" applyBorder="1" applyAlignment="1">
      <alignment horizontal="left"/>
      <protection/>
    </xf>
    <xf numFmtId="178" fontId="3" fillId="0" borderId="0" xfId="154" applyNumberFormat="1" applyFont="1" applyAlignment="1">
      <alignment vertical="top"/>
      <protection/>
    </xf>
    <xf numFmtId="178" fontId="3" fillId="0" borderId="0" xfId="154" applyNumberFormat="1" applyFont="1">
      <alignment/>
      <protection/>
    </xf>
    <xf numFmtId="179" fontId="3" fillId="0" borderId="0" xfId="154" applyNumberFormat="1" applyFont="1">
      <alignment/>
      <protection/>
    </xf>
    <xf numFmtId="1" fontId="3" fillId="0" borderId="0" xfId="154" applyNumberFormat="1" applyFont="1">
      <alignment/>
      <protection/>
    </xf>
    <xf numFmtId="165" fontId="3" fillId="0" borderId="38" xfId="154" applyNumberFormat="1" applyFont="1" applyFill="1" applyBorder="1" applyAlignment="1">
      <alignment horizontal="center" vertical="center"/>
      <protection/>
    </xf>
    <xf numFmtId="165" fontId="3" fillId="71" borderId="38" xfId="154" applyNumberFormat="1" applyFont="1" applyFill="1" applyBorder="1" applyAlignment="1">
      <alignment horizontal="center" vertical="center"/>
      <protection/>
    </xf>
    <xf numFmtId="165" fontId="17" fillId="8" borderId="45" xfId="154" applyNumberFormat="1" applyFont="1" applyFill="1" applyBorder="1" applyAlignment="1">
      <alignment horizontal="right" vertical="center"/>
      <protection/>
    </xf>
    <xf numFmtId="2" fontId="3" fillId="0" borderId="0" xfId="154" applyNumberFormat="1" applyFont="1">
      <alignment/>
      <protection/>
    </xf>
    <xf numFmtId="165" fontId="3" fillId="0" borderId="45" xfId="154" applyNumberFormat="1" applyFont="1" applyBorder="1" applyAlignment="1">
      <alignment horizontal="right" vertical="center"/>
      <protection/>
    </xf>
    <xf numFmtId="165" fontId="17" fillId="71" borderId="29" xfId="154" applyNumberFormat="1" applyFont="1" applyFill="1" applyBorder="1" applyAlignment="1">
      <alignment horizontal="right" vertical="center"/>
      <protection/>
    </xf>
    <xf numFmtId="49" fontId="4" fillId="0" borderId="0" xfId="154" applyNumberFormat="1" applyFont="1" applyBorder="1" applyAlignment="1">
      <alignment horizontal="left" wrapText="1"/>
      <protection/>
    </xf>
    <xf numFmtId="165" fontId="4" fillId="8" borderId="38" xfId="154" applyNumberFormat="1" applyFont="1" applyFill="1" applyBorder="1" applyAlignment="1">
      <alignment horizontal="right" vertical="center"/>
      <protection/>
    </xf>
    <xf numFmtId="165" fontId="4" fillId="8" borderId="13" xfId="154" applyNumberFormat="1" applyFont="1" applyFill="1" applyBorder="1" applyAlignment="1">
      <alignment vertical="center"/>
      <protection/>
    </xf>
    <xf numFmtId="165" fontId="4" fillId="72" borderId="13" xfId="154" applyNumberFormat="1" applyFont="1" applyFill="1" applyBorder="1" applyAlignment="1">
      <alignment horizontal="center" vertical="center"/>
      <protection/>
    </xf>
    <xf numFmtId="165" fontId="3" fillId="72" borderId="13" xfId="154" applyNumberFormat="1" applyFont="1" applyFill="1" applyBorder="1" applyAlignment="1">
      <alignment horizontal="center" vertical="center"/>
      <protection/>
    </xf>
    <xf numFmtId="165" fontId="3" fillId="72" borderId="13" xfId="154" applyNumberFormat="1" applyFont="1" applyFill="1" applyBorder="1" applyAlignment="1">
      <alignment horizontal="right" vertical="center"/>
      <protection/>
    </xf>
    <xf numFmtId="1" fontId="4" fillId="72" borderId="0" xfId="154" applyNumberFormat="1" applyFont="1" applyFill="1" applyBorder="1" applyAlignment="1">
      <alignment horizontal="center" wrapText="1"/>
      <protection/>
    </xf>
    <xf numFmtId="165" fontId="4" fillId="72" borderId="48" xfId="154" applyNumberFormat="1" applyFont="1" applyFill="1" applyBorder="1" applyAlignment="1">
      <alignment horizontal="center" vertical="center"/>
      <protection/>
    </xf>
    <xf numFmtId="165" fontId="3" fillId="72" borderId="48" xfId="154" applyNumberFormat="1" applyFont="1" applyFill="1" applyBorder="1" applyAlignment="1">
      <alignment horizontal="center" vertical="center"/>
      <protection/>
    </xf>
    <xf numFmtId="165" fontId="3" fillId="72" borderId="48" xfId="154" applyNumberFormat="1" applyFont="1" applyFill="1" applyBorder="1" applyAlignment="1">
      <alignment horizontal="right" vertical="center"/>
      <protection/>
    </xf>
    <xf numFmtId="165" fontId="3" fillId="72" borderId="45" xfId="154" applyNumberFormat="1" applyFont="1" applyFill="1" applyBorder="1" applyAlignment="1">
      <alignment horizontal="center" vertical="center"/>
      <protection/>
    </xf>
    <xf numFmtId="174" fontId="3" fillId="0" borderId="13" xfId="0" applyNumberFormat="1" applyFont="1" applyFill="1" applyBorder="1" applyAlignment="1">
      <alignment horizontal="center" vertical="center"/>
    </xf>
    <xf numFmtId="174" fontId="3" fillId="0" borderId="0" xfId="0" applyNumberFormat="1" applyFont="1" applyFill="1" applyBorder="1" applyAlignment="1">
      <alignment horizontal="center" vertical="center"/>
    </xf>
    <xf numFmtId="165" fontId="3" fillId="0" borderId="53" xfId="154" applyNumberFormat="1" applyFont="1" applyBorder="1" applyAlignment="1">
      <alignment horizontal="right" vertical="center"/>
      <protection/>
    </xf>
    <xf numFmtId="165" fontId="17" fillId="0" borderId="0" xfId="154" applyNumberFormat="1" applyFont="1" applyBorder="1" applyAlignment="1">
      <alignment vertical="top"/>
      <protection/>
    </xf>
    <xf numFmtId="165" fontId="3" fillId="71" borderId="22" xfId="154" applyNumberFormat="1" applyFont="1" applyFill="1" applyBorder="1" applyAlignment="1">
      <alignment horizontal="right" vertical="center"/>
      <protection/>
    </xf>
    <xf numFmtId="2" fontId="17" fillId="0" borderId="30" xfId="0" applyNumberFormat="1" applyFont="1" applyFill="1" applyBorder="1" applyAlignment="1">
      <alignment horizontal="right" vertical="center"/>
    </xf>
    <xf numFmtId="165" fontId="17" fillId="0" borderId="38" xfId="154" applyNumberFormat="1" applyFont="1" applyFill="1" applyBorder="1" applyAlignment="1">
      <alignment horizontal="right" vertical="center"/>
      <protection/>
    </xf>
    <xf numFmtId="178" fontId="3" fillId="0" borderId="0" xfId="154" applyNumberFormat="1" applyFont="1" applyBorder="1" applyAlignment="1">
      <alignment horizontal="right" vertical="center"/>
      <protection/>
    </xf>
    <xf numFmtId="165" fontId="3" fillId="0" borderId="53" xfId="154" applyNumberFormat="1" applyFont="1" applyBorder="1">
      <alignment/>
      <protection/>
    </xf>
    <xf numFmtId="0" fontId="3" fillId="0" borderId="0" xfId="154" applyFont="1" applyBorder="1">
      <alignment/>
      <protection/>
    </xf>
    <xf numFmtId="165" fontId="18" fillId="8" borderId="39" xfId="154" applyNumberFormat="1" applyFont="1" applyFill="1" applyBorder="1" applyAlignment="1">
      <alignment horizontal="right"/>
      <protection/>
    </xf>
    <xf numFmtId="165" fontId="18" fillId="8" borderId="29" xfId="154" applyNumberFormat="1" applyFont="1" applyFill="1" applyBorder="1" applyAlignment="1">
      <alignment horizontal="right"/>
      <protection/>
    </xf>
    <xf numFmtId="165" fontId="3" fillId="0" borderId="29" xfId="154" applyNumberFormat="1" applyFont="1" applyBorder="1" applyAlignment="1">
      <alignment horizontal="right" vertical="center"/>
      <protection/>
    </xf>
    <xf numFmtId="165" fontId="18" fillId="8" borderId="48" xfId="154" applyNumberFormat="1" applyFont="1" applyFill="1" applyBorder="1" applyAlignment="1">
      <alignment horizontal="right"/>
      <protection/>
    </xf>
    <xf numFmtId="165" fontId="17" fillId="0" borderId="29" xfId="154" applyNumberFormat="1" applyFont="1" applyBorder="1" applyAlignment="1">
      <alignment horizontal="right" vertical="center"/>
      <protection/>
    </xf>
    <xf numFmtId="165" fontId="3" fillId="8" borderId="29" xfId="154" applyNumberFormat="1" applyFont="1" applyFill="1" applyBorder="1" applyAlignment="1">
      <alignment horizontal="right" vertical="center"/>
      <protection/>
    </xf>
    <xf numFmtId="165" fontId="3" fillId="70" borderId="29" xfId="154" applyNumberFormat="1" applyFont="1" applyFill="1" applyBorder="1" applyAlignment="1">
      <alignment horizontal="right" vertical="center"/>
      <protection/>
    </xf>
    <xf numFmtId="165" fontId="17" fillId="8" borderId="29" xfId="154" applyNumberFormat="1" applyFont="1" applyFill="1" applyBorder="1" applyAlignment="1">
      <alignment horizontal="right" vertical="center"/>
      <protection/>
    </xf>
    <xf numFmtId="165" fontId="3" fillId="71" borderId="29" xfId="154" applyNumberFormat="1" applyFont="1" applyFill="1" applyBorder="1" applyAlignment="1">
      <alignment horizontal="right" vertical="center"/>
      <protection/>
    </xf>
    <xf numFmtId="165" fontId="17" fillId="0" borderId="29" xfId="154" applyNumberFormat="1" applyFont="1" applyFill="1" applyBorder="1" applyAlignment="1">
      <alignment horizontal="right" vertical="center"/>
      <protection/>
    </xf>
    <xf numFmtId="165" fontId="17" fillId="71" borderId="48" xfId="154" applyNumberFormat="1" applyFont="1" applyFill="1" applyBorder="1" applyAlignment="1">
      <alignment horizontal="right" vertical="center"/>
      <protection/>
    </xf>
    <xf numFmtId="165" fontId="17" fillId="0" borderId="29" xfId="154" applyNumberFormat="1" applyFont="1" applyBorder="1" applyAlignment="1">
      <alignment vertical="top"/>
      <protection/>
    </xf>
    <xf numFmtId="165" fontId="3" fillId="71" borderId="39" xfId="154" applyNumberFormat="1" applyFont="1" applyFill="1" applyBorder="1" applyAlignment="1">
      <alignment horizontal="right" vertical="center"/>
      <protection/>
    </xf>
    <xf numFmtId="165" fontId="3" fillId="71" borderId="48" xfId="154" applyNumberFormat="1" applyFont="1" applyFill="1" applyBorder="1" applyAlignment="1">
      <alignment horizontal="right" vertical="center"/>
      <protection/>
    </xf>
    <xf numFmtId="165" fontId="3" fillId="8" borderId="27" xfId="154" applyNumberFormat="1" applyFont="1" applyFill="1" applyBorder="1" applyAlignment="1">
      <alignment horizontal="right"/>
      <protection/>
    </xf>
    <xf numFmtId="49" fontId="4" fillId="0" borderId="0" xfId="154" applyNumberFormat="1" applyFont="1" applyBorder="1" applyAlignment="1">
      <alignment horizontal="left" wrapText="1"/>
      <protection/>
    </xf>
    <xf numFmtId="179" fontId="3" fillId="0" borderId="0" xfId="154" applyNumberFormat="1" applyFont="1" applyAlignment="1">
      <alignment horizontal="left" vertical="top" wrapText="1"/>
      <protection/>
    </xf>
    <xf numFmtId="165" fontId="18" fillId="72" borderId="39" xfId="154" applyNumberFormat="1" applyFont="1" applyFill="1" applyBorder="1" applyAlignment="1">
      <alignment horizontal="center" vertical="center"/>
      <protection/>
    </xf>
    <xf numFmtId="165" fontId="3" fillId="72" borderId="39" xfId="154" applyNumberFormat="1" applyFont="1" applyFill="1" applyBorder="1" applyAlignment="1">
      <alignment horizontal="center" vertical="center"/>
      <protection/>
    </xf>
    <xf numFmtId="165" fontId="18" fillId="72" borderId="38" xfId="154" applyNumberFormat="1" applyFont="1" applyFill="1" applyBorder="1" applyAlignment="1">
      <alignment horizontal="center" vertical="center"/>
      <protection/>
    </xf>
    <xf numFmtId="3" fontId="80" fillId="0" borderId="0" xfId="149" applyNumberFormat="1" applyFont="1" applyBorder="1" applyAlignment="1">
      <alignment horizontal="right"/>
      <protection/>
    </xf>
    <xf numFmtId="3" fontId="80" fillId="0" borderId="0" xfId="149" applyNumberFormat="1" applyFont="1" applyFill="1" applyBorder="1" applyAlignment="1">
      <alignment horizontal="right"/>
      <protection/>
    </xf>
    <xf numFmtId="165" fontId="17" fillId="0" borderId="45" xfId="154" applyNumberFormat="1" applyFont="1" applyFill="1" applyBorder="1">
      <alignment/>
      <protection/>
    </xf>
    <xf numFmtId="165" fontId="17" fillId="0" borderId="45" xfId="154" applyNumberFormat="1" applyFont="1" applyFill="1" applyBorder="1" applyAlignment="1">
      <alignment horizontal="right" vertical="center"/>
      <protection/>
    </xf>
    <xf numFmtId="0" fontId="4" fillId="0" borderId="0" xfId="0" applyFont="1" applyBorder="1" applyAlignment="1">
      <alignment horizontal="left" wrapText="1"/>
    </xf>
    <xf numFmtId="0" fontId="23" fillId="8" borderId="47" xfId="0" applyFont="1" applyFill="1" applyBorder="1" applyAlignment="1">
      <alignment horizontal="center" vertical="center"/>
    </xf>
    <xf numFmtId="174" fontId="3" fillId="0" borderId="47" xfId="0" applyNumberFormat="1" applyFont="1" applyFill="1" applyBorder="1" applyAlignment="1">
      <alignment horizontal="center" vertical="center"/>
    </xf>
    <xf numFmtId="174" fontId="17" fillId="0" borderId="13" xfId="0" applyNumberFormat="1" applyFont="1" applyFill="1" applyBorder="1" applyAlignment="1">
      <alignment horizontal="center" vertical="center"/>
    </xf>
    <xf numFmtId="174" fontId="18" fillId="0" borderId="28" xfId="0" applyNumberFormat="1" applyFont="1" applyFill="1" applyBorder="1" applyAlignment="1">
      <alignment horizontal="center" vertical="center"/>
    </xf>
    <xf numFmtId="165" fontId="18" fillId="0" borderId="29" xfId="0" applyNumberFormat="1" applyFont="1" applyFill="1" applyBorder="1" applyAlignment="1">
      <alignment horizontal="center" vertical="center"/>
    </xf>
    <xf numFmtId="169" fontId="3" fillId="0" borderId="48" xfId="0" applyNumberFormat="1" applyFont="1" applyFill="1" applyBorder="1" applyAlignment="1">
      <alignment horizontal="center" vertical="center"/>
    </xf>
    <xf numFmtId="169" fontId="3" fillId="0" borderId="47" xfId="0" applyNumberFormat="1" applyFont="1" applyFill="1" applyBorder="1" applyAlignment="1">
      <alignment horizontal="center" vertical="center"/>
    </xf>
    <xf numFmtId="174" fontId="3" fillId="0" borderId="48" xfId="0" applyNumberFormat="1" applyFont="1" applyFill="1" applyBorder="1" applyAlignment="1">
      <alignment horizontal="center" vertical="center"/>
    </xf>
    <xf numFmtId="165" fontId="3" fillId="0" borderId="29" xfId="0" applyNumberFormat="1" applyFont="1" applyFill="1" applyBorder="1" applyAlignment="1">
      <alignment horizontal="center" vertical="center"/>
    </xf>
    <xf numFmtId="169" fontId="17" fillId="0" borderId="13" xfId="0" applyNumberFormat="1" applyFont="1" applyFill="1" applyBorder="1" applyAlignment="1">
      <alignment horizontal="center" vertical="center"/>
    </xf>
    <xf numFmtId="0" fontId="4" fillId="8" borderId="28" xfId="0" applyFont="1" applyFill="1" applyBorder="1" applyAlignment="1">
      <alignment horizontal="center" vertical="center"/>
    </xf>
    <xf numFmtId="166" fontId="17" fillId="0" borderId="13" xfId="0" applyNumberFormat="1" applyFont="1" applyBorder="1" applyAlignment="1">
      <alignment horizontal="center" vertical="center"/>
    </xf>
    <xf numFmtId="166" fontId="3" fillId="0" borderId="13" xfId="0" applyNumberFormat="1" applyFont="1" applyBorder="1" applyAlignment="1">
      <alignment horizontal="center" vertical="center"/>
    </xf>
    <xf numFmtId="166" fontId="17" fillId="0" borderId="48" xfId="0" applyNumberFormat="1" applyFont="1" applyBorder="1" applyAlignment="1">
      <alignment horizontal="center" vertical="center"/>
    </xf>
    <xf numFmtId="0" fontId="4" fillId="8" borderId="28" xfId="0" applyFont="1" applyFill="1" applyBorder="1" applyAlignment="1">
      <alignment horizontal="center" vertical="center"/>
    </xf>
    <xf numFmtId="165" fontId="17" fillId="0" borderId="47" xfId="0" applyNumberFormat="1" applyFont="1" applyBorder="1" applyAlignment="1">
      <alignment/>
    </xf>
    <xf numFmtId="165" fontId="17" fillId="0" borderId="13" xfId="0" applyNumberFormat="1" applyFont="1" applyBorder="1" applyAlignment="1">
      <alignment/>
    </xf>
    <xf numFmtId="165" fontId="3" fillId="0" borderId="13" xfId="0" applyNumberFormat="1" applyFont="1" applyBorder="1" applyAlignment="1">
      <alignment/>
    </xf>
    <xf numFmtId="165" fontId="17" fillId="0" borderId="48" xfId="0" applyNumberFormat="1" applyFont="1" applyBorder="1" applyAlignment="1">
      <alignment/>
    </xf>
    <xf numFmtId="0" fontId="4" fillId="69" borderId="38" xfId="0" applyFont="1" applyFill="1" applyBorder="1" applyAlignment="1">
      <alignment horizontal="center" vertical="center"/>
    </xf>
    <xf numFmtId="1" fontId="4" fillId="8" borderId="30" xfId="0" applyNumberFormat="1" applyFont="1" applyFill="1" applyBorder="1" applyAlignment="1">
      <alignment horizontal="center" vertical="center"/>
    </xf>
    <xf numFmtId="2" fontId="17" fillId="0" borderId="29" xfId="0" applyNumberFormat="1" applyFont="1" applyFill="1" applyBorder="1" applyAlignment="1">
      <alignment horizontal="right" vertical="center"/>
    </xf>
    <xf numFmtId="1" fontId="4" fillId="8" borderId="47" xfId="0" applyNumberFormat="1" applyFont="1" applyFill="1" applyBorder="1" applyAlignment="1">
      <alignment horizontal="center" vertical="center"/>
    </xf>
    <xf numFmtId="2" fontId="17" fillId="0" borderId="13" xfId="0" applyNumberFormat="1" applyFont="1" applyFill="1" applyBorder="1" applyAlignment="1">
      <alignment horizontal="right" vertical="center"/>
    </xf>
    <xf numFmtId="2" fontId="3" fillId="0" borderId="13" xfId="0" applyNumberFormat="1" applyFont="1" applyFill="1" applyBorder="1" applyAlignment="1">
      <alignment horizontal="right" vertical="center"/>
    </xf>
    <xf numFmtId="2" fontId="18" fillId="0" borderId="28" xfId="0" applyNumberFormat="1" applyFont="1" applyFill="1" applyBorder="1" applyAlignment="1">
      <alignment horizontal="right" vertical="center"/>
    </xf>
    <xf numFmtId="2" fontId="17" fillId="0" borderId="47" xfId="0" applyNumberFormat="1" applyFont="1" applyFill="1" applyBorder="1" applyAlignment="1">
      <alignment horizontal="right" vertical="center"/>
    </xf>
    <xf numFmtId="165" fontId="17" fillId="0" borderId="30" xfId="0" applyNumberFormat="1" applyFont="1" applyBorder="1" applyAlignment="1">
      <alignment horizontal="center" vertical="center"/>
    </xf>
    <xf numFmtId="165" fontId="17" fillId="0" borderId="13" xfId="0" applyNumberFormat="1" applyFont="1" applyBorder="1" applyAlignment="1">
      <alignment horizontal="center" vertical="center"/>
    </xf>
    <xf numFmtId="165" fontId="3" fillId="0" borderId="13" xfId="0" applyNumberFormat="1" applyFont="1" applyBorder="1" applyAlignment="1">
      <alignment horizontal="center" vertical="center"/>
    </xf>
    <xf numFmtId="165" fontId="17" fillId="0" borderId="48" xfId="0" applyNumberFormat="1" applyFont="1" applyBorder="1" applyAlignment="1">
      <alignment horizontal="center" vertical="center"/>
    </xf>
    <xf numFmtId="165" fontId="17" fillId="0" borderId="47" xfId="0" applyNumberFormat="1" applyFont="1" applyBorder="1" applyAlignment="1">
      <alignment horizontal="center" vertical="center"/>
    </xf>
    <xf numFmtId="165" fontId="3" fillId="0" borderId="13" xfId="0" applyNumberFormat="1" applyFont="1" applyBorder="1" applyAlignment="1">
      <alignment horizontal="center" vertical="center"/>
    </xf>
    <xf numFmtId="2" fontId="3" fillId="0" borderId="13" xfId="0" applyNumberFormat="1" applyFont="1" applyFill="1" applyBorder="1" applyAlignment="1">
      <alignment horizontal="right" vertical="center"/>
    </xf>
    <xf numFmtId="2" fontId="17" fillId="0" borderId="13" xfId="0" applyNumberFormat="1" applyFont="1" applyFill="1" applyBorder="1" applyAlignment="1">
      <alignment horizontal="right" vertical="center"/>
    </xf>
    <xf numFmtId="2" fontId="3" fillId="0" borderId="38" xfId="0" applyNumberFormat="1" applyFont="1" applyFill="1" applyBorder="1" applyAlignment="1" quotePrefix="1">
      <alignment horizontal="right" vertical="center"/>
    </xf>
    <xf numFmtId="2" fontId="3" fillId="0" borderId="0" xfId="0" applyNumberFormat="1" applyFont="1" applyFill="1" applyBorder="1" applyAlignment="1" quotePrefix="1">
      <alignment horizontal="right" vertical="center"/>
    </xf>
    <xf numFmtId="168" fontId="3" fillId="0" borderId="28" xfId="0" applyNumberFormat="1" applyFont="1" applyBorder="1" applyAlignment="1">
      <alignment horizontal="right" vertical="center"/>
    </xf>
    <xf numFmtId="0" fontId="7"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NumberFormat="1" applyFont="1" applyBorder="1" applyAlignment="1">
      <alignment horizontal="center" vertical="center" wrapText="1"/>
    </xf>
    <xf numFmtId="0" fontId="2" fillId="0" borderId="0" xfId="0" applyNumberFormat="1" applyFont="1" applyBorder="1" applyAlignment="1" quotePrefix="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wrapText="1"/>
    </xf>
    <xf numFmtId="0" fontId="16" fillId="0" borderId="0" xfId="0" applyFont="1" applyBorder="1" applyAlignment="1">
      <alignment horizontal="center" vertical="center"/>
    </xf>
    <xf numFmtId="0" fontId="4" fillId="8" borderId="22" xfId="0" applyFont="1" applyFill="1" applyBorder="1" applyAlignment="1">
      <alignment horizontal="center" vertical="center" wrapText="1"/>
    </xf>
    <xf numFmtId="0" fontId="4" fillId="8" borderId="28"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9" fillId="0" borderId="0" xfId="0" applyFont="1" applyAlignment="1">
      <alignment horizontal="center" vertical="center"/>
    </xf>
    <xf numFmtId="0" fontId="0" fillId="0" borderId="0" xfId="0" applyFont="1" applyAlignment="1">
      <alignment horizontal="center" vertical="center"/>
    </xf>
    <xf numFmtId="0" fontId="3" fillId="0" borderId="13" xfId="0" applyFont="1" applyBorder="1" applyAlignment="1">
      <alignment wrapText="1"/>
    </xf>
    <xf numFmtId="0" fontId="5" fillId="0" borderId="0" xfId="154" applyFont="1" applyBorder="1" applyAlignment="1">
      <alignment horizontal="center" vertical="top"/>
      <protection/>
    </xf>
    <xf numFmtId="49" fontId="4" fillId="0" borderId="0" xfId="154" applyNumberFormat="1" applyFont="1" applyAlignment="1">
      <alignment vertical="top" wrapText="1"/>
      <protection/>
    </xf>
    <xf numFmtId="49" fontId="4" fillId="0" borderId="38" xfId="154" applyNumberFormat="1" applyFont="1" applyBorder="1" applyAlignment="1">
      <alignment horizontal="left" wrapText="1"/>
      <protection/>
    </xf>
    <xf numFmtId="49" fontId="4" fillId="0" borderId="38" xfId="154" applyNumberFormat="1" applyFont="1" applyBorder="1" applyAlignment="1">
      <alignment horizontal="left" wrapText="1"/>
      <protection/>
    </xf>
    <xf numFmtId="0" fontId="5" fillId="0" borderId="0" xfId="154" applyFont="1" applyFill="1" applyBorder="1" applyAlignment="1">
      <alignment horizontal="center" vertical="top"/>
      <protection/>
    </xf>
    <xf numFmtId="49" fontId="4" fillId="0" borderId="0" xfId="154" applyNumberFormat="1" applyFont="1" applyBorder="1" applyAlignment="1">
      <alignment horizontal="left" wrapText="1"/>
      <protection/>
    </xf>
    <xf numFmtId="1" fontId="9" fillId="0" borderId="0" xfId="0" applyNumberFormat="1" applyFont="1" applyFill="1" applyBorder="1" applyAlignment="1">
      <alignment horizontal="center" vertical="top" wrapText="1"/>
    </xf>
    <xf numFmtId="1" fontId="9" fillId="0" borderId="0" xfId="0" applyNumberFormat="1" applyFont="1" applyFill="1" applyBorder="1" applyAlignment="1" quotePrefix="1">
      <alignment horizontal="center" vertical="center" wrapText="1"/>
    </xf>
    <xf numFmtId="0" fontId="4" fillId="0" borderId="0" xfId="0" applyFont="1" applyBorder="1" applyAlignment="1">
      <alignment horizontal="left" wrapText="1"/>
    </xf>
    <xf numFmtId="0" fontId="4" fillId="0" borderId="0" xfId="0" applyFont="1" applyBorder="1" applyAlignment="1">
      <alignment horizontal="left" wrapText="1"/>
    </xf>
    <xf numFmtId="0" fontId="5" fillId="0" borderId="0" xfId="0" applyFont="1" applyBorder="1" applyAlignment="1" quotePrefix="1">
      <alignment horizontal="left" vertical="top"/>
    </xf>
    <xf numFmtId="0" fontId="5" fillId="0" borderId="0" xfId="0" applyFont="1" applyAlignment="1">
      <alignment horizontal="center" vertical="top"/>
    </xf>
    <xf numFmtId="0" fontId="3" fillId="0" borderId="0" xfId="0" applyFont="1" applyBorder="1" applyAlignment="1">
      <alignment horizontal="center"/>
    </xf>
    <xf numFmtId="0" fontId="3" fillId="0" borderId="0" xfId="0" applyFont="1" applyBorder="1" applyAlignment="1">
      <alignment horizontal="center"/>
    </xf>
    <xf numFmtId="0" fontId="4" fillId="0" borderId="0" xfId="0" applyFont="1" applyAlignment="1">
      <alignment wrapText="1"/>
    </xf>
    <xf numFmtId="0" fontId="0" fillId="0" borderId="0" xfId="0" applyAlignment="1">
      <alignment wrapText="1"/>
    </xf>
    <xf numFmtId="0" fontId="4" fillId="68" borderId="22" xfId="0" applyFont="1" applyFill="1" applyBorder="1" applyAlignment="1">
      <alignment horizontal="center" vertical="center" wrapText="1"/>
    </xf>
    <xf numFmtId="0" fontId="4" fillId="68" borderId="28" xfId="0" applyFont="1" applyFill="1" applyBorder="1" applyAlignment="1">
      <alignment horizontal="center" vertical="center" wrapText="1"/>
    </xf>
    <xf numFmtId="0" fontId="4" fillId="68" borderId="22" xfId="0" applyFont="1" applyFill="1" applyBorder="1" applyAlignment="1">
      <alignment horizontal="center" vertical="center"/>
    </xf>
    <xf numFmtId="0" fontId="4" fillId="68" borderId="28" xfId="0" applyFont="1" applyFill="1" applyBorder="1" applyAlignment="1">
      <alignment horizontal="center" vertical="center"/>
    </xf>
    <xf numFmtId="0" fontId="4" fillId="0" borderId="0" xfId="0" applyFont="1" applyFill="1" applyBorder="1" applyAlignment="1">
      <alignment horizontal="center" vertical="center" textRotation="90"/>
    </xf>
    <xf numFmtId="0" fontId="9"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5" fillId="0" borderId="0" xfId="0" applyFont="1" applyFill="1" applyAlignment="1">
      <alignment horizontal="center" vertical="top" wrapText="1"/>
    </xf>
    <xf numFmtId="0" fontId="9" fillId="0" borderId="0" xfId="0" applyFont="1" applyFill="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top" wrapText="1"/>
    </xf>
    <xf numFmtId="0" fontId="4" fillId="0" borderId="0" xfId="0" applyFont="1" applyFill="1" applyBorder="1" applyAlignment="1">
      <alignment vertical="center" wrapText="1"/>
    </xf>
    <xf numFmtId="0" fontId="4" fillId="0" borderId="0" xfId="0" applyFont="1" applyFill="1" applyBorder="1" applyAlignment="1">
      <alignment vertical="top" wrapText="1"/>
    </xf>
  </cellXfs>
  <cellStyles count="271">
    <cellStyle name="Normal" xfId="0"/>
    <cellStyle name="€ : (passage a l'EURO)"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40% - Accent1" xfId="28"/>
    <cellStyle name="40% - Accent1 2" xfId="29"/>
    <cellStyle name="40% - Accent2" xfId="30"/>
    <cellStyle name="40% - Accent2 2" xfId="31"/>
    <cellStyle name="40% - Accent3" xfId="32"/>
    <cellStyle name="40% - Accent3 2" xfId="33"/>
    <cellStyle name="40% - Accent4" xfId="34"/>
    <cellStyle name="40% - Accent4 2" xfId="35"/>
    <cellStyle name="40% - Accent5" xfId="36"/>
    <cellStyle name="40% - Accent5 2" xfId="37"/>
    <cellStyle name="40% - Accent6" xfId="38"/>
    <cellStyle name="40% - Accent6 2" xfId="39"/>
    <cellStyle name="60% - Accent1" xfId="40"/>
    <cellStyle name="60% - Accent1 2" xfId="41"/>
    <cellStyle name="60% - Accent2" xfId="42"/>
    <cellStyle name="60% - Accent2 2" xfId="43"/>
    <cellStyle name="60% - Accent3" xfId="44"/>
    <cellStyle name="60% - Accent3 2" xfId="45"/>
    <cellStyle name="60% - Accent4" xfId="46"/>
    <cellStyle name="60% - Accent4 2" xfId="47"/>
    <cellStyle name="60% - Accent5" xfId="48"/>
    <cellStyle name="60% - Accent5 2" xfId="49"/>
    <cellStyle name="60% - Accent6" xfId="50"/>
    <cellStyle name="60% - Accent6 2" xfId="51"/>
    <cellStyle name="A2.Heading1" xfId="52"/>
    <cellStyle name="A2.Heading2" xfId="53"/>
    <cellStyle name="Accent1" xfId="54"/>
    <cellStyle name="Accent1 2" xfId="55"/>
    <cellStyle name="Accent2" xfId="56"/>
    <cellStyle name="Accent2 2" xfId="57"/>
    <cellStyle name="Accent3" xfId="58"/>
    <cellStyle name="Accent3 2" xfId="59"/>
    <cellStyle name="Accent4" xfId="60"/>
    <cellStyle name="Accent4 2" xfId="61"/>
    <cellStyle name="Accent5" xfId="62"/>
    <cellStyle name="Accent5 2" xfId="63"/>
    <cellStyle name="Accent6" xfId="64"/>
    <cellStyle name="Accent6 2" xfId="65"/>
    <cellStyle name="Bad" xfId="66"/>
    <cellStyle name="Bad 2" xfId="67"/>
    <cellStyle name="C1.general" xfId="68"/>
    <cellStyle name="C1.percentage" xfId="69"/>
    <cellStyle name="Calculation" xfId="70"/>
    <cellStyle name="Calculation 2" xfId="71"/>
    <cellStyle name="Check Cell" xfId="72"/>
    <cellStyle name="Check Cell 2" xfId="73"/>
    <cellStyle name="Column heading" xfId="74"/>
    <cellStyle name="Comma" xfId="75"/>
    <cellStyle name="Comma [0]" xfId="76"/>
    <cellStyle name="Comma 2" xfId="77"/>
    <cellStyle name="Comma 2 2" xfId="78"/>
    <cellStyle name="Comma 3" xfId="79"/>
    <cellStyle name="Comma 4" xfId="80"/>
    <cellStyle name="Comma 5" xfId="81"/>
    <cellStyle name="Comma 6" xfId="82"/>
    <cellStyle name="Comma 6 2" xfId="83"/>
    <cellStyle name="Comma 7" xfId="84"/>
    <cellStyle name="Corner heading" xfId="85"/>
    <cellStyle name="Currency" xfId="86"/>
    <cellStyle name="Currency [0]" xfId="87"/>
    <cellStyle name="Currency 2" xfId="88"/>
    <cellStyle name="Currency 3" xfId="89"/>
    <cellStyle name="Currency 3 2" xfId="90"/>
    <cellStyle name="Currency 4" xfId="91"/>
    <cellStyle name="Data" xfId="92"/>
    <cellStyle name="Data 2" xfId="93"/>
    <cellStyle name="Data 2 2" xfId="94"/>
    <cellStyle name="Data 3" xfId="95"/>
    <cellStyle name="Data no deci" xfId="96"/>
    <cellStyle name="Data no deci 2" xfId="97"/>
    <cellStyle name="Data Superscript" xfId="98"/>
    <cellStyle name="Data Superscript 2" xfId="99"/>
    <cellStyle name="Data_1-1A-Regular" xfId="100"/>
    <cellStyle name="Euro" xfId="101"/>
    <cellStyle name="Explanatory Text" xfId="102"/>
    <cellStyle name="Explanatory Text 2" xfId="103"/>
    <cellStyle name="Explanatory Text 3" xfId="104"/>
    <cellStyle name="FEST" xfId="105"/>
    <cellStyle name="Följde hyperlänken" xfId="106"/>
    <cellStyle name="Good" xfId="107"/>
    <cellStyle name="Good 2" xfId="108"/>
    <cellStyle name="Heading" xfId="109"/>
    <cellStyle name="Heading 1" xfId="110"/>
    <cellStyle name="Heading 1 2" xfId="111"/>
    <cellStyle name="Heading 2" xfId="112"/>
    <cellStyle name="Heading 2 2" xfId="113"/>
    <cellStyle name="Heading 3" xfId="114"/>
    <cellStyle name="Heading 3 2" xfId="115"/>
    <cellStyle name="Heading 4" xfId="116"/>
    <cellStyle name="Heading 4 2" xfId="117"/>
    <cellStyle name="Heading 5" xfId="118"/>
    <cellStyle name="Hed Side" xfId="119"/>
    <cellStyle name="Hed Side 2" xfId="120"/>
    <cellStyle name="Hed Side 2 2" xfId="121"/>
    <cellStyle name="Hed Side 3" xfId="122"/>
    <cellStyle name="Hed Side bold" xfId="123"/>
    <cellStyle name="Hed Side Indent" xfId="124"/>
    <cellStyle name="Hed Side Indent 2" xfId="125"/>
    <cellStyle name="Hed Side Regular" xfId="126"/>
    <cellStyle name="Hed Side Regular 2" xfId="127"/>
    <cellStyle name="Hed Side_1-1A-Regular" xfId="128"/>
    <cellStyle name="Hed Top" xfId="129"/>
    <cellStyle name="Hed Top - SECTION" xfId="130"/>
    <cellStyle name="Hed Top - SECTION 2" xfId="131"/>
    <cellStyle name="Hed Top_3-new4" xfId="132"/>
    <cellStyle name="Hyperlänk 2" xfId="133"/>
    <cellStyle name="Hyperlink 2" xfId="134"/>
    <cellStyle name="Hyperlink 2 2" xfId="135"/>
    <cellStyle name="Hyperlink 2 3" xfId="136"/>
    <cellStyle name="Hyperlink 3" xfId="137"/>
    <cellStyle name="Hyperlink 4" xfId="138"/>
    <cellStyle name="Input" xfId="139"/>
    <cellStyle name="Input 2" xfId="140"/>
    <cellStyle name="Linked Cell" xfId="141"/>
    <cellStyle name="Linked Cell 2" xfId="142"/>
    <cellStyle name="Neutral" xfId="143"/>
    <cellStyle name="Neutral 2" xfId="144"/>
    <cellStyle name="Normal 10" xfId="145"/>
    <cellStyle name="Normal 11" xfId="146"/>
    <cellStyle name="Normal 11 2" xfId="147"/>
    <cellStyle name="Normal 12" xfId="148"/>
    <cellStyle name="Normal 13" xfId="149"/>
    <cellStyle name="Normal 14" xfId="150"/>
    <cellStyle name="Normal 15" xfId="151"/>
    <cellStyle name="Normal 16" xfId="152"/>
    <cellStyle name="Normal 2" xfId="153"/>
    <cellStyle name="Normal 2 2" xfId="154"/>
    <cellStyle name="Normal 2 3" xfId="155"/>
    <cellStyle name="Normal 2 3 2" xfId="156"/>
    <cellStyle name="Normal 2 4" xfId="157"/>
    <cellStyle name="Normal 2 5" xfId="158"/>
    <cellStyle name="Normal 3" xfId="159"/>
    <cellStyle name="Normal 3 2" xfId="160"/>
    <cellStyle name="Normal 3 2 2" xfId="161"/>
    <cellStyle name="Normal 3 2 2 2" xfId="162"/>
    <cellStyle name="Normal 3 2 3" xfId="163"/>
    <cellStyle name="Normal 3 3" xfId="164"/>
    <cellStyle name="Normal 3 3 2" xfId="165"/>
    <cellStyle name="Normal 3 3 2 2" xfId="166"/>
    <cellStyle name="Normal 3 3 3" xfId="167"/>
    <cellStyle name="Normal 3 4" xfId="168"/>
    <cellStyle name="Normal 3 4 2" xfId="169"/>
    <cellStyle name="Normal 3 5" xfId="170"/>
    <cellStyle name="Normal 3 6" xfId="171"/>
    <cellStyle name="Normal 3 7" xfId="172"/>
    <cellStyle name="Normal 3 8" xfId="173"/>
    <cellStyle name="Normal 4" xfId="174"/>
    <cellStyle name="Normal 4 2" xfId="175"/>
    <cellStyle name="Normal 4 2 2" xfId="176"/>
    <cellStyle name="Normal 4 2 2 2" xfId="177"/>
    <cellStyle name="Normal 4 2 3" xfId="178"/>
    <cellStyle name="Normal 4 2 4" xfId="179"/>
    <cellStyle name="Normal 4 3" xfId="180"/>
    <cellStyle name="Normal 4 3 2" xfId="181"/>
    <cellStyle name="Normal 4 3 2 2" xfId="182"/>
    <cellStyle name="Normal 4 3 3" xfId="183"/>
    <cellStyle name="Normal 4 4" xfId="184"/>
    <cellStyle name="Normal 4 4 2" xfId="185"/>
    <cellStyle name="Normal 4 5" xfId="186"/>
    <cellStyle name="Normal 4 6" xfId="187"/>
    <cellStyle name="Normal 4 7" xfId="188"/>
    <cellStyle name="Normal 4 8" xfId="189"/>
    <cellStyle name="Normal 4 9" xfId="190"/>
    <cellStyle name="Normal 5" xfId="191"/>
    <cellStyle name="Normal 5 2" xfId="192"/>
    <cellStyle name="Normal 5 2 2" xfId="193"/>
    <cellStyle name="Normal 5 3" xfId="194"/>
    <cellStyle name="Normal 5 4" xfId="195"/>
    <cellStyle name="Normal 5 5" xfId="196"/>
    <cellStyle name="Normal 6" xfId="197"/>
    <cellStyle name="Normal 6 2" xfId="198"/>
    <cellStyle name="Normal 6 3" xfId="199"/>
    <cellStyle name="Normal 6 4" xfId="200"/>
    <cellStyle name="Normal 7" xfId="201"/>
    <cellStyle name="Normal 7 2" xfId="202"/>
    <cellStyle name="Normal 7 2 2" xfId="203"/>
    <cellStyle name="Normal 7 3" xfId="204"/>
    <cellStyle name="Normal 7 4" xfId="205"/>
    <cellStyle name="Normal 8" xfId="206"/>
    <cellStyle name="Normal 8 2" xfId="207"/>
    <cellStyle name="Normal 8 3" xfId="208"/>
    <cellStyle name="Normal 8 4" xfId="209"/>
    <cellStyle name="Normal 9" xfId="210"/>
    <cellStyle name="Normal 9 2" xfId="211"/>
    <cellStyle name="Normalny 2" xfId="212"/>
    <cellStyle name="Normalny 3" xfId="213"/>
    <cellStyle name="Note" xfId="214"/>
    <cellStyle name="Note 2" xfId="215"/>
    <cellStyle name="Note 2 2" xfId="216"/>
    <cellStyle name="Output" xfId="217"/>
    <cellStyle name="Output 2" xfId="218"/>
    <cellStyle name="Percent" xfId="219"/>
    <cellStyle name="Percent 2" xfId="220"/>
    <cellStyle name="Percent 2 2" xfId="221"/>
    <cellStyle name="Percent 2 3" xfId="222"/>
    <cellStyle name="Percent 3" xfId="223"/>
    <cellStyle name="Percent 3 2" xfId="224"/>
    <cellStyle name="Percent 3 3" xfId="225"/>
    <cellStyle name="Percent 4" xfId="226"/>
    <cellStyle name="Percent 5" xfId="227"/>
    <cellStyle name="Percent 6" xfId="228"/>
    <cellStyle name="Procent 2" xfId="229"/>
    <cellStyle name="Procent 3" xfId="230"/>
    <cellStyle name="Publication_style" xfId="231"/>
    <cellStyle name="Refdb standard" xfId="232"/>
    <cellStyle name="Refdb standard 2" xfId="233"/>
    <cellStyle name="Reference" xfId="234"/>
    <cellStyle name="Row heading" xfId="235"/>
    <cellStyle name="Row_Headings" xfId="236"/>
    <cellStyle name="Source" xfId="237"/>
    <cellStyle name="Source 2" xfId="238"/>
    <cellStyle name="Source Hed" xfId="239"/>
    <cellStyle name="Source Letter" xfId="240"/>
    <cellStyle name="Source Superscript" xfId="241"/>
    <cellStyle name="Source Superscript 2" xfId="242"/>
    <cellStyle name="Source Text" xfId="243"/>
    <cellStyle name="Source Text 2" xfId="244"/>
    <cellStyle name="Standard 2" xfId="245"/>
    <cellStyle name="Standard 2 2" xfId="246"/>
    <cellStyle name="Standard 3" xfId="247"/>
    <cellStyle name="Standard 5" xfId="248"/>
    <cellStyle name="Standard_02" xfId="249"/>
    <cellStyle name="State" xfId="250"/>
    <cellStyle name="Superscript" xfId="251"/>
    <cellStyle name="Superscript 2" xfId="252"/>
    <cellStyle name="Table Data" xfId="253"/>
    <cellStyle name="Table Head Top" xfId="254"/>
    <cellStyle name="Table Hed Side" xfId="255"/>
    <cellStyle name="Table Title" xfId="256"/>
    <cellStyle name="tableau | cellule | normal | decimal 1" xfId="257"/>
    <cellStyle name="tableau | cellule | normal | pourcentage | decimal 1" xfId="258"/>
    <cellStyle name="tableau | cellule | total | decimal 1" xfId="259"/>
    <cellStyle name="tableau | coin superieur gauche" xfId="260"/>
    <cellStyle name="tableau | entete-colonne | series" xfId="261"/>
    <cellStyle name="tableau | entete-ligne | normal" xfId="262"/>
    <cellStyle name="tableau | entete-ligne | total" xfId="263"/>
    <cellStyle name="tableau | ligne-titre | niveau1" xfId="264"/>
    <cellStyle name="tableau | ligne-titre | niveau2" xfId="265"/>
    <cellStyle name="Title" xfId="266"/>
    <cellStyle name="Title 2" xfId="267"/>
    <cellStyle name="Title Text" xfId="268"/>
    <cellStyle name="Title Text 1" xfId="269"/>
    <cellStyle name="Title Text 2" xfId="270"/>
    <cellStyle name="Title-1" xfId="271"/>
    <cellStyle name="Title-2" xfId="272"/>
    <cellStyle name="Title-3" xfId="273"/>
    <cellStyle name="Titre ligne" xfId="274"/>
    <cellStyle name="Total" xfId="275"/>
    <cellStyle name="Total 2" xfId="276"/>
    <cellStyle name="Total intermediaire" xfId="277"/>
    <cellStyle name="Warning Text" xfId="278"/>
    <cellStyle name="Warning Text 2" xfId="279"/>
    <cellStyle name="Wrap" xfId="280"/>
    <cellStyle name="Wrap 2" xfId="281"/>
    <cellStyle name="Wrap Bold" xfId="282"/>
    <cellStyle name="Wrap Title" xfId="283"/>
    <cellStyle name="Wrap_NTS99-~11" xfId="2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EU-28 Performance by Mode for Passenger Transport</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1995 - 2015
</a:t>
            </a:r>
            <a:r>
              <a:rPr lang="en-US" cap="none" sz="800" b="1" i="0" u="none" baseline="0">
                <a:solidFill>
                  <a:srgbClr val="000000"/>
                </a:solidFill>
                <a:latin typeface="Arial"/>
                <a:ea typeface="Arial"/>
                <a:cs typeface="Arial"/>
              </a:rPr>
              <a:t> billion passenger-kilometres</a:t>
            </a:r>
          </a:p>
        </c:rich>
      </c:tx>
      <c:layout>
        <c:manualLayout>
          <c:xMode val="factor"/>
          <c:yMode val="factor"/>
          <c:x val="-0.00325"/>
          <c:y val="-0.02025"/>
        </c:manualLayout>
      </c:layout>
      <c:spPr>
        <a:noFill/>
        <a:ln w="3175">
          <a:noFill/>
        </a:ln>
      </c:spPr>
    </c:title>
    <c:plotArea>
      <c:layout>
        <c:manualLayout>
          <c:xMode val="edge"/>
          <c:yMode val="edge"/>
          <c:x val="0.0275"/>
          <c:y val="0.12125"/>
          <c:w val="0.9475"/>
          <c:h val="0.793"/>
        </c:manualLayout>
      </c:layout>
      <c:lineChart>
        <c:grouping val="standard"/>
        <c:varyColors val="0"/>
        <c:ser>
          <c:idx val="1"/>
          <c:order val="0"/>
          <c:tx>
            <c:strRef>
              <c:f>passeng_graph!$B$37</c:f>
              <c:strCache>
                <c:ptCount val="1"/>
                <c:pt idx="0">
                  <c:v>Passenger Cars</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solidFill>
                  <a:srgbClr val="993300"/>
                </a:solidFill>
              </a:ln>
            </c:spPr>
          </c:marker>
          <c:cat>
            <c:numRef>
              <c:f>passeng_graph!$C$36:$W$36</c:f>
              <c:numCache/>
            </c:numRef>
          </c:cat>
          <c:val>
            <c:numRef>
              <c:f>passeng_graph!$C$37:$W$37</c:f>
              <c:numCache/>
            </c:numRef>
          </c:val>
          <c:smooth val="0"/>
        </c:ser>
        <c:marker val="1"/>
        <c:axId val="50886584"/>
        <c:axId val="55326073"/>
      </c:lineChart>
      <c:lineChart>
        <c:grouping val="standard"/>
        <c:varyColors val="0"/>
        <c:ser>
          <c:idx val="0"/>
          <c:order val="1"/>
          <c:tx>
            <c:strRef>
              <c:f>passeng_graph!$B$39</c:f>
              <c:strCache>
                <c:ptCount val="1"/>
                <c:pt idx="0">
                  <c:v>Buses &amp; Coaches</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cat>
            <c:numRef>
              <c:f>passeng_graph!$C$36:$W$36</c:f>
              <c:numCache/>
            </c:numRef>
          </c:cat>
          <c:val>
            <c:numRef>
              <c:f>passeng_graph!$C$39:$W$39</c:f>
              <c:numCache/>
            </c:numRef>
          </c:val>
          <c:smooth val="0"/>
        </c:ser>
        <c:ser>
          <c:idx val="3"/>
          <c:order val="2"/>
          <c:tx>
            <c:strRef>
              <c:f>passeng_graph!$B$42</c:f>
              <c:strCache>
                <c:ptCount val="1"/>
                <c:pt idx="0">
                  <c:v>Air</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FF0000"/>
              </a:solidFill>
              <a:ln>
                <a:solidFill>
                  <a:srgbClr val="FF0000"/>
                </a:solidFill>
              </a:ln>
            </c:spPr>
          </c:marker>
          <c:cat>
            <c:numRef>
              <c:f>passeng_graph!$C$36:$W$36</c:f>
              <c:numCache/>
            </c:numRef>
          </c:cat>
          <c:val>
            <c:numRef>
              <c:f>passeng_graph!$C$42:$W$42</c:f>
              <c:numCache/>
            </c:numRef>
          </c:val>
          <c:smooth val="0"/>
        </c:ser>
        <c:ser>
          <c:idx val="5"/>
          <c:order val="3"/>
          <c:tx>
            <c:strRef>
              <c:f>passeng_graph!$B$40</c:f>
              <c:strCache>
                <c:ptCount val="1"/>
                <c:pt idx="0">
                  <c:v>Railways</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339966"/>
              </a:solidFill>
              <a:ln>
                <a:solidFill>
                  <a:srgbClr val="339966"/>
                </a:solidFill>
              </a:ln>
            </c:spPr>
          </c:marker>
          <c:cat>
            <c:numRef>
              <c:f>passeng_graph!$C$36:$W$36</c:f>
              <c:numCache/>
            </c:numRef>
          </c:cat>
          <c:val>
            <c:numRef>
              <c:f>passeng_graph!$C$40:$W$40</c:f>
              <c:numCache/>
            </c:numRef>
          </c:val>
          <c:smooth val="0"/>
        </c:ser>
        <c:ser>
          <c:idx val="6"/>
          <c:order val="4"/>
          <c:tx>
            <c:strRef>
              <c:f>passeng_graph!$B$38</c:f>
              <c:strCache>
                <c:ptCount val="1"/>
                <c:pt idx="0">
                  <c:v>Powered 2-wheelers</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FF9900"/>
                </a:solidFill>
              </a:ln>
            </c:spPr>
          </c:marker>
          <c:cat>
            <c:numRef>
              <c:f>passeng_graph!$C$36:$W$36</c:f>
              <c:numCache/>
            </c:numRef>
          </c:cat>
          <c:val>
            <c:numRef>
              <c:f>passeng_graph!$C$38:$W$38</c:f>
              <c:numCache/>
            </c:numRef>
          </c:val>
          <c:smooth val="0"/>
        </c:ser>
        <c:ser>
          <c:idx val="2"/>
          <c:order val="5"/>
          <c:tx>
            <c:strRef>
              <c:f>passeng_graph!$B$41</c:f>
              <c:strCache>
                <c:ptCount val="1"/>
                <c:pt idx="0">
                  <c:v>Tram &amp; Metro</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00"/>
              </a:solidFill>
              <a:ln>
                <a:solidFill>
                  <a:srgbClr val="00FF00"/>
                </a:solidFill>
              </a:ln>
            </c:spPr>
          </c:marker>
          <c:cat>
            <c:numRef>
              <c:f>passeng_graph!$C$36:$W$36</c:f>
              <c:numCache/>
            </c:numRef>
          </c:cat>
          <c:val>
            <c:numRef>
              <c:f>passeng_graph!$C$41:$W$41</c:f>
              <c:numCache/>
            </c:numRef>
          </c:val>
          <c:smooth val="0"/>
        </c:ser>
        <c:ser>
          <c:idx val="4"/>
          <c:order val="6"/>
          <c:tx>
            <c:strRef>
              <c:f>passeng_graph!$B$43</c:f>
              <c:strCache>
                <c:ptCount val="1"/>
                <c:pt idx="0">
                  <c:v>Sea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FF"/>
              </a:solidFill>
              <a:ln>
                <a:solidFill>
                  <a:srgbClr val="0000FF"/>
                </a:solidFill>
              </a:ln>
            </c:spPr>
          </c:marker>
          <c:cat>
            <c:numRef>
              <c:f>passeng_graph!$C$36:$W$36</c:f>
              <c:numCache/>
            </c:numRef>
          </c:cat>
          <c:val>
            <c:numRef>
              <c:f>passeng_graph!$C$43:$W$43</c:f>
              <c:numCache/>
            </c:numRef>
          </c:val>
          <c:smooth val="0"/>
        </c:ser>
        <c:marker val="1"/>
        <c:axId val="28172610"/>
        <c:axId val="52226899"/>
      </c:lineChart>
      <c:catAx>
        <c:axId val="50886584"/>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5326073"/>
        <c:crosses val="autoZero"/>
        <c:auto val="0"/>
        <c:lblOffset val="100"/>
        <c:tickLblSkip val="1"/>
        <c:noMultiLvlLbl val="0"/>
      </c:catAx>
      <c:valAx>
        <c:axId val="55326073"/>
        <c:scaling>
          <c:orientation val="minMax"/>
          <c:max val="50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Passenger Cars scale</a:t>
                </a:r>
              </a:p>
            </c:rich>
          </c:tx>
          <c:layout>
            <c:manualLayout>
              <c:xMode val="factor"/>
              <c:yMode val="factor"/>
              <c:x val="-0.008"/>
              <c:y val="0.001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0886584"/>
        <c:crossesAt val="1"/>
        <c:crossBetween val="midCat"/>
        <c:dispUnits/>
      </c:valAx>
      <c:catAx>
        <c:axId val="28172610"/>
        <c:scaling>
          <c:orientation val="minMax"/>
        </c:scaling>
        <c:axPos val="b"/>
        <c:delete val="1"/>
        <c:majorTickMark val="out"/>
        <c:minorTickMark val="none"/>
        <c:tickLblPos val="nextTo"/>
        <c:crossAx val="52226899"/>
        <c:crosses val="autoZero"/>
        <c:auto val="0"/>
        <c:lblOffset val="100"/>
        <c:tickLblSkip val="1"/>
        <c:noMultiLvlLbl val="0"/>
      </c:catAx>
      <c:valAx>
        <c:axId val="52226899"/>
        <c:scaling>
          <c:orientation val="minMax"/>
          <c:max val="1000"/>
        </c:scaling>
        <c:axPos val="l"/>
        <c:title>
          <c:tx>
            <c:rich>
              <a:bodyPr vert="horz" rot="-5400000" anchor="ctr"/>
              <a:lstStyle/>
              <a:p>
                <a:pPr algn="ctr">
                  <a:defRPr/>
                </a:pPr>
                <a:r>
                  <a:rPr lang="en-US" cap="none" sz="800" b="1" i="0" u="none" baseline="0">
                    <a:solidFill>
                      <a:srgbClr val="000000"/>
                    </a:solidFill>
                    <a:latin typeface="Arial"/>
                    <a:ea typeface="Arial"/>
                    <a:cs typeface="Arial"/>
                  </a:rPr>
                  <a:t>Scale for other modes</a:t>
                </a:r>
              </a:p>
            </c:rich>
          </c:tx>
          <c:layout>
            <c:manualLayout>
              <c:xMode val="factor"/>
              <c:yMode val="factor"/>
              <c:x val="-0.00475"/>
              <c:y val="0.003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172610"/>
        <c:crosses val="max"/>
        <c:crossBetween val="midCat"/>
        <c:dispUnits/>
      </c:valAx>
      <c:spPr>
        <a:solidFill>
          <a:srgbClr val="FFFFFF"/>
        </a:solidFill>
        <a:ln w="12700">
          <a:solidFill>
            <a:srgbClr val="808080"/>
          </a:solidFill>
        </a:ln>
      </c:spPr>
    </c:plotArea>
    <c:legend>
      <c:legendPos val="b"/>
      <c:layout>
        <c:manualLayout>
          <c:xMode val="edge"/>
          <c:yMode val="edge"/>
          <c:x val="0.02925"/>
          <c:y val="0.92125"/>
          <c:w val="0.94"/>
          <c:h val="0.078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19050</xdr:rowOff>
    </xdr:from>
    <xdr:to>
      <xdr:col>13</xdr:col>
      <xdr:colOff>400050</xdr:colOff>
      <xdr:row>30</xdr:row>
      <xdr:rowOff>123825</xdr:rowOff>
    </xdr:to>
    <xdr:graphicFrame>
      <xdr:nvGraphicFramePr>
        <xdr:cNvPr id="1" name="Chart 1"/>
        <xdr:cNvGraphicFramePr/>
      </xdr:nvGraphicFramePr>
      <xdr:xfrm>
        <a:off x="85725" y="200025"/>
        <a:ext cx="5953125" cy="4800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41"/>
  <dimension ref="B1:E59"/>
  <sheetViews>
    <sheetView zoomScalePageLayoutView="0" workbookViewId="0" topLeftCell="A1">
      <selection activeCell="B9" sqref="B9"/>
    </sheetView>
  </sheetViews>
  <sheetFormatPr defaultColWidth="9.140625" defaultRowHeight="12.75"/>
  <cols>
    <col min="1" max="1" width="0.85546875" style="4" customWidth="1"/>
    <col min="2" max="2" width="7.7109375" style="6" customWidth="1"/>
    <col min="3" max="3" width="2.00390625" style="8" customWidth="1"/>
    <col min="4" max="4" width="51.57421875" style="4" customWidth="1"/>
    <col min="5" max="5" width="12.140625" style="4" customWidth="1"/>
    <col min="6" max="16384" width="9.140625" style="4" customWidth="1"/>
  </cols>
  <sheetData>
    <row r="1" spans="2:5" ht="19.5" customHeight="1">
      <c r="B1" s="568" t="s">
        <v>55</v>
      </c>
      <c r="C1" s="568"/>
      <c r="D1" s="568"/>
      <c r="E1" s="568"/>
    </row>
    <row r="2" spans="2:5" ht="19.5" customHeight="1">
      <c r="B2" s="569" t="s">
        <v>56</v>
      </c>
      <c r="C2" s="569"/>
      <c r="D2" s="569"/>
      <c r="E2" s="569"/>
    </row>
    <row r="3" spans="2:5" ht="19.5" customHeight="1">
      <c r="B3" s="570" t="s">
        <v>97</v>
      </c>
      <c r="C3" s="570"/>
      <c r="D3" s="570"/>
      <c r="E3" s="570"/>
    </row>
    <row r="4" spans="2:5" ht="19.5" customHeight="1">
      <c r="B4" s="571" t="s">
        <v>58</v>
      </c>
      <c r="C4" s="571"/>
      <c r="D4" s="571"/>
      <c r="E4" s="571"/>
    </row>
    <row r="5" spans="2:5" ht="19.5" customHeight="1">
      <c r="B5" s="51"/>
      <c r="C5" s="51"/>
      <c r="D5" s="51"/>
      <c r="E5" s="51"/>
    </row>
    <row r="6" ht="19.5" customHeight="1"/>
    <row r="7" spans="2:5" ht="19.5" customHeight="1">
      <c r="B7" s="568" t="s">
        <v>98</v>
      </c>
      <c r="C7" s="568"/>
      <c r="D7" s="568"/>
      <c r="E7" s="568"/>
    </row>
    <row r="8" spans="2:5" ht="19.5" customHeight="1">
      <c r="B8" s="566">
        <v>2017</v>
      </c>
      <c r="C8" s="567"/>
      <c r="D8" s="567"/>
      <c r="E8" s="567"/>
    </row>
    <row r="9" spans="2:5" ht="19.5" customHeight="1">
      <c r="B9" s="52"/>
      <c r="C9" s="52"/>
      <c r="D9" s="52"/>
      <c r="E9" s="52"/>
    </row>
    <row r="10" spans="2:5" ht="19.5" customHeight="1">
      <c r="B10" s="564" t="s">
        <v>100</v>
      </c>
      <c r="C10" s="564"/>
      <c r="D10" s="564"/>
      <c r="E10" s="564"/>
    </row>
    <row r="11" spans="2:5" ht="19.5" customHeight="1">
      <c r="B11" s="5"/>
      <c r="E11" s="5"/>
    </row>
    <row r="12" spans="2:5" ht="19.5" customHeight="1">
      <c r="B12" s="565" t="s">
        <v>99</v>
      </c>
      <c r="C12" s="565"/>
      <c r="D12" s="565"/>
      <c r="E12" s="565"/>
    </row>
    <row r="13" spans="2:5" ht="19.5" customHeight="1">
      <c r="B13" s="565" t="s">
        <v>62</v>
      </c>
      <c r="C13" s="565"/>
      <c r="D13" s="565"/>
      <c r="E13" s="565"/>
    </row>
    <row r="14" spans="2:5" ht="19.5" customHeight="1">
      <c r="B14" s="565" t="s">
        <v>63</v>
      </c>
      <c r="C14" s="565"/>
      <c r="D14" s="565"/>
      <c r="E14" s="565"/>
    </row>
    <row r="15" spans="2:5" ht="19.5" customHeight="1">
      <c r="B15" s="5"/>
      <c r="D15"/>
      <c r="E15" s="5"/>
    </row>
    <row r="16" spans="2:5" ht="19.5" customHeight="1">
      <c r="B16" s="5"/>
      <c r="E16" s="5"/>
    </row>
    <row r="17" spans="2:5" ht="15" customHeight="1">
      <c r="B17" s="53" t="s">
        <v>86</v>
      </c>
      <c r="C17" s="54"/>
      <c r="D17" s="55" t="s">
        <v>57</v>
      </c>
      <c r="E17" s="5"/>
    </row>
    <row r="18" spans="2:5" ht="15" customHeight="1">
      <c r="B18" s="53" t="s">
        <v>90</v>
      </c>
      <c r="C18" s="54"/>
      <c r="D18" s="55" t="s">
        <v>59</v>
      </c>
      <c r="E18" s="5"/>
    </row>
    <row r="19" spans="2:5" ht="15" customHeight="1">
      <c r="B19" s="53" t="s">
        <v>89</v>
      </c>
      <c r="C19" s="54"/>
      <c r="D19" s="55" t="s">
        <v>60</v>
      </c>
      <c r="E19" s="5"/>
    </row>
    <row r="20" spans="2:5" ht="15" customHeight="1">
      <c r="B20" s="53" t="s">
        <v>91</v>
      </c>
      <c r="C20" s="54"/>
      <c r="D20" s="57" t="s">
        <v>45</v>
      </c>
      <c r="E20" s="5"/>
    </row>
    <row r="21" spans="2:5" ht="15" customHeight="1">
      <c r="B21" s="53" t="s">
        <v>92</v>
      </c>
      <c r="C21" s="54"/>
      <c r="D21" s="57" t="s">
        <v>46</v>
      </c>
      <c r="E21" s="5"/>
    </row>
    <row r="22" spans="2:4" ht="15" customHeight="1">
      <c r="B22" s="53" t="s">
        <v>93</v>
      </c>
      <c r="C22" s="56"/>
      <c r="D22" s="57" t="s">
        <v>1</v>
      </c>
    </row>
    <row r="23" spans="2:5" ht="15" customHeight="1">
      <c r="B23" s="53" t="s">
        <v>94</v>
      </c>
      <c r="C23" s="56"/>
      <c r="D23" s="57" t="s">
        <v>47</v>
      </c>
      <c r="E23"/>
    </row>
    <row r="24" spans="2:5" ht="15" customHeight="1">
      <c r="B24" s="53" t="s">
        <v>95</v>
      </c>
      <c r="C24" s="56"/>
      <c r="D24" s="55" t="s">
        <v>75</v>
      </c>
      <c r="E24" s="5"/>
    </row>
    <row r="25" spans="2:5" ht="15" customHeight="1">
      <c r="B25" s="53" t="s">
        <v>96</v>
      </c>
      <c r="C25" s="69"/>
      <c r="D25" s="55" t="s">
        <v>76</v>
      </c>
      <c r="E25" s="5"/>
    </row>
    <row r="26" spans="2:5" ht="12.75">
      <c r="B26" s="5"/>
      <c r="E26" s="5"/>
    </row>
    <row r="27" spans="2:5" ht="12.75">
      <c r="B27" s="5"/>
      <c r="E27" s="5"/>
    </row>
    <row r="28" ht="12.75">
      <c r="C28"/>
    </row>
    <row r="29" spans="2:5" ht="12.75">
      <c r="B29"/>
      <c r="C29"/>
      <c r="D29"/>
      <c r="E29"/>
    </row>
    <row r="30" spans="2:5" ht="13.5">
      <c r="B30" s="7"/>
      <c r="E30"/>
    </row>
    <row r="31" spans="2:5" ht="12.75">
      <c r="B31" s="5"/>
      <c r="E31" s="5"/>
    </row>
    <row r="32" spans="2:5" ht="12.75">
      <c r="B32" s="5"/>
      <c r="E32" s="5"/>
    </row>
    <row r="33" spans="2:5" ht="12.75">
      <c r="B33" s="5"/>
      <c r="E33" s="5"/>
    </row>
    <row r="34" spans="2:5" ht="12.75">
      <c r="B34" s="5"/>
      <c r="E34" s="5"/>
    </row>
    <row r="35" spans="2:5" ht="12.75">
      <c r="B35" s="5"/>
      <c r="E35" s="5"/>
    </row>
    <row r="36" spans="2:5" ht="12.75">
      <c r="B36" s="5"/>
      <c r="E36" s="5"/>
    </row>
    <row r="37" spans="2:5" ht="12.75">
      <c r="B37" s="5"/>
      <c r="E37" s="5"/>
    </row>
    <row r="39" spans="2:5" ht="13.5">
      <c r="B39" s="7"/>
      <c r="E39"/>
    </row>
    <row r="40" spans="2:5" ht="12.75">
      <c r="B40" s="5"/>
      <c r="E40" s="5"/>
    </row>
    <row r="41" spans="2:5" ht="12.75">
      <c r="B41" s="5"/>
      <c r="E41" s="5"/>
    </row>
    <row r="42" spans="2:5" ht="12.75">
      <c r="B42" s="5"/>
      <c r="E42" s="5"/>
    </row>
    <row r="49" spans="3:4" ht="12.75">
      <c r="C49" s="11"/>
      <c r="D49" s="12"/>
    </row>
    <row r="56" ht="12.75"/>
    <row r="59" spans="3:5" ht="12.75">
      <c r="C59"/>
      <c r="D59"/>
      <c r="E59"/>
    </row>
  </sheetData>
  <sheetProtection/>
  <mergeCells count="10">
    <mergeCell ref="B1:E1"/>
    <mergeCell ref="B2:E2"/>
    <mergeCell ref="B3:E3"/>
    <mergeCell ref="B4:E4"/>
    <mergeCell ref="B7:E7"/>
    <mergeCell ref="B10:E10"/>
    <mergeCell ref="B12:E12"/>
    <mergeCell ref="B13:E13"/>
    <mergeCell ref="B14:E14"/>
    <mergeCell ref="B8:E8"/>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
  <dimension ref="A1:I83"/>
  <sheetViews>
    <sheetView zoomScalePageLayoutView="0" workbookViewId="0" topLeftCell="A1">
      <selection activeCell="M31" sqref="M31"/>
    </sheetView>
  </sheetViews>
  <sheetFormatPr defaultColWidth="9.140625" defaultRowHeight="12.75"/>
  <cols>
    <col min="1" max="1" width="2.57421875" style="0" customWidth="1"/>
    <col min="2" max="2" width="6.140625" style="0" customWidth="1"/>
    <col min="3" max="3" width="9.7109375" style="0" customWidth="1"/>
    <col min="4" max="6" width="8.7109375" style="0" customWidth="1"/>
    <col min="7" max="7" width="9.28125" style="0" customWidth="1"/>
    <col min="8" max="8" width="8.7109375" style="0" customWidth="1"/>
    <col min="9" max="9" width="9.421875" style="0" customWidth="1"/>
  </cols>
  <sheetData>
    <row r="1" spans="2:9" ht="14.25" customHeight="1">
      <c r="B1" s="70"/>
      <c r="C1" s="70"/>
      <c r="D1" s="70"/>
      <c r="E1" s="70"/>
      <c r="F1" s="70"/>
      <c r="G1" s="70"/>
      <c r="H1" s="71"/>
      <c r="I1" s="64" t="s">
        <v>96</v>
      </c>
    </row>
    <row r="2" spans="2:9" s="19" customFormat="1" ht="30" customHeight="1">
      <c r="B2" s="606" t="s">
        <v>64</v>
      </c>
      <c r="C2" s="606"/>
      <c r="D2" s="606"/>
      <c r="E2" s="606"/>
      <c r="F2" s="606"/>
      <c r="G2" s="606"/>
      <c r="H2" s="606"/>
      <c r="I2" s="606"/>
    </row>
    <row r="3" spans="2:9" ht="15" customHeight="1">
      <c r="B3" s="607" t="s">
        <v>65</v>
      </c>
      <c r="C3" s="607"/>
      <c r="D3" s="607"/>
      <c r="E3" s="607"/>
      <c r="F3" s="607"/>
      <c r="G3" s="607"/>
      <c r="H3" s="607"/>
      <c r="I3" s="607"/>
    </row>
    <row r="4" spans="2:9" ht="12" customHeight="1">
      <c r="B4" s="608" t="s">
        <v>111</v>
      </c>
      <c r="C4" s="609"/>
      <c r="D4" s="609"/>
      <c r="E4" s="609"/>
      <c r="F4" s="609"/>
      <c r="G4" s="609"/>
      <c r="H4" s="609"/>
      <c r="I4" s="609"/>
    </row>
    <row r="5" spans="2:9" ht="12.75" customHeight="1">
      <c r="B5" s="29"/>
      <c r="C5" s="599" t="s">
        <v>66</v>
      </c>
      <c r="D5" s="599" t="s">
        <v>67</v>
      </c>
      <c r="E5" s="601" t="s">
        <v>68</v>
      </c>
      <c r="F5" s="601" t="s">
        <v>69</v>
      </c>
      <c r="G5" s="599" t="s">
        <v>70</v>
      </c>
      <c r="H5" s="601" t="s">
        <v>49</v>
      </c>
      <c r="I5" s="601" t="s">
        <v>50</v>
      </c>
    </row>
    <row r="6" spans="2:9" ht="22.5" customHeight="1">
      <c r="B6" s="29"/>
      <c r="C6" s="600"/>
      <c r="D6" s="600"/>
      <c r="E6" s="602"/>
      <c r="F6" s="602"/>
      <c r="G6" s="600"/>
      <c r="H6" s="602"/>
      <c r="I6" s="602"/>
    </row>
    <row r="7" spans="2:9" ht="15" customHeight="1">
      <c r="B7" s="72">
        <v>1990</v>
      </c>
      <c r="C7" s="444">
        <v>5280.49014983424</v>
      </c>
      <c r="D7" s="445">
        <v>19.9946507904</v>
      </c>
      <c r="E7" s="445">
        <v>28.215019008000002</v>
      </c>
      <c r="F7" s="445">
        <v>195.681746304</v>
      </c>
      <c r="G7" s="445">
        <v>12.316309632000001</v>
      </c>
      <c r="H7" s="446">
        <v>556.6285568448</v>
      </c>
      <c r="I7" s="447">
        <f aca="true" t="shared" si="0" ref="I7:I26">SUM(C7:H7)</f>
        <v>6093.32643241344</v>
      </c>
    </row>
    <row r="8" spans="2:9" ht="18.75" customHeight="1">
      <c r="B8" s="74">
        <v>1995</v>
      </c>
      <c r="C8" s="448">
        <v>5701.9589003520005</v>
      </c>
      <c r="D8" s="449">
        <v>17.343900288</v>
      </c>
      <c r="E8" s="449">
        <v>25.916875776</v>
      </c>
      <c r="F8" s="449">
        <v>219.33910310400003</v>
      </c>
      <c r="G8" s="449">
        <v>14.651467776</v>
      </c>
      <c r="H8" s="450">
        <v>650.0328001136642</v>
      </c>
      <c r="I8" s="451">
        <f t="shared" si="0"/>
        <v>6629.2430474096645</v>
      </c>
    </row>
    <row r="9" spans="2:9" ht="22.5" customHeight="1">
      <c r="B9" s="74">
        <v>1996</v>
      </c>
      <c r="C9" s="448">
        <v>5850.556069248</v>
      </c>
      <c r="D9" s="449">
        <v>17.561161728000002</v>
      </c>
      <c r="E9" s="449">
        <v>26.683278058483204</v>
      </c>
      <c r="F9" s="449">
        <v>224.2140695296128</v>
      </c>
      <c r="G9" s="449">
        <v>14.9759861999616</v>
      </c>
      <c r="H9" s="450">
        <v>699.504084563328</v>
      </c>
      <c r="I9" s="451">
        <f t="shared" si="0"/>
        <v>6833.494649327386</v>
      </c>
    </row>
    <row r="10" spans="2:9" ht="21" customHeight="1">
      <c r="B10" s="74">
        <v>1997</v>
      </c>
      <c r="C10" s="448">
        <v>6021.74681856</v>
      </c>
      <c r="D10" s="449">
        <v>17.846015616</v>
      </c>
      <c r="E10" s="449">
        <v>27.716231159654402</v>
      </c>
      <c r="F10" s="449">
        <v>233.7558807997037</v>
      </c>
      <c r="G10" s="449">
        <v>14.582578245016322</v>
      </c>
      <c r="H10" s="450">
        <v>725.2879544951041</v>
      </c>
      <c r="I10" s="451">
        <f t="shared" si="0"/>
        <v>7040.935478875479</v>
      </c>
    </row>
    <row r="11" spans="2:9" ht="12.75" customHeight="1">
      <c r="B11" s="74">
        <v>1998</v>
      </c>
      <c r="C11" s="448">
        <v>6186.937933440001</v>
      </c>
      <c r="D11" s="449">
        <v>18.203289984</v>
      </c>
      <c r="E11" s="449">
        <v>28.30575755961677</v>
      </c>
      <c r="F11" s="449">
        <v>239.37337062962612</v>
      </c>
      <c r="G11" s="449">
        <v>15.79991311900109</v>
      </c>
      <c r="H11" s="450">
        <v>744.7295767507201</v>
      </c>
      <c r="I11" s="451">
        <f t="shared" si="0"/>
        <v>7233.349841482965</v>
      </c>
    </row>
    <row r="12" spans="2:9" ht="12.75" customHeight="1" thickBot="1">
      <c r="B12" s="75">
        <v>1999</v>
      </c>
      <c r="C12" s="448">
        <v>6320.69051328</v>
      </c>
      <c r="D12" s="449">
        <v>18.735982848</v>
      </c>
      <c r="E12" s="449">
        <v>29.34165086629287</v>
      </c>
      <c r="F12" s="449">
        <v>261.72939412338053</v>
      </c>
      <c r="G12" s="449">
        <v>16.01970877368576</v>
      </c>
      <c r="H12" s="450">
        <v>785.2626354355201</v>
      </c>
      <c r="I12" s="451">
        <f t="shared" si="0"/>
        <v>7431.77988532688</v>
      </c>
    </row>
    <row r="13" spans="2:9" ht="12.75" customHeight="1" thickTop="1">
      <c r="B13" s="75">
        <v>2000</v>
      </c>
      <c r="C13" s="452">
        <v>6372.183677708306</v>
      </c>
      <c r="D13" s="453">
        <v>24.88507052358363</v>
      </c>
      <c r="E13" s="449">
        <v>31.127146408828796</v>
      </c>
      <c r="F13" s="453">
        <v>505.47695196535153</v>
      </c>
      <c r="G13" s="449">
        <v>17.28323567645875</v>
      </c>
      <c r="H13" s="450">
        <v>834.602616726912</v>
      </c>
      <c r="I13" s="451">
        <f t="shared" si="0"/>
        <v>7785.558699009441</v>
      </c>
    </row>
    <row r="14" spans="2:9" ht="12.75" customHeight="1">
      <c r="B14" s="75">
        <v>2001</v>
      </c>
      <c r="C14" s="448">
        <v>6481.238739449875</v>
      </c>
      <c r="D14" s="449">
        <v>22.728754903041427</v>
      </c>
      <c r="E14" s="449">
        <v>31.763769898848775</v>
      </c>
      <c r="F14" s="449">
        <v>443.24298759236666</v>
      </c>
      <c r="G14" s="449">
        <v>17.65590302713882</v>
      </c>
      <c r="H14" s="450">
        <v>782.955581265792</v>
      </c>
      <c r="I14" s="451">
        <f t="shared" si="0"/>
        <v>7779.585736137063</v>
      </c>
    </row>
    <row r="15" spans="2:9" ht="12.75" customHeight="1">
      <c r="B15" s="75">
        <v>2002</v>
      </c>
      <c r="C15" s="448">
        <v>6626.440066457998</v>
      </c>
      <c r="D15" s="449">
        <v>22.83165450805606</v>
      </c>
      <c r="E15" s="449">
        <v>30.788721081702143</v>
      </c>
      <c r="F15" s="449">
        <v>455.32583778822084</v>
      </c>
      <c r="G15" s="449">
        <v>17.59254593158656</v>
      </c>
      <c r="H15" s="450">
        <v>778.2336621671041</v>
      </c>
      <c r="I15" s="451">
        <f t="shared" si="0"/>
        <v>7931.212487934668</v>
      </c>
    </row>
    <row r="16" spans="2:9" ht="12.75" customHeight="1">
      <c r="B16" s="75">
        <v>2003</v>
      </c>
      <c r="C16" s="448">
        <v>6688.950233458911</v>
      </c>
      <c r="D16" s="449">
        <v>23.26674852735229</v>
      </c>
      <c r="E16" s="449">
        <v>31.038014883756674</v>
      </c>
      <c r="F16" s="449">
        <v>456.85279000457354</v>
      </c>
      <c r="G16" s="449">
        <v>17.753342758424065</v>
      </c>
      <c r="H16" s="450">
        <v>813.6464116200838</v>
      </c>
      <c r="I16" s="451">
        <f t="shared" si="0"/>
        <v>8031.507541253101</v>
      </c>
    </row>
    <row r="17" spans="2:9" ht="12.75" customHeight="1">
      <c r="B17" s="75">
        <v>2004</v>
      </c>
      <c r="C17" s="448">
        <v>6884.480646151083</v>
      </c>
      <c r="D17" s="449">
        <v>30.60738838731782</v>
      </c>
      <c r="E17" s="449">
        <v>31.9698818229289</v>
      </c>
      <c r="F17" s="449">
        <v>461.6996210083197</v>
      </c>
      <c r="G17" s="449">
        <v>18.17187003205517</v>
      </c>
      <c r="H17" s="450">
        <v>898.2816373193035</v>
      </c>
      <c r="I17" s="451">
        <f t="shared" si="0"/>
        <v>8325.211044721009</v>
      </c>
    </row>
    <row r="18" spans="2:9" ht="12.75" customHeight="1">
      <c r="B18" s="75">
        <v>2005</v>
      </c>
      <c r="C18" s="448">
        <v>6952.354053415923</v>
      </c>
      <c r="D18" s="449">
        <v>28.15017241567654</v>
      </c>
      <c r="E18" s="449">
        <v>31.863280678834176</v>
      </c>
      <c r="F18" s="449">
        <v>449.0658366660695</v>
      </c>
      <c r="G18" s="449">
        <v>17.975917190145026</v>
      </c>
      <c r="H18" s="450">
        <v>939.4673057823907</v>
      </c>
      <c r="I18" s="451">
        <f t="shared" si="0"/>
        <v>8418.87656614904</v>
      </c>
    </row>
    <row r="19" spans="2:9" ht="12.75" customHeight="1">
      <c r="B19" s="75">
        <v>2006</v>
      </c>
      <c r="C19" s="448">
        <v>6972.425852747509</v>
      </c>
      <c r="D19" s="449">
        <v>39.15399929015146</v>
      </c>
      <c r="E19" s="449">
        <v>32.398135356926595</v>
      </c>
      <c r="F19" s="449">
        <v>479.2545384461696</v>
      </c>
      <c r="G19" s="449">
        <v>19.673661797843334</v>
      </c>
      <c r="H19" s="450">
        <v>947.0262809709378</v>
      </c>
      <c r="I19" s="451">
        <f t="shared" si="0"/>
        <v>8489.932468609539</v>
      </c>
    </row>
    <row r="20" spans="2:9" ht="12.75" customHeight="1">
      <c r="B20" s="75">
        <v>2007</v>
      </c>
      <c r="C20" s="448">
        <v>6987.746520530769</v>
      </c>
      <c r="D20" s="449">
        <v>43.730951230767076</v>
      </c>
      <c r="E20" s="449">
        <v>35.28036516798605</v>
      </c>
      <c r="F20" s="449">
        <v>495.530422931277</v>
      </c>
      <c r="G20" s="449">
        <v>21.0294852147072</v>
      </c>
      <c r="H20" s="450">
        <v>977.7584106714506</v>
      </c>
      <c r="I20" s="451">
        <f t="shared" si="0"/>
        <v>8561.076155746958</v>
      </c>
    </row>
    <row r="21" spans="2:9" ht="12.75" customHeight="1">
      <c r="B21" s="75">
        <v>2008</v>
      </c>
      <c r="C21" s="448">
        <v>6837.752722219089</v>
      </c>
      <c r="D21" s="449">
        <v>42.53431488319994</v>
      </c>
      <c r="E21" s="449">
        <v>37.0606588906752</v>
      </c>
      <c r="F21" s="449">
        <v>506.040168890055</v>
      </c>
      <c r="G21" s="449">
        <v>21.103427812262403</v>
      </c>
      <c r="H21" s="450">
        <v>938.6990673848537</v>
      </c>
      <c r="I21" s="451">
        <f t="shared" si="0"/>
        <v>8383.190360080134</v>
      </c>
    </row>
    <row r="22" spans="2:9" ht="12.75" customHeight="1">
      <c r="B22" s="74">
        <v>2009</v>
      </c>
      <c r="C22" s="448">
        <v>5834.833662900259</v>
      </c>
      <c r="D22" s="449">
        <v>36.09400665364741</v>
      </c>
      <c r="E22" s="449">
        <v>36.5630179204097</v>
      </c>
      <c r="F22" s="449">
        <v>491.143556130298</v>
      </c>
      <c r="G22" s="449">
        <v>21.445372166385027</v>
      </c>
      <c r="H22" s="450">
        <v>887.9259052506333</v>
      </c>
      <c r="I22" s="451">
        <f>SUM(C22:H22)</f>
        <v>7308.005521021632</v>
      </c>
    </row>
    <row r="23" spans="2:9" ht="12.75" customHeight="1">
      <c r="B23" s="74">
        <v>2010</v>
      </c>
      <c r="C23" s="448">
        <v>5866.650507017761</v>
      </c>
      <c r="D23" s="449">
        <v>32.00293535676131</v>
      </c>
      <c r="E23" s="449">
        <v>36.7359227932815</v>
      </c>
      <c r="F23" s="449">
        <v>470.045796484291</v>
      </c>
      <c r="G23" s="449">
        <v>20.83534385684083</v>
      </c>
      <c r="H23" s="450">
        <v>908.787987192869</v>
      </c>
      <c r="I23" s="451">
        <f>SUM(C23:H23)</f>
        <v>7335.058492701804</v>
      </c>
    </row>
    <row r="24" spans="2:9" ht="15" customHeight="1">
      <c r="B24" s="74">
        <v>2011</v>
      </c>
      <c r="C24" s="448">
        <v>5874.464372590848</v>
      </c>
      <c r="D24" s="449">
        <v>32.06890961784315</v>
      </c>
      <c r="E24" s="449">
        <v>38.438300076321</v>
      </c>
      <c r="F24" s="449">
        <v>471.33827612158</v>
      </c>
      <c r="G24" s="449">
        <v>22.01205891079642</v>
      </c>
      <c r="H24" s="450">
        <v>926.35931077272</v>
      </c>
      <c r="I24" s="451">
        <f t="shared" si="0"/>
        <v>7364.681228090109</v>
      </c>
    </row>
    <row r="25" spans="2:9" ht="15" customHeight="1">
      <c r="B25" s="74">
        <v>2012</v>
      </c>
      <c r="C25" s="449">
        <v>5905.1310306602645</v>
      </c>
      <c r="D25" s="449">
        <v>37.07041130329425</v>
      </c>
      <c r="E25" s="449">
        <v>39.0569527863314</v>
      </c>
      <c r="F25" s="449">
        <v>504.560165698746</v>
      </c>
      <c r="G25" s="449">
        <v>21.90233462062694</v>
      </c>
      <c r="H25" s="449">
        <v>934.226461583813</v>
      </c>
      <c r="I25" s="451">
        <f t="shared" si="0"/>
        <v>7441.947356653077</v>
      </c>
    </row>
    <row r="26" spans="2:9" ht="15" customHeight="1">
      <c r="B26" s="74">
        <v>2013</v>
      </c>
      <c r="C26" s="449">
        <v>5935.51917927877</v>
      </c>
      <c r="D26" s="449">
        <v>35.3037908440235</v>
      </c>
      <c r="E26" s="492">
        <f>28.976+11.721</f>
        <v>40.697</v>
      </c>
      <c r="F26" s="449">
        <v>517.71779237096</v>
      </c>
      <c r="G26" s="449">
        <v>23.013916104655873</v>
      </c>
      <c r="H26" s="449">
        <v>949.017888427898</v>
      </c>
      <c r="I26" s="451">
        <f t="shared" si="0"/>
        <v>7501.269567026307</v>
      </c>
    </row>
    <row r="27" spans="2:9" ht="15" customHeight="1">
      <c r="B27" s="75">
        <v>2014</v>
      </c>
      <c r="C27" s="448">
        <v>6005.89228959007</v>
      </c>
      <c r="D27" s="449">
        <v>34.6164559724936</v>
      </c>
      <c r="E27" s="492">
        <v>40.2556970994013</v>
      </c>
      <c r="F27" s="449">
        <v>546.105943021662</v>
      </c>
      <c r="G27" s="449">
        <v>22.9723680117888</v>
      </c>
      <c r="H27" s="450">
        <v>978.113666465021</v>
      </c>
      <c r="I27" s="451">
        <f>SUM(C27:H27)</f>
        <v>7627.956420160436</v>
      </c>
    </row>
    <row r="28" spans="2:9" ht="15" customHeight="1">
      <c r="B28" s="526">
        <v>2015</v>
      </c>
      <c r="C28" s="527">
        <f>4802.569+1358.485</f>
        <v>6161.054</v>
      </c>
      <c r="D28" s="491">
        <v>33.987</v>
      </c>
      <c r="E28" s="528">
        <f>10.519+29.514</f>
        <v>40.033</v>
      </c>
      <c r="F28" s="528">
        <f>553.732+0.254</f>
        <v>553.986</v>
      </c>
      <c r="G28" s="528">
        <f>G27</f>
        <v>22.9723680117888</v>
      </c>
      <c r="H28" s="533">
        <v>1033.04663045084</v>
      </c>
      <c r="I28" s="529">
        <f>SUM(C28:H28)</f>
        <v>7845.078998462629</v>
      </c>
    </row>
    <row r="29" spans="2:9" ht="17.25" customHeight="1">
      <c r="B29" s="39" t="s">
        <v>80</v>
      </c>
      <c r="C29" s="76"/>
      <c r="D29" s="76"/>
      <c r="E29" s="76"/>
      <c r="F29" s="76"/>
      <c r="G29" s="77"/>
      <c r="H29" s="77"/>
      <c r="I29" s="77"/>
    </row>
    <row r="30" spans="2:9" ht="12.75" customHeight="1">
      <c r="B30" s="611" t="s">
        <v>52</v>
      </c>
      <c r="C30" s="611"/>
      <c r="D30" s="78"/>
      <c r="E30" s="10"/>
      <c r="F30" s="10"/>
      <c r="G30" s="10"/>
      <c r="H30" s="10"/>
      <c r="I30" s="10"/>
    </row>
    <row r="31" spans="2:9" ht="15" customHeight="1">
      <c r="B31" s="610" t="s">
        <v>103</v>
      </c>
      <c r="C31" s="610"/>
      <c r="D31" s="610"/>
      <c r="E31" s="610"/>
      <c r="F31" s="610"/>
      <c r="G31" s="610"/>
      <c r="H31" s="610"/>
      <c r="I31" s="610"/>
    </row>
    <row r="32" spans="2:9" ht="15" customHeight="1">
      <c r="B32" s="612"/>
      <c r="C32" s="610"/>
      <c r="D32" s="610"/>
      <c r="E32" s="610"/>
      <c r="F32" s="610"/>
      <c r="G32" s="610"/>
      <c r="H32" s="610"/>
      <c r="I32" s="610"/>
    </row>
    <row r="33" spans="2:9" ht="12" customHeight="1">
      <c r="B33" s="79"/>
      <c r="C33" s="77"/>
      <c r="D33" s="77"/>
      <c r="E33" s="80"/>
      <c r="F33" s="80"/>
      <c r="G33" s="80"/>
      <c r="H33" s="80"/>
      <c r="I33" s="80"/>
    </row>
    <row r="34" spans="2:9" ht="12.75" customHeight="1">
      <c r="B34" s="604" t="s">
        <v>71</v>
      </c>
      <c r="C34" s="604"/>
      <c r="D34" s="604"/>
      <c r="E34" s="604"/>
      <c r="F34" s="604"/>
      <c r="G34" s="604"/>
      <c r="H34" s="604"/>
      <c r="I34" s="604"/>
    </row>
    <row r="35" spans="2:9" ht="23.25" customHeight="1">
      <c r="B35" s="608" t="s">
        <v>72</v>
      </c>
      <c r="C35" s="608"/>
      <c r="D35" s="608"/>
      <c r="E35" s="608"/>
      <c r="F35" s="608"/>
      <c r="G35" s="608"/>
      <c r="H35" s="608"/>
      <c r="I35" s="608"/>
    </row>
    <row r="36" spans="2:9" ht="9.75" customHeight="1">
      <c r="B36" s="29"/>
      <c r="C36" s="599" t="s">
        <v>66</v>
      </c>
      <c r="D36" s="599" t="s">
        <v>67</v>
      </c>
      <c r="E36" s="601" t="s">
        <v>68</v>
      </c>
      <c r="F36" s="601" t="s">
        <v>69</v>
      </c>
      <c r="G36" s="599" t="s">
        <v>70</v>
      </c>
      <c r="H36" s="601" t="s">
        <v>49</v>
      </c>
      <c r="I36" s="601" t="s">
        <v>50</v>
      </c>
    </row>
    <row r="37" spans="2:9" ht="9.75" customHeight="1">
      <c r="B37" s="29"/>
      <c r="C37" s="600"/>
      <c r="D37" s="600"/>
      <c r="E37" s="602"/>
      <c r="F37" s="602"/>
      <c r="G37" s="600"/>
      <c r="H37" s="602"/>
      <c r="I37" s="602"/>
    </row>
    <row r="38" spans="2:9" ht="9.75" customHeight="1">
      <c r="B38" s="72">
        <v>2001</v>
      </c>
      <c r="C38" s="65">
        <f aca="true" t="shared" si="1" ref="C38:I38">100*(C14/C13-1)</f>
        <v>1.7114237011571776</v>
      </c>
      <c r="D38" s="66">
        <f t="shared" si="1"/>
        <v>-8.665097486859274</v>
      </c>
      <c r="E38" s="66">
        <f t="shared" si="1"/>
        <v>2.045235633419362</v>
      </c>
      <c r="F38" s="66">
        <f t="shared" si="1"/>
        <v>-12.311929185101755</v>
      </c>
      <c r="G38" s="66">
        <f t="shared" si="1"/>
        <v>2.1562360061297525</v>
      </c>
      <c r="H38" s="67">
        <f t="shared" si="1"/>
        <v>-6.1882187314084565</v>
      </c>
      <c r="I38" s="68">
        <f t="shared" si="1"/>
        <v>-0.07671848743672216</v>
      </c>
    </row>
    <row r="39" spans="2:9" ht="9.75" customHeight="1">
      <c r="B39" s="74">
        <v>2001</v>
      </c>
      <c r="C39" s="65">
        <f aca="true" t="shared" si="2" ref="C39:I51">100*(C14/C13-1)</f>
        <v>1.7114237011571776</v>
      </c>
      <c r="D39" s="66">
        <f t="shared" si="2"/>
        <v>-8.665097486859274</v>
      </c>
      <c r="E39" s="66">
        <f t="shared" si="2"/>
        <v>2.045235633419362</v>
      </c>
      <c r="F39" s="66">
        <f t="shared" si="2"/>
        <v>-12.311929185101755</v>
      </c>
      <c r="G39" s="66">
        <f t="shared" si="2"/>
        <v>2.1562360061297525</v>
      </c>
      <c r="H39" s="67">
        <f t="shared" si="2"/>
        <v>-6.1882187314084565</v>
      </c>
      <c r="I39" s="68">
        <f t="shared" si="2"/>
        <v>-0.07671848743672216</v>
      </c>
    </row>
    <row r="40" spans="2:9" ht="9.75" customHeight="1">
      <c r="B40" s="74">
        <v>2002</v>
      </c>
      <c r="C40" s="65">
        <f t="shared" si="2"/>
        <v>2.2403329493838164</v>
      </c>
      <c r="D40" s="66">
        <f t="shared" si="2"/>
        <v>0.45272873702757455</v>
      </c>
      <c r="E40" s="66">
        <f t="shared" si="2"/>
        <v>-3.069688579950236</v>
      </c>
      <c r="F40" s="66">
        <f t="shared" si="2"/>
        <v>2.72601045794012</v>
      </c>
      <c r="G40" s="66">
        <f t="shared" si="2"/>
        <v>-0.35884369921421744</v>
      </c>
      <c r="H40" s="67">
        <f t="shared" si="2"/>
        <v>-0.6030890144564927</v>
      </c>
      <c r="I40" s="68">
        <f t="shared" si="2"/>
        <v>1.9490337524436852</v>
      </c>
    </row>
    <row r="41" spans="2:9" ht="9.75" customHeight="1">
      <c r="B41" s="74">
        <v>2003</v>
      </c>
      <c r="C41" s="65">
        <f t="shared" si="2"/>
        <v>0.943344637150334</v>
      </c>
      <c r="D41" s="66">
        <f t="shared" si="2"/>
        <v>1.90566136651511</v>
      </c>
      <c r="E41" s="66">
        <f t="shared" si="2"/>
        <v>0.809691969318882</v>
      </c>
      <c r="F41" s="66">
        <f t="shared" si="2"/>
        <v>0.33535373783530886</v>
      </c>
      <c r="G41" s="66">
        <f t="shared" si="2"/>
        <v>0.9140054399335185</v>
      </c>
      <c r="H41" s="67">
        <f t="shared" si="2"/>
        <v>4.550400628311002</v>
      </c>
      <c r="I41" s="68">
        <f t="shared" si="2"/>
        <v>1.2645614207286382</v>
      </c>
    </row>
    <row r="42" spans="1:9" ht="9.75" customHeight="1">
      <c r="A42" s="81"/>
      <c r="B42" s="74">
        <v>2004</v>
      </c>
      <c r="C42" s="65">
        <f t="shared" si="2"/>
        <v>2.923185341013701</v>
      </c>
      <c r="D42" s="66">
        <f t="shared" si="2"/>
        <v>31.549917047222564</v>
      </c>
      <c r="E42" s="66">
        <f t="shared" si="2"/>
        <v>3.002340654395086</v>
      </c>
      <c r="F42" s="66">
        <f t="shared" si="2"/>
        <v>1.0609174573931401</v>
      </c>
      <c r="G42" s="66">
        <f t="shared" si="2"/>
        <v>2.3574561665718585</v>
      </c>
      <c r="H42" s="67">
        <f t="shared" si="2"/>
        <v>10.401966319829171</v>
      </c>
      <c r="I42" s="68">
        <f t="shared" si="2"/>
        <v>3.6568913365184086</v>
      </c>
    </row>
    <row r="43" spans="1:9" ht="9.75" customHeight="1">
      <c r="A43" s="81"/>
      <c r="B43" s="74">
        <v>2005</v>
      </c>
      <c r="C43" s="65">
        <f t="shared" si="2"/>
        <v>0.9858900148522531</v>
      </c>
      <c r="D43" s="66">
        <f t="shared" si="2"/>
        <v>-8.028179145984982</v>
      </c>
      <c r="E43" s="66">
        <f t="shared" si="2"/>
        <v>-0.3334424089683985</v>
      </c>
      <c r="F43" s="66">
        <f t="shared" si="2"/>
        <v>-2.736364460221752</v>
      </c>
      <c r="G43" s="66">
        <f t="shared" si="2"/>
        <v>-1.078330637212821</v>
      </c>
      <c r="H43" s="67">
        <f t="shared" si="2"/>
        <v>4.584939372243602</v>
      </c>
      <c r="I43" s="68">
        <f t="shared" si="2"/>
        <v>1.125082846847758</v>
      </c>
    </row>
    <row r="44" spans="1:9" ht="9.75" customHeight="1">
      <c r="A44" s="81"/>
      <c r="B44" s="74">
        <v>2006</v>
      </c>
      <c r="C44" s="65">
        <f t="shared" si="2"/>
        <v>0.2887050799969648</v>
      </c>
      <c r="D44" s="66">
        <f t="shared" si="2"/>
        <v>39.08973171456316</v>
      </c>
      <c r="E44" s="66">
        <f t="shared" si="2"/>
        <v>1.678592620400532</v>
      </c>
      <c r="F44" s="66">
        <f t="shared" si="2"/>
        <v>6.722555873816938</v>
      </c>
      <c r="G44" s="66">
        <f t="shared" si="2"/>
        <v>9.444550671545526</v>
      </c>
      <c r="H44" s="67">
        <f t="shared" si="2"/>
        <v>0.8046022615179727</v>
      </c>
      <c r="I44" s="68">
        <f t="shared" si="2"/>
        <v>0.844006939669395</v>
      </c>
    </row>
    <row r="45" spans="1:9" ht="19.5" customHeight="1">
      <c r="A45" s="81"/>
      <c r="B45" s="74">
        <v>2007</v>
      </c>
      <c r="C45" s="65">
        <f t="shared" si="2"/>
        <v>0.21973224393949664</v>
      </c>
      <c r="D45" s="66">
        <f t="shared" si="2"/>
        <v>11.68961542522904</v>
      </c>
      <c r="E45" s="66">
        <f t="shared" si="2"/>
        <v>8.896283009211036</v>
      </c>
      <c r="F45" s="66">
        <f t="shared" si="2"/>
        <v>3.396083537962258</v>
      </c>
      <c r="G45" s="66">
        <f t="shared" si="2"/>
        <v>6.891566149685957</v>
      </c>
      <c r="H45" s="67">
        <f t="shared" si="2"/>
        <v>3.2451189917353407</v>
      </c>
      <c r="I45" s="68">
        <f t="shared" si="2"/>
        <v>0.8379770675498666</v>
      </c>
    </row>
    <row r="46" spans="1:9" ht="19.5" customHeight="1">
      <c r="A46" s="81"/>
      <c r="B46" s="74">
        <v>2008</v>
      </c>
      <c r="C46" s="65">
        <f t="shared" si="2"/>
        <v>-2.1465260348380033</v>
      </c>
      <c r="D46" s="66">
        <f t="shared" si="2"/>
        <v>-2.736360206876176</v>
      </c>
      <c r="E46" s="66">
        <f t="shared" si="2"/>
        <v>5.046131790905095</v>
      </c>
      <c r="F46" s="66">
        <f t="shared" si="2"/>
        <v>2.120908318122683</v>
      </c>
      <c r="G46" s="66">
        <f t="shared" si="2"/>
        <v>0.35161392112199596</v>
      </c>
      <c r="H46" s="67">
        <f t="shared" si="2"/>
        <v>-3.994784689172237</v>
      </c>
      <c r="I46" s="68">
        <f t="shared" si="2"/>
        <v>-2.0778438648441533</v>
      </c>
    </row>
    <row r="47" spans="1:9" ht="19.5" customHeight="1">
      <c r="A47" s="81"/>
      <c r="B47" s="74">
        <v>2009</v>
      </c>
      <c r="C47" s="65">
        <f t="shared" si="2"/>
        <v>-14.667378304861368</v>
      </c>
      <c r="D47" s="66">
        <f t="shared" si="2"/>
        <v>-15.141441086421025</v>
      </c>
      <c r="E47" s="66">
        <f t="shared" si="2"/>
        <v>-1.342774211687614</v>
      </c>
      <c r="F47" s="66">
        <f t="shared" si="2"/>
        <v>-2.943760925625949</v>
      </c>
      <c r="G47" s="66">
        <f t="shared" si="2"/>
        <v>1.6203261250474776</v>
      </c>
      <c r="H47" s="66">
        <f t="shared" si="2"/>
        <v>-5.408885967647836</v>
      </c>
      <c r="I47" s="182">
        <f t="shared" si="2"/>
        <v>-12.825485201653276</v>
      </c>
    </row>
    <row r="48" spans="1:9" ht="19.5" customHeight="1">
      <c r="A48" s="81"/>
      <c r="B48" s="74">
        <v>2010</v>
      </c>
      <c r="C48" s="65">
        <f t="shared" si="2"/>
        <v>0.5452913648559266</v>
      </c>
      <c r="D48" s="66">
        <f t="shared" si="2"/>
        <v>-11.334489230146705</v>
      </c>
      <c r="E48" s="66">
        <f t="shared" si="2"/>
        <v>0.4728955176735772</v>
      </c>
      <c r="F48" s="66">
        <f t="shared" si="2"/>
        <v>-4.29564012042335</v>
      </c>
      <c r="G48" s="66">
        <f t="shared" si="2"/>
        <v>-2.844568538196779</v>
      </c>
      <c r="H48" s="67">
        <f t="shared" si="2"/>
        <v>2.3495295968808394</v>
      </c>
      <c r="I48" s="68">
        <f t="shared" si="2"/>
        <v>0.3701826935181396</v>
      </c>
    </row>
    <row r="49" spans="1:9" ht="19.5" customHeight="1">
      <c r="A49" s="81"/>
      <c r="B49" s="74">
        <v>2011</v>
      </c>
      <c r="C49" s="65">
        <f t="shared" si="2"/>
        <v>0.13319125732376147</v>
      </c>
      <c r="D49" s="66">
        <f t="shared" si="2"/>
        <v>0.20615065570195323</v>
      </c>
      <c r="E49" s="66">
        <f t="shared" si="2"/>
        <v>4.634094242355169</v>
      </c>
      <c r="F49" s="66">
        <f t="shared" si="2"/>
        <v>0.27496887472584497</v>
      </c>
      <c r="G49" s="66">
        <f t="shared" si="2"/>
        <v>5.647687228205944</v>
      </c>
      <c r="H49" s="67">
        <f t="shared" si="2"/>
        <v>1.933489859843629</v>
      </c>
      <c r="I49" s="68">
        <f t="shared" si="2"/>
        <v>0.4038513860220583</v>
      </c>
    </row>
    <row r="50" spans="1:9" ht="19.5" customHeight="1">
      <c r="A50" s="81"/>
      <c r="B50" s="74">
        <v>2012</v>
      </c>
      <c r="C50" s="65">
        <f t="shared" si="2"/>
        <v>0.5220332633644187</v>
      </c>
      <c r="D50" s="66">
        <f t="shared" si="2"/>
        <v>15.59610771009272</v>
      </c>
      <c r="E50" s="66">
        <f t="shared" si="2"/>
        <v>1.6094694842957002</v>
      </c>
      <c r="F50" s="66">
        <f t="shared" si="2"/>
        <v>7.048417508234905</v>
      </c>
      <c r="G50" s="66">
        <f t="shared" si="2"/>
        <v>-0.4984735440429877</v>
      </c>
      <c r="H50" s="67">
        <f t="shared" si="2"/>
        <v>0.8492547891088442</v>
      </c>
      <c r="I50" s="68">
        <f t="shared" si="2"/>
        <v>1.049144235439048</v>
      </c>
    </row>
    <row r="51" spans="1:9" ht="19.5" customHeight="1">
      <c r="A51" s="81"/>
      <c r="B51" s="75">
        <v>2013</v>
      </c>
      <c r="C51" s="65">
        <f t="shared" si="2"/>
        <v>0.5146058311107149</v>
      </c>
      <c r="D51" s="66">
        <f t="shared" si="2"/>
        <v>-4.765580950308356</v>
      </c>
      <c r="E51" s="66">
        <f t="shared" si="2"/>
        <v>4.199117178036893</v>
      </c>
      <c r="F51" s="66">
        <f t="shared" si="2"/>
        <v>2.607741864439994</v>
      </c>
      <c r="G51" s="66">
        <f t="shared" si="2"/>
        <v>5.075173506764341</v>
      </c>
      <c r="H51" s="67">
        <f t="shared" si="2"/>
        <v>1.5832806554214596</v>
      </c>
      <c r="I51" s="68">
        <f t="shared" si="2"/>
        <v>0.7971328945265421</v>
      </c>
    </row>
    <row r="52" spans="1:9" ht="19.5" customHeight="1">
      <c r="A52" s="81"/>
      <c r="B52" s="75">
        <v>2014</v>
      </c>
      <c r="C52" s="65">
        <f>100*(C27/C26-1)</f>
        <v>1.185626870804768</v>
      </c>
      <c r="D52" s="66">
        <f aca="true" t="shared" si="3" ref="D52:I52">100*(D27/D26-1)</f>
        <v>-1.9469152039978788</v>
      </c>
      <c r="E52" s="66">
        <f t="shared" si="3"/>
        <v>-1.0843622394739127</v>
      </c>
      <c r="F52" s="66">
        <f t="shared" si="3"/>
        <v>5.483325292085217</v>
      </c>
      <c r="G52" s="66">
        <f t="shared" si="3"/>
        <v>-0.1805346498967575</v>
      </c>
      <c r="H52" s="67">
        <f t="shared" si="3"/>
        <v>3.0658829925030995</v>
      </c>
      <c r="I52" s="68">
        <f t="shared" si="3"/>
        <v>1.688872156934762</v>
      </c>
    </row>
    <row r="53" spans="1:9" ht="19.5" customHeight="1">
      <c r="A53" s="81"/>
      <c r="B53" s="75">
        <v>2015</v>
      </c>
      <c r="C53" s="65">
        <f>C28/C27*100-100</f>
        <v>2.583491393591416</v>
      </c>
      <c r="D53" s="198">
        <f aca="true" t="shared" si="4" ref="D53:I53">D28/D27*100-100</f>
        <v>-1.8183720857899601</v>
      </c>
      <c r="E53" s="199">
        <f t="shared" si="4"/>
        <v>-0.5532064166008865</v>
      </c>
      <c r="F53" s="199">
        <f t="shared" si="4"/>
        <v>1.442953895490831</v>
      </c>
      <c r="G53" s="199">
        <f t="shared" si="4"/>
        <v>0</v>
      </c>
      <c r="H53" s="534">
        <f t="shared" si="4"/>
        <v>5.616214747755336</v>
      </c>
      <c r="I53" s="530">
        <f t="shared" si="4"/>
        <v>2.8464055946668054</v>
      </c>
    </row>
    <row r="54" spans="2:9" ht="19.5" customHeight="1">
      <c r="B54" s="114" t="s">
        <v>73</v>
      </c>
      <c r="C54" s="115">
        <f aca="true" t="shared" si="5" ref="C54:I54">100*(POWER((C8/C7),1/5)-1)</f>
        <v>1.5476714348274356</v>
      </c>
      <c r="D54" s="116">
        <f t="shared" si="5"/>
        <v>-2.8044036148359153</v>
      </c>
      <c r="E54" s="116">
        <f t="shared" si="5"/>
        <v>-1.6848468710477849</v>
      </c>
      <c r="F54" s="116">
        <f t="shared" si="5"/>
        <v>2.3088374081304375</v>
      </c>
      <c r="G54" s="116">
        <f t="shared" si="5"/>
        <v>3.5333119902342114</v>
      </c>
      <c r="H54" s="117">
        <f t="shared" si="5"/>
        <v>3.151122320246813</v>
      </c>
      <c r="I54" s="118">
        <f t="shared" si="5"/>
        <v>1.700221639086985</v>
      </c>
    </row>
    <row r="55" spans="2:9" ht="19.5" customHeight="1">
      <c r="B55" s="82" t="s">
        <v>112</v>
      </c>
      <c r="C55" s="65">
        <f aca="true" t="shared" si="6" ref="C55:I55">100*(POWER((C13/C8),1/5)-1)</f>
        <v>2.2475335590066647</v>
      </c>
      <c r="D55" s="66">
        <f t="shared" si="6"/>
        <v>7.4876137514655605</v>
      </c>
      <c r="E55" s="66">
        <f t="shared" si="6"/>
        <v>3.7316610452985843</v>
      </c>
      <c r="F55" s="66">
        <f t="shared" si="6"/>
        <v>18.172672948678724</v>
      </c>
      <c r="G55" s="66">
        <f t="shared" si="6"/>
        <v>3.3591153554357156</v>
      </c>
      <c r="H55" s="67">
        <f t="shared" si="6"/>
        <v>5.125698423473346</v>
      </c>
      <c r="I55" s="68">
        <f t="shared" si="6"/>
        <v>3.2678578610680464</v>
      </c>
    </row>
    <row r="56" spans="2:9" ht="20.25" customHeight="1">
      <c r="B56" s="110" t="s">
        <v>143</v>
      </c>
      <c r="C56" s="111">
        <f>100*(POWER((C28/C13),1/15)-1)</f>
        <v>-0.22437690173336966</v>
      </c>
      <c r="D56" s="112">
        <f aca="true" t="shared" si="7" ref="D56:I56">100*(POWER((D28/D13),1/15)-1)</f>
        <v>2.0998091721158296</v>
      </c>
      <c r="E56" s="112">
        <f t="shared" si="7"/>
        <v>1.6916409063373106</v>
      </c>
      <c r="F56" s="112">
        <f t="shared" si="7"/>
        <v>0.6127830320927341</v>
      </c>
      <c r="G56" s="112">
        <f t="shared" si="7"/>
        <v>1.9151420630386218</v>
      </c>
      <c r="H56" s="112">
        <f t="shared" si="7"/>
        <v>1.432239020614845</v>
      </c>
      <c r="I56" s="113">
        <f t="shared" si="7"/>
        <v>0.050785473096470746</v>
      </c>
    </row>
    <row r="57" spans="2:9" ht="12.75" customHeight="1">
      <c r="B57" s="79"/>
      <c r="C57" s="3"/>
      <c r="D57" s="3"/>
      <c r="E57" s="3"/>
      <c r="F57" s="3"/>
      <c r="G57" s="3"/>
      <c r="H57" s="3"/>
      <c r="I57" s="3"/>
    </row>
    <row r="58" spans="2:9" ht="23.25" customHeight="1">
      <c r="B58" s="604" t="s">
        <v>54</v>
      </c>
      <c r="C58" s="604"/>
      <c r="D58" s="604"/>
      <c r="E58" s="604"/>
      <c r="F58" s="604"/>
      <c r="G58" s="604"/>
      <c r="H58" s="604"/>
      <c r="I58" s="604"/>
    </row>
    <row r="59" spans="2:9" ht="9.75" customHeight="1">
      <c r="B59" s="605" t="s">
        <v>42</v>
      </c>
      <c r="C59" s="605"/>
      <c r="D59" s="605"/>
      <c r="E59" s="605"/>
      <c r="F59" s="605"/>
      <c r="G59" s="605"/>
      <c r="H59" s="605"/>
      <c r="I59" s="605"/>
    </row>
    <row r="60" spans="2:9" ht="27.75" customHeight="1">
      <c r="B60" s="29"/>
      <c r="C60" s="599" t="s">
        <v>66</v>
      </c>
      <c r="D60" s="599" t="s">
        <v>67</v>
      </c>
      <c r="E60" s="601" t="s">
        <v>68</v>
      </c>
      <c r="F60" s="601" t="s">
        <v>69</v>
      </c>
      <c r="G60" s="599" t="s">
        <v>70</v>
      </c>
      <c r="H60" s="601" t="s">
        <v>49</v>
      </c>
      <c r="I60" s="603"/>
    </row>
    <row r="61" spans="2:9" ht="9.75" customHeight="1">
      <c r="B61" s="29"/>
      <c r="C61" s="600"/>
      <c r="D61" s="600"/>
      <c r="E61" s="602"/>
      <c r="F61" s="602"/>
      <c r="G61" s="600"/>
      <c r="H61" s="602"/>
      <c r="I61" s="603"/>
    </row>
    <row r="62" spans="2:9" ht="9.75" customHeight="1">
      <c r="B62" s="72">
        <v>1990</v>
      </c>
      <c r="C62" s="175">
        <f aca="true" t="shared" si="8" ref="C62:H71">100*(C7/$I7)</f>
        <v>86.66022095492343</v>
      </c>
      <c r="D62" s="176">
        <f t="shared" si="8"/>
        <v>0.328140154842821</v>
      </c>
      <c r="E62" s="176">
        <f t="shared" si="8"/>
        <v>0.4630478823177806</v>
      </c>
      <c r="F62" s="176">
        <f t="shared" si="8"/>
        <v>3.211410852093387</v>
      </c>
      <c r="G62" s="176">
        <f t="shared" si="8"/>
        <v>0.2021278486982646</v>
      </c>
      <c r="H62" s="177">
        <f t="shared" si="8"/>
        <v>9.13505230712432</v>
      </c>
      <c r="I62" s="73"/>
    </row>
    <row r="63" spans="2:9" ht="9.75" customHeight="1" hidden="1">
      <c r="B63" s="74">
        <v>1995</v>
      </c>
      <c r="C63" s="93">
        <f t="shared" si="8"/>
        <v>86.01221677307494</v>
      </c>
      <c r="D63" s="94">
        <f t="shared" si="8"/>
        <v>0.2616271596012311</v>
      </c>
      <c r="E63" s="94">
        <f t="shared" si="8"/>
        <v>0.39094773853746184</v>
      </c>
      <c r="F63" s="94">
        <f t="shared" si="8"/>
        <v>3.308659850534601</v>
      </c>
      <c r="G63" s="94">
        <f t="shared" si="8"/>
        <v>0.22101268080259887</v>
      </c>
      <c r="H63" s="95">
        <f t="shared" si="8"/>
        <v>9.80553579744916</v>
      </c>
      <c r="I63" s="73"/>
    </row>
    <row r="64" spans="2:9" ht="9.75" customHeight="1" hidden="1">
      <c r="B64" s="74">
        <v>1996</v>
      </c>
      <c r="C64" s="93">
        <f t="shared" si="8"/>
        <v>85.61587254368985</v>
      </c>
      <c r="D64" s="94">
        <f t="shared" si="8"/>
        <v>0.25698654391612835</v>
      </c>
      <c r="E64" s="94">
        <f t="shared" si="8"/>
        <v>0.3904777778835257</v>
      </c>
      <c r="F64" s="94">
        <f t="shared" si="8"/>
        <v>3.2811040475707696</v>
      </c>
      <c r="G64" s="94">
        <f t="shared" si="8"/>
        <v>0.2191556000038088</v>
      </c>
      <c r="H64" s="95">
        <f t="shared" si="8"/>
        <v>10.236403486935918</v>
      </c>
      <c r="I64" s="73"/>
    </row>
    <row r="65" spans="2:9" ht="9.75" customHeight="1" hidden="1">
      <c r="B65" s="74">
        <v>1997</v>
      </c>
      <c r="C65" s="93">
        <f t="shared" si="8"/>
        <v>85.52481181835435</v>
      </c>
      <c r="D65" s="94">
        <f t="shared" si="8"/>
        <v>0.2534608599885966</v>
      </c>
      <c r="E65" s="94">
        <f t="shared" si="8"/>
        <v>0.3936441576948098</v>
      </c>
      <c r="F65" s="94">
        <f t="shared" si="8"/>
        <v>3.3199548767493785</v>
      </c>
      <c r="G65" s="94">
        <f t="shared" si="8"/>
        <v>0.20711137445823227</v>
      </c>
      <c r="H65" s="95">
        <f t="shared" si="8"/>
        <v>10.301016912754628</v>
      </c>
      <c r="I65" s="73"/>
    </row>
    <row r="66" spans="2:8" ht="9.75" customHeight="1" hidden="1">
      <c r="B66" s="74">
        <v>1998</v>
      </c>
      <c r="C66" s="93">
        <f t="shared" si="8"/>
        <v>85.5335089415718</v>
      </c>
      <c r="D66" s="94">
        <f t="shared" si="8"/>
        <v>0.2516578125338952</v>
      </c>
      <c r="E66" s="94">
        <f t="shared" si="8"/>
        <v>0.3913229441397181</v>
      </c>
      <c r="F66" s="94">
        <f t="shared" si="8"/>
        <v>3.309301718780829</v>
      </c>
      <c r="G66" s="94">
        <f t="shared" si="8"/>
        <v>0.21843148009224214</v>
      </c>
      <c r="H66" s="95">
        <f t="shared" si="8"/>
        <v>10.295777102881523</v>
      </c>
    </row>
    <row r="67" spans="2:8" ht="9.75" customHeight="1">
      <c r="B67" s="75">
        <v>1999</v>
      </c>
      <c r="C67" s="93">
        <f t="shared" si="8"/>
        <v>85.0494849256692</v>
      </c>
      <c r="D67" s="94">
        <f t="shared" si="8"/>
        <v>0.2521062671001849</v>
      </c>
      <c r="E67" s="94">
        <f t="shared" si="8"/>
        <v>0.3948132388073588</v>
      </c>
      <c r="F67" s="94">
        <f t="shared" si="8"/>
        <v>3.5217592307884753</v>
      </c>
      <c r="G67" s="94">
        <f t="shared" si="8"/>
        <v>0.21555682515994146</v>
      </c>
      <c r="H67" s="95">
        <f t="shared" si="8"/>
        <v>10.566279512474837</v>
      </c>
    </row>
    <row r="68" spans="2:9" ht="9.75" customHeight="1">
      <c r="B68" s="74">
        <v>2000</v>
      </c>
      <c r="C68" s="93">
        <f t="shared" si="8"/>
        <v>81.8461965808445</v>
      </c>
      <c r="D68" s="94">
        <f t="shared" si="8"/>
        <v>0.31963114640378687</v>
      </c>
      <c r="E68" s="94">
        <f t="shared" si="8"/>
        <v>0.39980620032816805</v>
      </c>
      <c r="F68" s="94">
        <f t="shared" si="8"/>
        <v>6.492494264151698</v>
      </c>
      <c r="G68" s="94">
        <f t="shared" si="8"/>
        <v>0.22199094945694395</v>
      </c>
      <c r="H68" s="95">
        <f t="shared" si="8"/>
        <v>10.719880858814907</v>
      </c>
      <c r="I68" s="1"/>
    </row>
    <row r="69" spans="2:9" ht="9.75" customHeight="1">
      <c r="B69" s="74">
        <v>2001</v>
      </c>
      <c r="C69" s="93">
        <f t="shared" si="8"/>
        <v>83.31084660901392</v>
      </c>
      <c r="D69" s="94">
        <f t="shared" si="8"/>
        <v>0.29215893588605585</v>
      </c>
      <c r="E69" s="94">
        <f t="shared" si="8"/>
        <v>0.4082964180380768</v>
      </c>
      <c r="F69" s="94">
        <f t="shared" si="8"/>
        <v>5.697514014576027</v>
      </c>
      <c r="G69" s="94">
        <f t="shared" si="8"/>
        <v>0.22695171216026497</v>
      </c>
      <c r="H69" s="95">
        <f t="shared" si="8"/>
        <v>10.064232310325652</v>
      </c>
      <c r="I69" s="83"/>
    </row>
    <row r="70" spans="2:9" ht="9.75" customHeight="1">
      <c r="B70" s="74">
        <v>2002</v>
      </c>
      <c r="C70" s="93">
        <f t="shared" si="8"/>
        <v>83.54889087309726</v>
      </c>
      <c r="D70" s="94">
        <f t="shared" si="8"/>
        <v>0.2878709219150117</v>
      </c>
      <c r="E70" s="94">
        <f t="shared" si="8"/>
        <v>0.38819690089679715</v>
      </c>
      <c r="F70" s="94">
        <f t="shared" si="8"/>
        <v>5.740936060922385</v>
      </c>
      <c r="G70" s="94">
        <f t="shared" si="8"/>
        <v>0.22181407897404293</v>
      </c>
      <c r="H70" s="95">
        <f t="shared" si="8"/>
        <v>9.812291164194498</v>
      </c>
      <c r="I70" s="83"/>
    </row>
    <row r="71" spans="2:9" ht="9.75" customHeight="1">
      <c r="B71" s="74">
        <v>2003</v>
      </c>
      <c r="C71" s="93">
        <f t="shared" si="8"/>
        <v>83.28386917526667</v>
      </c>
      <c r="D71" s="94">
        <f t="shared" si="8"/>
        <v>0.289693415686218</v>
      </c>
      <c r="E71" s="94">
        <f t="shared" si="8"/>
        <v>0.38645316242726235</v>
      </c>
      <c r="F71" s="94">
        <f t="shared" si="8"/>
        <v>5.688257001042346</v>
      </c>
      <c r="G71" s="94">
        <f t="shared" si="8"/>
        <v>0.22104620667086033</v>
      </c>
      <c r="H71" s="95">
        <f t="shared" si="8"/>
        <v>10.130681038906626</v>
      </c>
      <c r="I71" s="83"/>
    </row>
    <row r="72" spans="2:9" ht="9.75" customHeight="1">
      <c r="B72" s="74">
        <v>2004</v>
      </c>
      <c r="C72" s="93">
        <f aca="true" t="shared" si="9" ref="C72:H79">100*(C17/$I17)</f>
        <v>82.6943678564943</v>
      </c>
      <c r="D72" s="94">
        <f t="shared" si="9"/>
        <v>0.36764699684971797</v>
      </c>
      <c r="E72" s="94">
        <f t="shared" si="9"/>
        <v>0.38401286947795643</v>
      </c>
      <c r="F72" s="94">
        <f t="shared" si="9"/>
        <v>5.545800803465301</v>
      </c>
      <c r="G72" s="94">
        <f t="shared" si="9"/>
        <v>0.218275187673205</v>
      </c>
      <c r="H72" s="95">
        <f t="shared" si="9"/>
        <v>10.789896286039513</v>
      </c>
      <c r="I72" s="83"/>
    </row>
    <row r="73" spans="2:9" ht="9.75" customHeight="1">
      <c r="B73" s="74">
        <v>2005</v>
      </c>
      <c r="C73" s="93">
        <f t="shared" si="9"/>
        <v>82.58054383847639</v>
      </c>
      <c r="D73" s="94">
        <f t="shared" si="9"/>
        <v>0.33436970116492615</v>
      </c>
      <c r="E73" s="94">
        <f t="shared" si="9"/>
        <v>0.3784742587502868</v>
      </c>
      <c r="F73" s="94">
        <f t="shared" si="9"/>
        <v>5.334035166541004</v>
      </c>
      <c r="G73" s="94">
        <f t="shared" si="9"/>
        <v>0.21351919165109653</v>
      </c>
      <c r="H73" s="95">
        <f t="shared" si="9"/>
        <v>11.159057843416292</v>
      </c>
      <c r="I73" s="83"/>
    </row>
    <row r="74" spans="2:9" ht="12.75">
      <c r="B74" s="74">
        <v>2006</v>
      </c>
      <c r="C74" s="93">
        <f t="shared" si="9"/>
        <v>82.1258105235487</v>
      </c>
      <c r="D74" s="94">
        <f t="shared" si="9"/>
        <v>0.46118151628317966</v>
      </c>
      <c r="E74" s="94">
        <f t="shared" si="9"/>
        <v>0.3816065142651563</v>
      </c>
      <c r="F74" s="94">
        <f t="shared" si="9"/>
        <v>5.644974682874724</v>
      </c>
      <c r="G74" s="94">
        <f t="shared" si="9"/>
        <v>0.23172930845544687</v>
      </c>
      <c r="H74" s="95">
        <f t="shared" si="9"/>
        <v>11.154697454572798</v>
      </c>
      <c r="I74" s="83"/>
    </row>
    <row r="75" spans="2:9" ht="12.75">
      <c r="B75" s="74">
        <v>2007</v>
      </c>
      <c r="C75" s="93">
        <f t="shared" si="9"/>
        <v>81.62229132654042</v>
      </c>
      <c r="D75" s="94">
        <f t="shared" si="9"/>
        <v>0.5108113797283647</v>
      </c>
      <c r="E75" s="94">
        <f t="shared" si="9"/>
        <v>0.41210198958810473</v>
      </c>
      <c r="F75" s="94">
        <f t="shared" si="9"/>
        <v>5.788179125104882</v>
      </c>
      <c r="G75" s="94">
        <f t="shared" si="9"/>
        <v>0.2456406745148545</v>
      </c>
      <c r="H75" s="95">
        <f t="shared" si="9"/>
        <v>11.420975504523364</v>
      </c>
      <c r="I75" s="84"/>
    </row>
    <row r="76" spans="2:9" ht="12.75">
      <c r="B76" s="74">
        <v>2008</v>
      </c>
      <c r="C76" s="93">
        <f t="shared" si="9"/>
        <v>81.5650418100935</v>
      </c>
      <c r="D76" s="94">
        <f t="shared" si="9"/>
        <v>0.5073762261888248</v>
      </c>
      <c r="E76" s="94">
        <f t="shared" si="9"/>
        <v>0.4420829934526375</v>
      </c>
      <c r="F76" s="94">
        <f t="shared" si="9"/>
        <v>6.036367387048309</v>
      </c>
      <c r="G76" s="94">
        <f t="shared" si="9"/>
        <v>0.251735042457758</v>
      </c>
      <c r="H76" s="95">
        <f t="shared" si="9"/>
        <v>11.197396540758985</v>
      </c>
      <c r="I76" s="84"/>
    </row>
    <row r="77" spans="2:9" ht="12.75">
      <c r="B77" s="74">
        <v>2009</v>
      </c>
      <c r="C77" s="93">
        <f t="shared" si="9"/>
        <v>79.84167015359029</v>
      </c>
      <c r="D77" s="94">
        <f t="shared" si="9"/>
        <v>0.49389681698819515</v>
      </c>
      <c r="E77" s="94">
        <f t="shared" si="9"/>
        <v>0.5003145908310469</v>
      </c>
      <c r="F77" s="94">
        <f t="shared" si="9"/>
        <v>6.720623769611465</v>
      </c>
      <c r="G77" s="94">
        <f t="shared" si="9"/>
        <v>0.29345041002906963</v>
      </c>
      <c r="H77" s="95">
        <f t="shared" si="9"/>
        <v>12.150044258949936</v>
      </c>
      <c r="I77" s="84"/>
    </row>
    <row r="78" spans="2:9" ht="12.75">
      <c r="B78" s="74">
        <v>2010</v>
      </c>
      <c r="C78" s="93">
        <f t="shared" si="9"/>
        <v>79.98096419892123</v>
      </c>
      <c r="D78" s="94">
        <f t="shared" si="9"/>
        <v>0.43630102457401554</v>
      </c>
      <c r="E78" s="94">
        <f t="shared" si="9"/>
        <v>0.5008265827713959</v>
      </c>
      <c r="F78" s="94">
        <f t="shared" si="9"/>
        <v>6.408207882077212</v>
      </c>
      <c r="G78" s="94">
        <f t="shared" si="9"/>
        <v>0.28405150248728706</v>
      </c>
      <c r="H78" s="95">
        <f t="shared" si="9"/>
        <v>12.389648809168866</v>
      </c>
      <c r="I78" s="84"/>
    </row>
    <row r="79" spans="2:8" ht="12.75">
      <c r="B79" s="74">
        <v>2011</v>
      </c>
      <c r="C79" s="93">
        <f t="shared" si="9"/>
        <v>79.76535834551362</v>
      </c>
      <c r="D79" s="94">
        <f t="shared" si="9"/>
        <v>0.43544192375261315</v>
      </c>
      <c r="E79" s="94">
        <f t="shared" si="9"/>
        <v>0.5219275469752986</v>
      </c>
      <c r="F79" s="94">
        <f t="shared" si="9"/>
        <v>6.399982042994856</v>
      </c>
      <c r="G79" s="94">
        <f t="shared" si="9"/>
        <v>0.29888678449297706</v>
      </c>
      <c r="H79" s="95">
        <f t="shared" si="9"/>
        <v>12.57840335627064</v>
      </c>
    </row>
    <row r="80" spans="2:8" ht="12.75">
      <c r="B80" s="74">
        <v>2012</v>
      </c>
      <c r="C80" s="93">
        <f>100*(C25/$I25)</f>
        <v>79.34927173841263</v>
      </c>
      <c r="D80" s="94">
        <f>100*(D25/$I25)</f>
        <v>0.49812783572237207</v>
      </c>
      <c r="E80" s="94">
        <f>100*(E25/$I25)</f>
        <v>0.5248216752220722</v>
      </c>
      <c r="F80" s="94">
        <f>100*(F25/$I25)</f>
        <v>6.779948063562569</v>
      </c>
      <c r="G80" s="94">
        <f>100*(G25/$I25)</f>
        <v>0.2943091850958382</v>
      </c>
      <c r="H80" s="95">
        <f>100*(H25/$I25)</f>
        <v>12.553521501984525</v>
      </c>
    </row>
    <row r="81" spans="2:8" ht="12.75">
      <c r="B81" s="74">
        <v>2013</v>
      </c>
      <c r="C81" s="93">
        <f>100*(C26/$I26)</f>
        <v>79.12686147648684</v>
      </c>
      <c r="D81" s="94">
        <f>100*(D26/$I26)</f>
        <v>0.4706375437993867</v>
      </c>
      <c r="E81" s="94">
        <f>100*(E26/$I26)</f>
        <v>0.5425348287561051</v>
      </c>
      <c r="F81" s="94">
        <f>100*(F26/$I26)</f>
        <v>6.9017356028200485</v>
      </c>
      <c r="G81" s="94">
        <f>100*(G26/$I26)</f>
        <v>0.3068002809260349</v>
      </c>
      <c r="H81" s="95">
        <f>100*(H26/$I26)</f>
        <v>12.65143026721159</v>
      </c>
    </row>
    <row r="82" spans="2:8" ht="12.75">
      <c r="B82" s="75">
        <v>2014</v>
      </c>
      <c r="C82" s="93">
        <f>100*(C27/$I27)</f>
        <v>78.73527270969582</v>
      </c>
      <c r="D82" s="94">
        <f>100*(D27/$I27)</f>
        <v>0.4538103532029031</v>
      </c>
      <c r="E82" s="94">
        <f>100*(E27/$I27)</f>
        <v>0.5277389497533943</v>
      </c>
      <c r="F82" s="94">
        <f>100*(F27/$I27)</f>
        <v>7.159269310694043</v>
      </c>
      <c r="G82" s="94">
        <f>100*(G27/$I27)</f>
        <v>0.3011601895243343</v>
      </c>
      <c r="H82" s="95">
        <f>100*(H27/$I27)</f>
        <v>12.822748487129514</v>
      </c>
    </row>
    <row r="83" spans="2:8" ht="12.75">
      <c r="B83" s="526">
        <v>2015</v>
      </c>
      <c r="C83" s="532">
        <f>100*(C28/$I28)</f>
        <v>78.53399565775385</v>
      </c>
      <c r="D83" s="442">
        <f>100*(D28/$I28)</f>
        <v>0.43322699499470063</v>
      </c>
      <c r="E83" s="535">
        <f>100*(E28/$I28)</f>
        <v>0.5102944152359093</v>
      </c>
      <c r="F83" s="535">
        <f>100*(F28/$I28)</f>
        <v>7.061573250040727</v>
      </c>
      <c r="G83" s="535">
        <f>100*(G28/$I28)</f>
        <v>0.2928251967416849</v>
      </c>
      <c r="H83" s="531">
        <f>100*(H28/$I28)</f>
        <v>13.168084485233129</v>
      </c>
    </row>
  </sheetData>
  <sheetProtection/>
  <mergeCells count="31">
    <mergeCell ref="B35:I35"/>
    <mergeCell ref="C36:C37"/>
    <mergeCell ref="B31:I31"/>
    <mergeCell ref="B30:C30"/>
    <mergeCell ref="B32:I32"/>
    <mergeCell ref="B34:I34"/>
    <mergeCell ref="H36:H37"/>
    <mergeCell ref="I36:I37"/>
    <mergeCell ref="B2:I2"/>
    <mergeCell ref="B3:I3"/>
    <mergeCell ref="B4:I4"/>
    <mergeCell ref="C5:C6"/>
    <mergeCell ref="D5:D6"/>
    <mergeCell ref="E5:E6"/>
    <mergeCell ref="F5:F6"/>
    <mergeCell ref="G5:G6"/>
    <mergeCell ref="H5:H6"/>
    <mergeCell ref="I5:I6"/>
    <mergeCell ref="B58:I58"/>
    <mergeCell ref="B59:I59"/>
    <mergeCell ref="D36:D37"/>
    <mergeCell ref="E36:E37"/>
    <mergeCell ref="F36:F37"/>
    <mergeCell ref="G36:G37"/>
    <mergeCell ref="G60:G61"/>
    <mergeCell ref="H60:H61"/>
    <mergeCell ref="I60:I61"/>
    <mergeCell ref="C60:C61"/>
    <mergeCell ref="D60:D61"/>
    <mergeCell ref="E60:E61"/>
    <mergeCell ref="F60:F61"/>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91"/>
  <dimension ref="B1:W44"/>
  <sheetViews>
    <sheetView tabSelected="1" zoomScalePageLayoutView="0" workbookViewId="0" topLeftCell="A1">
      <selection activeCell="Y43" sqref="Y43"/>
    </sheetView>
  </sheetViews>
  <sheetFormatPr defaultColWidth="9.140625" defaultRowHeight="12.75"/>
  <cols>
    <col min="1" max="1" width="0.9921875" style="0" customWidth="1"/>
    <col min="2" max="2" width="9.7109375" style="0" customWidth="1"/>
    <col min="3" max="16" width="6.7109375" style="0" customWidth="1"/>
  </cols>
  <sheetData>
    <row r="1" spans="2:14" ht="14.25" customHeight="1">
      <c r="B1" s="19"/>
      <c r="N1" s="18" t="s">
        <v>86</v>
      </c>
    </row>
    <row r="2" spans="3:9" ht="12.75" customHeight="1">
      <c r="C2" s="32"/>
      <c r="D2" s="32"/>
      <c r="E2" s="32"/>
      <c r="I2" s="13"/>
    </row>
    <row r="3" spans="3:5" ht="12.75" customHeight="1">
      <c r="C3" s="13"/>
      <c r="D3" s="13"/>
      <c r="E3" s="13"/>
    </row>
    <row r="4" spans="3:7" ht="12.75" customHeight="1">
      <c r="C4" s="1"/>
      <c r="D4" s="1"/>
      <c r="E4" s="1"/>
      <c r="F4" s="1"/>
      <c r="G4" s="33"/>
    </row>
    <row r="5" spans="3:7" ht="12.75" customHeight="1">
      <c r="C5" s="1"/>
      <c r="D5" s="1"/>
      <c r="E5" s="1"/>
      <c r="F5" s="1"/>
      <c r="G5" s="1"/>
    </row>
    <row r="6" spans="3:7" ht="12.75" customHeight="1">
      <c r="C6" s="1"/>
      <c r="D6" s="1"/>
      <c r="E6" s="1"/>
      <c r="F6" s="1"/>
      <c r="G6" s="1"/>
    </row>
    <row r="7" spans="3:9" ht="12.75" customHeight="1">
      <c r="C7" s="1"/>
      <c r="D7" s="1"/>
      <c r="E7" s="1"/>
      <c r="F7" s="1"/>
      <c r="G7" s="1"/>
      <c r="I7" s="21"/>
    </row>
    <row r="8" spans="3:7" s="20" customFormat="1" ht="12.75" customHeight="1">
      <c r="C8" s="34"/>
      <c r="D8" s="1"/>
      <c r="E8" s="1"/>
      <c r="F8" s="1"/>
      <c r="G8" s="1"/>
    </row>
    <row r="9" spans="3:7" s="20" customFormat="1" ht="12.75" customHeight="1">
      <c r="C9" s="34"/>
      <c r="D9" s="1"/>
      <c r="E9" s="1"/>
      <c r="F9" s="1"/>
      <c r="G9" s="1"/>
    </row>
    <row r="10" spans="3:7" s="21" customFormat="1" ht="12.75" customHeight="1">
      <c r="C10" s="35"/>
      <c r="D10" s="1"/>
      <c r="E10" s="1"/>
      <c r="F10" s="1"/>
      <c r="G10" s="1"/>
    </row>
    <row r="11" spans="3:7" s="21" customFormat="1" ht="12.75" customHeight="1">
      <c r="C11" s="35"/>
      <c r="D11" s="1"/>
      <c r="E11" s="1"/>
      <c r="F11" s="1"/>
      <c r="G11" s="1"/>
    </row>
    <row r="12" spans="3:7" s="21" customFormat="1" ht="12.75" customHeight="1">
      <c r="C12" s="35"/>
      <c r="D12" s="1"/>
      <c r="E12" s="1"/>
      <c r="F12" s="1"/>
      <c r="G12" s="1"/>
    </row>
    <row r="13" spans="3:7" s="21" customFormat="1" ht="12.75" customHeight="1">
      <c r="C13" s="35"/>
      <c r="D13" s="1"/>
      <c r="E13" s="1"/>
      <c r="F13" s="1"/>
      <c r="G13" s="1"/>
    </row>
    <row r="14" spans="3:7" s="21" customFormat="1" ht="12.75" customHeight="1">
      <c r="C14" s="35"/>
      <c r="D14" s="1"/>
      <c r="E14" s="1"/>
      <c r="F14" s="1"/>
      <c r="G14" s="1"/>
    </row>
    <row r="15" spans="3:7" s="21" customFormat="1" ht="12.75" customHeight="1">
      <c r="C15" s="35"/>
      <c r="D15" s="1"/>
      <c r="E15" s="1"/>
      <c r="F15" s="1"/>
      <c r="G15" s="1"/>
    </row>
    <row r="16" spans="3:7" s="22" customFormat="1" ht="12.75" customHeight="1">
      <c r="C16" s="24"/>
      <c r="D16" s="1"/>
      <c r="E16" s="1"/>
      <c r="F16" s="1"/>
      <c r="G16" s="1"/>
    </row>
    <row r="17" spans="3:7" s="27" customFormat="1" ht="12.75" customHeight="1">
      <c r="C17" s="36"/>
      <c r="D17" s="1"/>
      <c r="E17" s="1"/>
      <c r="F17" s="1"/>
      <c r="G17" s="1"/>
    </row>
    <row r="18" spans="3:7" ht="12.75" customHeight="1">
      <c r="C18" s="1"/>
      <c r="D18" s="1"/>
      <c r="E18" s="1"/>
      <c r="F18" s="1"/>
      <c r="G18" s="1"/>
    </row>
    <row r="19" spans="3:7" s="38" customFormat="1" ht="12.75" customHeight="1">
      <c r="C19" s="37"/>
      <c r="D19" s="1"/>
      <c r="E19" s="1"/>
      <c r="F19" s="1"/>
      <c r="G19" s="1"/>
    </row>
    <row r="20" spans="3:7" s="38" customFormat="1" ht="12.75" customHeight="1">
      <c r="C20" s="37"/>
      <c r="D20" s="1"/>
      <c r="E20" s="1"/>
      <c r="F20" s="1"/>
      <c r="G20" s="1"/>
    </row>
    <row r="21" spans="3:7" s="38" customFormat="1" ht="12.75" customHeight="1">
      <c r="C21" s="37"/>
      <c r="D21" s="1"/>
      <c r="E21" s="1"/>
      <c r="F21" s="1"/>
      <c r="G21" s="1"/>
    </row>
    <row r="22" spans="3:7" ht="12.75" customHeight="1">
      <c r="C22" s="1"/>
      <c r="D22" s="1"/>
      <c r="E22" s="1"/>
      <c r="F22" s="1"/>
      <c r="G22" s="1"/>
    </row>
    <row r="23" spans="3:7" ht="12.75" customHeight="1">
      <c r="C23" s="1"/>
      <c r="D23" s="1"/>
      <c r="E23" s="1"/>
      <c r="F23" s="1"/>
      <c r="G23" s="1"/>
    </row>
    <row r="24" spans="3:7" ht="12.75" customHeight="1">
      <c r="C24" s="1"/>
      <c r="D24" s="1"/>
      <c r="E24" s="1"/>
      <c r="F24" s="1"/>
      <c r="G24" s="1"/>
    </row>
    <row r="25" spans="3:7" s="20" customFormat="1" ht="12.75" customHeight="1">
      <c r="C25" s="34"/>
      <c r="D25" s="1"/>
      <c r="E25" s="1"/>
      <c r="F25" s="1"/>
      <c r="G25" s="1"/>
    </row>
    <row r="26" spans="3:7" s="20" customFormat="1" ht="12.75" customHeight="1">
      <c r="C26" s="34"/>
      <c r="D26" s="1"/>
      <c r="E26" s="1"/>
      <c r="F26" s="1"/>
      <c r="G26" s="1"/>
    </row>
    <row r="27" spans="3:7" s="22" customFormat="1" ht="12.75" customHeight="1">
      <c r="C27" s="24"/>
      <c r="D27" s="1"/>
      <c r="E27" s="1"/>
      <c r="F27" s="1"/>
      <c r="G27" s="1"/>
    </row>
    <row r="28" spans="3:7" s="21" customFormat="1" ht="12.75" customHeight="1">
      <c r="C28" s="35"/>
      <c r="D28" s="1"/>
      <c r="E28" s="1"/>
      <c r="F28" s="1"/>
      <c r="G28" s="1"/>
    </row>
    <row r="29" spans="3:7" s="21" customFormat="1" ht="12.75" customHeight="1">
      <c r="C29" s="35"/>
      <c r="D29" s="1"/>
      <c r="E29" s="1"/>
      <c r="F29" s="1"/>
      <c r="G29" s="1"/>
    </row>
    <row r="30" spans="3:7" s="21" customFormat="1" ht="12.75" customHeight="1">
      <c r="C30" s="35"/>
      <c r="D30" s="1"/>
      <c r="E30" s="1"/>
      <c r="F30" s="1"/>
      <c r="G30" s="1"/>
    </row>
    <row r="31" spans="3:7" s="21" customFormat="1" ht="12.75" customHeight="1">
      <c r="C31" s="35"/>
      <c r="D31" s="1"/>
      <c r="E31" s="1"/>
      <c r="F31" s="1"/>
      <c r="G31" s="1"/>
    </row>
    <row r="32" ht="15" customHeight="1">
      <c r="B32" s="39" t="s">
        <v>87</v>
      </c>
    </row>
    <row r="35" ht="21.75" customHeight="1"/>
    <row r="36" spans="2:23" ht="21.75" customHeight="1">
      <c r="B36" s="20"/>
      <c r="C36" s="99">
        <v>1995</v>
      </c>
      <c r="D36" s="100">
        <v>1996</v>
      </c>
      <c r="E36" s="100">
        <v>1997</v>
      </c>
      <c r="F36" s="100">
        <v>1998</v>
      </c>
      <c r="G36" s="100">
        <v>1999</v>
      </c>
      <c r="H36" s="100">
        <v>2000</v>
      </c>
      <c r="I36" s="100">
        <v>2001</v>
      </c>
      <c r="J36" s="100">
        <v>2002</v>
      </c>
      <c r="K36" s="100">
        <v>2003</v>
      </c>
      <c r="L36" s="100">
        <v>2004</v>
      </c>
      <c r="M36" s="100">
        <v>2005</v>
      </c>
      <c r="N36" s="100">
        <v>2006</v>
      </c>
      <c r="O36" s="100">
        <v>2007</v>
      </c>
      <c r="P36" s="100">
        <v>2008</v>
      </c>
      <c r="Q36" s="100">
        <v>2009</v>
      </c>
      <c r="R36" s="100">
        <v>2010</v>
      </c>
      <c r="S36" s="205">
        <v>2011</v>
      </c>
      <c r="T36" s="205">
        <v>2012</v>
      </c>
      <c r="U36" s="205">
        <v>2013</v>
      </c>
      <c r="V36" s="545">
        <v>2014</v>
      </c>
      <c r="W36" s="191">
        <v>2015</v>
      </c>
    </row>
    <row r="37" spans="2:23" ht="21.75" customHeight="1">
      <c r="B37" s="88" t="s">
        <v>45</v>
      </c>
      <c r="C37" s="103">
        <v>3904.3968448239566</v>
      </c>
      <c r="D37" s="104">
        <v>3967.960445623563</v>
      </c>
      <c r="E37" s="104">
        <v>4047.0311598397266</v>
      </c>
      <c r="F37" s="104">
        <v>4144.982058542091</v>
      </c>
      <c r="G37" s="104">
        <v>4254.780359539047</v>
      </c>
      <c r="H37" s="104">
        <v>4300.856686155985</v>
      </c>
      <c r="I37" s="104">
        <v>4387.3788534340165</v>
      </c>
      <c r="J37" s="104">
        <v>4463.501476952004</v>
      </c>
      <c r="K37" s="104">
        <v>4495.782239459277</v>
      </c>
      <c r="L37" s="104">
        <v>4551.94630151926</v>
      </c>
      <c r="M37" s="104">
        <v>4508.359691303219</v>
      </c>
      <c r="N37" s="105">
        <v>4549.24159021749</v>
      </c>
      <c r="O37" s="105">
        <v>4596.935584587471</v>
      </c>
      <c r="P37" s="105">
        <v>4602.751300402917</v>
      </c>
      <c r="Q37" s="105">
        <v>4675.474051948912</v>
      </c>
      <c r="R37" s="105">
        <v>4624.992160795574</v>
      </c>
      <c r="S37" s="105">
        <v>4590.457484852242</v>
      </c>
      <c r="T37" s="105">
        <v>4496.192492642307</v>
      </c>
      <c r="U37" s="105">
        <v>4548.33396482955</v>
      </c>
      <c r="V37" s="105">
        <v>4615.067998395309</v>
      </c>
      <c r="W37" s="180">
        <v>4719.393789375224</v>
      </c>
    </row>
    <row r="38" spans="2:23" ht="21.75" customHeight="1">
      <c r="B38" s="88" t="s">
        <v>8</v>
      </c>
      <c r="C38" s="103">
        <v>112.09166423985009</v>
      </c>
      <c r="D38" s="104">
        <v>113.82256524289734</v>
      </c>
      <c r="E38" s="104">
        <v>118.0782495442711</v>
      </c>
      <c r="F38" s="104">
        <v>122.33459153990586</v>
      </c>
      <c r="G38" s="104">
        <v>126.29901384904916</v>
      </c>
      <c r="H38" s="104">
        <v>104.15052535982967</v>
      </c>
      <c r="I38" s="104">
        <v>108.40772065375035</v>
      </c>
      <c r="J38" s="104">
        <v>110.03980362883776</v>
      </c>
      <c r="K38" s="104">
        <v>113.10771446926626</v>
      </c>
      <c r="L38" s="104">
        <v>117.1197248381871</v>
      </c>
      <c r="M38" s="104">
        <v>120.10479928295295</v>
      </c>
      <c r="N38" s="105">
        <v>119.58888140983069</v>
      </c>
      <c r="O38" s="105">
        <v>115.36912966162716</v>
      </c>
      <c r="P38" s="105">
        <v>120.55156273126862</v>
      </c>
      <c r="Q38" s="105">
        <v>117.7970175593361</v>
      </c>
      <c r="R38" s="105">
        <v>119.50236674384333</v>
      </c>
      <c r="S38" s="105">
        <v>122.25096666502697</v>
      </c>
      <c r="T38" s="105">
        <v>122.4515717733055</v>
      </c>
      <c r="U38" s="105">
        <v>122.08338319756025</v>
      </c>
      <c r="V38" s="105">
        <v>124.61257528253866</v>
      </c>
      <c r="W38" s="180">
        <v>124.57207616194513</v>
      </c>
    </row>
    <row r="39" spans="2:23" ht="21.75" customHeight="1">
      <c r="B39" s="88" t="s">
        <v>46</v>
      </c>
      <c r="C39" s="103">
        <v>514.7284657948057</v>
      </c>
      <c r="D39" s="104">
        <v>519.3074723402809</v>
      </c>
      <c r="E39" s="104">
        <v>522.4775718300093</v>
      </c>
      <c r="F39" s="104">
        <v>525.5552769022315</v>
      </c>
      <c r="G39" s="104">
        <v>527.7253265321467</v>
      </c>
      <c r="H39" s="104">
        <v>551.2284300559636</v>
      </c>
      <c r="I39" s="104">
        <v>550.4064586271504</v>
      </c>
      <c r="J39" s="104">
        <v>541.8320172296691</v>
      </c>
      <c r="K39" s="104">
        <v>548.5824828345259</v>
      </c>
      <c r="L39" s="104">
        <v>549.6854444180372</v>
      </c>
      <c r="M39" s="104">
        <v>548.5637472468998</v>
      </c>
      <c r="N39" s="105">
        <v>546.3121909646682</v>
      </c>
      <c r="O39" s="105">
        <v>558.7420955772774</v>
      </c>
      <c r="P39" s="105">
        <v>569.1919313762203</v>
      </c>
      <c r="Q39" s="105">
        <v>547.0311654889523</v>
      </c>
      <c r="R39" s="105">
        <v>542.3330893764933</v>
      </c>
      <c r="S39" s="105">
        <v>544.2979426212156</v>
      </c>
      <c r="T39" s="105">
        <v>539.9232643906546</v>
      </c>
      <c r="U39" s="105">
        <v>537.0604617787336</v>
      </c>
      <c r="V39" s="105">
        <v>532.3527116705428</v>
      </c>
      <c r="W39" s="180">
        <v>543.4884075007564</v>
      </c>
    </row>
    <row r="40" spans="2:23" ht="21.75" customHeight="1">
      <c r="B40" s="88" t="s">
        <v>47</v>
      </c>
      <c r="C40" s="103">
        <v>350.32250628200006</v>
      </c>
      <c r="D40" s="104">
        <v>348.7789985870001</v>
      </c>
      <c r="E40" s="104">
        <v>349.80795994899984</v>
      </c>
      <c r="F40" s="104">
        <v>350.73916329400004</v>
      </c>
      <c r="G40" s="104">
        <v>358.488527788</v>
      </c>
      <c r="H40" s="104">
        <v>371.5097931639082</v>
      </c>
      <c r="I40" s="104">
        <v>373.59488607944144</v>
      </c>
      <c r="J40" s="104">
        <v>366.1284853288046</v>
      </c>
      <c r="K40" s="104">
        <v>362.43931435149534</v>
      </c>
      <c r="L40" s="104">
        <v>368.817539779</v>
      </c>
      <c r="M40" s="104">
        <v>377.3995049220001</v>
      </c>
      <c r="N40" s="105">
        <v>389.354898616</v>
      </c>
      <c r="O40" s="105">
        <v>396.393456999</v>
      </c>
      <c r="P40" s="105">
        <v>411.777940444</v>
      </c>
      <c r="Q40" s="105">
        <v>404.736418338917</v>
      </c>
      <c r="R40" s="105">
        <v>406.77556774583996</v>
      </c>
      <c r="S40" s="105">
        <v>415.13198409338</v>
      </c>
      <c r="T40" s="105">
        <v>420.87095878564827</v>
      </c>
      <c r="U40" s="105">
        <v>426.5842343535969</v>
      </c>
      <c r="V40" s="105">
        <v>433.75344617924003</v>
      </c>
      <c r="W40" s="180">
        <v>441.8980457377532</v>
      </c>
    </row>
    <row r="41" spans="2:23" ht="21.75" customHeight="1">
      <c r="B41" s="88" t="s">
        <v>1</v>
      </c>
      <c r="C41" s="103">
        <v>73.71903011209119</v>
      </c>
      <c r="D41" s="104">
        <v>74.88954108527673</v>
      </c>
      <c r="E41" s="104">
        <v>75.67054402780744</v>
      </c>
      <c r="F41" s="104">
        <v>76.85262198072537</v>
      </c>
      <c r="G41" s="104">
        <v>78.51509682077854</v>
      </c>
      <c r="H41" s="104">
        <v>80.0924826697441</v>
      </c>
      <c r="I41" s="104">
        <v>80.89515498490023</v>
      </c>
      <c r="J41" s="104">
        <v>81.67139268915017</v>
      </c>
      <c r="K41" s="104">
        <v>82.09006979555612</v>
      </c>
      <c r="L41" s="104">
        <v>85.34013743624409</v>
      </c>
      <c r="M41" s="104">
        <v>86.08519745887872</v>
      </c>
      <c r="N41" s="105">
        <v>87.85912816090782</v>
      </c>
      <c r="O41" s="105">
        <v>89.97241998789852</v>
      </c>
      <c r="P41" s="105">
        <v>93.54354812448204</v>
      </c>
      <c r="Q41" s="105">
        <v>93.45798241195453</v>
      </c>
      <c r="R41" s="105">
        <v>96.12143266802344</v>
      </c>
      <c r="S41" s="105">
        <v>97.3460186098992</v>
      </c>
      <c r="T41" s="105">
        <v>98.92246983318948</v>
      </c>
      <c r="U41" s="105">
        <v>99.3516629482615</v>
      </c>
      <c r="V41" s="105">
        <v>100.62664467596638</v>
      </c>
      <c r="W41" s="180">
        <v>102.3634431270354</v>
      </c>
    </row>
    <row r="42" spans="2:23" ht="21.75" customHeight="1">
      <c r="B42" s="88" t="s">
        <v>49</v>
      </c>
      <c r="C42" s="106">
        <v>347.903</v>
      </c>
      <c r="D42" s="107">
        <v>368.01300000000003</v>
      </c>
      <c r="E42" s="107">
        <v>392.14500000000004</v>
      </c>
      <c r="F42" s="107">
        <v>411.2495</v>
      </c>
      <c r="G42" s="107">
        <v>427.33750000000003</v>
      </c>
      <c r="H42" s="107">
        <v>459.5135</v>
      </c>
      <c r="I42" s="107">
        <v>455.49150000000003</v>
      </c>
      <c r="J42" s="107">
        <v>447.44750000000005</v>
      </c>
      <c r="K42" s="107">
        <v>465.54650000000004</v>
      </c>
      <c r="L42" s="107">
        <v>495.71150000000006</v>
      </c>
      <c r="M42" s="104">
        <v>529.8985</v>
      </c>
      <c r="N42" s="105">
        <v>552.0195</v>
      </c>
      <c r="O42" s="105">
        <v>575.1460000000001</v>
      </c>
      <c r="P42" s="105">
        <v>562.777261915551</v>
      </c>
      <c r="Q42" s="105">
        <v>524.1769743385555</v>
      </c>
      <c r="R42" s="105">
        <v>538.7246007270452</v>
      </c>
      <c r="S42" s="105">
        <v>578.9008381021396</v>
      </c>
      <c r="T42" s="105">
        <v>571.9077242127781</v>
      </c>
      <c r="U42" s="105">
        <v>581.2825412069667</v>
      </c>
      <c r="V42" s="105">
        <v>609.3952732608841</v>
      </c>
      <c r="W42" s="180">
        <v>649.0054640773244</v>
      </c>
    </row>
    <row r="43" spans="2:23" ht="21.75" customHeight="1">
      <c r="B43" s="88" t="s">
        <v>48</v>
      </c>
      <c r="C43" s="106">
        <v>30.863906357469897</v>
      </c>
      <c r="D43" s="107">
        <v>30.585853147042243</v>
      </c>
      <c r="E43" s="107">
        <v>30.307799936614586</v>
      </c>
      <c r="F43" s="107">
        <v>29.960233423580018</v>
      </c>
      <c r="G43" s="107">
        <v>29.612666910545446</v>
      </c>
      <c r="H43" s="107">
        <v>28.98704718708322</v>
      </c>
      <c r="I43" s="107">
        <v>29.195587094903964</v>
      </c>
      <c r="J43" s="107">
        <v>30.10901308779163</v>
      </c>
      <c r="K43" s="107">
        <v>29.970021776784698</v>
      </c>
      <c r="L43" s="107">
        <v>29.618143971961665</v>
      </c>
      <c r="M43" s="104">
        <v>28.998559582650202</v>
      </c>
      <c r="N43" s="105">
        <v>28.198977660838864</v>
      </c>
      <c r="O43" s="105">
        <v>27.945647443011865</v>
      </c>
      <c r="P43" s="105">
        <v>31.84353447404067</v>
      </c>
      <c r="Q43" s="105">
        <v>26.609422337818206</v>
      </c>
      <c r="R43" s="105">
        <v>24.700351482369996</v>
      </c>
      <c r="S43" s="105">
        <v>22.359777125698734</v>
      </c>
      <c r="T43" s="105">
        <v>20.649207451444564</v>
      </c>
      <c r="U43" s="105">
        <v>20.96565986562267</v>
      </c>
      <c r="V43" s="105">
        <v>21.64313068797827</v>
      </c>
      <c r="W43" s="180">
        <v>21.699854133817606</v>
      </c>
    </row>
    <row r="44" spans="2:23" ht="21.75" customHeight="1">
      <c r="B44" s="89" t="s">
        <v>50</v>
      </c>
      <c r="C44" s="108">
        <f>SUM(C37:C43)</f>
        <v>5334.025417610174</v>
      </c>
      <c r="D44" s="109">
        <f aca="true" t="shared" si="0" ref="D44:W44">SUM(D37:D43)</f>
        <v>5423.35787602606</v>
      </c>
      <c r="E44" s="109">
        <f t="shared" si="0"/>
        <v>5535.5182851274285</v>
      </c>
      <c r="F44" s="109">
        <f t="shared" si="0"/>
        <v>5661.673445682533</v>
      </c>
      <c r="G44" s="109">
        <f t="shared" si="0"/>
        <v>5802.758491439567</v>
      </c>
      <c r="H44" s="109">
        <f t="shared" si="0"/>
        <v>5896.338464592514</v>
      </c>
      <c r="I44" s="109">
        <f t="shared" si="0"/>
        <v>5985.370160874163</v>
      </c>
      <c r="J44" s="109">
        <f t="shared" si="0"/>
        <v>6040.729688916257</v>
      </c>
      <c r="K44" s="109">
        <f t="shared" si="0"/>
        <v>6097.518342686905</v>
      </c>
      <c r="L44" s="109">
        <f t="shared" si="0"/>
        <v>6198.238791962689</v>
      </c>
      <c r="M44" s="109">
        <f t="shared" si="0"/>
        <v>6199.4099997966005</v>
      </c>
      <c r="N44" s="109">
        <f t="shared" si="0"/>
        <v>6272.575167029736</v>
      </c>
      <c r="O44" s="109">
        <f t="shared" si="0"/>
        <v>6360.504334256285</v>
      </c>
      <c r="P44" s="109">
        <f t="shared" si="0"/>
        <v>6392.43707946848</v>
      </c>
      <c r="Q44" s="109">
        <f t="shared" si="0"/>
        <v>6389.283032424447</v>
      </c>
      <c r="R44" s="109">
        <f t="shared" si="0"/>
        <v>6353.1495695391895</v>
      </c>
      <c r="S44" s="109">
        <f t="shared" si="0"/>
        <v>6370.745012069602</v>
      </c>
      <c r="T44" s="109">
        <f t="shared" si="0"/>
        <v>6270.917689089327</v>
      </c>
      <c r="U44" s="109">
        <f t="shared" si="0"/>
        <v>6335.661908180293</v>
      </c>
      <c r="V44" s="109">
        <f t="shared" si="0"/>
        <v>6437.451780152459</v>
      </c>
      <c r="W44" s="181">
        <f t="shared" si="0"/>
        <v>6602.421080113856</v>
      </c>
    </row>
  </sheetData>
  <sheetProtection/>
  <printOptions horizontalCentered="1"/>
  <pageMargins left="0.4724409448818898" right="0.4724409448818898" top="0.5118110236220472" bottom="0.2755905511811024"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57"/>
  <dimension ref="A1:K62"/>
  <sheetViews>
    <sheetView zoomScalePageLayoutView="0" workbookViewId="0" topLeftCell="A25">
      <selection activeCell="N41" sqref="N41"/>
    </sheetView>
  </sheetViews>
  <sheetFormatPr defaultColWidth="9.140625" defaultRowHeight="12.75"/>
  <cols>
    <col min="1" max="1" width="3.00390625" style="0" customWidth="1"/>
    <col min="2" max="2" width="4.8515625" style="0" customWidth="1"/>
    <col min="3" max="10" width="6.7109375" style="0" customWidth="1"/>
  </cols>
  <sheetData>
    <row r="1" spans="2:10" ht="14.25" customHeight="1">
      <c r="B1" s="40"/>
      <c r="C1" s="30"/>
      <c r="D1" s="30"/>
      <c r="E1" s="30"/>
      <c r="F1" s="30"/>
      <c r="G1" s="30"/>
      <c r="H1" s="30"/>
      <c r="I1" s="30"/>
      <c r="J1" s="31" t="s">
        <v>90</v>
      </c>
    </row>
    <row r="2" spans="1:11" s="19" customFormat="1" ht="30" customHeight="1">
      <c r="A2"/>
      <c r="B2" s="572" t="s">
        <v>113</v>
      </c>
      <c r="C2" s="573"/>
      <c r="D2" s="573"/>
      <c r="E2" s="573"/>
      <c r="F2" s="573"/>
      <c r="G2" s="573"/>
      <c r="H2" s="573"/>
      <c r="I2" s="573"/>
      <c r="J2" s="573"/>
      <c r="K2"/>
    </row>
    <row r="3" spans="2:10" ht="15" customHeight="1">
      <c r="B3" s="573" t="s">
        <v>0</v>
      </c>
      <c r="C3" s="573"/>
      <c r="D3" s="573"/>
      <c r="E3" s="573"/>
      <c r="F3" s="573"/>
      <c r="G3" s="573"/>
      <c r="H3" s="573"/>
      <c r="I3" s="573"/>
      <c r="J3" s="573"/>
    </row>
    <row r="4" spans="2:11" s="22" customFormat="1" ht="13.5" customHeight="1">
      <c r="B4" s="574" t="s">
        <v>110</v>
      </c>
      <c r="C4" s="574"/>
      <c r="D4" s="574"/>
      <c r="E4" s="574"/>
      <c r="F4" s="574"/>
      <c r="G4" s="574"/>
      <c r="H4" s="574"/>
      <c r="I4" s="574"/>
      <c r="J4" s="574"/>
      <c r="K4"/>
    </row>
    <row r="5" spans="2:11" s="20" customFormat="1" ht="19.5" customHeight="1">
      <c r="B5" s="29"/>
      <c r="C5" s="575" t="s">
        <v>81</v>
      </c>
      <c r="D5" s="575" t="s">
        <v>9</v>
      </c>
      <c r="E5" s="575" t="s">
        <v>2</v>
      </c>
      <c r="F5" s="575" t="s">
        <v>82</v>
      </c>
      <c r="G5" s="575" t="s">
        <v>1</v>
      </c>
      <c r="H5" s="575" t="s">
        <v>49</v>
      </c>
      <c r="I5" s="577" t="s">
        <v>48</v>
      </c>
      <c r="J5" s="575" t="s">
        <v>50</v>
      </c>
      <c r="K5" s="27"/>
    </row>
    <row r="6" spans="2:11" s="20" customFormat="1" ht="19.5" customHeight="1">
      <c r="B6" s="29"/>
      <c r="C6" s="576"/>
      <c r="D6" s="576"/>
      <c r="E6" s="576"/>
      <c r="F6" s="576"/>
      <c r="G6" s="576"/>
      <c r="H6" s="576"/>
      <c r="I6" s="576"/>
      <c r="J6" s="576"/>
      <c r="K6" s="27"/>
    </row>
    <row r="7" spans="2:11" s="20" customFormat="1" ht="12.75" customHeight="1">
      <c r="B7" s="102">
        <v>1995</v>
      </c>
      <c r="C7" s="154">
        <v>3904.3968448239566</v>
      </c>
      <c r="D7" s="154">
        <v>112.09166423985009</v>
      </c>
      <c r="E7" s="154">
        <v>514.7284657948057</v>
      </c>
      <c r="F7" s="155">
        <v>350.32250628200006</v>
      </c>
      <c r="G7" s="154">
        <v>73.71903011209119</v>
      </c>
      <c r="H7" s="156">
        <v>347.903</v>
      </c>
      <c r="I7" s="154">
        <v>30.863906357469897</v>
      </c>
      <c r="J7" s="158">
        <f aca="true" t="shared" si="0" ref="J7:J21">SUM(C7:I7)</f>
        <v>5334.025417610174</v>
      </c>
      <c r="K7" s="27"/>
    </row>
    <row r="8" spans="1:11" s="20" customFormat="1" ht="12.75" customHeight="1">
      <c r="A8" s="22"/>
      <c r="B8" s="59">
        <v>1996</v>
      </c>
      <c r="C8" s="156">
        <v>3967.960445623563</v>
      </c>
      <c r="D8" s="156">
        <v>113.82256524289734</v>
      </c>
      <c r="E8" s="156">
        <v>519.3074723402809</v>
      </c>
      <c r="F8" s="157">
        <v>348.7789985870001</v>
      </c>
      <c r="G8" s="156">
        <v>74.88954108527673</v>
      </c>
      <c r="H8" s="156">
        <v>368.01300000000003</v>
      </c>
      <c r="I8" s="156">
        <v>30.585853147042243</v>
      </c>
      <c r="J8" s="159">
        <f t="shared" si="0"/>
        <v>5423.35787602606</v>
      </c>
      <c r="K8" s="27"/>
    </row>
    <row r="9" spans="1:11" s="20" customFormat="1" ht="12.75" customHeight="1">
      <c r="A9" s="22"/>
      <c r="B9" s="59">
        <v>1997</v>
      </c>
      <c r="C9" s="156">
        <v>4047.0311598397266</v>
      </c>
      <c r="D9" s="156">
        <v>118.0782495442711</v>
      </c>
      <c r="E9" s="156">
        <v>522.4775718300093</v>
      </c>
      <c r="F9" s="157">
        <v>349.80795994899984</v>
      </c>
      <c r="G9" s="156">
        <v>75.67054402780744</v>
      </c>
      <c r="H9" s="156">
        <v>392.14500000000004</v>
      </c>
      <c r="I9" s="156">
        <v>30.307799936614586</v>
      </c>
      <c r="J9" s="159">
        <f t="shared" si="0"/>
        <v>5535.5182851274285</v>
      </c>
      <c r="K9" s="27"/>
    </row>
    <row r="10" spans="1:11" s="20" customFormat="1" ht="12.75" customHeight="1">
      <c r="A10" s="22"/>
      <c r="B10" s="59">
        <v>1998</v>
      </c>
      <c r="C10" s="156">
        <v>4144.982058542091</v>
      </c>
      <c r="D10" s="156">
        <v>122.33459153990586</v>
      </c>
      <c r="E10" s="156">
        <v>525.5552769022315</v>
      </c>
      <c r="F10" s="157">
        <v>350.73916329400004</v>
      </c>
      <c r="G10" s="156">
        <v>76.85262198072537</v>
      </c>
      <c r="H10" s="156">
        <v>411.2495</v>
      </c>
      <c r="I10" s="156">
        <v>29.960233423580018</v>
      </c>
      <c r="J10" s="159">
        <f t="shared" si="0"/>
        <v>5661.673445682533</v>
      </c>
      <c r="K10" s="27"/>
    </row>
    <row r="11" spans="2:11" s="22" customFormat="1" ht="12.75" customHeight="1">
      <c r="B11" s="59">
        <v>1999</v>
      </c>
      <c r="C11" s="156">
        <v>4254.780359539047</v>
      </c>
      <c r="D11" s="156">
        <v>126.29901384904916</v>
      </c>
      <c r="E11" s="156">
        <v>527.7253265321467</v>
      </c>
      <c r="F11" s="157">
        <v>358.488527788</v>
      </c>
      <c r="G11" s="156">
        <v>78.51509682077854</v>
      </c>
      <c r="H11" s="156">
        <v>427.33750000000003</v>
      </c>
      <c r="I11" s="156">
        <v>29.612666910545446</v>
      </c>
      <c r="J11" s="159">
        <f t="shared" si="0"/>
        <v>5802.758491439567</v>
      </c>
      <c r="K11" s="27"/>
    </row>
    <row r="12" spans="2:11" s="22" customFormat="1" ht="12.75" customHeight="1">
      <c r="B12" s="59">
        <v>2000</v>
      </c>
      <c r="C12" s="156">
        <v>4300.856686155985</v>
      </c>
      <c r="D12" s="156">
        <v>104.15052535982967</v>
      </c>
      <c r="E12" s="156">
        <v>551.2284300559636</v>
      </c>
      <c r="F12" s="157">
        <v>371.5097931639082</v>
      </c>
      <c r="G12" s="156">
        <v>80.0924826697441</v>
      </c>
      <c r="H12" s="156">
        <v>459.5135</v>
      </c>
      <c r="I12" s="156">
        <v>28.98704718708322</v>
      </c>
      <c r="J12" s="159">
        <f t="shared" si="0"/>
        <v>5896.338464592514</v>
      </c>
      <c r="K12" s="27"/>
    </row>
    <row r="13" spans="2:11" s="22" customFormat="1" ht="21.75" customHeight="1">
      <c r="B13" s="59">
        <v>2001</v>
      </c>
      <c r="C13" s="156">
        <v>4387.3788534340165</v>
      </c>
      <c r="D13" s="156">
        <v>108.40772065375035</v>
      </c>
      <c r="E13" s="156">
        <v>550.4064586271504</v>
      </c>
      <c r="F13" s="157">
        <v>373.59488607944144</v>
      </c>
      <c r="G13" s="156">
        <v>80.89515498490023</v>
      </c>
      <c r="H13" s="156">
        <v>455.49150000000003</v>
      </c>
      <c r="I13" s="156">
        <v>29.195587094903964</v>
      </c>
      <c r="J13" s="159">
        <f t="shared" si="0"/>
        <v>5985.370160874163</v>
      </c>
      <c r="K13" s="27"/>
    </row>
    <row r="14" spans="2:11" s="22" customFormat="1" ht="12.75" customHeight="1">
      <c r="B14" s="59">
        <v>2002</v>
      </c>
      <c r="C14" s="156">
        <v>4463.501476952004</v>
      </c>
      <c r="D14" s="156">
        <v>110.03980362883776</v>
      </c>
      <c r="E14" s="156">
        <v>541.8320172296691</v>
      </c>
      <c r="F14" s="157">
        <v>366.1284853288046</v>
      </c>
      <c r="G14" s="156">
        <v>81.67139268915017</v>
      </c>
      <c r="H14" s="156">
        <v>447.44750000000005</v>
      </c>
      <c r="I14" s="156">
        <v>30.10901308779163</v>
      </c>
      <c r="J14" s="159">
        <f t="shared" si="0"/>
        <v>6040.729688916257</v>
      </c>
      <c r="K14" s="27"/>
    </row>
    <row r="15" spans="1:11" s="22" customFormat="1" ht="12.75" customHeight="1">
      <c r="A15" s="21"/>
      <c r="B15" s="59">
        <v>2003</v>
      </c>
      <c r="C15" s="156">
        <v>4495.782239459277</v>
      </c>
      <c r="D15" s="156">
        <v>113.10771446926626</v>
      </c>
      <c r="E15" s="156">
        <v>548.5824828345259</v>
      </c>
      <c r="F15" s="157">
        <v>362.43931435149534</v>
      </c>
      <c r="G15" s="156">
        <v>82.09006979555612</v>
      </c>
      <c r="H15" s="156">
        <v>465.54650000000004</v>
      </c>
      <c r="I15" s="156">
        <v>29.970021776784698</v>
      </c>
      <c r="J15" s="159">
        <f t="shared" si="0"/>
        <v>6097.518342686905</v>
      </c>
      <c r="K15" s="27"/>
    </row>
    <row r="16" spans="1:11" s="22" customFormat="1" ht="12.75" customHeight="1">
      <c r="A16" s="21"/>
      <c r="B16" s="59">
        <v>2004</v>
      </c>
      <c r="C16" s="156">
        <v>4551.94630151926</v>
      </c>
      <c r="D16" s="156">
        <v>117.1197248381871</v>
      </c>
      <c r="E16" s="156">
        <v>549.6854444180372</v>
      </c>
      <c r="F16" s="157">
        <v>368.817539779</v>
      </c>
      <c r="G16" s="156">
        <v>85.34013743624409</v>
      </c>
      <c r="H16" s="156">
        <v>495.71150000000006</v>
      </c>
      <c r="I16" s="156">
        <v>29.618143971961665</v>
      </c>
      <c r="J16" s="159">
        <f t="shared" si="0"/>
        <v>6198.238791962689</v>
      </c>
      <c r="K16" s="27"/>
    </row>
    <row r="17" spans="2:11" s="22" customFormat="1" ht="12.75" customHeight="1">
      <c r="B17" s="59">
        <v>2005</v>
      </c>
      <c r="C17" s="156">
        <v>4508.359691303219</v>
      </c>
      <c r="D17" s="156">
        <v>120.10479928295295</v>
      </c>
      <c r="E17" s="156">
        <v>548.5637472468998</v>
      </c>
      <c r="F17" s="157">
        <v>377.3995049220001</v>
      </c>
      <c r="G17" s="156">
        <v>86.08519745887872</v>
      </c>
      <c r="H17" s="156">
        <v>529.8985</v>
      </c>
      <c r="I17" s="156">
        <v>28.998559582650202</v>
      </c>
      <c r="J17" s="159">
        <f t="shared" si="0"/>
        <v>6199.4099997966005</v>
      </c>
      <c r="K17" s="27"/>
    </row>
    <row r="18" spans="1:11" s="21" customFormat="1" ht="12.75" customHeight="1">
      <c r="A18" s="27"/>
      <c r="B18" s="59">
        <v>2006</v>
      </c>
      <c r="C18" s="156">
        <v>4549.24159021749</v>
      </c>
      <c r="D18" s="156">
        <v>119.58888140983069</v>
      </c>
      <c r="E18" s="156">
        <v>546.3121909646682</v>
      </c>
      <c r="F18" s="157">
        <v>389.354898616</v>
      </c>
      <c r="G18" s="156">
        <v>87.85912816090782</v>
      </c>
      <c r="H18" s="156">
        <v>552.0195</v>
      </c>
      <c r="I18" s="156">
        <v>28.198977660838864</v>
      </c>
      <c r="J18" s="159">
        <f t="shared" si="0"/>
        <v>6272.575167029736</v>
      </c>
      <c r="K18" s="27"/>
    </row>
    <row r="19" spans="1:11" s="21" customFormat="1" ht="12.75" customHeight="1">
      <c r="A19" s="22"/>
      <c r="B19" s="59">
        <v>2007</v>
      </c>
      <c r="C19" s="156">
        <v>4596.935584587471</v>
      </c>
      <c r="D19" s="156">
        <v>115.36912966162716</v>
      </c>
      <c r="E19" s="156">
        <v>558.7420955772774</v>
      </c>
      <c r="F19" s="157">
        <v>396.393456999</v>
      </c>
      <c r="G19" s="156">
        <v>89.97241998789852</v>
      </c>
      <c r="H19" s="156">
        <v>575.1460000000001</v>
      </c>
      <c r="I19" s="156">
        <v>27.945647443011865</v>
      </c>
      <c r="J19" s="159">
        <f t="shared" si="0"/>
        <v>6360.504334256285</v>
      </c>
      <c r="K19" s="27"/>
    </row>
    <row r="20" spans="1:11" s="21" customFormat="1" ht="12.75" customHeight="1">
      <c r="A20" s="22"/>
      <c r="B20" s="59">
        <v>2008</v>
      </c>
      <c r="C20" s="156">
        <v>4602.751300402917</v>
      </c>
      <c r="D20" s="156">
        <v>120.55156273126862</v>
      </c>
      <c r="E20" s="156">
        <v>569.1919313762203</v>
      </c>
      <c r="F20" s="157">
        <v>411.777940444</v>
      </c>
      <c r="G20" s="156">
        <v>93.54354812448204</v>
      </c>
      <c r="H20" s="156">
        <v>562.777261915551</v>
      </c>
      <c r="I20" s="156">
        <v>31.84353447404067</v>
      </c>
      <c r="J20" s="159">
        <f t="shared" si="0"/>
        <v>6392.43707946848</v>
      </c>
      <c r="K20" s="27"/>
    </row>
    <row r="21" spans="1:11" s="21" customFormat="1" ht="12.75" customHeight="1">
      <c r="A21" s="22"/>
      <c r="B21" s="59">
        <v>2009</v>
      </c>
      <c r="C21" s="156">
        <v>4675.474051948912</v>
      </c>
      <c r="D21" s="156">
        <v>117.7970175593361</v>
      </c>
      <c r="E21" s="156">
        <v>547.0311654889523</v>
      </c>
      <c r="F21" s="157">
        <v>404.736418338917</v>
      </c>
      <c r="G21" s="156">
        <v>93.45798241195453</v>
      </c>
      <c r="H21" s="156">
        <v>524.1769743385555</v>
      </c>
      <c r="I21" s="156">
        <v>26.609422337818206</v>
      </c>
      <c r="J21" s="159">
        <f t="shared" si="0"/>
        <v>6389.283032424447</v>
      </c>
      <c r="K21" s="27"/>
    </row>
    <row r="22" spans="1:11" s="21" customFormat="1" ht="12.75" customHeight="1">
      <c r="A22" s="22"/>
      <c r="B22" s="59">
        <v>2010</v>
      </c>
      <c r="C22" s="156">
        <v>4624.992160795574</v>
      </c>
      <c r="D22" s="156">
        <v>119.50236674384333</v>
      </c>
      <c r="E22" s="156">
        <v>542.3330893764933</v>
      </c>
      <c r="F22" s="192">
        <v>406.77556774583996</v>
      </c>
      <c r="G22" s="156">
        <v>96.12143266802344</v>
      </c>
      <c r="H22" s="156">
        <v>538.7246007270452</v>
      </c>
      <c r="I22" s="156">
        <v>24.700351482369996</v>
      </c>
      <c r="J22" s="159">
        <f aca="true" t="shared" si="1" ref="J22:J27">SUM(C22:I22)</f>
        <v>6353.1495695391895</v>
      </c>
      <c r="K22" s="27"/>
    </row>
    <row r="23" spans="1:11" s="21" customFormat="1" ht="12.75" customHeight="1">
      <c r="A23" s="22"/>
      <c r="B23" s="59">
        <v>2011</v>
      </c>
      <c r="C23" s="156">
        <v>4590.457484852242</v>
      </c>
      <c r="D23" s="156">
        <v>122.25096666502697</v>
      </c>
      <c r="E23" s="156">
        <v>544.2979426212156</v>
      </c>
      <c r="F23" s="192">
        <v>415.13198409338</v>
      </c>
      <c r="G23" s="156">
        <v>97.3460186098992</v>
      </c>
      <c r="H23" s="156">
        <v>578.9008381021396</v>
      </c>
      <c r="I23" s="156">
        <v>22.359777125698734</v>
      </c>
      <c r="J23" s="159">
        <f t="shared" si="1"/>
        <v>6370.745012069602</v>
      </c>
      <c r="K23" s="27"/>
    </row>
    <row r="24" spans="1:11" s="21" customFormat="1" ht="12.75" customHeight="1">
      <c r="A24" s="22"/>
      <c r="B24" s="59">
        <v>2012</v>
      </c>
      <c r="C24" s="156">
        <v>4496.192492642307</v>
      </c>
      <c r="D24" s="156">
        <v>122.4515717733055</v>
      </c>
      <c r="E24" s="156">
        <v>539.9232643906546</v>
      </c>
      <c r="F24" s="192">
        <v>420.87095878564827</v>
      </c>
      <c r="G24" s="156">
        <v>98.92246983318948</v>
      </c>
      <c r="H24" s="156">
        <v>571.9077242127781</v>
      </c>
      <c r="I24" s="156">
        <v>20.649207451444564</v>
      </c>
      <c r="J24" s="159">
        <f t="shared" si="1"/>
        <v>6270.917689089327</v>
      </c>
      <c r="K24" s="27"/>
    </row>
    <row r="25" spans="1:11" s="21" customFormat="1" ht="12.75" customHeight="1">
      <c r="A25" s="22"/>
      <c r="B25" s="59">
        <v>2013</v>
      </c>
      <c r="C25" s="156">
        <v>4548.33396482955</v>
      </c>
      <c r="D25" s="156">
        <v>122.08338319756025</v>
      </c>
      <c r="E25" s="156">
        <v>537.0604617787336</v>
      </c>
      <c r="F25" s="192">
        <v>426.5842343535969</v>
      </c>
      <c r="G25" s="156">
        <v>99.3516629482615</v>
      </c>
      <c r="H25" s="156">
        <v>581.2825412069667</v>
      </c>
      <c r="I25" s="156">
        <v>20.96565986562267</v>
      </c>
      <c r="J25" s="159">
        <f t="shared" si="1"/>
        <v>6335.661908180293</v>
      </c>
      <c r="K25" s="27"/>
    </row>
    <row r="26" spans="1:11" s="21" customFormat="1" ht="12.75" customHeight="1">
      <c r="A26" s="22"/>
      <c r="B26" s="59">
        <v>2014</v>
      </c>
      <c r="C26" s="156">
        <v>4615.067998395309</v>
      </c>
      <c r="D26" s="156">
        <v>124.61257528253866</v>
      </c>
      <c r="E26" s="156">
        <v>532.3527116705428</v>
      </c>
      <c r="F26" s="192">
        <v>433.75344617924003</v>
      </c>
      <c r="G26" s="156">
        <v>100.62664467596638</v>
      </c>
      <c r="H26" s="156">
        <v>609.3952732608841</v>
      </c>
      <c r="I26" s="156">
        <v>21.64313068797827</v>
      </c>
      <c r="J26" s="159">
        <f t="shared" si="1"/>
        <v>6437.451780152459</v>
      </c>
      <c r="K26" s="27"/>
    </row>
    <row r="27" spans="1:11" s="21" customFormat="1" ht="12.75" customHeight="1">
      <c r="A27" s="22"/>
      <c r="B27" s="536">
        <v>2015</v>
      </c>
      <c r="C27" s="537">
        <v>4719.393789375224</v>
      </c>
      <c r="D27" s="537">
        <v>124.57207616194513</v>
      </c>
      <c r="E27" s="537">
        <v>543.4884075007564</v>
      </c>
      <c r="F27" s="538">
        <v>441.8980457377532</v>
      </c>
      <c r="G27" s="537">
        <v>102.3634431270354</v>
      </c>
      <c r="H27" s="537">
        <v>649.0054640773244</v>
      </c>
      <c r="I27" s="539">
        <v>21.699854133817606</v>
      </c>
      <c r="J27" s="159">
        <f t="shared" si="1"/>
        <v>6602.421080113856</v>
      </c>
      <c r="K27" s="27"/>
    </row>
    <row r="28" spans="1:11" ht="22.5" customHeight="1">
      <c r="A28" s="38"/>
      <c r="B28" s="190" t="s">
        <v>144</v>
      </c>
      <c r="C28" s="160">
        <f>C27/C7-1</f>
        <v>0.2087382448409938</v>
      </c>
      <c r="D28" s="160">
        <f aca="true" t="shared" si="2" ref="D28:J28">D27/D7-1</f>
        <v>0.11134112430867171</v>
      </c>
      <c r="E28" s="160">
        <f t="shared" si="2"/>
        <v>0.05587400662122244</v>
      </c>
      <c r="F28" s="160">
        <f t="shared" si="2"/>
        <v>0.26140352907282893</v>
      </c>
      <c r="G28" s="160">
        <f t="shared" si="2"/>
        <v>0.3885619896435131</v>
      </c>
      <c r="H28" s="160">
        <f t="shared" si="2"/>
        <v>0.8654782053541485</v>
      </c>
      <c r="I28" s="160">
        <f t="shared" si="2"/>
        <v>-0.2969180931769625</v>
      </c>
      <c r="J28" s="172">
        <f t="shared" si="2"/>
        <v>0.2377933292773784</v>
      </c>
      <c r="K28" s="27"/>
    </row>
    <row r="29" spans="1:10" s="27" customFormat="1" ht="22.5" customHeight="1">
      <c r="A29" s="38"/>
      <c r="B29" s="163" t="s">
        <v>53</v>
      </c>
      <c r="C29" s="161">
        <f>(POWER((C27/C7),1/20)-1)</f>
        <v>0.009523918733758796</v>
      </c>
      <c r="D29" s="161">
        <f aca="true" t="shared" si="3" ref="D29:J29">(POWER((D27/D7),1/20)-1)</f>
        <v>0.005292330471244666</v>
      </c>
      <c r="E29" s="161">
        <f t="shared" si="3"/>
        <v>0.0027221416301907997</v>
      </c>
      <c r="F29" s="161">
        <f t="shared" si="3"/>
        <v>0.011678922886275922</v>
      </c>
      <c r="G29" s="161">
        <f t="shared" si="3"/>
        <v>0.016548873991071522</v>
      </c>
      <c r="H29" s="161">
        <f t="shared" si="3"/>
        <v>0.0316669287738327</v>
      </c>
      <c r="I29" s="161">
        <f t="shared" si="3"/>
        <v>-0.01745987283751793</v>
      </c>
      <c r="J29" s="173">
        <f t="shared" si="3"/>
        <v>0.010723601088932222</v>
      </c>
    </row>
    <row r="30" spans="1:10" ht="22.5" customHeight="1">
      <c r="A30" s="38"/>
      <c r="B30" s="190" t="s">
        <v>145</v>
      </c>
      <c r="C30" s="160">
        <f>C27/C12-1</f>
        <v>0.09731482208334596</v>
      </c>
      <c r="D30" s="160">
        <f aca="true" t="shared" si="4" ref="D30:J30">D27/D12-1</f>
        <v>0.19607727115692453</v>
      </c>
      <c r="E30" s="160">
        <f t="shared" si="4"/>
        <v>-0.014041406671316703</v>
      </c>
      <c r="F30" s="160">
        <f t="shared" si="4"/>
        <v>0.1894654027135969</v>
      </c>
      <c r="G30" s="160">
        <f t="shared" si="4"/>
        <v>0.2780655526577205</v>
      </c>
      <c r="H30" s="160">
        <f t="shared" si="4"/>
        <v>0.412375183922397</v>
      </c>
      <c r="I30" s="160">
        <f t="shared" si="4"/>
        <v>-0.2513948042459746</v>
      </c>
      <c r="J30" s="172">
        <f t="shared" si="4"/>
        <v>0.11974933592455117</v>
      </c>
    </row>
    <row r="31" spans="1:11" s="27" customFormat="1" ht="22.5" customHeight="1">
      <c r="A31" s="38"/>
      <c r="B31" s="163" t="s">
        <v>53</v>
      </c>
      <c r="C31" s="161">
        <f>(POWER((C27/C12),1/15)-1)</f>
        <v>0.006210279296039678</v>
      </c>
      <c r="D31" s="161">
        <f aca="true" t="shared" si="5" ref="D31:J31">(POWER((D27/D12),1/15)-1)</f>
        <v>0.012008008220652178</v>
      </c>
      <c r="E31" s="161">
        <f t="shared" si="5"/>
        <v>-0.0009422837620381985</v>
      </c>
      <c r="F31" s="161">
        <f t="shared" si="5"/>
        <v>0.011634086609057848</v>
      </c>
      <c r="G31" s="161">
        <f t="shared" si="5"/>
        <v>0.01649100987693375</v>
      </c>
      <c r="H31" s="161">
        <f t="shared" si="5"/>
        <v>0.023285150531459076</v>
      </c>
      <c r="I31" s="161">
        <f t="shared" si="5"/>
        <v>-0.019117794785586062</v>
      </c>
      <c r="J31" s="173">
        <f t="shared" si="5"/>
        <v>0.007568823363670596</v>
      </c>
      <c r="K31"/>
    </row>
    <row r="32" spans="2:10" ht="22.5" customHeight="1">
      <c r="B32" s="189" t="s">
        <v>146</v>
      </c>
      <c r="C32" s="162">
        <f>C27/C26-1</f>
        <v>0.02260547212222863</v>
      </c>
      <c r="D32" s="162">
        <f aca="true" t="shared" si="6" ref="D32:J32">D27/D26-1</f>
        <v>-0.0003250002698499399</v>
      </c>
      <c r="E32" s="162">
        <f t="shared" si="6"/>
        <v>0.020917890688054053</v>
      </c>
      <c r="F32" s="162">
        <f t="shared" si="6"/>
        <v>0.01877702558966554</v>
      </c>
      <c r="G32" s="162">
        <f t="shared" si="6"/>
        <v>0.017259826725434246</v>
      </c>
      <c r="H32" s="162">
        <f t="shared" si="6"/>
        <v>0.06499917632193886</v>
      </c>
      <c r="I32" s="162">
        <f t="shared" si="6"/>
        <v>0.0026208521612283153</v>
      </c>
      <c r="J32" s="174">
        <f t="shared" si="6"/>
        <v>0.025626490977380234</v>
      </c>
    </row>
    <row r="33" spans="1:11" s="38" customFormat="1" ht="12.75">
      <c r="A33" s="20"/>
      <c r="B33"/>
      <c r="C33"/>
      <c r="D33"/>
      <c r="E33"/>
      <c r="F33"/>
      <c r="G33"/>
      <c r="H33"/>
      <c r="I33"/>
      <c r="J33"/>
      <c r="K33"/>
    </row>
    <row r="34" spans="1:10" ht="12" customHeight="1">
      <c r="A34" s="20"/>
      <c r="B34" s="579" t="s">
        <v>54</v>
      </c>
      <c r="C34" s="579"/>
      <c r="D34" s="579"/>
      <c r="E34" s="579"/>
      <c r="F34" s="579"/>
      <c r="G34" s="579"/>
      <c r="H34" s="579"/>
      <c r="I34" s="579"/>
      <c r="J34" s="579"/>
    </row>
    <row r="35" spans="1:11" s="20" customFormat="1" ht="19.5" customHeight="1">
      <c r="A35"/>
      <c r="B35" s="578" t="s">
        <v>42</v>
      </c>
      <c r="C35" s="578"/>
      <c r="D35" s="578"/>
      <c r="E35" s="578"/>
      <c r="F35" s="578"/>
      <c r="G35" s="578"/>
      <c r="H35" s="578"/>
      <c r="I35" s="578"/>
      <c r="J35" s="578"/>
      <c r="K35"/>
    </row>
    <row r="36" spans="1:11" s="20" customFormat="1" ht="19.5" customHeight="1">
      <c r="A36"/>
      <c r="B36" s="29"/>
      <c r="C36" s="575" t="s">
        <v>81</v>
      </c>
      <c r="D36" s="575" t="s">
        <v>9</v>
      </c>
      <c r="E36" s="575" t="s">
        <v>2</v>
      </c>
      <c r="F36" s="575" t="s">
        <v>82</v>
      </c>
      <c r="G36" s="575" t="s">
        <v>1</v>
      </c>
      <c r="H36" s="575" t="s">
        <v>49</v>
      </c>
      <c r="I36" s="575" t="s">
        <v>48</v>
      </c>
      <c r="J36" s="28"/>
      <c r="K36"/>
    </row>
    <row r="37" spans="1:11" s="20" customFormat="1" ht="17.25" customHeight="1">
      <c r="A37"/>
      <c r="B37" s="29"/>
      <c r="C37" s="576"/>
      <c r="D37" s="576"/>
      <c r="E37" s="576"/>
      <c r="F37" s="576"/>
      <c r="G37" s="576"/>
      <c r="H37" s="576"/>
      <c r="I37" s="576"/>
      <c r="J37" s="28"/>
      <c r="K37"/>
    </row>
    <row r="38" spans="1:11" s="20" customFormat="1" ht="12.75" customHeight="1">
      <c r="A38"/>
      <c r="B38" s="102">
        <v>1995</v>
      </c>
      <c r="C38" s="164">
        <f aca="true" t="shared" si="7" ref="C38:I38">C7/$J7*100</f>
        <v>73.19794225077501</v>
      </c>
      <c r="D38" s="164">
        <f t="shared" si="7"/>
        <v>2.1014460086707083</v>
      </c>
      <c r="E38" s="164">
        <f t="shared" si="7"/>
        <v>9.64990650579655</v>
      </c>
      <c r="F38" s="164">
        <f t="shared" si="7"/>
        <v>6.5676947306140985</v>
      </c>
      <c r="G38" s="164">
        <f t="shared" si="7"/>
        <v>1.382052471454473</v>
      </c>
      <c r="H38" s="164">
        <f t="shared" si="7"/>
        <v>6.522334873984767</v>
      </c>
      <c r="I38" s="165">
        <f t="shared" si="7"/>
        <v>0.5786231587043689</v>
      </c>
      <c r="J38" s="28"/>
      <c r="K38"/>
    </row>
    <row r="39" spans="1:11" s="20" customFormat="1" ht="12.75" customHeight="1">
      <c r="A39"/>
      <c r="B39" s="59">
        <v>1996</v>
      </c>
      <c r="C39" s="152">
        <f aca="true" t="shared" si="8" ref="C39:I39">C8/$J8*100</f>
        <v>73.164274538546</v>
      </c>
      <c r="D39" s="152">
        <f t="shared" si="8"/>
        <v>2.098747083353096</v>
      </c>
      <c r="E39" s="152">
        <f t="shared" si="8"/>
        <v>9.575386397343946</v>
      </c>
      <c r="F39" s="152">
        <f t="shared" si="8"/>
        <v>6.431052616475427</v>
      </c>
      <c r="G39" s="152">
        <f t="shared" si="8"/>
        <v>1.3808703537032982</v>
      </c>
      <c r="H39" s="152">
        <f t="shared" si="8"/>
        <v>6.785703772690359</v>
      </c>
      <c r="I39" s="166">
        <f t="shared" si="8"/>
        <v>0.5639652378878948</v>
      </c>
      <c r="J39" s="21"/>
      <c r="K39"/>
    </row>
    <row r="40" spans="1:11" s="20" customFormat="1" ht="12.75" customHeight="1">
      <c r="A40" s="22"/>
      <c r="B40" s="59">
        <v>1997</v>
      </c>
      <c r="C40" s="152">
        <f aca="true" t="shared" si="9" ref="C40:I40">C9/$J9*100</f>
        <v>73.11024824383836</v>
      </c>
      <c r="D40" s="152">
        <f t="shared" si="9"/>
        <v>2.1331019691781745</v>
      </c>
      <c r="E40" s="152">
        <f t="shared" si="9"/>
        <v>9.438638713086316</v>
      </c>
      <c r="F40" s="152">
        <f t="shared" si="9"/>
        <v>6.319335280471343</v>
      </c>
      <c r="G40" s="152">
        <f t="shared" si="9"/>
        <v>1.367000163853049</v>
      </c>
      <c r="H40" s="152">
        <f t="shared" si="9"/>
        <v>7.084160503156441</v>
      </c>
      <c r="I40" s="166">
        <f t="shared" si="9"/>
        <v>0.5475151264163315</v>
      </c>
      <c r="J40" s="21"/>
      <c r="K40"/>
    </row>
    <row r="41" spans="1:10" ht="12.75" customHeight="1">
      <c r="A41" s="22"/>
      <c r="B41" s="59">
        <v>1998</v>
      </c>
      <c r="C41" s="152">
        <f aca="true" t="shared" si="10" ref="C41:I41">C10/$J10*100</f>
        <v>73.21125279139797</v>
      </c>
      <c r="D41" s="152">
        <f t="shared" si="10"/>
        <v>2.1607496920048526</v>
      </c>
      <c r="E41" s="152">
        <f t="shared" si="10"/>
        <v>9.28268438553284</v>
      </c>
      <c r="F41" s="152">
        <f t="shared" si="10"/>
        <v>6.194973388326837</v>
      </c>
      <c r="G41" s="152">
        <f t="shared" si="10"/>
        <v>1.3574188394657676</v>
      </c>
      <c r="H41" s="152">
        <f t="shared" si="10"/>
        <v>7.2637446144763045</v>
      </c>
      <c r="I41" s="166">
        <f t="shared" si="10"/>
        <v>0.5291762887954449</v>
      </c>
      <c r="J41" s="21"/>
    </row>
    <row r="42" spans="1:10" ht="12.75" customHeight="1">
      <c r="A42" s="21"/>
      <c r="B42" s="59">
        <v>1999</v>
      </c>
      <c r="C42" s="152">
        <f aca="true" t="shared" si="11" ref="C42:I42">C11/$J11*100</f>
        <v>73.32340930293495</v>
      </c>
      <c r="D42" s="152">
        <f t="shared" si="11"/>
        <v>2.1765340404114686</v>
      </c>
      <c r="E42" s="152">
        <f t="shared" si="11"/>
        <v>9.094387217918264</v>
      </c>
      <c r="F42" s="152">
        <f t="shared" si="11"/>
        <v>6.177898465304991</v>
      </c>
      <c r="G42" s="152">
        <f t="shared" si="11"/>
        <v>1.353065045471163</v>
      </c>
      <c r="H42" s="152">
        <f t="shared" si="11"/>
        <v>7.3643854148061365</v>
      </c>
      <c r="I42" s="166">
        <f t="shared" si="11"/>
        <v>0.5103205131530304</v>
      </c>
      <c r="J42" s="21"/>
    </row>
    <row r="43" spans="1:10" ht="12.75" customHeight="1">
      <c r="A43" s="21"/>
      <c r="B43" s="59">
        <v>2000</v>
      </c>
      <c r="C43" s="152">
        <f aca="true" t="shared" si="12" ref="C43:I43">C12/$J12*100</f>
        <v>72.94114325326827</v>
      </c>
      <c r="D43" s="152">
        <f t="shared" si="12"/>
        <v>1.7663593429253273</v>
      </c>
      <c r="E43" s="152">
        <f t="shared" si="12"/>
        <v>9.34865651566795</v>
      </c>
      <c r="F43" s="152">
        <f t="shared" si="12"/>
        <v>6.300686356368836</v>
      </c>
      <c r="G43" s="152">
        <f t="shared" si="12"/>
        <v>1.3583426926846058</v>
      </c>
      <c r="H43" s="152">
        <f t="shared" si="12"/>
        <v>7.793200861167934</v>
      </c>
      <c r="I43" s="166">
        <f t="shared" si="12"/>
        <v>0.4916109779170634</v>
      </c>
      <c r="J43" s="21"/>
    </row>
    <row r="44" spans="1:10" ht="12.75" customHeight="1">
      <c r="A44" s="22"/>
      <c r="B44" s="59">
        <v>2001</v>
      </c>
      <c r="C44" s="152">
        <f aca="true" t="shared" si="13" ref="C44:I44">C13/$J13*100</f>
        <v>73.30171293521536</v>
      </c>
      <c r="D44" s="152">
        <f t="shared" si="13"/>
        <v>1.8112116333656698</v>
      </c>
      <c r="E44" s="152">
        <f t="shared" si="13"/>
        <v>9.195863310595373</v>
      </c>
      <c r="F44" s="152">
        <f t="shared" si="13"/>
        <v>6.241800858392991</v>
      </c>
      <c r="G44" s="152">
        <f t="shared" si="13"/>
        <v>1.3515480715579584</v>
      </c>
      <c r="H44" s="152">
        <f t="shared" si="13"/>
        <v>7.610080709418907</v>
      </c>
      <c r="I44" s="166">
        <f t="shared" si="13"/>
        <v>0.48778248145374437</v>
      </c>
      <c r="J44" s="24"/>
    </row>
    <row r="45" spans="1:10" ht="12.75" customHeight="1">
      <c r="A45" s="22"/>
      <c r="B45" s="59">
        <v>2002</v>
      </c>
      <c r="C45" s="152">
        <f aca="true" t="shared" si="14" ref="C45:I45">C14/$J14*100</f>
        <v>73.89010445446338</v>
      </c>
      <c r="D45" s="152">
        <f t="shared" si="14"/>
        <v>1.821630983269168</v>
      </c>
      <c r="E45" s="152">
        <f t="shared" si="14"/>
        <v>8.969645144424215</v>
      </c>
      <c r="F45" s="152">
        <f t="shared" si="14"/>
        <v>6.060997663917821</v>
      </c>
      <c r="G45" s="152">
        <f t="shared" si="14"/>
        <v>1.3520120398534585</v>
      </c>
      <c r="H45" s="152">
        <f t="shared" si="14"/>
        <v>7.407176335352209</v>
      </c>
      <c r="I45" s="166">
        <f t="shared" si="14"/>
        <v>0.49843337871973814</v>
      </c>
      <c r="J45" s="24"/>
    </row>
    <row r="46" spans="2:11" s="22" customFormat="1" ht="12.75" customHeight="1">
      <c r="B46" s="59">
        <v>2003</v>
      </c>
      <c r="C46" s="152">
        <f aca="true" t="shared" si="15" ref="C46:I46">C15/$J15*100</f>
        <v>73.7313442418967</v>
      </c>
      <c r="D46" s="152">
        <f t="shared" si="15"/>
        <v>1.854979486940333</v>
      </c>
      <c r="E46" s="152">
        <f t="shared" si="15"/>
        <v>8.996815622415824</v>
      </c>
      <c r="F46" s="152">
        <f t="shared" si="15"/>
        <v>5.9440463149436695</v>
      </c>
      <c r="G46" s="152">
        <f t="shared" si="15"/>
        <v>1.3462865576125955</v>
      </c>
      <c r="H46" s="152">
        <f t="shared" si="15"/>
        <v>7.635015982499765</v>
      </c>
      <c r="I46" s="166">
        <f t="shared" si="15"/>
        <v>0.4915117936911075</v>
      </c>
      <c r="J46" s="35"/>
      <c r="K46"/>
    </row>
    <row r="47" spans="1:11" s="22" customFormat="1" ht="12.75" customHeight="1">
      <c r="A47"/>
      <c r="B47" s="59">
        <v>2004</v>
      </c>
      <c r="C47" s="152">
        <f aca="true" t="shared" si="16" ref="C47:I47">C16/$J16*100</f>
        <v>73.43935034290399</v>
      </c>
      <c r="D47" s="152">
        <f t="shared" si="16"/>
        <v>1.8895645806685808</v>
      </c>
      <c r="E47" s="152">
        <f t="shared" si="16"/>
        <v>8.868413477886962</v>
      </c>
      <c r="F47" s="152">
        <f t="shared" si="16"/>
        <v>5.950360290365853</v>
      </c>
      <c r="G47" s="152">
        <f t="shared" si="16"/>
        <v>1.3768449441945574</v>
      </c>
      <c r="H47" s="152">
        <f t="shared" si="16"/>
        <v>7.997618624225862</v>
      </c>
      <c r="I47" s="166">
        <f t="shared" si="16"/>
        <v>0.47784773975419875</v>
      </c>
      <c r="J47" s="35"/>
      <c r="K47"/>
    </row>
    <row r="48" spans="1:11" s="21" customFormat="1" ht="12.75" customHeight="1">
      <c r="A48"/>
      <c r="B48" s="59">
        <v>2005</v>
      </c>
      <c r="C48" s="152">
        <f aca="true" t="shared" si="17" ref="C48:I48">C17/$J17*100</f>
        <v>72.7223992517213</v>
      </c>
      <c r="D48" s="152">
        <f t="shared" si="17"/>
        <v>1.9373585435854948</v>
      </c>
      <c r="E48" s="152">
        <f t="shared" si="17"/>
        <v>8.848644423661248</v>
      </c>
      <c r="F48" s="152">
        <f t="shared" si="17"/>
        <v>6.087668099615647</v>
      </c>
      <c r="G48" s="152">
        <f t="shared" si="17"/>
        <v>1.3886030680613661</v>
      </c>
      <c r="H48" s="152">
        <f t="shared" si="17"/>
        <v>8.54756339744243</v>
      </c>
      <c r="I48" s="166">
        <f t="shared" si="17"/>
        <v>0.4677632159125083</v>
      </c>
      <c r="J48" s="23"/>
      <c r="K48"/>
    </row>
    <row r="49" spans="1:11" s="21" customFormat="1" ht="12.75" customHeight="1">
      <c r="A49"/>
      <c r="B49" s="59">
        <v>2006</v>
      </c>
      <c r="C49" s="152">
        <f aca="true" t="shared" si="18" ref="C49:I49">C18/$J18*100</f>
        <v>72.52589995460669</v>
      </c>
      <c r="D49" s="152">
        <f t="shared" si="18"/>
        <v>1.9065356448563668</v>
      </c>
      <c r="E49" s="152">
        <f t="shared" si="18"/>
        <v>8.709535978719316</v>
      </c>
      <c r="F49" s="152">
        <f t="shared" si="18"/>
        <v>6.20725759752628</v>
      </c>
      <c r="G49" s="152">
        <f t="shared" si="18"/>
        <v>1.4006867326631323</v>
      </c>
      <c r="H49" s="152">
        <f t="shared" si="18"/>
        <v>8.800524271140759</v>
      </c>
      <c r="I49" s="166">
        <f t="shared" si="18"/>
        <v>0.44955982048744386</v>
      </c>
      <c r="J49" s="23"/>
      <c r="K49"/>
    </row>
    <row r="50" spans="1:11" s="21" customFormat="1" ht="12.75" customHeight="1">
      <c r="A50"/>
      <c r="B50" s="59">
        <v>2007</v>
      </c>
      <c r="C50" s="152">
        <f aca="true" t="shared" si="19" ref="C50:I50">C19/$J19*100</f>
        <v>72.27313028983222</v>
      </c>
      <c r="D50" s="152">
        <f t="shared" si="19"/>
        <v>1.8138361928357514</v>
      </c>
      <c r="E50" s="152">
        <f t="shared" si="19"/>
        <v>8.784556478768746</v>
      </c>
      <c r="F50" s="152">
        <f t="shared" si="19"/>
        <v>6.232107332497386</v>
      </c>
      <c r="G50" s="152">
        <f t="shared" si="19"/>
        <v>1.4145485209926947</v>
      </c>
      <c r="H50" s="152">
        <f t="shared" si="19"/>
        <v>9.042459053166422</v>
      </c>
      <c r="I50" s="166">
        <f t="shared" si="19"/>
        <v>0.4393621319067848</v>
      </c>
      <c r="J50" s="23"/>
      <c r="K50"/>
    </row>
    <row r="51" spans="2:10" ht="15" customHeight="1">
      <c r="B51" s="59">
        <v>2008</v>
      </c>
      <c r="C51" s="152">
        <f aca="true" t="shared" si="20" ref="C51:I51">C20/$J20*100</f>
        <v>72.00307555918293</v>
      </c>
      <c r="D51" s="152">
        <f t="shared" si="20"/>
        <v>1.88584668464648</v>
      </c>
      <c r="E51" s="152">
        <f t="shared" si="20"/>
        <v>8.904146013487981</v>
      </c>
      <c r="F51" s="152">
        <f t="shared" si="20"/>
        <v>6.441642449114863</v>
      </c>
      <c r="G51" s="152">
        <f t="shared" si="20"/>
        <v>1.4633471860822762</v>
      </c>
      <c r="H51" s="152">
        <f t="shared" si="20"/>
        <v>8.803798221543776</v>
      </c>
      <c r="I51" s="166">
        <f t="shared" si="20"/>
        <v>0.4981438859416729</v>
      </c>
      <c r="J51" s="96"/>
    </row>
    <row r="52" spans="2:10" ht="15" customHeight="1">
      <c r="B52" s="59">
        <v>2009</v>
      </c>
      <c r="C52" s="152">
        <f aca="true" t="shared" si="21" ref="C52:I52">C21/$J21*100</f>
        <v>73.17681856041959</v>
      </c>
      <c r="D52" s="152">
        <f t="shared" si="21"/>
        <v>1.843665665795954</v>
      </c>
      <c r="E52" s="152">
        <f t="shared" si="21"/>
        <v>8.561698749497696</v>
      </c>
      <c r="F52" s="152">
        <f t="shared" si="21"/>
        <v>6.334614013574817</v>
      </c>
      <c r="G52" s="152">
        <f t="shared" si="21"/>
        <v>1.4627303554666824</v>
      </c>
      <c r="H52" s="152">
        <f t="shared" si="21"/>
        <v>8.204003041944658</v>
      </c>
      <c r="I52" s="166">
        <f t="shared" si="21"/>
        <v>0.41646961330058846</v>
      </c>
      <c r="J52" s="167"/>
    </row>
    <row r="53" spans="2:10" ht="15" customHeight="1">
      <c r="B53" s="59">
        <v>2010</v>
      </c>
      <c r="C53" s="152">
        <f aca="true" t="shared" si="22" ref="C53:I53">C22/$J22*100</f>
        <v>72.79841455284732</v>
      </c>
      <c r="D53" s="152">
        <f t="shared" si="22"/>
        <v>1.8809940712998379</v>
      </c>
      <c r="E53" s="152">
        <f t="shared" si="22"/>
        <v>8.53644453731679</v>
      </c>
      <c r="F53" s="152">
        <f t="shared" si="22"/>
        <v>6.402738724996591</v>
      </c>
      <c r="G53" s="152">
        <f t="shared" si="22"/>
        <v>1.512972921791221</v>
      </c>
      <c r="H53" s="152">
        <f t="shared" si="22"/>
        <v>8.479646116156529</v>
      </c>
      <c r="I53" s="166">
        <f t="shared" si="22"/>
        <v>0.3887890755917081</v>
      </c>
      <c r="J53" s="167"/>
    </row>
    <row r="54" spans="2:9" ht="15" customHeight="1">
      <c r="B54" s="86">
        <v>2011</v>
      </c>
      <c r="C54" s="201">
        <f>C23/$J23*100</f>
        <v>72.05526945679756</v>
      </c>
      <c r="D54" s="152">
        <f aca="true" t="shared" si="23" ref="D54:I54">D23/$J23*100</f>
        <v>1.9189430189627457</v>
      </c>
      <c r="E54" s="152">
        <f t="shared" si="23"/>
        <v>8.543709434140338</v>
      </c>
      <c r="F54" s="202">
        <f t="shared" si="23"/>
        <v>6.516223507720021</v>
      </c>
      <c r="G54" s="152">
        <f t="shared" si="23"/>
        <v>1.5280162433981226</v>
      </c>
      <c r="H54" s="152">
        <f t="shared" si="23"/>
        <v>9.086862478491785</v>
      </c>
      <c r="I54" s="166">
        <f t="shared" si="23"/>
        <v>0.35097586048943014</v>
      </c>
    </row>
    <row r="55" spans="2:10" ht="12.75" customHeight="1">
      <c r="B55" s="86">
        <v>2012</v>
      </c>
      <c r="C55" s="201">
        <f>C24/$J24*100</f>
        <v>71.69911511460538</v>
      </c>
      <c r="D55" s="152">
        <f aca="true" t="shared" si="24" ref="D55:I55">D24/$J24*100</f>
        <v>1.9526898269826936</v>
      </c>
      <c r="E55" s="152">
        <f t="shared" si="24"/>
        <v>8.609956168457748</v>
      </c>
      <c r="F55" s="202">
        <f t="shared" si="24"/>
        <v>6.711473179083743</v>
      </c>
      <c r="G55" s="152">
        <f t="shared" si="24"/>
        <v>1.5774799596764466</v>
      </c>
      <c r="H55" s="152">
        <f t="shared" si="24"/>
        <v>9.120000493832531</v>
      </c>
      <c r="I55" s="166">
        <f t="shared" si="24"/>
        <v>0.32928525736148323</v>
      </c>
      <c r="J55" s="21"/>
    </row>
    <row r="56" spans="2:10" ht="12.75" customHeight="1">
      <c r="B56" s="86">
        <v>2013</v>
      </c>
      <c r="C56" s="201">
        <f>C25/$J25*100</f>
        <v>71.78940465489431</v>
      </c>
      <c r="D56" s="152">
        <f aca="true" t="shared" si="25" ref="D56:I56">D25/$J25*100</f>
        <v>1.9269238947225424</v>
      </c>
      <c r="E56" s="152">
        <f t="shared" si="25"/>
        <v>8.476785370843539</v>
      </c>
      <c r="F56" s="202">
        <f t="shared" si="25"/>
        <v>6.7330649983518285</v>
      </c>
      <c r="G56" s="152">
        <f t="shared" si="25"/>
        <v>1.5681339122591682</v>
      </c>
      <c r="H56" s="152">
        <f t="shared" si="25"/>
        <v>9.174772101655922</v>
      </c>
      <c r="I56" s="166">
        <f t="shared" si="25"/>
        <v>0.3309150672726531</v>
      </c>
      <c r="J56" s="21"/>
    </row>
    <row r="57" spans="2:10" ht="12.75" customHeight="1">
      <c r="B57" s="86">
        <v>2014</v>
      </c>
      <c r="C57" s="201">
        <f>C26/$J26*100</f>
        <v>71.69091367214885</v>
      </c>
      <c r="D57" s="152">
        <f aca="true" t="shared" si="26" ref="D57:I57">D26/$J26*100</f>
        <v>1.9357438243923817</v>
      </c>
      <c r="E57" s="152">
        <f t="shared" si="26"/>
        <v>8.269618629406418</v>
      </c>
      <c r="F57" s="202">
        <f t="shared" si="26"/>
        <v>6.737968081043512</v>
      </c>
      <c r="G57" s="152">
        <f t="shared" si="26"/>
        <v>1.563144053151777</v>
      </c>
      <c r="H57" s="152">
        <f t="shared" si="26"/>
        <v>9.466405249663117</v>
      </c>
      <c r="I57" s="166">
        <f t="shared" si="26"/>
        <v>0.3362064901939459</v>
      </c>
      <c r="J57" s="21"/>
    </row>
    <row r="58" spans="2:9" ht="11.25" customHeight="1">
      <c r="B58" s="540">
        <v>2015</v>
      </c>
      <c r="C58" s="541">
        <f>C27/$J27*100</f>
        <v>71.47974556772498</v>
      </c>
      <c r="D58" s="542">
        <f aca="true" t="shared" si="27" ref="D58:I58">D27/$J27*100</f>
        <v>1.886763577336042</v>
      </c>
      <c r="E58" s="542">
        <f t="shared" si="27"/>
        <v>8.231653220933072</v>
      </c>
      <c r="F58" s="543">
        <f t="shared" si="27"/>
        <v>6.6929697511830435</v>
      </c>
      <c r="G58" s="542">
        <f t="shared" si="27"/>
        <v>1.5503925285127405</v>
      </c>
      <c r="H58" s="542">
        <f t="shared" si="27"/>
        <v>9.829810249941414</v>
      </c>
      <c r="I58" s="544">
        <f t="shared" si="27"/>
        <v>0.32866510436870533</v>
      </c>
    </row>
    <row r="59" spans="2:9" ht="11.25" customHeight="1">
      <c r="B59" s="39" t="s">
        <v>88</v>
      </c>
      <c r="C59" s="97"/>
      <c r="D59" s="98"/>
      <c r="E59" s="98"/>
      <c r="F59" s="98"/>
      <c r="G59" s="98"/>
      <c r="H59" s="98"/>
      <c r="I59" s="98"/>
    </row>
    <row r="60" spans="2:9" ht="11.25" customHeight="1">
      <c r="B60" s="120" t="s">
        <v>5</v>
      </c>
      <c r="C60" s="98"/>
      <c r="D60" s="96"/>
      <c r="E60" s="96"/>
      <c r="F60" s="96"/>
      <c r="G60" s="96"/>
      <c r="H60" s="96"/>
      <c r="I60" s="96"/>
    </row>
    <row r="61" spans="2:9" ht="11.25" customHeight="1">
      <c r="B61" s="200" t="s">
        <v>114</v>
      </c>
      <c r="C61" s="96"/>
      <c r="D61" s="21"/>
      <c r="E61" s="21"/>
      <c r="F61" s="21"/>
      <c r="G61" s="21"/>
      <c r="H61" s="21"/>
      <c r="I61" s="21"/>
    </row>
    <row r="62" spans="2:3" ht="11.25" customHeight="1">
      <c r="B62" s="41" t="s">
        <v>85</v>
      </c>
      <c r="C62" s="21"/>
    </row>
    <row r="63" ht="11.25" customHeight="1"/>
    <row r="64" ht="11.25" customHeight="1"/>
  </sheetData>
  <sheetProtection/>
  <mergeCells count="20">
    <mergeCell ref="B35:J35"/>
    <mergeCell ref="C36:C37"/>
    <mergeCell ref="D36:D37"/>
    <mergeCell ref="E36:E37"/>
    <mergeCell ref="B34:J34"/>
    <mergeCell ref="F36:F37"/>
    <mergeCell ref="G36:G37"/>
    <mergeCell ref="H36:H37"/>
    <mergeCell ref="I36:I37"/>
    <mergeCell ref="B2:J2"/>
    <mergeCell ref="B3:J3"/>
    <mergeCell ref="B4:J4"/>
    <mergeCell ref="H5:H6"/>
    <mergeCell ref="J5:J6"/>
    <mergeCell ref="E5:E6"/>
    <mergeCell ref="G5:G6"/>
    <mergeCell ref="I5:I6"/>
    <mergeCell ref="D5:D6"/>
    <mergeCell ref="C5:C6"/>
    <mergeCell ref="F5:F6"/>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24"/>
  <dimension ref="B1:H53"/>
  <sheetViews>
    <sheetView zoomScalePageLayoutView="0" workbookViewId="0" topLeftCell="A13">
      <selection activeCell="L31" sqref="L31"/>
    </sheetView>
  </sheetViews>
  <sheetFormatPr defaultColWidth="9.140625" defaultRowHeight="12.75"/>
  <cols>
    <col min="1" max="1" width="3.140625" style="0" customWidth="1"/>
    <col min="2" max="2" width="4.00390625" style="0" customWidth="1"/>
    <col min="3" max="6" width="10.7109375" style="0" customWidth="1"/>
    <col min="7" max="7" width="5.57421875" style="0" customWidth="1"/>
  </cols>
  <sheetData>
    <row r="1" spans="2:7" ht="15.75">
      <c r="B1" s="40"/>
      <c r="C1" s="30"/>
      <c r="D1" s="30"/>
      <c r="E1" s="30"/>
      <c r="G1" s="25" t="s">
        <v>89</v>
      </c>
    </row>
    <row r="2" spans="2:7" ht="12.75">
      <c r="B2" s="573" t="s">
        <v>83</v>
      </c>
      <c r="C2" s="573"/>
      <c r="D2" s="573"/>
      <c r="E2" s="573"/>
      <c r="F2" s="573"/>
      <c r="G2" s="573"/>
    </row>
    <row r="3" spans="2:7" ht="19.5" customHeight="1">
      <c r="B3" s="573"/>
      <c r="C3" s="573"/>
      <c r="D3" s="573"/>
      <c r="E3" s="573"/>
      <c r="F3" s="573"/>
      <c r="G3" s="573"/>
    </row>
    <row r="4" spans="2:7" ht="12.75">
      <c r="B4" s="580">
        <v>2015</v>
      </c>
      <c r="C4" s="580"/>
      <c r="D4" s="580"/>
      <c r="E4" s="580"/>
      <c r="F4" s="580"/>
      <c r="G4" s="580"/>
    </row>
    <row r="5" spans="2:6" ht="12.75">
      <c r="B5" s="581" t="s">
        <v>3</v>
      </c>
      <c r="C5" s="581"/>
      <c r="D5" s="581"/>
      <c r="E5" s="581"/>
      <c r="F5" s="581"/>
    </row>
    <row r="6" spans="2:7" ht="28.5" customHeight="1">
      <c r="B6" s="14"/>
      <c r="C6" s="127" t="s">
        <v>45</v>
      </c>
      <c r="D6" s="147" t="s">
        <v>4</v>
      </c>
      <c r="E6" s="147" t="s">
        <v>47</v>
      </c>
      <c r="F6" s="148" t="s">
        <v>1</v>
      </c>
      <c r="G6" s="42"/>
    </row>
    <row r="7" spans="2:8" ht="12.75">
      <c r="B7" s="85" t="s">
        <v>117</v>
      </c>
      <c r="C7" s="149">
        <v>81.2687621448652</v>
      </c>
      <c r="D7" s="149">
        <v>9.35896263140987</v>
      </c>
      <c r="E7" s="149">
        <v>7.609559357431052</v>
      </c>
      <c r="F7" s="149">
        <v>1.762715866293874</v>
      </c>
      <c r="G7" s="85" t="s">
        <v>117</v>
      </c>
      <c r="H7" s="140"/>
    </row>
    <row r="8" spans="2:8" ht="12.75">
      <c r="B8" s="86" t="s">
        <v>118</v>
      </c>
      <c r="C8" s="150">
        <v>82.17275886356144</v>
      </c>
      <c r="D8" s="141">
        <v>8.387603023866394</v>
      </c>
      <c r="E8" s="141">
        <v>7.922560883708063</v>
      </c>
      <c r="F8" s="141">
        <v>1.5170772288640892</v>
      </c>
      <c r="G8" s="86" t="s">
        <v>118</v>
      </c>
      <c r="H8" s="140"/>
    </row>
    <row r="9" spans="2:8" ht="12.75">
      <c r="B9" s="87" t="s">
        <v>119</v>
      </c>
      <c r="C9" s="151">
        <v>75.67071997177615</v>
      </c>
      <c r="D9" s="142">
        <v>15.37415266009263</v>
      </c>
      <c r="E9" s="142">
        <v>5.671282693255784</v>
      </c>
      <c r="F9" s="142">
        <v>3.283844674875435</v>
      </c>
      <c r="G9" s="87" t="s">
        <v>119</v>
      </c>
      <c r="H9" s="140"/>
    </row>
    <row r="10" spans="2:8" ht="12.75">
      <c r="B10" s="15" t="s">
        <v>29</v>
      </c>
      <c r="C10" s="143">
        <v>80.01571684793521</v>
      </c>
      <c r="D10" s="144">
        <v>11.33385893472904</v>
      </c>
      <c r="E10" s="143">
        <v>7.722025855933988</v>
      </c>
      <c r="F10" s="143">
        <v>0.928398361401765</v>
      </c>
      <c r="G10" s="15" t="s">
        <v>29</v>
      </c>
      <c r="H10" s="140"/>
    </row>
    <row r="11" spans="2:8" ht="12.75">
      <c r="B11" s="86" t="s">
        <v>12</v>
      </c>
      <c r="C11" s="145">
        <v>79.34569906300054</v>
      </c>
      <c r="D11" s="145">
        <v>17.45865046192257</v>
      </c>
      <c r="E11" s="145">
        <v>2.162092226216666</v>
      </c>
      <c r="F11" s="145">
        <v>1.0335582488602095</v>
      </c>
      <c r="G11" s="86" t="s">
        <v>12</v>
      </c>
      <c r="H11" s="140"/>
    </row>
    <row r="12" spans="2:8" ht="9.75" customHeight="1">
      <c r="B12" s="16" t="s">
        <v>14</v>
      </c>
      <c r="C12" s="153">
        <v>67.07182713837454</v>
      </c>
      <c r="D12" s="144">
        <v>15.648553440480189</v>
      </c>
      <c r="E12" s="144">
        <v>7.818070375142288</v>
      </c>
      <c r="F12" s="144">
        <v>9.461549046002968</v>
      </c>
      <c r="G12" s="16" t="s">
        <v>14</v>
      </c>
      <c r="H12" s="140"/>
    </row>
    <row r="13" spans="2:8" ht="12.75">
      <c r="B13" s="86" t="s">
        <v>25</v>
      </c>
      <c r="C13" s="203">
        <v>80.46665907408462</v>
      </c>
      <c r="D13" s="145">
        <v>9.842833551620064</v>
      </c>
      <c r="E13" s="145">
        <v>9.262001024998574</v>
      </c>
      <c r="F13" s="145">
        <v>0.428506349296737</v>
      </c>
      <c r="G13" s="86" t="s">
        <v>25</v>
      </c>
      <c r="H13" s="140"/>
    </row>
    <row r="14" spans="2:8" ht="12.75">
      <c r="B14" s="16" t="s">
        <v>30</v>
      </c>
      <c r="C14" s="144">
        <v>84.27156275644036</v>
      </c>
      <c r="D14" s="144">
        <v>5.909812275605157</v>
      </c>
      <c r="E14" s="144">
        <v>8.284434069986311</v>
      </c>
      <c r="F14" s="144">
        <v>1.5341908979681593</v>
      </c>
      <c r="G14" s="16" t="s">
        <v>30</v>
      </c>
      <c r="H14" s="140"/>
    </row>
    <row r="15" spans="2:8" ht="12.75">
      <c r="B15" s="86" t="s">
        <v>15</v>
      </c>
      <c r="C15" s="145">
        <v>77.39735736412958</v>
      </c>
      <c r="D15" s="145">
        <v>19.74742010390864</v>
      </c>
      <c r="E15" s="145">
        <v>1.7949835120953932</v>
      </c>
      <c r="F15" s="145">
        <v>1.0602390198663876</v>
      </c>
      <c r="G15" s="86" t="s">
        <v>15</v>
      </c>
      <c r="H15" s="140"/>
    </row>
    <row r="16" spans="2:8" ht="12.75">
      <c r="B16" s="16" t="s">
        <v>33</v>
      </c>
      <c r="C16" s="144">
        <v>80.13523101660938</v>
      </c>
      <c r="D16" s="143">
        <v>16.626746420990745</v>
      </c>
      <c r="E16" s="143">
        <v>2.960682155698552</v>
      </c>
      <c r="F16" s="143">
        <v>0.27734040670131493</v>
      </c>
      <c r="G16" s="16" t="s">
        <v>33</v>
      </c>
      <c r="H16" s="140"/>
    </row>
    <row r="17" spans="2:8" ht="12.75">
      <c r="B17" s="86" t="s">
        <v>26</v>
      </c>
      <c r="C17" s="145">
        <v>80.3162899629382</v>
      </c>
      <c r="D17" s="145">
        <v>17.28351243439814</v>
      </c>
      <c r="E17" s="145">
        <v>1.0321919557621135</v>
      </c>
      <c r="F17" s="145">
        <v>1.36800564690153</v>
      </c>
      <c r="G17" s="86" t="s">
        <v>26</v>
      </c>
      <c r="H17" s="140"/>
    </row>
    <row r="18" spans="2:8" ht="12.75">
      <c r="B18" s="16" t="s">
        <v>31</v>
      </c>
      <c r="C18" s="143">
        <v>79.8943206002622</v>
      </c>
      <c r="D18" s="143">
        <v>11.671178160261636</v>
      </c>
      <c r="E18" s="143">
        <v>6.603578718497643</v>
      </c>
      <c r="F18" s="143">
        <v>1.8309225209785076</v>
      </c>
      <c r="G18" s="16" t="s">
        <v>31</v>
      </c>
      <c r="H18" s="140"/>
    </row>
    <row r="19" spans="2:8" ht="12.75">
      <c r="B19" s="86" t="s">
        <v>32</v>
      </c>
      <c r="C19" s="145">
        <v>80.47732984820085</v>
      </c>
      <c r="D19" s="145">
        <v>7.816383044945424</v>
      </c>
      <c r="E19" s="145">
        <v>9.904996744951589</v>
      </c>
      <c r="F19" s="145">
        <v>1.801290361902141</v>
      </c>
      <c r="G19" s="86" t="s">
        <v>32</v>
      </c>
      <c r="H19" s="140"/>
    </row>
    <row r="20" spans="2:8" ht="12.75">
      <c r="B20" s="16" t="s">
        <v>44</v>
      </c>
      <c r="C20" s="144">
        <v>84.29853608068693</v>
      </c>
      <c r="D20" s="144">
        <v>10.786047677205309</v>
      </c>
      <c r="E20" s="144">
        <v>3.005528831581343</v>
      </c>
      <c r="F20" s="144">
        <v>1.909887410526429</v>
      </c>
      <c r="G20" s="16" t="s">
        <v>44</v>
      </c>
      <c r="H20" s="140"/>
    </row>
    <row r="21" spans="2:8" ht="12.75">
      <c r="B21" s="194" t="s">
        <v>34</v>
      </c>
      <c r="C21" s="195">
        <v>80.7484323969708</v>
      </c>
      <c r="D21" s="195">
        <v>12.247626608605534</v>
      </c>
      <c r="E21" s="195">
        <v>6.204689260433652</v>
      </c>
      <c r="F21" s="195">
        <v>0.7992517339900073</v>
      </c>
      <c r="G21" s="194" t="s">
        <v>34</v>
      </c>
      <c r="H21" s="140"/>
    </row>
    <row r="22" spans="2:8" ht="12.75">
      <c r="B22" s="16" t="s">
        <v>13</v>
      </c>
      <c r="C22" s="144">
        <v>81.28858794910143</v>
      </c>
      <c r="D22" s="144">
        <v>18.711412050898577</v>
      </c>
      <c r="E22" s="199" t="s">
        <v>43</v>
      </c>
      <c r="F22" s="199" t="s">
        <v>43</v>
      </c>
      <c r="G22" s="16" t="s">
        <v>13</v>
      </c>
      <c r="H22" s="140"/>
    </row>
    <row r="23" spans="2:8" ht="12.75">
      <c r="B23" s="194" t="s">
        <v>17</v>
      </c>
      <c r="C23" s="195">
        <v>81.69227625967292</v>
      </c>
      <c r="D23" s="195">
        <v>13.95861409661979</v>
      </c>
      <c r="E23" s="195">
        <v>3.5590243375132555</v>
      </c>
      <c r="F23" s="195">
        <v>0.7900853061940234</v>
      </c>
      <c r="G23" s="194" t="s">
        <v>17</v>
      </c>
      <c r="H23" s="140"/>
    </row>
    <row r="24" spans="2:8" ht="12.75">
      <c r="B24" s="16" t="s">
        <v>18</v>
      </c>
      <c r="C24" s="144">
        <v>89.20965697317249</v>
      </c>
      <c r="D24" s="144">
        <v>9.850349858640454</v>
      </c>
      <c r="E24" s="144">
        <v>0.9399931681870578</v>
      </c>
      <c r="F24" s="199" t="s">
        <v>43</v>
      </c>
      <c r="G24" s="16" t="s">
        <v>18</v>
      </c>
      <c r="H24" s="140"/>
    </row>
    <row r="25" spans="2:8" ht="12.75">
      <c r="B25" s="194" t="s">
        <v>35</v>
      </c>
      <c r="C25" s="195">
        <v>82.89405231842004</v>
      </c>
      <c r="D25" s="195">
        <v>12.373258386036055</v>
      </c>
      <c r="E25" s="195">
        <v>4.732689295543934</v>
      </c>
      <c r="F25" s="204" t="s">
        <v>43</v>
      </c>
      <c r="G25" s="194" t="s">
        <v>35</v>
      </c>
      <c r="H25" s="140"/>
    </row>
    <row r="26" spans="2:8" ht="12.75">
      <c r="B26" s="16" t="s">
        <v>16</v>
      </c>
      <c r="C26" s="144">
        <v>65.80907085196947</v>
      </c>
      <c r="D26" s="144">
        <v>21.46894019998683</v>
      </c>
      <c r="E26" s="144">
        <v>9.170580739384935</v>
      </c>
      <c r="F26" s="144">
        <v>3.551408208658772</v>
      </c>
      <c r="G26" s="16" t="s">
        <v>16</v>
      </c>
      <c r="H26" s="140"/>
    </row>
    <row r="27" spans="2:8" ht="12.75">
      <c r="B27" s="194" t="s">
        <v>19</v>
      </c>
      <c r="C27" s="195">
        <v>82.26406207924163</v>
      </c>
      <c r="D27" s="195">
        <v>17.73593792075837</v>
      </c>
      <c r="E27" s="204" t="s">
        <v>43</v>
      </c>
      <c r="F27" s="204" t="s">
        <v>43</v>
      </c>
      <c r="G27" s="194" t="s">
        <v>19</v>
      </c>
      <c r="H27" s="140"/>
    </row>
    <row r="28" spans="2:8" ht="12.75">
      <c r="B28" s="16" t="s">
        <v>27</v>
      </c>
      <c r="C28" s="144">
        <v>85.66000381203003</v>
      </c>
      <c r="D28" s="144">
        <v>3.0026218842116394</v>
      </c>
      <c r="E28" s="144">
        <v>10.773903580234009</v>
      </c>
      <c r="F28" s="144">
        <v>0.5634707235243219</v>
      </c>
      <c r="G28" s="16" t="s">
        <v>27</v>
      </c>
      <c r="H28" s="140"/>
    </row>
    <row r="29" spans="2:8" ht="12.75">
      <c r="B29" s="194" t="s">
        <v>36</v>
      </c>
      <c r="C29" s="195">
        <v>72.59160518164033</v>
      </c>
      <c r="D29" s="195">
        <v>9.539110504672903</v>
      </c>
      <c r="E29" s="195">
        <v>11.214836421542298</v>
      </c>
      <c r="F29" s="195">
        <v>6.654447892144476</v>
      </c>
      <c r="G29" s="194" t="s">
        <v>36</v>
      </c>
      <c r="H29" s="140"/>
    </row>
    <row r="30" spans="2:8" ht="12.75">
      <c r="B30" s="16" t="s">
        <v>20</v>
      </c>
      <c r="C30" s="144">
        <v>77.25807636037938</v>
      </c>
      <c r="D30" s="144">
        <v>14.47553726690461</v>
      </c>
      <c r="E30" s="144">
        <v>6.640720129894503</v>
      </c>
      <c r="F30" s="144">
        <v>1.6256662428215094</v>
      </c>
      <c r="G30" s="16" t="s">
        <v>20</v>
      </c>
      <c r="H30" s="140"/>
    </row>
    <row r="31" spans="2:8" ht="12.75">
      <c r="B31" s="194" t="s">
        <v>37</v>
      </c>
      <c r="C31" s="195">
        <v>88.4660732792668</v>
      </c>
      <c r="D31" s="195">
        <v>6.333229714357069</v>
      </c>
      <c r="E31" s="195">
        <v>4.144301303077711</v>
      </c>
      <c r="F31" s="195">
        <v>1.0563957032984432</v>
      </c>
      <c r="G31" s="194" t="s">
        <v>37</v>
      </c>
      <c r="H31" s="140"/>
    </row>
    <row r="32" spans="2:8" ht="12.75">
      <c r="B32" s="16" t="s">
        <v>21</v>
      </c>
      <c r="C32" s="144">
        <v>74.82044740215835</v>
      </c>
      <c r="D32" s="144">
        <v>14.54591024160604</v>
      </c>
      <c r="E32" s="144">
        <v>4.286093865479244</v>
      </c>
      <c r="F32" s="144">
        <v>6.347548490756363</v>
      </c>
      <c r="G32" s="16" t="s">
        <v>21</v>
      </c>
      <c r="H32" s="140"/>
    </row>
    <row r="33" spans="2:8" ht="12.75">
      <c r="B33" s="194" t="s">
        <v>23</v>
      </c>
      <c r="C33" s="195">
        <v>86.07948043943787</v>
      </c>
      <c r="D33" s="195">
        <v>11.84109173139048</v>
      </c>
      <c r="E33" s="195">
        <v>2.079427829171645</v>
      </c>
      <c r="F33" s="204" t="s">
        <v>43</v>
      </c>
      <c r="G33" s="194" t="s">
        <v>23</v>
      </c>
      <c r="H33" s="140"/>
    </row>
    <row r="34" spans="2:8" ht="12.75">
      <c r="B34" s="16" t="s">
        <v>22</v>
      </c>
      <c r="C34" s="144">
        <v>75.30272359538345</v>
      </c>
      <c r="D34" s="144">
        <v>14.681529626185528</v>
      </c>
      <c r="E34" s="144">
        <v>9.329758824011224</v>
      </c>
      <c r="F34" s="144">
        <v>0.6859879544197709</v>
      </c>
      <c r="G34" s="16" t="s">
        <v>22</v>
      </c>
      <c r="H34" s="140"/>
    </row>
    <row r="35" spans="2:8" ht="12.75">
      <c r="B35" s="194" t="s">
        <v>38</v>
      </c>
      <c r="C35" s="195">
        <v>84.49008539207604</v>
      </c>
      <c r="D35" s="195">
        <v>9.609401068802374</v>
      </c>
      <c r="E35" s="195">
        <v>5.243113527460605</v>
      </c>
      <c r="F35" s="195">
        <v>0.6574000116609575</v>
      </c>
      <c r="G35" s="194" t="s">
        <v>38</v>
      </c>
      <c r="H35" s="140"/>
    </row>
    <row r="36" spans="2:8" ht="12.75">
      <c r="B36" s="16" t="s">
        <v>39</v>
      </c>
      <c r="C36" s="144">
        <v>81.69921980307207</v>
      </c>
      <c r="D36" s="144">
        <v>7.175989363188857</v>
      </c>
      <c r="E36" s="144">
        <v>9.3000997331288</v>
      </c>
      <c r="F36" s="144">
        <v>1.824691100610264</v>
      </c>
      <c r="G36" s="16" t="s">
        <v>39</v>
      </c>
      <c r="H36" s="140"/>
    </row>
    <row r="37" spans="2:8" ht="12.75">
      <c r="B37" s="194" t="s">
        <v>28</v>
      </c>
      <c r="C37" s="195">
        <v>84.52219234365657</v>
      </c>
      <c r="D37" s="195">
        <v>5.2441010847803025</v>
      </c>
      <c r="E37" s="195">
        <v>8.534388919811944</v>
      </c>
      <c r="F37" s="195">
        <v>1.6993176517511952</v>
      </c>
      <c r="G37" s="194" t="s">
        <v>28</v>
      </c>
      <c r="H37" s="140"/>
    </row>
    <row r="38" spans="2:8" ht="12.75">
      <c r="B38" s="15" t="s">
        <v>116</v>
      </c>
      <c r="C38" s="193">
        <v>88.211894965975</v>
      </c>
      <c r="D38" s="193">
        <v>11.720473435640908</v>
      </c>
      <c r="E38" s="193">
        <v>0.0676315983840853</v>
      </c>
      <c r="F38" s="457" t="s">
        <v>43</v>
      </c>
      <c r="G38" s="15" t="s">
        <v>116</v>
      </c>
      <c r="H38" s="140"/>
    </row>
    <row r="39" spans="2:8" ht="12.75">
      <c r="B39" s="194" t="s">
        <v>107</v>
      </c>
      <c r="C39" s="195">
        <v>95.542100421165</v>
      </c>
      <c r="D39" s="195">
        <v>2.563617910573709</v>
      </c>
      <c r="E39" s="195">
        <v>1.894281668261286</v>
      </c>
      <c r="F39" s="204" t="s">
        <v>43</v>
      </c>
      <c r="G39" s="194" t="s">
        <v>107</v>
      </c>
      <c r="H39" s="140"/>
    </row>
    <row r="40" spans="2:8" ht="12.75">
      <c r="B40" s="16" t="s">
        <v>6</v>
      </c>
      <c r="C40" s="144">
        <v>83.0599144079886</v>
      </c>
      <c r="D40" s="144">
        <v>14.835948644793154</v>
      </c>
      <c r="E40" s="144">
        <v>2.10413694721826</v>
      </c>
      <c r="F40" s="199" t="s">
        <v>43</v>
      </c>
      <c r="G40" s="16" t="s">
        <v>6</v>
      </c>
      <c r="H40" s="140"/>
    </row>
    <row r="41" spans="2:8" ht="12.75">
      <c r="B41" s="194" t="s">
        <v>108</v>
      </c>
      <c r="C41" s="195">
        <v>73.57538221878266</v>
      </c>
      <c r="D41" s="195">
        <v>24.021282753286492</v>
      </c>
      <c r="E41" s="195">
        <v>1.3085223588851482</v>
      </c>
      <c r="F41" s="195">
        <v>1.0948126690456916</v>
      </c>
      <c r="G41" s="194" t="s">
        <v>108</v>
      </c>
      <c r="H41" s="140"/>
    </row>
    <row r="42" spans="2:8" ht="12.75">
      <c r="B42" s="17" t="s">
        <v>24</v>
      </c>
      <c r="C42" s="146"/>
      <c r="D42" s="146"/>
      <c r="E42" s="146"/>
      <c r="F42" s="146"/>
      <c r="G42" s="17" t="s">
        <v>24</v>
      </c>
      <c r="H42" s="140"/>
    </row>
    <row r="43" spans="2:8" ht="12.75">
      <c r="B43" s="437" t="s">
        <v>10</v>
      </c>
      <c r="C43" s="438">
        <v>88.60259247549794</v>
      </c>
      <c r="D43" s="438">
        <v>11.397407524502054</v>
      </c>
      <c r="E43" s="204" t="s">
        <v>43</v>
      </c>
      <c r="F43" s="204" t="s">
        <v>43</v>
      </c>
      <c r="G43" s="437" t="s">
        <v>10</v>
      </c>
      <c r="H43" s="140"/>
    </row>
    <row r="44" spans="2:8" ht="12.75">
      <c r="B44" s="16" t="s">
        <v>40</v>
      </c>
      <c r="C44" s="144">
        <v>88.44729325260697</v>
      </c>
      <c r="D44" s="144">
        <v>5.588432259563477</v>
      </c>
      <c r="E44" s="144">
        <v>4.8586149872213635</v>
      </c>
      <c r="F44" s="144">
        <v>1.1056595006081809</v>
      </c>
      <c r="G44" s="16" t="s">
        <v>40</v>
      </c>
      <c r="H44" s="140"/>
    </row>
    <row r="45" spans="2:8" ht="12.75">
      <c r="B45" s="196" t="s">
        <v>11</v>
      </c>
      <c r="C45" s="197">
        <v>76.81895577268422</v>
      </c>
      <c r="D45" s="197">
        <v>5.070802015778473</v>
      </c>
      <c r="E45" s="197">
        <v>17.137159355699197</v>
      </c>
      <c r="F45" s="197">
        <v>0.9730828558381114</v>
      </c>
      <c r="G45" s="196" t="s">
        <v>11</v>
      </c>
      <c r="H45" s="140"/>
    </row>
    <row r="47" spans="2:7" ht="12.75">
      <c r="B47" s="119" t="s">
        <v>5</v>
      </c>
      <c r="C47" s="121"/>
      <c r="D47" s="98"/>
      <c r="E47" s="98"/>
      <c r="F47" s="98"/>
      <c r="G47" s="91"/>
    </row>
    <row r="48" spans="2:6" ht="35.25" customHeight="1">
      <c r="B48" s="582" t="s">
        <v>147</v>
      </c>
      <c r="C48" s="582"/>
      <c r="D48" s="582"/>
      <c r="E48" s="582"/>
      <c r="F48" s="582"/>
    </row>
    <row r="49" spans="2:8" ht="12.75">
      <c r="B49" s="168" t="s">
        <v>117</v>
      </c>
      <c r="C49" s="169">
        <v>79.58515261089367</v>
      </c>
      <c r="D49" s="169">
        <v>9.165077080572543</v>
      </c>
      <c r="E49" s="169">
        <v>7.422859747243897</v>
      </c>
      <c r="F49" s="169">
        <v>1.726198449763213</v>
      </c>
      <c r="G49" s="168" t="s">
        <v>117</v>
      </c>
      <c r="H49" s="140"/>
    </row>
    <row r="50" spans="2:8" ht="15" customHeight="1">
      <c r="B50" s="170" t="s">
        <v>118</v>
      </c>
      <c r="C50" s="171">
        <v>80.44791036387346</v>
      </c>
      <c r="D50" s="171">
        <v>8.211542919620465</v>
      </c>
      <c r="E50" s="171">
        <v>7.756262253323267</v>
      </c>
      <c r="F50" s="171">
        <v>1.4857342583071358</v>
      </c>
      <c r="G50" s="170" t="s">
        <v>118</v>
      </c>
      <c r="H50" s="140"/>
    </row>
    <row r="51" spans="2:8" ht="12.75">
      <c r="B51" s="170" t="s">
        <v>119</v>
      </c>
      <c r="C51" s="171">
        <v>74.07663578030052</v>
      </c>
      <c r="D51" s="171">
        <v>15.050279784006246</v>
      </c>
      <c r="E51" s="171">
        <v>5.551811091953718</v>
      </c>
      <c r="F51" s="171">
        <v>3.2146669944538298</v>
      </c>
      <c r="G51" s="170" t="s">
        <v>119</v>
      </c>
      <c r="H51" s="140"/>
    </row>
    <row r="52" spans="3:5" ht="12.75">
      <c r="C52" s="101"/>
      <c r="D52" s="101"/>
      <c r="E52" s="101"/>
    </row>
    <row r="53" ht="12.75">
      <c r="B53" s="119" t="s">
        <v>101</v>
      </c>
    </row>
  </sheetData>
  <sheetProtection/>
  <mergeCells count="4">
    <mergeCell ref="B2:G3"/>
    <mergeCell ref="B4:G4"/>
    <mergeCell ref="B5:F5"/>
    <mergeCell ref="B48:F48"/>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2"/>
  <dimension ref="A1:AG60"/>
  <sheetViews>
    <sheetView zoomScalePageLayoutView="0" workbookViewId="0" topLeftCell="A1">
      <selection activeCell="X54" sqref="X54"/>
    </sheetView>
  </sheetViews>
  <sheetFormatPr defaultColWidth="9.140625" defaultRowHeight="12.75"/>
  <cols>
    <col min="1" max="1" width="2.7109375" style="210" customWidth="1"/>
    <col min="2" max="2" width="5.00390625" style="209" customWidth="1"/>
    <col min="3" max="4" width="7.7109375" style="209" customWidth="1"/>
    <col min="5" max="5" width="6.7109375" style="209" customWidth="1"/>
    <col min="6" max="9" width="7.7109375" style="209" customWidth="1"/>
    <col min="10" max="10" width="6.7109375" style="209" customWidth="1"/>
    <col min="11" max="11" width="8.140625" style="209" customWidth="1"/>
    <col min="12" max="14" width="7.7109375" style="209" customWidth="1"/>
    <col min="15" max="15" width="6.7109375" style="209" customWidth="1"/>
    <col min="16" max="30" width="7.7109375" style="209" customWidth="1"/>
    <col min="31" max="31" width="7.28125" style="209" customWidth="1"/>
    <col min="32" max="32" width="4.57421875" style="209" customWidth="1"/>
    <col min="33" max="34" width="9.140625" style="209" customWidth="1"/>
    <col min="35" max="16384" width="9.140625" style="209" customWidth="1"/>
  </cols>
  <sheetData>
    <row r="1" spans="2:32" ht="14.25" customHeight="1">
      <c r="B1" s="327"/>
      <c r="C1" s="326"/>
      <c r="D1" s="326"/>
      <c r="E1" s="326"/>
      <c r="F1" s="326"/>
      <c r="G1" s="326"/>
      <c r="H1" s="326"/>
      <c r="I1" s="326"/>
      <c r="J1" s="326"/>
      <c r="K1" s="326"/>
      <c r="L1" s="326"/>
      <c r="M1" s="326"/>
      <c r="N1" s="326"/>
      <c r="O1" s="326"/>
      <c r="P1" s="326"/>
      <c r="Q1" s="325"/>
      <c r="T1" s="324"/>
      <c r="U1" s="324"/>
      <c r="V1" s="324"/>
      <c r="W1" s="324"/>
      <c r="X1" s="324"/>
      <c r="Y1" s="324"/>
      <c r="Z1" s="324"/>
      <c r="AA1" s="324"/>
      <c r="AB1" s="324"/>
      <c r="AC1" s="324"/>
      <c r="AD1" s="324"/>
      <c r="AF1" s="324" t="s">
        <v>91</v>
      </c>
    </row>
    <row r="2" spans="1:32" s="213" customFormat="1" ht="30" customHeight="1">
      <c r="A2" s="323"/>
      <c r="B2" s="583" t="s">
        <v>45</v>
      </c>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3"/>
      <c r="AC2" s="583"/>
      <c r="AD2" s="583"/>
      <c r="AE2" s="583"/>
      <c r="AF2" s="583"/>
    </row>
    <row r="3" spans="3:31" ht="12" customHeight="1">
      <c r="C3" s="322"/>
      <c r="D3" s="322"/>
      <c r="E3" s="322"/>
      <c r="F3" s="322"/>
      <c r="G3" s="322"/>
      <c r="H3" s="322"/>
      <c r="I3" s="322"/>
      <c r="J3" s="322"/>
      <c r="K3" s="498"/>
      <c r="L3" s="498"/>
      <c r="M3" s="498"/>
      <c r="N3" s="498"/>
      <c r="O3" s="498"/>
      <c r="P3" s="498"/>
      <c r="Q3" s="498"/>
      <c r="R3" s="498"/>
      <c r="S3" s="498"/>
      <c r="T3" s="498"/>
      <c r="U3" s="498"/>
      <c r="V3" s="498"/>
      <c r="W3" s="498"/>
      <c r="X3" s="498"/>
      <c r="Y3" s="498"/>
      <c r="Z3" s="498"/>
      <c r="AA3" s="498"/>
      <c r="AB3" s="498"/>
      <c r="AC3" s="498"/>
      <c r="AD3" s="498"/>
      <c r="AE3" s="321"/>
    </row>
    <row r="4" spans="2:32" ht="19.5" customHeight="1">
      <c r="B4" s="320"/>
      <c r="C4" s="319">
        <v>1970</v>
      </c>
      <c r="D4" s="319">
        <v>1980</v>
      </c>
      <c r="E4" s="318">
        <v>1990</v>
      </c>
      <c r="F4" s="318">
        <v>1991</v>
      </c>
      <c r="G4" s="318">
        <v>1992</v>
      </c>
      <c r="H4" s="318">
        <v>1993</v>
      </c>
      <c r="I4" s="318">
        <v>1994</v>
      </c>
      <c r="J4" s="318">
        <v>1995</v>
      </c>
      <c r="K4" s="318">
        <v>1996</v>
      </c>
      <c r="L4" s="318">
        <v>1997</v>
      </c>
      <c r="M4" s="318">
        <v>1998</v>
      </c>
      <c r="N4" s="318">
        <v>1999</v>
      </c>
      <c r="O4" s="318">
        <v>2000</v>
      </c>
      <c r="P4" s="318">
        <v>2001</v>
      </c>
      <c r="Q4" s="318">
        <v>2002</v>
      </c>
      <c r="R4" s="318">
        <v>2003</v>
      </c>
      <c r="S4" s="318">
        <v>2004</v>
      </c>
      <c r="T4" s="318">
        <v>2005</v>
      </c>
      <c r="U4" s="318">
        <v>2006</v>
      </c>
      <c r="V4" s="318">
        <v>2007</v>
      </c>
      <c r="W4" s="318">
        <v>2008</v>
      </c>
      <c r="X4" s="318">
        <v>2009</v>
      </c>
      <c r="Y4" s="318">
        <v>2010</v>
      </c>
      <c r="Z4" s="318">
        <v>2011</v>
      </c>
      <c r="AA4" s="318">
        <v>2012</v>
      </c>
      <c r="AB4" s="318">
        <v>2013</v>
      </c>
      <c r="AC4" s="460">
        <v>2014</v>
      </c>
      <c r="AD4" s="460">
        <v>2015</v>
      </c>
      <c r="AE4" s="317" t="s">
        <v>135</v>
      </c>
      <c r="AF4" s="311"/>
    </row>
    <row r="5" spans="2:32" ht="9.75" customHeight="1">
      <c r="B5" s="316"/>
      <c r="C5" s="315"/>
      <c r="D5" s="315"/>
      <c r="E5" s="314"/>
      <c r="F5" s="314"/>
      <c r="G5" s="314"/>
      <c r="H5" s="314"/>
      <c r="I5" s="314"/>
      <c r="J5" s="314"/>
      <c r="K5" s="314"/>
      <c r="L5" s="314"/>
      <c r="M5" s="314"/>
      <c r="N5" s="314"/>
      <c r="O5" s="314"/>
      <c r="P5" s="314"/>
      <c r="Q5" s="314"/>
      <c r="R5" s="314"/>
      <c r="S5" s="314"/>
      <c r="T5" s="314"/>
      <c r="U5" s="314"/>
      <c r="V5" s="314"/>
      <c r="W5" s="313"/>
      <c r="X5" s="313"/>
      <c r="Y5" s="313"/>
      <c r="Z5" s="313"/>
      <c r="AA5" s="313"/>
      <c r="AB5" s="313"/>
      <c r="AC5" s="313"/>
      <c r="AD5" s="313"/>
      <c r="AE5" s="312" t="s">
        <v>42</v>
      </c>
      <c r="AF5" s="311"/>
    </row>
    <row r="6" spans="2:32" ht="12.75" customHeight="1">
      <c r="B6" s="305" t="s">
        <v>117</v>
      </c>
      <c r="C6" s="310" t="s">
        <v>41</v>
      </c>
      <c r="D6" s="310" t="s">
        <v>41</v>
      </c>
      <c r="E6" s="309" t="s">
        <v>41</v>
      </c>
      <c r="F6" s="308" t="s">
        <v>41</v>
      </c>
      <c r="G6" s="308" t="s">
        <v>41</v>
      </c>
      <c r="H6" s="308" t="s">
        <v>41</v>
      </c>
      <c r="I6" s="308" t="s">
        <v>41</v>
      </c>
      <c r="J6" s="308">
        <f aca="true" t="shared" si="0" ref="J6:Y6">SUM(J9:J36)</f>
        <v>3904.3968448239566</v>
      </c>
      <c r="K6" s="308">
        <f t="shared" si="0"/>
        <v>3967.960445623563</v>
      </c>
      <c r="L6" s="308">
        <f t="shared" si="0"/>
        <v>4047.0311598397266</v>
      </c>
      <c r="M6" s="308">
        <f t="shared" si="0"/>
        <v>4144.982058542091</v>
      </c>
      <c r="N6" s="308">
        <f t="shared" si="0"/>
        <v>4254.780359539047</v>
      </c>
      <c r="O6" s="308">
        <f t="shared" si="0"/>
        <v>4300.856686155985</v>
      </c>
      <c r="P6" s="308">
        <f t="shared" si="0"/>
        <v>4387.3788534340165</v>
      </c>
      <c r="Q6" s="308">
        <f t="shared" si="0"/>
        <v>4463.501476952004</v>
      </c>
      <c r="R6" s="308">
        <f t="shared" si="0"/>
        <v>4495.782239459277</v>
      </c>
      <c r="S6" s="308">
        <f t="shared" si="0"/>
        <v>4551.94630151926</v>
      </c>
      <c r="T6" s="308">
        <f t="shared" si="0"/>
        <v>4508.359691303219</v>
      </c>
      <c r="U6" s="308">
        <f t="shared" si="0"/>
        <v>4549.24159021749</v>
      </c>
      <c r="V6" s="308">
        <f t="shared" si="0"/>
        <v>4596.935584587471</v>
      </c>
      <c r="W6" s="308">
        <f t="shared" si="0"/>
        <v>4602.751300402917</v>
      </c>
      <c r="X6" s="307">
        <f t="shared" si="0"/>
        <v>4675.474051948912</v>
      </c>
      <c r="Y6" s="307">
        <f t="shared" si="0"/>
        <v>4624.992160795574</v>
      </c>
      <c r="Z6" s="307">
        <f>SUM(Z9:Z36)</f>
        <v>4590.457484852242</v>
      </c>
      <c r="AA6" s="307">
        <f>SUM(AA9:AA36)</f>
        <v>4496.192492642307</v>
      </c>
      <c r="AB6" s="307">
        <f>SUM(AB9:AB36)</f>
        <v>4548.33396482955</v>
      </c>
      <c r="AC6" s="461">
        <f>SUM(AC9:AC36)</f>
        <v>4615.067998395309</v>
      </c>
      <c r="AD6" s="461">
        <f>SUM(AD9:AD36)</f>
        <v>4719.393789375224</v>
      </c>
      <c r="AE6" s="306">
        <f>AD6/AC6*100-100</f>
        <v>2.2605472122228605</v>
      </c>
      <c r="AF6" s="305" t="s">
        <v>117</v>
      </c>
    </row>
    <row r="7" spans="1:32" ht="12.75" customHeight="1">
      <c r="A7" s="224"/>
      <c r="B7" s="273" t="s">
        <v>118</v>
      </c>
      <c r="C7" s="304">
        <f>SUM(C9,C12:C13,C15,C16:C20,C24,C27:C28,C30,C34:C36)</f>
        <v>1557.1409999999998</v>
      </c>
      <c r="D7" s="304">
        <f>SUM(D9,D12:D13,D15,D16:D20,D24,D27:D28,D30,D34:D36)</f>
        <v>2229.8367150000004</v>
      </c>
      <c r="E7" s="303">
        <f aca="true" t="shared" si="1" ref="E7:Y7">SUM(E9,E12:E13,E15,E16:E18,E24,E27:E28,E30,E34:E36,E20)</f>
        <v>3134.870216959855</v>
      </c>
      <c r="F7" s="302">
        <f t="shared" si="1"/>
        <v>3196.666390081889</v>
      </c>
      <c r="G7" s="302">
        <f t="shared" si="1"/>
        <v>3319.965733176137</v>
      </c>
      <c r="H7" s="302">
        <f t="shared" si="1"/>
        <v>3370.460008368333</v>
      </c>
      <c r="I7" s="302">
        <f t="shared" si="1"/>
        <v>3488.0665135600593</v>
      </c>
      <c r="J7" s="302">
        <f t="shared" si="1"/>
        <v>3548.2383493239568</v>
      </c>
      <c r="K7" s="302">
        <f t="shared" si="1"/>
        <v>3588.603445623563</v>
      </c>
      <c r="L7" s="302">
        <f t="shared" si="1"/>
        <v>3646.812159839727</v>
      </c>
      <c r="M7" s="302">
        <f t="shared" si="1"/>
        <v>3726.9716034420912</v>
      </c>
      <c r="N7" s="302">
        <f t="shared" si="1"/>
        <v>3820.2353595390464</v>
      </c>
      <c r="O7" s="302">
        <f t="shared" si="1"/>
        <v>3868.6005704559843</v>
      </c>
      <c r="P7" s="302">
        <f t="shared" si="1"/>
        <v>3948.5627004340163</v>
      </c>
      <c r="Q7" s="302">
        <f t="shared" si="1"/>
        <v>4013.036837352004</v>
      </c>
      <c r="R7" s="302">
        <f t="shared" si="1"/>
        <v>4028.136927959276</v>
      </c>
      <c r="S7" s="302">
        <f t="shared" si="1"/>
        <v>4069.91190151926</v>
      </c>
      <c r="T7" s="302">
        <f t="shared" si="1"/>
        <v>4005.950191303218</v>
      </c>
      <c r="U7" s="302">
        <f t="shared" si="1"/>
        <v>4024.1609902174887</v>
      </c>
      <c r="V7" s="302">
        <f t="shared" si="1"/>
        <v>4052.4243845874694</v>
      </c>
      <c r="W7" s="302">
        <f t="shared" si="1"/>
        <v>4041.1498004029168</v>
      </c>
      <c r="X7" s="301">
        <f t="shared" si="1"/>
        <v>4097.776361948912</v>
      </c>
      <c r="Y7" s="301">
        <f t="shared" si="1"/>
        <v>4056.3208207955754</v>
      </c>
      <c r="Z7" s="301">
        <f>SUM(Z9,Z12:Z13,Z15,Z16:Z18,Z24,Z27:Z28,Z30,Z34:Z36,Z20)</f>
        <v>4023.1500666885822</v>
      </c>
      <c r="AA7" s="301">
        <f>SUM(AA9,AA12:AA13,AA15,AA16:AA18,AA24,AA27:AA28,AA30,AA34:AA36,AA20)</f>
        <v>3920.6030996619666</v>
      </c>
      <c r="AB7" s="301">
        <f>SUM(AB9,AB12:AB13,AB15,AB16:AB18,AB24,AB27:AB28,AB30,AB34:AB36,AB20)</f>
        <v>3963.8111655480834</v>
      </c>
      <c r="AC7" s="301">
        <f>SUM(AC9,AC12:AC13,AC15,AC16:AC18,AC24,AC27:AC28,AC30,AC34:AC36,AC20)</f>
        <v>4023.672558795453</v>
      </c>
      <c r="AD7" s="301">
        <f>SUM(AD9,AD12:AD13,AD15,AD16:AD18,AD24,AD27:AD28,AD30,AD34:AD36,AD20)</f>
        <v>4108.440891381255</v>
      </c>
      <c r="AE7" s="300">
        <f aca="true" t="shared" si="2" ref="AE7:AE44">AD7/AC7*100-100</f>
        <v>2.1067403310566277</v>
      </c>
      <c r="AF7" s="273" t="s">
        <v>118</v>
      </c>
    </row>
    <row r="8" spans="1:32" ht="12.75" customHeight="1">
      <c r="A8" s="224"/>
      <c r="B8" s="294" t="s">
        <v>119</v>
      </c>
      <c r="C8" s="299"/>
      <c r="D8" s="299"/>
      <c r="E8" s="298"/>
      <c r="F8" s="297"/>
      <c r="G8" s="297"/>
      <c r="H8" s="297"/>
      <c r="I8" s="297"/>
      <c r="J8" s="297">
        <f aca="true" t="shared" si="3" ref="J8:Y8">J6-J7</f>
        <v>356.15849549999984</v>
      </c>
      <c r="K8" s="297">
        <f t="shared" si="3"/>
        <v>379.35699999999997</v>
      </c>
      <c r="L8" s="297">
        <f t="shared" si="3"/>
        <v>400.2189999999996</v>
      </c>
      <c r="M8" s="297">
        <f t="shared" si="3"/>
        <v>418.01045509999994</v>
      </c>
      <c r="N8" s="297">
        <f t="shared" si="3"/>
        <v>434.5450000000005</v>
      </c>
      <c r="O8" s="297">
        <f t="shared" si="3"/>
        <v>432.25611570000046</v>
      </c>
      <c r="P8" s="297">
        <f t="shared" si="3"/>
        <v>438.8161530000002</v>
      </c>
      <c r="Q8" s="297">
        <f t="shared" si="3"/>
        <v>450.4646395999998</v>
      </c>
      <c r="R8" s="297">
        <f t="shared" si="3"/>
        <v>467.64531150000084</v>
      </c>
      <c r="S8" s="297">
        <f t="shared" si="3"/>
        <v>482.03439999999955</v>
      </c>
      <c r="T8" s="297">
        <f t="shared" si="3"/>
        <v>502.40950000000066</v>
      </c>
      <c r="U8" s="297">
        <f t="shared" si="3"/>
        <v>525.0806000000011</v>
      </c>
      <c r="V8" s="297">
        <f t="shared" si="3"/>
        <v>544.5112000000013</v>
      </c>
      <c r="W8" s="297">
        <f t="shared" si="3"/>
        <v>561.6015000000002</v>
      </c>
      <c r="X8" s="296">
        <f t="shared" si="3"/>
        <v>577.69769</v>
      </c>
      <c r="Y8" s="296">
        <f t="shared" si="3"/>
        <v>568.6713399999985</v>
      </c>
      <c r="Z8" s="296">
        <f>Z6-Z7</f>
        <v>567.3074181636593</v>
      </c>
      <c r="AA8" s="296">
        <f>AA6-AA7</f>
        <v>575.5893929803406</v>
      </c>
      <c r="AB8" s="296">
        <f>AB6-AB7</f>
        <v>584.5227992814662</v>
      </c>
      <c r="AC8" s="462">
        <f>AC6-AC7</f>
        <v>591.3954395998558</v>
      </c>
      <c r="AD8" s="462">
        <f>AD6-AD7</f>
        <v>610.9528979939687</v>
      </c>
      <c r="AE8" s="295">
        <f t="shared" si="2"/>
        <v>3.3070018949327107</v>
      </c>
      <c r="AF8" s="294" t="s">
        <v>119</v>
      </c>
    </row>
    <row r="9" spans="1:32" ht="12.75" customHeight="1">
      <c r="A9" s="224"/>
      <c r="B9" s="231" t="s">
        <v>29</v>
      </c>
      <c r="C9" s="281">
        <v>41.107</v>
      </c>
      <c r="D9" s="281">
        <v>64.577</v>
      </c>
      <c r="E9" s="225">
        <v>89.4865681549422</v>
      </c>
      <c r="F9" s="225">
        <v>93.17072549415899</v>
      </c>
      <c r="G9" s="225">
        <v>94.65159259661695</v>
      </c>
      <c r="H9" s="225">
        <v>95.1590269325277</v>
      </c>
      <c r="I9" s="225">
        <v>97.61982726007605</v>
      </c>
      <c r="J9" s="225">
        <v>96.41122844758948</v>
      </c>
      <c r="K9" s="225">
        <v>96.12470075061294</v>
      </c>
      <c r="L9" s="225">
        <v>97.95004181802459</v>
      </c>
      <c r="M9" s="225">
        <v>100.14564232032866</v>
      </c>
      <c r="N9" s="225">
        <v>102.03922550781316</v>
      </c>
      <c r="O9" s="225">
        <v>102.5443853038904</v>
      </c>
      <c r="P9" s="225">
        <v>103.44056228671244</v>
      </c>
      <c r="Q9" s="225">
        <v>104.84343859901594</v>
      </c>
      <c r="R9" s="225">
        <v>102.49487951863394</v>
      </c>
      <c r="S9" s="225">
        <v>103.03402541013166</v>
      </c>
      <c r="T9" s="225">
        <v>102.80426446068903</v>
      </c>
      <c r="U9" s="225">
        <v>102.65959801049536</v>
      </c>
      <c r="V9" s="225">
        <v>104.57039703409255</v>
      </c>
      <c r="W9" s="225">
        <v>107.94287032877924</v>
      </c>
      <c r="X9" s="225">
        <v>108.07377743339944</v>
      </c>
      <c r="Y9" s="225">
        <v>109.38776021905481</v>
      </c>
      <c r="Z9" s="225">
        <v>109.96953280096133</v>
      </c>
      <c r="AA9" s="225">
        <v>110.14105828193429</v>
      </c>
      <c r="AB9" s="499">
        <v>105.36003957646204</v>
      </c>
      <c r="AC9" s="225">
        <v>108.19016287007477</v>
      </c>
      <c r="AD9" s="225">
        <v>107.0706596448856</v>
      </c>
      <c r="AE9" s="277">
        <f t="shared" si="2"/>
        <v>-1.0347550974052808</v>
      </c>
      <c r="AF9" s="231" t="s">
        <v>29</v>
      </c>
    </row>
    <row r="10" spans="1:33" ht="12.75" customHeight="1">
      <c r="A10" s="224"/>
      <c r="B10" s="273" t="s">
        <v>12</v>
      </c>
      <c r="C10" s="276" t="s">
        <v>41</v>
      </c>
      <c r="D10" s="276" t="s">
        <v>41</v>
      </c>
      <c r="E10" s="275"/>
      <c r="F10" s="275"/>
      <c r="G10" s="275"/>
      <c r="H10" s="275"/>
      <c r="I10" s="275"/>
      <c r="J10" s="283">
        <v>25</v>
      </c>
      <c r="K10" s="283">
        <v>24.5</v>
      </c>
      <c r="L10" s="283">
        <v>23.9</v>
      </c>
      <c r="M10" s="283">
        <v>24.6</v>
      </c>
      <c r="N10" s="283">
        <v>25.4</v>
      </c>
      <c r="O10" s="283">
        <v>26.9</v>
      </c>
      <c r="P10" s="283">
        <v>27.9</v>
      </c>
      <c r="Q10" s="283">
        <v>29.3</v>
      </c>
      <c r="R10" s="283">
        <v>30.7</v>
      </c>
      <c r="S10" s="283">
        <v>32.8</v>
      </c>
      <c r="T10" s="283">
        <v>35.1</v>
      </c>
      <c r="U10" s="283">
        <v>37.6</v>
      </c>
      <c r="V10" s="283">
        <v>40.4</v>
      </c>
      <c r="W10" s="283">
        <v>43.2</v>
      </c>
      <c r="X10" s="283">
        <v>46.3</v>
      </c>
      <c r="Y10" s="283">
        <v>46.9</v>
      </c>
      <c r="Z10" s="283">
        <v>48.06803748938479</v>
      </c>
      <c r="AA10" s="283">
        <v>49.702936925862396</v>
      </c>
      <c r="AB10" s="283">
        <v>51.3641140116175</v>
      </c>
      <c r="AC10" s="283">
        <v>53.95682276375314</v>
      </c>
      <c r="AD10" s="283">
        <v>56.84608933803697</v>
      </c>
      <c r="AE10" s="282">
        <f t="shared" si="2"/>
        <v>5.354775218945562</v>
      </c>
      <c r="AF10" s="273" t="s">
        <v>12</v>
      </c>
      <c r="AG10" s="435"/>
    </row>
    <row r="11" spans="1:33" s="245" customFormat="1" ht="12.75" customHeight="1">
      <c r="A11" s="250"/>
      <c r="B11" s="231" t="s">
        <v>14</v>
      </c>
      <c r="C11" s="263"/>
      <c r="D11" s="263"/>
      <c r="E11" s="262"/>
      <c r="F11" s="233"/>
      <c r="G11" s="233"/>
      <c r="H11" s="233">
        <v>49</v>
      </c>
      <c r="I11" s="233">
        <v>51.7</v>
      </c>
      <c r="J11" s="233">
        <v>54.5</v>
      </c>
      <c r="K11" s="233">
        <v>57.9</v>
      </c>
      <c r="L11" s="233">
        <v>59</v>
      </c>
      <c r="M11" s="252">
        <v>59.726</v>
      </c>
      <c r="N11" s="233">
        <v>62.38</v>
      </c>
      <c r="O11" s="233">
        <v>63.94</v>
      </c>
      <c r="P11" s="233">
        <v>63.47</v>
      </c>
      <c r="Q11" s="233">
        <v>65.29</v>
      </c>
      <c r="R11" s="233">
        <v>67.36</v>
      </c>
      <c r="S11" s="233">
        <v>67.57</v>
      </c>
      <c r="T11" s="233">
        <v>68.64</v>
      </c>
      <c r="U11" s="233">
        <v>69.63</v>
      </c>
      <c r="V11" s="233">
        <v>71.54</v>
      </c>
      <c r="W11" s="233">
        <v>72.38</v>
      </c>
      <c r="X11" s="291">
        <v>72.29</v>
      </c>
      <c r="Y11" s="292">
        <v>63.57</v>
      </c>
      <c r="Z11" s="291">
        <v>65.49</v>
      </c>
      <c r="AA11" s="291">
        <v>64.62</v>
      </c>
      <c r="AB11" s="291">
        <v>64.65</v>
      </c>
      <c r="AC11" s="291">
        <v>66.26</v>
      </c>
      <c r="AD11" s="291">
        <v>69.705</v>
      </c>
      <c r="AE11" s="290">
        <f t="shared" si="2"/>
        <v>5.199215212798052</v>
      </c>
      <c r="AF11" s="231" t="s">
        <v>14</v>
      </c>
      <c r="AG11" s="209"/>
    </row>
    <row r="12" spans="1:32" ht="12.75" customHeight="1">
      <c r="A12" s="224"/>
      <c r="B12" s="273" t="s">
        <v>25</v>
      </c>
      <c r="C12" s="276">
        <v>33.3</v>
      </c>
      <c r="D12" s="276">
        <f>38.027+0.458</f>
        <v>38.485</v>
      </c>
      <c r="E12" s="289">
        <v>47.191</v>
      </c>
      <c r="F12" s="289">
        <v>47.865</v>
      </c>
      <c r="G12" s="289">
        <v>48.126</v>
      </c>
      <c r="H12" s="289">
        <v>47.621</v>
      </c>
      <c r="I12" s="289">
        <v>47.77</v>
      </c>
      <c r="J12" s="289">
        <v>48.389</v>
      </c>
      <c r="K12" s="289">
        <v>49.042</v>
      </c>
      <c r="L12" s="289">
        <v>49.91</v>
      </c>
      <c r="M12" s="289">
        <v>50.328</v>
      </c>
      <c r="N12" s="289">
        <v>51.307</v>
      </c>
      <c r="O12" s="289">
        <v>50.615</v>
      </c>
      <c r="P12" s="289">
        <v>49.62</v>
      </c>
      <c r="Q12" s="289">
        <v>49.454</v>
      </c>
      <c r="R12" s="289">
        <v>49.695</v>
      </c>
      <c r="S12" s="289">
        <v>50.557</v>
      </c>
      <c r="T12" s="289">
        <v>49.758</v>
      </c>
      <c r="U12" s="289">
        <v>49.648</v>
      </c>
      <c r="V12" s="289">
        <v>50.758</v>
      </c>
      <c r="W12" s="289">
        <v>51.481</v>
      </c>
      <c r="X12" s="289">
        <v>51.905</v>
      </c>
      <c r="Y12" s="289">
        <v>51.712</v>
      </c>
      <c r="Z12" s="289">
        <v>52.986</v>
      </c>
      <c r="AA12" s="289">
        <v>52.683</v>
      </c>
      <c r="AB12" s="289">
        <v>52.735</v>
      </c>
      <c r="AC12" s="289">
        <v>54.203</v>
      </c>
      <c r="AD12" s="289">
        <v>56.523</v>
      </c>
      <c r="AE12" s="288">
        <f t="shared" si="2"/>
        <v>4.280205892662764</v>
      </c>
      <c r="AF12" s="273" t="s">
        <v>25</v>
      </c>
    </row>
    <row r="13" spans="1:33" s="245" customFormat="1" ht="12.75" customHeight="1">
      <c r="A13" s="250"/>
      <c r="B13" s="231" t="s">
        <v>30</v>
      </c>
      <c r="C13" s="234">
        <v>394.6</v>
      </c>
      <c r="D13" s="234">
        <v>513.7</v>
      </c>
      <c r="E13" s="233">
        <v>683.1</v>
      </c>
      <c r="F13" s="233">
        <v>700</v>
      </c>
      <c r="G13" s="233">
        <v>719.5</v>
      </c>
      <c r="H13" s="269">
        <v>729.8</v>
      </c>
      <c r="I13" s="233">
        <v>807.0219025046072</v>
      </c>
      <c r="J13" s="233">
        <v>815.2976294348988</v>
      </c>
      <c r="K13" s="233">
        <v>816.0723829598729</v>
      </c>
      <c r="L13" s="233">
        <v>817.0706670210186</v>
      </c>
      <c r="M13" s="233">
        <v>828.068802348269</v>
      </c>
      <c r="N13" s="233">
        <v>848.4200042686394</v>
      </c>
      <c r="O13" s="233">
        <v>831.2665448417845</v>
      </c>
      <c r="P13" s="233">
        <v>852.6294387699498</v>
      </c>
      <c r="Q13" s="233">
        <v>862.987</v>
      </c>
      <c r="R13" s="233">
        <v>857.736</v>
      </c>
      <c r="S13" s="233">
        <v>868.65</v>
      </c>
      <c r="T13" s="233">
        <v>856.875</v>
      </c>
      <c r="U13" s="233">
        <v>863.328</v>
      </c>
      <c r="V13" s="233">
        <v>866.5310000000001</v>
      </c>
      <c r="W13" s="233">
        <v>871.328</v>
      </c>
      <c r="X13" s="233">
        <v>881.1</v>
      </c>
      <c r="Y13" s="233">
        <v>887</v>
      </c>
      <c r="Z13" s="233">
        <v>894.4</v>
      </c>
      <c r="AA13" s="233">
        <v>896.3</v>
      </c>
      <c r="AB13" s="233">
        <v>903.1</v>
      </c>
      <c r="AC13" s="233">
        <v>916.4</v>
      </c>
      <c r="AD13" s="233">
        <v>928.3</v>
      </c>
      <c r="AE13" s="232">
        <f t="shared" si="2"/>
        <v>1.2985595809689983</v>
      </c>
      <c r="AF13" s="231" t="s">
        <v>30</v>
      </c>
      <c r="AG13" s="209"/>
    </row>
    <row r="14" spans="1:33" ht="13.5" customHeight="1">
      <c r="A14" s="224"/>
      <c r="B14" s="273" t="s">
        <v>15</v>
      </c>
      <c r="C14" s="276" t="s">
        <v>41</v>
      </c>
      <c r="D14" s="276" t="s">
        <v>41</v>
      </c>
      <c r="E14" s="275" t="s">
        <v>41</v>
      </c>
      <c r="F14" s="275" t="s">
        <v>41</v>
      </c>
      <c r="G14" s="275" t="s">
        <v>41</v>
      </c>
      <c r="H14" s="275" t="s">
        <v>41</v>
      </c>
      <c r="I14" s="275" t="s">
        <v>41</v>
      </c>
      <c r="J14" s="283">
        <f>3.956535*1.3</f>
        <v>5.1434955</v>
      </c>
      <c r="K14" s="283">
        <v>5.5</v>
      </c>
      <c r="L14" s="283">
        <v>5.8</v>
      </c>
      <c r="M14" s="283">
        <f>4.763427*1.3</f>
        <v>6.1924551</v>
      </c>
      <c r="N14" s="283">
        <v>6.4</v>
      </c>
      <c r="O14" s="283">
        <f>5.140089*1.3</f>
        <v>6.6821157</v>
      </c>
      <c r="P14" s="283">
        <f>5.23781*1.3</f>
        <v>6.809152999999999</v>
      </c>
      <c r="Q14" s="283">
        <f>5.430492*1.3</f>
        <v>7.059639600000001</v>
      </c>
      <c r="R14" s="283">
        <f>5.894855*1.3</f>
        <v>7.6633115</v>
      </c>
      <c r="S14" s="275">
        <v>7.813</v>
      </c>
      <c r="T14" s="275">
        <v>9.929</v>
      </c>
      <c r="U14" s="275">
        <v>9.946</v>
      </c>
      <c r="V14" s="283">
        <v>10</v>
      </c>
      <c r="W14" s="283">
        <v>10.5</v>
      </c>
      <c r="X14" s="283">
        <v>10.5</v>
      </c>
      <c r="Y14" s="283">
        <v>10.1</v>
      </c>
      <c r="Z14" s="283">
        <v>10.381082222547919</v>
      </c>
      <c r="AA14" s="283">
        <v>10.808595077153129</v>
      </c>
      <c r="AB14" s="283">
        <v>11.24613332249695</v>
      </c>
      <c r="AC14" s="283">
        <v>11.85200134241278</v>
      </c>
      <c r="AD14" s="283">
        <v>12.33194848698124</v>
      </c>
      <c r="AE14" s="282">
        <f t="shared" si="2"/>
        <v>4.049502954838118</v>
      </c>
      <c r="AF14" s="273" t="s">
        <v>15</v>
      </c>
      <c r="AG14" s="435"/>
    </row>
    <row r="15" spans="1:32" ht="12.75" customHeight="1">
      <c r="A15" s="224"/>
      <c r="B15" s="231" t="s">
        <v>33</v>
      </c>
      <c r="C15" s="287">
        <v>10</v>
      </c>
      <c r="D15" s="287">
        <v>19</v>
      </c>
      <c r="E15" s="286">
        <v>28.507</v>
      </c>
      <c r="F15" s="286">
        <v>29.038</v>
      </c>
      <c r="G15" s="286">
        <v>29.52</v>
      </c>
      <c r="H15" s="286">
        <v>29.836</v>
      </c>
      <c r="I15" s="286">
        <v>30.56</v>
      </c>
      <c r="J15" s="286">
        <v>31.558</v>
      </c>
      <c r="K15" s="286">
        <v>32.8</v>
      </c>
      <c r="L15" s="286">
        <v>34.361</v>
      </c>
      <c r="M15" s="286">
        <v>35.756</v>
      </c>
      <c r="N15" s="286">
        <v>36.838</v>
      </c>
      <c r="O15" s="286">
        <v>34.608</v>
      </c>
      <c r="P15" s="285">
        <v>36.459</v>
      </c>
      <c r="Q15" s="285">
        <v>37.788</v>
      </c>
      <c r="R15" s="285">
        <v>39.9495</v>
      </c>
      <c r="S15" s="285">
        <v>42.627</v>
      </c>
      <c r="T15" s="285">
        <v>44.379</v>
      </c>
      <c r="U15" s="285">
        <v>45.99</v>
      </c>
      <c r="V15" s="285">
        <v>47.9595</v>
      </c>
      <c r="W15" s="285">
        <v>48.888</v>
      </c>
      <c r="X15" s="285">
        <v>48.858</v>
      </c>
      <c r="Y15" s="285">
        <v>48.0825</v>
      </c>
      <c r="Z15" s="285">
        <v>47.457</v>
      </c>
      <c r="AA15" s="285">
        <v>46.614</v>
      </c>
      <c r="AB15" s="285">
        <f>32.031*1.5</f>
        <v>48.046499999999995</v>
      </c>
      <c r="AC15" s="285">
        <f>31.457*1.5</f>
        <v>47.185500000000005</v>
      </c>
      <c r="AD15" s="285">
        <f>1.5*34.609</f>
        <v>51.9135</v>
      </c>
      <c r="AE15" s="251">
        <f t="shared" si="2"/>
        <v>10.020027338907056</v>
      </c>
      <c r="AF15" s="231" t="s">
        <v>33</v>
      </c>
    </row>
    <row r="16" spans="1:33" ht="12.75" customHeight="1">
      <c r="A16" s="224"/>
      <c r="B16" s="273" t="s">
        <v>26</v>
      </c>
      <c r="C16" s="284">
        <v>4.5</v>
      </c>
      <c r="D16" s="284">
        <v>17.5</v>
      </c>
      <c r="E16" s="283">
        <v>35</v>
      </c>
      <c r="F16" s="283">
        <v>36</v>
      </c>
      <c r="G16" s="283">
        <v>37</v>
      </c>
      <c r="H16" s="283">
        <v>39</v>
      </c>
      <c r="I16" s="283">
        <v>42</v>
      </c>
      <c r="J16" s="283">
        <v>44</v>
      </c>
      <c r="K16" s="283">
        <v>47</v>
      </c>
      <c r="L16" s="283">
        <v>50</v>
      </c>
      <c r="M16" s="283">
        <v>53</v>
      </c>
      <c r="N16" s="283">
        <v>58</v>
      </c>
      <c r="O16" s="283">
        <v>63</v>
      </c>
      <c r="P16" s="283">
        <v>68</v>
      </c>
      <c r="Q16" s="283">
        <v>72</v>
      </c>
      <c r="R16" s="283">
        <v>76</v>
      </c>
      <c r="S16" s="283">
        <v>80</v>
      </c>
      <c r="T16" s="283">
        <v>85</v>
      </c>
      <c r="U16" s="283">
        <v>90</v>
      </c>
      <c r="V16" s="283">
        <v>95</v>
      </c>
      <c r="W16" s="283">
        <v>100</v>
      </c>
      <c r="X16" s="283">
        <v>101.3</v>
      </c>
      <c r="Y16" s="283">
        <v>99.6</v>
      </c>
      <c r="Z16" s="283">
        <v>98.32207994126013</v>
      </c>
      <c r="AA16" s="283">
        <v>96.93448152779109</v>
      </c>
      <c r="AB16" s="283">
        <v>95.8113792150171</v>
      </c>
      <c r="AC16" s="283">
        <v>96.87004146599509</v>
      </c>
      <c r="AD16" s="283">
        <v>98.27578451557844</v>
      </c>
      <c r="AE16" s="282">
        <f t="shared" si="2"/>
        <v>1.4511638772001731</v>
      </c>
      <c r="AF16" s="273" t="s">
        <v>26</v>
      </c>
      <c r="AG16" s="435"/>
    </row>
    <row r="17" spans="1:32" ht="12.75" customHeight="1">
      <c r="A17" s="224"/>
      <c r="B17" s="231" t="s">
        <v>31</v>
      </c>
      <c r="C17" s="281">
        <v>64.3</v>
      </c>
      <c r="D17" s="281">
        <v>130.9</v>
      </c>
      <c r="E17" s="280">
        <v>174.4</v>
      </c>
      <c r="F17" s="278">
        <v>207.542</v>
      </c>
      <c r="G17" s="279">
        <v>218.27</v>
      </c>
      <c r="H17" s="279">
        <v>229</v>
      </c>
      <c r="I17" s="279">
        <v>239.7</v>
      </c>
      <c r="J17" s="278">
        <v>250.374</v>
      </c>
      <c r="K17" s="279">
        <v>259</v>
      </c>
      <c r="L17" s="279">
        <v>267.6</v>
      </c>
      <c r="M17" s="278">
        <v>276.173</v>
      </c>
      <c r="N17" s="278">
        <v>293.54</v>
      </c>
      <c r="O17" s="278">
        <v>302.611</v>
      </c>
      <c r="P17" s="278">
        <v>307.955</v>
      </c>
      <c r="Q17" s="279">
        <v>315</v>
      </c>
      <c r="R17" s="278">
        <v>321.928</v>
      </c>
      <c r="S17" s="278">
        <v>330.192</v>
      </c>
      <c r="T17" s="278">
        <v>337.797</v>
      </c>
      <c r="U17" s="278">
        <v>340.937</v>
      </c>
      <c r="V17" s="278">
        <v>343.293</v>
      </c>
      <c r="W17" s="278">
        <v>342.611</v>
      </c>
      <c r="X17" s="278">
        <v>350.401</v>
      </c>
      <c r="Y17" s="278">
        <v>341.629</v>
      </c>
      <c r="Z17" s="278">
        <v>334.021</v>
      </c>
      <c r="AA17" s="278">
        <v>321.045</v>
      </c>
      <c r="AB17" s="278">
        <v>316.539</v>
      </c>
      <c r="AC17" s="278">
        <v>308.704</v>
      </c>
      <c r="AD17" s="278">
        <v>317.553</v>
      </c>
      <c r="AE17" s="277">
        <f t="shared" si="2"/>
        <v>2.8664999481704143</v>
      </c>
      <c r="AF17" s="231" t="s">
        <v>31</v>
      </c>
    </row>
    <row r="18" spans="1:32" ht="12.75" customHeight="1">
      <c r="A18" s="224"/>
      <c r="B18" s="273" t="s">
        <v>32</v>
      </c>
      <c r="C18" s="276">
        <v>304.7</v>
      </c>
      <c r="D18" s="276">
        <v>443.84071500000005</v>
      </c>
      <c r="E18" s="275">
        <v>592.4626365733575</v>
      </c>
      <c r="F18" s="275">
        <v>598.4351534578577</v>
      </c>
      <c r="G18" s="275">
        <v>614.232666348461</v>
      </c>
      <c r="H18" s="275">
        <v>618.0859814358054</v>
      </c>
      <c r="I18" s="275">
        <v>628.6417837953759</v>
      </c>
      <c r="J18" s="275">
        <v>641.2174914414686</v>
      </c>
      <c r="K18" s="275">
        <v>643.9598899530233</v>
      </c>
      <c r="L18" s="275">
        <v>653.444008546068</v>
      </c>
      <c r="M18" s="275">
        <v>672.2056361870265</v>
      </c>
      <c r="N18" s="275">
        <v>689.1919277863982</v>
      </c>
      <c r="O18" s="275">
        <v>687.735734121925</v>
      </c>
      <c r="P18" s="275">
        <v>712.217258157967</v>
      </c>
      <c r="Q18" s="275">
        <v>716.879483834627</v>
      </c>
      <c r="R18" s="275">
        <v>718.2961493866516</v>
      </c>
      <c r="S18" s="275">
        <v>714.9662367495789</v>
      </c>
      <c r="T18" s="275">
        <v>704.6155537135559</v>
      </c>
      <c r="U18" s="275">
        <v>700.9141843686657</v>
      </c>
      <c r="V18" s="275">
        <v>705.3497495000736</v>
      </c>
      <c r="W18" s="275">
        <v>689.6663151892991</v>
      </c>
      <c r="X18" s="275">
        <v>690.1304523298496</v>
      </c>
      <c r="Y18" s="275">
        <v>695.8712970248097</v>
      </c>
      <c r="Z18" s="275">
        <v>695.8946859251822</v>
      </c>
      <c r="AA18" s="275">
        <v>696.7346270761763</v>
      </c>
      <c r="AB18" s="275">
        <v>699.016313152445</v>
      </c>
      <c r="AC18" s="275">
        <v>706.9440129785258</v>
      </c>
      <c r="AD18" s="275">
        <v>724.1029421561635</v>
      </c>
      <c r="AE18" s="274">
        <f t="shared" si="2"/>
        <v>2.4271977501221045</v>
      </c>
      <c r="AF18" s="273" t="s">
        <v>32</v>
      </c>
    </row>
    <row r="19" spans="1:32" ht="12.75" customHeight="1">
      <c r="A19" s="224"/>
      <c r="B19" s="231" t="s">
        <v>44</v>
      </c>
      <c r="C19" s="234"/>
      <c r="D19" s="234"/>
      <c r="E19" s="233"/>
      <c r="F19" s="233"/>
      <c r="G19" s="233"/>
      <c r="H19" s="233"/>
      <c r="I19" s="233"/>
      <c r="J19" s="252">
        <v>12.5</v>
      </c>
      <c r="K19" s="252">
        <v>14.75</v>
      </c>
      <c r="L19" s="252">
        <v>16.5</v>
      </c>
      <c r="M19" s="252">
        <v>17.5</v>
      </c>
      <c r="N19" s="252">
        <v>19</v>
      </c>
      <c r="O19" s="252">
        <v>20</v>
      </c>
      <c r="P19" s="252">
        <v>21</v>
      </c>
      <c r="Q19" s="252">
        <v>22</v>
      </c>
      <c r="R19" s="252">
        <v>22.5</v>
      </c>
      <c r="S19" s="252">
        <v>23.5</v>
      </c>
      <c r="T19" s="252">
        <v>24</v>
      </c>
      <c r="U19" s="252">
        <v>25</v>
      </c>
      <c r="V19" s="252">
        <v>26</v>
      </c>
      <c r="W19" s="252">
        <v>27</v>
      </c>
      <c r="X19" s="252">
        <v>26.8</v>
      </c>
      <c r="Y19" s="252">
        <v>25.7</v>
      </c>
      <c r="Z19" s="233">
        <v>25.242</v>
      </c>
      <c r="AA19" s="233">
        <v>26.147</v>
      </c>
      <c r="AB19" s="233">
        <v>26.145</v>
      </c>
      <c r="AC19" s="233">
        <v>26.057</v>
      </c>
      <c r="AD19" s="233">
        <v>26.393</v>
      </c>
      <c r="AE19" s="232">
        <f t="shared" si="2"/>
        <v>1.2894807537322066</v>
      </c>
      <c r="AF19" s="231" t="s">
        <v>44</v>
      </c>
    </row>
    <row r="20" spans="1:33" s="245" customFormat="1" ht="12.75" customHeight="1">
      <c r="A20" s="250"/>
      <c r="B20" s="235" t="s">
        <v>34</v>
      </c>
      <c r="C20" s="249">
        <v>211.934</v>
      </c>
      <c r="D20" s="249">
        <v>324.034</v>
      </c>
      <c r="E20" s="272">
        <v>522.593</v>
      </c>
      <c r="F20" s="247">
        <v>538.27</v>
      </c>
      <c r="G20" s="247">
        <v>602.21</v>
      </c>
      <c r="H20" s="247">
        <v>603.09</v>
      </c>
      <c r="I20" s="237">
        <v>600.3</v>
      </c>
      <c r="J20" s="237">
        <v>614.713</v>
      </c>
      <c r="K20" s="237">
        <v>627.383</v>
      </c>
      <c r="L20" s="237">
        <v>638.837</v>
      </c>
      <c r="M20" s="237">
        <v>662.545</v>
      </c>
      <c r="N20" s="271">
        <v>663.319</v>
      </c>
      <c r="O20" s="270">
        <v>713.931</v>
      </c>
      <c r="P20" s="237">
        <f>O20+($T$18-$O$18)/5</f>
        <v>717.3069639183262</v>
      </c>
      <c r="Q20" s="237">
        <f>P20+($T$18-$O$18)/5</f>
        <v>720.6829278366524</v>
      </c>
      <c r="R20" s="237">
        <f>Q20+($T$18-$O$18)/5</f>
        <v>724.0588917549786</v>
      </c>
      <c r="S20" s="237">
        <f>R20+($T$18-$O$18)/5</f>
        <v>727.4348556733048</v>
      </c>
      <c r="T20" s="237">
        <v>677.014</v>
      </c>
      <c r="U20" s="237">
        <v>676.255</v>
      </c>
      <c r="V20" s="237">
        <v>677.056</v>
      </c>
      <c r="W20" s="237">
        <v>676.359</v>
      </c>
      <c r="X20" s="237">
        <v>719.912</v>
      </c>
      <c r="Y20" s="237">
        <v>698.39</v>
      </c>
      <c r="Z20" s="237">
        <v>665.328</v>
      </c>
      <c r="AA20" s="237">
        <v>578.668</v>
      </c>
      <c r="AB20" s="237">
        <v>620.368</v>
      </c>
      <c r="AC20" s="237">
        <v>642.92</v>
      </c>
      <c r="AD20" s="237">
        <v>679.427</v>
      </c>
      <c r="AE20" s="258">
        <f t="shared" si="2"/>
        <v>5.678311453991185</v>
      </c>
      <c r="AF20" s="235" t="s">
        <v>34</v>
      </c>
      <c r="AG20" s="209"/>
    </row>
    <row r="21" spans="1:33" ht="12.75" customHeight="1">
      <c r="A21" s="224"/>
      <c r="B21" s="231" t="s">
        <v>13</v>
      </c>
      <c r="C21" s="234" t="s">
        <v>41</v>
      </c>
      <c r="D21" s="234" t="s">
        <v>41</v>
      </c>
      <c r="E21" s="233" t="s">
        <v>41</v>
      </c>
      <c r="F21" s="233" t="s">
        <v>41</v>
      </c>
      <c r="G21" s="233" t="s">
        <v>41</v>
      </c>
      <c r="H21" s="233" t="s">
        <v>41</v>
      </c>
      <c r="I21" s="233" t="s">
        <v>41</v>
      </c>
      <c r="J21" s="253">
        <v>3.4</v>
      </c>
      <c r="K21" s="253">
        <v>3.5</v>
      </c>
      <c r="L21" s="253">
        <v>3.6</v>
      </c>
      <c r="M21" s="253">
        <v>3.7</v>
      </c>
      <c r="N21" s="253">
        <v>3.8</v>
      </c>
      <c r="O21" s="253">
        <v>3.9</v>
      </c>
      <c r="P21" s="253">
        <v>4</v>
      </c>
      <c r="Q21" s="253">
        <v>4.1</v>
      </c>
      <c r="R21" s="253">
        <v>4.15</v>
      </c>
      <c r="S21" s="252">
        <v>4.6</v>
      </c>
      <c r="T21" s="252">
        <v>4.8</v>
      </c>
      <c r="U21" s="252">
        <v>5</v>
      </c>
      <c r="V21" s="252">
        <v>5.3</v>
      </c>
      <c r="W21" s="252">
        <v>5.75</v>
      </c>
      <c r="X21" s="252">
        <v>6</v>
      </c>
      <c r="Y21" s="252">
        <v>5.9</v>
      </c>
      <c r="Z21" s="252">
        <v>5.93190592556501</v>
      </c>
      <c r="AA21" s="252">
        <v>5.951576551601025</v>
      </c>
      <c r="AB21" s="252">
        <v>5.921143432419876</v>
      </c>
      <c r="AC21" s="252">
        <v>6.055761785762059</v>
      </c>
      <c r="AD21" s="252">
        <v>6.198133573005254</v>
      </c>
      <c r="AE21" s="251">
        <f t="shared" si="2"/>
        <v>2.3510136673131825</v>
      </c>
      <c r="AF21" s="231" t="s">
        <v>13</v>
      </c>
      <c r="AG21" s="435"/>
    </row>
    <row r="22" spans="1:33" s="245" customFormat="1" ht="12.75" customHeight="1">
      <c r="A22" s="250"/>
      <c r="B22" s="235" t="s">
        <v>17</v>
      </c>
      <c r="C22" s="249" t="s">
        <v>41</v>
      </c>
      <c r="D22" s="249" t="s">
        <v>41</v>
      </c>
      <c r="E22" s="237" t="s">
        <v>41</v>
      </c>
      <c r="F22" s="237" t="s">
        <v>41</v>
      </c>
      <c r="G22" s="237" t="s">
        <v>41</v>
      </c>
      <c r="H22" s="237" t="s">
        <v>41</v>
      </c>
      <c r="I22" s="237" t="s">
        <v>41</v>
      </c>
      <c r="J22" s="248">
        <v>7.5</v>
      </c>
      <c r="K22" s="248">
        <v>8</v>
      </c>
      <c r="L22" s="248">
        <v>9</v>
      </c>
      <c r="M22" s="248">
        <v>10</v>
      </c>
      <c r="N22" s="248">
        <v>11</v>
      </c>
      <c r="O22" s="248">
        <v>11.5</v>
      </c>
      <c r="P22" s="248">
        <v>12</v>
      </c>
      <c r="Q22" s="248">
        <v>12.5</v>
      </c>
      <c r="R22" s="248">
        <v>13</v>
      </c>
      <c r="S22" s="247">
        <v>11.5064</v>
      </c>
      <c r="T22" s="237">
        <v>12.1115</v>
      </c>
      <c r="U22" s="247">
        <v>14.0196</v>
      </c>
      <c r="V22" s="247">
        <v>15.9572</v>
      </c>
      <c r="W22" s="237">
        <v>14.2525</v>
      </c>
      <c r="X22" s="237">
        <v>12.70369</v>
      </c>
      <c r="Y22" s="237">
        <v>12.31234</v>
      </c>
      <c r="Z22" s="237">
        <v>11.3499</v>
      </c>
      <c r="AA22" s="237">
        <v>11.528</v>
      </c>
      <c r="AB22" s="237">
        <v>11.7334</v>
      </c>
      <c r="AC22" s="237">
        <v>12.6258</v>
      </c>
      <c r="AD22" s="237">
        <v>13.5426</v>
      </c>
      <c r="AE22" s="258">
        <f t="shared" si="2"/>
        <v>7.261322054840093</v>
      </c>
      <c r="AF22" s="235" t="s">
        <v>17</v>
      </c>
      <c r="AG22" s="209"/>
    </row>
    <row r="23" spans="1:32" ht="12.75" customHeight="1">
      <c r="A23" s="224"/>
      <c r="B23" s="231" t="s">
        <v>18</v>
      </c>
      <c r="C23" s="234" t="s">
        <v>41</v>
      </c>
      <c r="D23" s="234" t="s">
        <v>41</v>
      </c>
      <c r="E23" s="233" t="s">
        <v>41</v>
      </c>
      <c r="F23" s="233" t="s">
        <v>41</v>
      </c>
      <c r="G23" s="233" t="s">
        <v>41</v>
      </c>
      <c r="H23" s="233" t="s">
        <v>41</v>
      </c>
      <c r="I23" s="233" t="s">
        <v>41</v>
      </c>
      <c r="J23" s="252">
        <v>16</v>
      </c>
      <c r="K23" s="252">
        <v>18</v>
      </c>
      <c r="L23" s="252">
        <v>20</v>
      </c>
      <c r="M23" s="252">
        <v>22</v>
      </c>
      <c r="N23" s="252">
        <v>25</v>
      </c>
      <c r="O23" s="252">
        <v>26</v>
      </c>
      <c r="P23" s="252">
        <v>26</v>
      </c>
      <c r="Q23" s="252">
        <v>26</v>
      </c>
      <c r="R23" s="252">
        <v>29</v>
      </c>
      <c r="S23" s="252">
        <v>31</v>
      </c>
      <c r="T23" s="233">
        <v>34.793</v>
      </c>
      <c r="U23" s="233">
        <v>39.472</v>
      </c>
      <c r="V23" s="233">
        <v>39.119</v>
      </c>
      <c r="W23" s="233">
        <v>37.991</v>
      </c>
      <c r="X23" s="233">
        <v>36.055</v>
      </c>
      <c r="Y23" s="233">
        <v>32.569</v>
      </c>
      <c r="Z23" s="233">
        <v>29.908</v>
      </c>
      <c r="AA23" s="233">
        <v>34.191</v>
      </c>
      <c r="AB23" s="233">
        <v>33.325</v>
      </c>
      <c r="AC23" s="233">
        <v>24.336</v>
      </c>
      <c r="AD23" s="233">
        <v>24.865</v>
      </c>
      <c r="AE23" s="232">
        <f t="shared" si="2"/>
        <v>2.1737343852728372</v>
      </c>
      <c r="AF23" s="231" t="s">
        <v>18</v>
      </c>
    </row>
    <row r="24" spans="1:33" s="245" customFormat="1" ht="12.75" customHeight="1">
      <c r="A24" s="250"/>
      <c r="B24" s="235" t="s">
        <v>35</v>
      </c>
      <c r="C24" s="267">
        <v>2.1</v>
      </c>
      <c r="D24" s="267">
        <v>2.7</v>
      </c>
      <c r="E24" s="247">
        <v>4</v>
      </c>
      <c r="F24" s="247">
        <v>4.15</v>
      </c>
      <c r="G24" s="247">
        <v>4.3</v>
      </c>
      <c r="H24" s="247">
        <v>4.5</v>
      </c>
      <c r="I24" s="247">
        <v>4.6</v>
      </c>
      <c r="J24" s="247">
        <v>4.7</v>
      </c>
      <c r="K24" s="247">
        <v>4.8</v>
      </c>
      <c r="L24" s="247">
        <v>4.9</v>
      </c>
      <c r="M24" s="247">
        <v>5</v>
      </c>
      <c r="N24" s="247">
        <v>5</v>
      </c>
      <c r="O24" s="247">
        <v>5.6</v>
      </c>
      <c r="P24" s="247">
        <v>5.8</v>
      </c>
      <c r="Q24" s="247">
        <v>5.9</v>
      </c>
      <c r="R24" s="247">
        <v>6</v>
      </c>
      <c r="S24" s="247">
        <v>6.1</v>
      </c>
      <c r="T24" s="247">
        <v>6.3</v>
      </c>
      <c r="U24" s="247">
        <v>6.5</v>
      </c>
      <c r="V24" s="247">
        <v>6.6</v>
      </c>
      <c r="W24" s="247">
        <v>6.7</v>
      </c>
      <c r="X24" s="247">
        <v>6.7</v>
      </c>
      <c r="Y24" s="247">
        <v>6.5</v>
      </c>
      <c r="Z24" s="247">
        <v>6.591758023581571</v>
      </c>
      <c r="AA24" s="247">
        <v>6.733132688657702</v>
      </c>
      <c r="AB24" s="247">
        <v>6.850930549747795</v>
      </c>
      <c r="AC24" s="247">
        <v>7.132396036634483</v>
      </c>
      <c r="AD24" s="247">
        <v>7.321358260666726</v>
      </c>
      <c r="AE24" s="246">
        <f t="shared" si="2"/>
        <v>2.649351256739905</v>
      </c>
      <c r="AF24" s="235" t="s">
        <v>35</v>
      </c>
      <c r="AG24" s="435"/>
    </row>
    <row r="25" spans="1:32" ht="12.75" customHeight="1">
      <c r="A25" s="224"/>
      <c r="B25" s="231" t="s">
        <v>16</v>
      </c>
      <c r="C25" s="234" t="s">
        <v>41</v>
      </c>
      <c r="D25" s="234" t="s">
        <v>41</v>
      </c>
      <c r="E25" s="233">
        <v>47</v>
      </c>
      <c r="F25" s="233">
        <v>46.8</v>
      </c>
      <c r="G25" s="233">
        <v>44.6</v>
      </c>
      <c r="H25" s="233">
        <v>44</v>
      </c>
      <c r="I25" s="233">
        <v>44.9</v>
      </c>
      <c r="J25" s="233">
        <v>45.4</v>
      </c>
      <c r="K25" s="233">
        <v>45.6</v>
      </c>
      <c r="L25" s="233">
        <v>46.1</v>
      </c>
      <c r="M25" s="233">
        <v>46.15</v>
      </c>
      <c r="N25" s="233">
        <v>46.17</v>
      </c>
      <c r="O25" s="233">
        <v>46.18</v>
      </c>
      <c r="P25" s="233">
        <v>46.18</v>
      </c>
      <c r="Q25" s="233">
        <v>46.3</v>
      </c>
      <c r="R25" s="233">
        <v>47.517</v>
      </c>
      <c r="S25" s="233">
        <v>49.121</v>
      </c>
      <c r="T25" s="269">
        <v>49.403</v>
      </c>
      <c r="U25" s="233">
        <v>52.315</v>
      </c>
      <c r="V25" s="233">
        <v>53.946</v>
      </c>
      <c r="W25" s="233">
        <v>54.005</v>
      </c>
      <c r="X25" s="233">
        <v>54.396</v>
      </c>
      <c r="Y25" s="233">
        <v>52.595</v>
      </c>
      <c r="Z25" s="233">
        <v>52.251</v>
      </c>
      <c r="AA25" s="233">
        <v>51.793</v>
      </c>
      <c r="AB25" s="233">
        <v>51.824</v>
      </c>
      <c r="AC25" s="233">
        <v>52.723</v>
      </c>
      <c r="AD25" s="233">
        <v>54.603</v>
      </c>
      <c r="AE25" s="232">
        <f t="shared" si="2"/>
        <v>3.5658061946399044</v>
      </c>
      <c r="AF25" s="231" t="s">
        <v>16</v>
      </c>
    </row>
    <row r="26" spans="1:33" s="245" customFormat="1" ht="12.75" customHeight="1">
      <c r="A26" s="250"/>
      <c r="B26" s="235" t="s">
        <v>19</v>
      </c>
      <c r="C26" s="249" t="s">
        <v>41</v>
      </c>
      <c r="D26" s="249" t="s">
        <v>41</v>
      </c>
      <c r="E26" s="237" t="s">
        <v>41</v>
      </c>
      <c r="F26" s="237" t="s">
        <v>41</v>
      </c>
      <c r="G26" s="237" t="s">
        <v>41</v>
      </c>
      <c r="H26" s="237" t="s">
        <v>41</v>
      </c>
      <c r="I26" s="237" t="s">
        <v>41</v>
      </c>
      <c r="J26" s="247">
        <v>1.7</v>
      </c>
      <c r="K26" s="247">
        <v>1.72</v>
      </c>
      <c r="L26" s="247">
        <v>1.74</v>
      </c>
      <c r="M26" s="247">
        <v>1.76</v>
      </c>
      <c r="N26" s="247">
        <v>1.78</v>
      </c>
      <c r="O26" s="247">
        <v>1.8</v>
      </c>
      <c r="P26" s="247">
        <v>1.8</v>
      </c>
      <c r="Q26" s="247">
        <v>1.85</v>
      </c>
      <c r="R26" s="247">
        <v>1.9</v>
      </c>
      <c r="S26" s="247">
        <v>1.95</v>
      </c>
      <c r="T26" s="247">
        <v>2</v>
      </c>
      <c r="U26" s="247">
        <v>2.05</v>
      </c>
      <c r="V26" s="247">
        <v>2.1</v>
      </c>
      <c r="W26" s="247">
        <v>2.15</v>
      </c>
      <c r="X26" s="247">
        <v>2.2</v>
      </c>
      <c r="Y26" s="247">
        <v>2.2</v>
      </c>
      <c r="Z26" s="247">
        <v>2.2297181531995443</v>
      </c>
      <c r="AA26" s="247">
        <v>2.240448897501395</v>
      </c>
      <c r="AB26" s="247">
        <v>2.291235362302769</v>
      </c>
      <c r="AC26" s="247">
        <v>2.4135009155436644</v>
      </c>
      <c r="AD26" s="247">
        <v>2.5042317396135667</v>
      </c>
      <c r="AE26" s="246">
        <f t="shared" si="2"/>
        <v>3.759303486713776</v>
      </c>
      <c r="AF26" s="235" t="s">
        <v>19</v>
      </c>
      <c r="AG26" s="435"/>
    </row>
    <row r="27" spans="1:32" ht="12.75" customHeight="1">
      <c r="A27" s="224"/>
      <c r="B27" s="231" t="s">
        <v>27</v>
      </c>
      <c r="C27" s="234">
        <v>67.1</v>
      </c>
      <c r="D27" s="261">
        <v>108.1</v>
      </c>
      <c r="E27" s="233">
        <v>137.3</v>
      </c>
      <c r="F27" s="233">
        <v>124.5</v>
      </c>
      <c r="G27" s="233">
        <v>129.1</v>
      </c>
      <c r="H27" s="233">
        <v>126.1</v>
      </c>
      <c r="I27" s="233">
        <v>128.8</v>
      </c>
      <c r="J27" s="233">
        <v>131.4</v>
      </c>
      <c r="K27" s="233">
        <v>132.7</v>
      </c>
      <c r="L27" s="233">
        <v>136.5</v>
      </c>
      <c r="M27" s="233">
        <v>137.1</v>
      </c>
      <c r="N27" s="233">
        <v>141.3</v>
      </c>
      <c r="O27" s="233">
        <v>141.1</v>
      </c>
      <c r="P27" s="233">
        <v>141.6</v>
      </c>
      <c r="Q27" s="233">
        <v>144.2</v>
      </c>
      <c r="R27" s="233">
        <v>146.1</v>
      </c>
      <c r="S27" s="233">
        <v>151.6</v>
      </c>
      <c r="T27" s="233">
        <v>148.8</v>
      </c>
      <c r="U27" s="233">
        <v>148</v>
      </c>
      <c r="V27" s="233">
        <v>148.8</v>
      </c>
      <c r="W27" s="233">
        <v>147</v>
      </c>
      <c r="X27" s="252">
        <v>146.3</v>
      </c>
      <c r="Y27" s="260">
        <v>144.2</v>
      </c>
      <c r="Z27" s="233">
        <v>144.4</v>
      </c>
      <c r="AA27" s="233">
        <v>139.7</v>
      </c>
      <c r="AB27" s="233">
        <v>145.4</v>
      </c>
      <c r="AC27" s="233">
        <v>144.969</v>
      </c>
      <c r="AD27" s="233">
        <v>139.32</v>
      </c>
      <c r="AE27" s="232">
        <f t="shared" si="2"/>
        <v>-3.8966951555159994</v>
      </c>
      <c r="AF27" s="231" t="s">
        <v>27</v>
      </c>
    </row>
    <row r="28" spans="1:33" s="245" customFormat="1" ht="12.75" customHeight="1">
      <c r="A28" s="250"/>
      <c r="B28" s="235" t="s">
        <v>36</v>
      </c>
      <c r="C28" s="249">
        <v>32.9</v>
      </c>
      <c r="D28" s="249">
        <v>47.8</v>
      </c>
      <c r="E28" s="237">
        <v>55.677</v>
      </c>
      <c r="F28" s="237">
        <v>57.391</v>
      </c>
      <c r="G28" s="237">
        <v>58.959</v>
      </c>
      <c r="H28" s="237">
        <v>59.785</v>
      </c>
      <c r="I28" s="237">
        <v>61.803</v>
      </c>
      <c r="J28" s="237">
        <v>62.156</v>
      </c>
      <c r="K28" s="237">
        <v>63.073</v>
      </c>
      <c r="L28" s="237">
        <v>63.864</v>
      </c>
      <c r="M28" s="237">
        <v>64.861</v>
      </c>
      <c r="N28" s="237">
        <v>66.11</v>
      </c>
      <c r="O28" s="237">
        <v>66.668</v>
      </c>
      <c r="P28" s="237">
        <v>67.104</v>
      </c>
      <c r="Q28" s="237">
        <v>67.96</v>
      </c>
      <c r="R28" s="237">
        <v>68.941</v>
      </c>
      <c r="S28" s="237">
        <v>69.608</v>
      </c>
      <c r="T28" s="237">
        <v>70.557</v>
      </c>
      <c r="U28" s="237">
        <v>70.893</v>
      </c>
      <c r="V28" s="237">
        <v>72.023</v>
      </c>
      <c r="W28" s="237">
        <v>73.281</v>
      </c>
      <c r="X28" s="237">
        <v>72.675</v>
      </c>
      <c r="Y28" s="237">
        <v>73.467</v>
      </c>
      <c r="Z28" s="237">
        <v>74.451</v>
      </c>
      <c r="AA28" s="237">
        <v>74.154</v>
      </c>
      <c r="AB28" s="237">
        <v>74.837</v>
      </c>
      <c r="AC28" s="237">
        <v>76.594</v>
      </c>
      <c r="AD28" s="237">
        <v>78.347</v>
      </c>
      <c r="AE28" s="258">
        <f t="shared" si="2"/>
        <v>2.288691020184345</v>
      </c>
      <c r="AF28" s="235" t="s">
        <v>36</v>
      </c>
      <c r="AG28" s="209"/>
    </row>
    <row r="29" spans="1:32" ht="12.75" customHeight="1">
      <c r="A29" s="224"/>
      <c r="B29" s="231" t="s">
        <v>20</v>
      </c>
      <c r="C29" s="234" t="s">
        <v>41</v>
      </c>
      <c r="D29" s="234" t="s">
        <v>41</v>
      </c>
      <c r="E29" s="233" t="s">
        <v>41</v>
      </c>
      <c r="F29" s="233"/>
      <c r="G29" s="233"/>
      <c r="H29" s="233"/>
      <c r="I29" s="233"/>
      <c r="J29" s="233">
        <v>110.7</v>
      </c>
      <c r="K29" s="233">
        <v>121.6</v>
      </c>
      <c r="L29" s="233">
        <v>132</v>
      </c>
      <c r="M29" s="233">
        <v>141.1</v>
      </c>
      <c r="N29" s="233">
        <v>143</v>
      </c>
      <c r="O29" s="260">
        <v>130.1</v>
      </c>
      <c r="P29" s="233">
        <v>132.3</v>
      </c>
      <c r="Q29" s="233">
        <v>135.8</v>
      </c>
      <c r="R29" s="233">
        <v>141.3</v>
      </c>
      <c r="S29" s="233">
        <v>146.8</v>
      </c>
      <c r="T29" s="233">
        <v>152.3</v>
      </c>
      <c r="U29" s="233">
        <v>156.6</v>
      </c>
      <c r="V29" s="233">
        <v>162.3</v>
      </c>
      <c r="W29" s="233">
        <v>172.6</v>
      </c>
      <c r="X29" s="233">
        <v>182.758</v>
      </c>
      <c r="Y29" s="233">
        <v>188.81</v>
      </c>
      <c r="Z29" s="233">
        <v>189.103</v>
      </c>
      <c r="AA29" s="233">
        <v>189.324</v>
      </c>
      <c r="AB29" s="233">
        <v>193.336</v>
      </c>
      <c r="AC29" s="233">
        <v>197.032</v>
      </c>
      <c r="AD29" s="233">
        <v>200.57</v>
      </c>
      <c r="AE29" s="232">
        <f t="shared" si="2"/>
        <v>1.79564740752771</v>
      </c>
      <c r="AF29" s="231" t="s">
        <v>20</v>
      </c>
    </row>
    <row r="30" spans="1:33" s="245" customFormat="1" ht="12.75" customHeight="1">
      <c r="A30" s="250"/>
      <c r="B30" s="235" t="s">
        <v>37</v>
      </c>
      <c r="C30" s="267">
        <v>13.8</v>
      </c>
      <c r="D30" s="267">
        <v>29</v>
      </c>
      <c r="E30" s="247">
        <v>40</v>
      </c>
      <c r="F30" s="247">
        <v>41</v>
      </c>
      <c r="G30" s="247">
        <v>43</v>
      </c>
      <c r="H30" s="247">
        <v>46</v>
      </c>
      <c r="I30" s="247">
        <v>49</v>
      </c>
      <c r="J30" s="247">
        <v>52.5</v>
      </c>
      <c r="K30" s="247">
        <v>56</v>
      </c>
      <c r="L30" s="247">
        <v>60</v>
      </c>
      <c r="M30" s="247">
        <v>64</v>
      </c>
      <c r="N30" s="247">
        <v>68</v>
      </c>
      <c r="O30" s="247">
        <v>71</v>
      </c>
      <c r="P30" s="247">
        <v>73.2</v>
      </c>
      <c r="Q30" s="247">
        <v>77.7</v>
      </c>
      <c r="R30" s="247">
        <v>81.5</v>
      </c>
      <c r="S30" s="247">
        <v>83</v>
      </c>
      <c r="T30" s="247">
        <v>85</v>
      </c>
      <c r="U30" s="247">
        <v>86</v>
      </c>
      <c r="V30" s="247">
        <v>86.6</v>
      </c>
      <c r="W30" s="247">
        <v>87</v>
      </c>
      <c r="X30" s="247">
        <v>86</v>
      </c>
      <c r="Y30" s="247">
        <v>83.7</v>
      </c>
      <c r="Z30" s="247">
        <v>83.19008452892002</v>
      </c>
      <c r="AA30" s="247">
        <v>82.13077342280117</v>
      </c>
      <c r="AB30" s="247">
        <v>81.86593727133295</v>
      </c>
      <c r="AC30" s="247">
        <v>83.3358926901149</v>
      </c>
      <c r="AD30" s="247">
        <v>84.46785751462882</v>
      </c>
      <c r="AE30" s="246">
        <f t="shared" si="2"/>
        <v>1.3583160724312933</v>
      </c>
      <c r="AF30" s="235" t="s">
        <v>37</v>
      </c>
      <c r="AG30" s="435"/>
    </row>
    <row r="31" spans="1:33" ht="12.75" customHeight="1">
      <c r="A31" s="224"/>
      <c r="B31" s="231" t="s">
        <v>21</v>
      </c>
      <c r="C31" s="266"/>
      <c r="D31" s="266"/>
      <c r="E31" s="252"/>
      <c r="F31" s="252"/>
      <c r="G31" s="252"/>
      <c r="H31" s="252"/>
      <c r="I31" s="252"/>
      <c r="J31" s="252">
        <v>40</v>
      </c>
      <c r="K31" s="252">
        <v>42.5</v>
      </c>
      <c r="L31" s="252">
        <v>45</v>
      </c>
      <c r="M31" s="252">
        <v>47</v>
      </c>
      <c r="N31" s="252">
        <v>49</v>
      </c>
      <c r="O31" s="252">
        <v>51</v>
      </c>
      <c r="P31" s="252">
        <v>52.5</v>
      </c>
      <c r="Q31" s="252">
        <v>54</v>
      </c>
      <c r="R31" s="252">
        <v>56</v>
      </c>
      <c r="S31" s="252">
        <v>58</v>
      </c>
      <c r="T31" s="252">
        <v>61</v>
      </c>
      <c r="U31" s="252">
        <v>64.1</v>
      </c>
      <c r="V31" s="252">
        <v>67.5</v>
      </c>
      <c r="W31" s="252">
        <v>70.5</v>
      </c>
      <c r="X31" s="252">
        <v>75.5</v>
      </c>
      <c r="Y31" s="252">
        <v>75.5</v>
      </c>
      <c r="Z31" s="252">
        <v>74.97833815332045</v>
      </c>
      <c r="AA31" s="252">
        <v>77.04505960700007</v>
      </c>
      <c r="AB31" s="252">
        <v>80.36341832605608</v>
      </c>
      <c r="AC31" s="252">
        <v>85.19385987224148</v>
      </c>
      <c r="AD31" s="252">
        <v>89.86636208053349</v>
      </c>
      <c r="AE31" s="251">
        <f t="shared" si="2"/>
        <v>5.484552777980724</v>
      </c>
      <c r="AF31" s="231" t="s">
        <v>21</v>
      </c>
      <c r="AG31" s="435"/>
    </row>
    <row r="32" spans="1:33" ht="12.75" customHeight="1">
      <c r="A32" s="224"/>
      <c r="B32" s="235" t="s">
        <v>23</v>
      </c>
      <c r="C32" s="249" t="s">
        <v>41</v>
      </c>
      <c r="D32" s="249" t="s">
        <v>41</v>
      </c>
      <c r="E32" s="265">
        <v>13.32</v>
      </c>
      <c r="F32" s="265">
        <v>12.606</v>
      </c>
      <c r="G32" s="265">
        <v>13.386</v>
      </c>
      <c r="H32" s="265">
        <v>13.979</v>
      </c>
      <c r="I32" s="265">
        <v>15.178</v>
      </c>
      <c r="J32" s="265">
        <v>16.338</v>
      </c>
      <c r="K32" s="265">
        <v>17.794</v>
      </c>
      <c r="L32" s="265">
        <v>19.011</v>
      </c>
      <c r="M32" s="265">
        <v>18.98</v>
      </c>
      <c r="N32" s="265">
        <v>20.074</v>
      </c>
      <c r="O32" s="265">
        <v>20.325</v>
      </c>
      <c r="P32" s="265">
        <v>20.801</v>
      </c>
      <c r="Q32" s="265">
        <v>21.287</v>
      </c>
      <c r="R32" s="265">
        <v>21.331</v>
      </c>
      <c r="S32" s="237">
        <v>22.042</v>
      </c>
      <c r="T32" s="237">
        <v>22.509</v>
      </c>
      <c r="U32" s="237">
        <v>23.006</v>
      </c>
      <c r="V32" s="237">
        <v>24.355</v>
      </c>
      <c r="W32" s="237">
        <v>24.878</v>
      </c>
      <c r="X32" s="237">
        <v>25.775</v>
      </c>
      <c r="Y32" s="237">
        <v>25.636</v>
      </c>
      <c r="Z32" s="247">
        <v>25.487436219641157</v>
      </c>
      <c r="AA32" s="247">
        <v>25.30277592122288</v>
      </c>
      <c r="AB32" s="247">
        <v>25.168354826572546</v>
      </c>
      <c r="AC32" s="247">
        <v>25.638692920142624</v>
      </c>
      <c r="AD32" s="247">
        <v>25.996532775797913</v>
      </c>
      <c r="AE32" s="246">
        <f t="shared" si="2"/>
        <v>1.3957024126380446</v>
      </c>
      <c r="AF32" s="235" t="s">
        <v>23</v>
      </c>
      <c r="AG32" s="435"/>
    </row>
    <row r="33" spans="1:32" ht="12.75" customHeight="1">
      <c r="A33" s="224"/>
      <c r="B33" s="231" t="s">
        <v>22</v>
      </c>
      <c r="C33" s="263"/>
      <c r="D33" s="263"/>
      <c r="E33" s="262"/>
      <c r="F33" s="233"/>
      <c r="G33" s="233"/>
      <c r="H33" s="233">
        <v>17.554</v>
      </c>
      <c r="I33" s="233">
        <v>17.293</v>
      </c>
      <c r="J33" s="233">
        <v>17.977</v>
      </c>
      <c r="K33" s="233">
        <v>17.993</v>
      </c>
      <c r="L33" s="233">
        <v>18.568</v>
      </c>
      <c r="M33" s="233">
        <v>19.302</v>
      </c>
      <c r="N33" s="233">
        <v>21.541</v>
      </c>
      <c r="O33" s="233">
        <v>23.929</v>
      </c>
      <c r="P33" s="233">
        <v>24.056</v>
      </c>
      <c r="Q33" s="233">
        <v>24.978</v>
      </c>
      <c r="R33" s="233">
        <v>25.224</v>
      </c>
      <c r="S33" s="233">
        <v>25.332</v>
      </c>
      <c r="T33" s="233">
        <v>25.824</v>
      </c>
      <c r="U33" s="233">
        <v>26.342</v>
      </c>
      <c r="V33" s="233">
        <v>25.994</v>
      </c>
      <c r="W33" s="233">
        <v>26.395</v>
      </c>
      <c r="X33" s="233">
        <v>26.42</v>
      </c>
      <c r="Y33" s="233">
        <v>26.879</v>
      </c>
      <c r="Z33" s="233">
        <v>26.887</v>
      </c>
      <c r="AA33" s="233">
        <v>26.935</v>
      </c>
      <c r="AB33" s="233">
        <v>27.155</v>
      </c>
      <c r="AC33" s="233">
        <v>27.251</v>
      </c>
      <c r="AD33" s="233">
        <v>27.531</v>
      </c>
      <c r="AE33" s="232">
        <f t="shared" si="2"/>
        <v>1.0274852298998098</v>
      </c>
      <c r="AF33" s="231" t="s">
        <v>22</v>
      </c>
    </row>
    <row r="34" spans="1:32" ht="12.75" customHeight="1">
      <c r="A34" s="224"/>
      <c r="B34" s="235" t="s">
        <v>38</v>
      </c>
      <c r="C34" s="249">
        <v>23.7</v>
      </c>
      <c r="D34" s="249">
        <v>34.8</v>
      </c>
      <c r="E34" s="237">
        <v>51.2</v>
      </c>
      <c r="F34" s="237">
        <v>50.6</v>
      </c>
      <c r="G34" s="237">
        <v>50.5</v>
      </c>
      <c r="H34" s="237">
        <v>49.7</v>
      </c>
      <c r="I34" s="237">
        <v>49.6</v>
      </c>
      <c r="J34" s="237">
        <v>50</v>
      </c>
      <c r="K34" s="237">
        <v>50.4</v>
      </c>
      <c r="L34" s="237">
        <v>51.9</v>
      </c>
      <c r="M34" s="237">
        <v>53.3</v>
      </c>
      <c r="N34" s="237">
        <v>54.9</v>
      </c>
      <c r="O34" s="237">
        <v>55.7</v>
      </c>
      <c r="P34" s="237">
        <v>57</v>
      </c>
      <c r="Q34" s="237">
        <v>58.3</v>
      </c>
      <c r="R34" s="237">
        <v>59.59</v>
      </c>
      <c r="S34" s="237">
        <v>60.94</v>
      </c>
      <c r="T34" s="237">
        <v>61.91</v>
      </c>
      <c r="U34" s="237">
        <v>62.455</v>
      </c>
      <c r="V34" s="237">
        <v>63.785</v>
      </c>
      <c r="W34" s="237">
        <v>63.4</v>
      </c>
      <c r="X34" s="237">
        <v>64.33</v>
      </c>
      <c r="Y34" s="237">
        <f>64.745</f>
        <v>64.745</v>
      </c>
      <c r="Z34" s="237">
        <v>65.49</v>
      </c>
      <c r="AA34" s="237">
        <v>65.27</v>
      </c>
      <c r="AB34" s="237">
        <v>65.115</v>
      </c>
      <c r="AC34" s="237">
        <v>65.52</v>
      </c>
      <c r="AD34" s="237">
        <v>66.295</v>
      </c>
      <c r="AE34" s="258">
        <f t="shared" si="2"/>
        <v>1.1828449328449437</v>
      </c>
      <c r="AF34" s="235" t="s">
        <v>38</v>
      </c>
    </row>
    <row r="35" spans="1:32" ht="12.75" customHeight="1">
      <c r="A35" s="224"/>
      <c r="B35" s="231" t="s">
        <v>39</v>
      </c>
      <c r="C35" s="234">
        <v>56.1</v>
      </c>
      <c r="D35" s="261">
        <v>67.4</v>
      </c>
      <c r="E35" s="233">
        <v>85.945</v>
      </c>
      <c r="F35" s="233">
        <v>86.494</v>
      </c>
      <c r="G35" s="233">
        <v>87.552</v>
      </c>
      <c r="H35" s="233">
        <v>85.683</v>
      </c>
      <c r="I35" s="233">
        <v>86.65</v>
      </c>
      <c r="J35" s="233">
        <v>87.622</v>
      </c>
      <c r="K35" s="233">
        <v>87.983</v>
      </c>
      <c r="L35" s="233">
        <v>88.107</v>
      </c>
      <c r="M35" s="233">
        <v>88.811</v>
      </c>
      <c r="N35" s="260">
        <v>100.18352</v>
      </c>
      <c r="O35" s="260">
        <v>103.65483369766447</v>
      </c>
      <c r="P35" s="233">
        <v>104.83427759943993</v>
      </c>
      <c r="Q35" s="233">
        <v>106.62251789890334</v>
      </c>
      <c r="R35" s="233">
        <v>107.32208833613136</v>
      </c>
      <c r="S35" s="233">
        <v>108.35985149670047</v>
      </c>
      <c r="T35" s="233">
        <v>107.98311590611746</v>
      </c>
      <c r="U35" s="233">
        <v>108.13703214573366</v>
      </c>
      <c r="V35" s="233">
        <v>110.23856590007244</v>
      </c>
      <c r="W35" s="233">
        <v>109.46845217694035</v>
      </c>
      <c r="X35" s="233">
        <v>108.89703801054038</v>
      </c>
      <c r="Y35" s="233">
        <v>108.01282861161354</v>
      </c>
      <c r="Z35" s="233">
        <v>109.02898505595721</v>
      </c>
      <c r="AA35" s="233">
        <v>108.37233901934596</v>
      </c>
      <c r="AB35" s="233">
        <v>108.2057882235005</v>
      </c>
      <c r="AC35" s="233">
        <v>110.34047754415158</v>
      </c>
      <c r="AD35" s="368">
        <v>111.92673082880422</v>
      </c>
      <c r="AE35" s="232">
        <f t="shared" si="2"/>
        <v>1.4375987126011154</v>
      </c>
      <c r="AF35" s="231" t="s">
        <v>39</v>
      </c>
    </row>
    <row r="36" spans="1:32" ht="12.75" customHeight="1">
      <c r="A36" s="224"/>
      <c r="B36" s="235" t="s">
        <v>28</v>
      </c>
      <c r="C36" s="249">
        <v>297</v>
      </c>
      <c r="D36" s="249">
        <v>388</v>
      </c>
      <c r="E36" s="237">
        <v>588.0080122315558</v>
      </c>
      <c r="F36" s="237">
        <v>582.210511129872</v>
      </c>
      <c r="G36" s="237">
        <v>583.0444742310589</v>
      </c>
      <c r="H36" s="229">
        <v>607.1</v>
      </c>
      <c r="I36" s="228">
        <v>614</v>
      </c>
      <c r="J36" s="259">
        <v>617.9</v>
      </c>
      <c r="K36" s="228">
        <v>622.2654719600544</v>
      </c>
      <c r="L36" s="228">
        <v>632.3684424546157</v>
      </c>
      <c r="M36" s="237">
        <v>635.6775225864668</v>
      </c>
      <c r="N36" s="237">
        <v>642.0866819761951</v>
      </c>
      <c r="O36" s="237">
        <v>638.5660724907208</v>
      </c>
      <c r="P36" s="237">
        <v>651.3961997016211</v>
      </c>
      <c r="Q36" s="237">
        <v>672.7194691828055</v>
      </c>
      <c r="R36" s="237">
        <v>668.5254189628808</v>
      </c>
      <c r="S36" s="237">
        <v>672.842932189544</v>
      </c>
      <c r="T36" s="237">
        <v>667.1572572228558</v>
      </c>
      <c r="U36" s="237">
        <v>672.4441756925946</v>
      </c>
      <c r="V36" s="237">
        <v>673.8601721532309</v>
      </c>
      <c r="W36" s="237">
        <v>666.0241627078987</v>
      </c>
      <c r="X36" s="237">
        <v>661.1940941751228</v>
      </c>
      <c r="Y36" s="237">
        <v>644.0234349400974</v>
      </c>
      <c r="Z36" s="237">
        <v>641.61994041272</v>
      </c>
      <c r="AA36" s="237">
        <v>645.1226876452603</v>
      </c>
      <c r="AB36" s="237">
        <v>640.5602775595789</v>
      </c>
      <c r="AC36" s="237">
        <v>654.3640752099554</v>
      </c>
      <c r="AD36" s="237">
        <v>657.5970584605274</v>
      </c>
      <c r="AE36" s="258">
        <f t="shared" si="2"/>
        <v>0.4940649056161135</v>
      </c>
      <c r="AF36" s="235" t="s">
        <v>28</v>
      </c>
    </row>
    <row r="37" spans="1:33" ht="12.75" customHeight="1">
      <c r="A37" s="224"/>
      <c r="B37" s="254" t="s">
        <v>116</v>
      </c>
      <c r="C37" s="257"/>
      <c r="D37" s="257"/>
      <c r="E37" s="256"/>
      <c r="F37" s="256"/>
      <c r="G37" s="256">
        <v>2.685</v>
      </c>
      <c r="H37" s="256">
        <v>4.293</v>
      </c>
      <c r="I37" s="256">
        <v>4.638</v>
      </c>
      <c r="J37" s="256">
        <v>4.759</v>
      </c>
      <c r="K37" s="256">
        <v>5.01</v>
      </c>
      <c r="L37" s="256">
        <v>3.531</v>
      </c>
      <c r="M37" s="256">
        <v>4.734</v>
      </c>
      <c r="N37" s="256">
        <v>4.962</v>
      </c>
      <c r="O37" s="256">
        <v>5.115</v>
      </c>
      <c r="P37" s="256">
        <v>5.173</v>
      </c>
      <c r="Q37" s="256">
        <v>5.906</v>
      </c>
      <c r="R37" s="256">
        <v>6.319</v>
      </c>
      <c r="S37" s="256">
        <v>6.34</v>
      </c>
      <c r="T37" s="256">
        <v>6.645</v>
      </c>
      <c r="U37" s="256">
        <v>6.87</v>
      </c>
      <c r="V37" s="256">
        <v>6.377</v>
      </c>
      <c r="W37" s="256">
        <v>5.647</v>
      </c>
      <c r="X37" s="256">
        <v>6.068</v>
      </c>
      <c r="Y37" s="256">
        <v>5.535</v>
      </c>
      <c r="Z37" s="256">
        <v>6.726</v>
      </c>
      <c r="AA37" s="256">
        <v>6.654</v>
      </c>
      <c r="AB37" s="256">
        <v>7.587</v>
      </c>
      <c r="AC37" s="497">
        <v>8.514708763183696</v>
      </c>
      <c r="AD37" s="497">
        <v>9.130100123541187</v>
      </c>
      <c r="AE37" s="255">
        <f t="shared" si="2"/>
        <v>7.227391769620468</v>
      </c>
      <c r="AF37" s="254" t="s">
        <v>116</v>
      </c>
      <c r="AG37" s="435"/>
    </row>
    <row r="38" spans="1:33" ht="12.75" customHeight="1">
      <c r="A38" s="224"/>
      <c r="B38" s="235" t="s">
        <v>107</v>
      </c>
      <c r="C38" s="249"/>
      <c r="D38" s="249"/>
      <c r="E38" s="237"/>
      <c r="F38" s="237"/>
      <c r="G38" s="237"/>
      <c r="H38" s="237"/>
      <c r="I38" s="237"/>
      <c r="J38" s="247"/>
      <c r="K38" s="247"/>
      <c r="L38" s="247"/>
      <c r="M38" s="247"/>
      <c r="N38" s="247"/>
      <c r="O38" s="247"/>
      <c r="P38" s="247"/>
      <c r="Q38" s="247"/>
      <c r="R38" s="247"/>
      <c r="S38" s="247"/>
      <c r="T38" s="247"/>
      <c r="U38" s="247"/>
      <c r="V38" s="247"/>
      <c r="W38" s="247"/>
      <c r="X38" s="247"/>
      <c r="Y38" s="247">
        <v>4.079443943033051</v>
      </c>
      <c r="Z38" s="247">
        <v>3.929694286390853</v>
      </c>
      <c r="AA38" s="247">
        <v>3.976974965962094</v>
      </c>
      <c r="AB38" s="247">
        <v>4.073523343797696</v>
      </c>
      <c r="AC38" s="247">
        <v>4.025779622039214</v>
      </c>
      <c r="AD38" s="247">
        <v>4.085406232758256</v>
      </c>
      <c r="AE38" s="246">
        <f t="shared" si="2"/>
        <v>1.481119592155892</v>
      </c>
      <c r="AF38" s="235" t="s">
        <v>107</v>
      </c>
      <c r="AG38" s="435"/>
    </row>
    <row r="39" spans="1:33" s="245" customFormat="1" ht="12.75" customHeight="1">
      <c r="A39" s="250"/>
      <c r="B39" s="231" t="s">
        <v>6</v>
      </c>
      <c r="C39" s="234"/>
      <c r="D39" s="234"/>
      <c r="E39" s="233"/>
      <c r="F39" s="233"/>
      <c r="G39" s="233"/>
      <c r="H39" s="253"/>
      <c r="I39" s="253"/>
      <c r="J39" s="252"/>
      <c r="K39" s="252"/>
      <c r="L39" s="252"/>
      <c r="M39" s="252"/>
      <c r="N39" s="252"/>
      <c r="O39" s="225">
        <v>4.793</v>
      </c>
      <c r="P39" s="225">
        <v>4.671</v>
      </c>
      <c r="Q39" s="225">
        <v>4.687</v>
      </c>
      <c r="R39" s="225">
        <v>4.637</v>
      </c>
      <c r="S39" s="225">
        <v>4.2</v>
      </c>
      <c r="T39" s="225">
        <v>3.974</v>
      </c>
      <c r="U39" s="225">
        <v>3.806</v>
      </c>
      <c r="V39" s="225">
        <v>3.974</v>
      </c>
      <c r="W39" s="225">
        <v>4.215</v>
      </c>
      <c r="X39" s="225">
        <v>4.244</v>
      </c>
      <c r="Y39" s="225">
        <v>4.683</v>
      </c>
      <c r="Z39" s="225">
        <v>5.322</v>
      </c>
      <c r="AA39" s="225">
        <v>5.116</v>
      </c>
      <c r="AB39" s="225">
        <v>5.964</v>
      </c>
      <c r="AC39" s="225">
        <v>6.769</v>
      </c>
      <c r="AD39" s="225">
        <v>6.987</v>
      </c>
      <c r="AE39" s="232">
        <f t="shared" si="2"/>
        <v>3.2205643374205977</v>
      </c>
      <c r="AF39" s="231" t="s">
        <v>6</v>
      </c>
      <c r="AG39" s="209"/>
    </row>
    <row r="40" spans="1:33" s="245" customFormat="1" ht="12.75" customHeight="1">
      <c r="A40" s="250"/>
      <c r="B40" s="235" t="s">
        <v>108</v>
      </c>
      <c r="C40" s="249"/>
      <c r="D40" s="249"/>
      <c r="E40" s="237"/>
      <c r="F40" s="237"/>
      <c r="G40" s="237"/>
      <c r="H40" s="248"/>
      <c r="I40" s="248"/>
      <c r="J40" s="247"/>
      <c r="K40" s="247"/>
      <c r="L40" s="247"/>
      <c r="M40" s="247"/>
      <c r="N40" s="247"/>
      <c r="O40" s="247"/>
      <c r="P40" s="247"/>
      <c r="Q40" s="247"/>
      <c r="R40" s="247"/>
      <c r="S40" s="247"/>
      <c r="T40" s="247"/>
      <c r="U40" s="247"/>
      <c r="V40" s="247"/>
      <c r="W40" s="247"/>
      <c r="X40" s="247"/>
      <c r="Y40" s="247">
        <v>30.589796610169493</v>
      </c>
      <c r="Z40" s="247">
        <v>26.07948717948718</v>
      </c>
      <c r="AA40" s="247">
        <v>26.5184804926127</v>
      </c>
      <c r="AB40" s="247">
        <v>27.10630859758152</v>
      </c>
      <c r="AC40" s="247">
        <v>27.918314222064502</v>
      </c>
      <c r="AD40" s="247">
        <v>28.61996915457172</v>
      </c>
      <c r="AE40" s="246">
        <f t="shared" si="2"/>
        <v>2.5132424792062977</v>
      </c>
      <c r="AF40" s="235" t="s">
        <v>108</v>
      </c>
      <c r="AG40" s="435"/>
    </row>
    <row r="41" spans="1:32" ht="12" customHeight="1">
      <c r="A41" s="224"/>
      <c r="B41" s="239" t="s">
        <v>24</v>
      </c>
      <c r="C41" s="244" t="s">
        <v>41</v>
      </c>
      <c r="D41" s="244" t="s">
        <v>41</v>
      </c>
      <c r="E41" s="241">
        <v>34.325</v>
      </c>
      <c r="F41" s="241">
        <v>33.58</v>
      </c>
      <c r="G41" s="241">
        <v>36.889</v>
      </c>
      <c r="H41" s="241">
        <v>41.848</v>
      </c>
      <c r="I41" s="241">
        <v>45.736</v>
      </c>
      <c r="J41" s="241">
        <v>52.652</v>
      </c>
      <c r="K41" s="241">
        <v>57.486</v>
      </c>
      <c r="L41" s="243">
        <v>62.5</v>
      </c>
      <c r="M41" s="243">
        <v>67.5</v>
      </c>
      <c r="N41" s="243">
        <v>72.5</v>
      </c>
      <c r="O41" s="243">
        <v>79</v>
      </c>
      <c r="P41" s="243">
        <v>81</v>
      </c>
      <c r="Q41" s="243">
        <v>82</v>
      </c>
      <c r="R41" s="243">
        <v>84</v>
      </c>
      <c r="S41" s="243">
        <v>95</v>
      </c>
      <c r="T41" s="243">
        <v>100</v>
      </c>
      <c r="U41" s="243">
        <v>108</v>
      </c>
      <c r="V41" s="243">
        <v>114</v>
      </c>
      <c r="W41" s="243">
        <v>120</v>
      </c>
      <c r="X41" s="242">
        <v>124.038</v>
      </c>
      <c r="Y41" s="241">
        <v>137.857</v>
      </c>
      <c r="Z41" s="241">
        <v>146.931</v>
      </c>
      <c r="AA41" s="241">
        <v>162.315</v>
      </c>
      <c r="AB41" s="241">
        <v>173.332</v>
      </c>
      <c r="AC41" s="463">
        <v>182.155</v>
      </c>
      <c r="AD41" s="463">
        <v>199.895</v>
      </c>
      <c r="AE41" s="240">
        <f t="shared" si="2"/>
        <v>9.738958579231976</v>
      </c>
      <c r="AF41" s="239" t="s">
        <v>24</v>
      </c>
    </row>
    <row r="42" spans="1:32" ht="12.75" customHeight="1">
      <c r="A42" s="224"/>
      <c r="B42" s="235" t="s">
        <v>10</v>
      </c>
      <c r="C42" s="238" t="s">
        <v>41</v>
      </c>
      <c r="D42" s="238" t="s">
        <v>41</v>
      </c>
      <c r="E42" s="236" t="s">
        <v>41</v>
      </c>
      <c r="F42" s="236"/>
      <c r="G42" s="236"/>
      <c r="H42" s="236"/>
      <c r="I42" s="236"/>
      <c r="J42" s="236">
        <v>3.026</v>
      </c>
      <c r="K42" s="236">
        <v>3.168</v>
      </c>
      <c r="L42" s="236">
        <v>3.36</v>
      </c>
      <c r="M42" s="236">
        <v>3.561</v>
      </c>
      <c r="N42" s="236">
        <v>3.712</v>
      </c>
      <c r="O42" s="236">
        <v>3.765</v>
      </c>
      <c r="P42" s="236">
        <v>3.95</v>
      </c>
      <c r="Q42" s="236">
        <v>4.06</v>
      </c>
      <c r="R42" s="236">
        <v>4.174</v>
      </c>
      <c r="S42" s="236">
        <v>4.301</v>
      </c>
      <c r="T42" s="236">
        <v>4.558</v>
      </c>
      <c r="U42" s="237">
        <v>4.833</v>
      </c>
      <c r="V42" s="237">
        <v>5.077</v>
      </c>
      <c r="W42" s="237">
        <v>4.948</v>
      </c>
      <c r="X42" s="236">
        <v>5.002</v>
      </c>
      <c r="Y42" s="236">
        <v>4.958</v>
      </c>
      <c r="Z42" s="236">
        <v>4.776</v>
      </c>
      <c r="AA42" s="236">
        <v>4.832</v>
      </c>
      <c r="AB42" s="236">
        <v>4.971</v>
      </c>
      <c r="AC42" s="464">
        <v>5.226</v>
      </c>
      <c r="AD42" s="464">
        <v>5.605</v>
      </c>
      <c r="AE42" s="495">
        <f t="shared" si="2"/>
        <v>7.2522005357826345</v>
      </c>
      <c r="AF42" s="235" t="s">
        <v>10</v>
      </c>
    </row>
    <row r="43" spans="1:32" ht="12.75" customHeight="1">
      <c r="A43" s="224"/>
      <c r="B43" s="231" t="s">
        <v>40</v>
      </c>
      <c r="C43" s="234">
        <f>17.781+0.429</f>
        <v>18.209999999999997</v>
      </c>
      <c r="D43" s="234">
        <f>30.436+0.625</f>
        <v>31.061</v>
      </c>
      <c r="E43" s="233">
        <f>42.696+0.523+0.278</f>
        <v>43.497</v>
      </c>
      <c r="F43" s="233">
        <f>42.252+0.513+0.247</f>
        <v>43.012</v>
      </c>
      <c r="G43" s="233">
        <f>42.39+0.545+0.237</f>
        <v>43.172000000000004</v>
      </c>
      <c r="H43" s="233">
        <f>43.128+0.553+0.262</f>
        <v>43.943</v>
      </c>
      <c r="I43" s="233">
        <f>43.605+0.561+0.367</f>
        <v>44.532999999999994</v>
      </c>
      <c r="J43" s="233">
        <f>43.659+0.566+0.505</f>
        <v>44.730000000000004</v>
      </c>
      <c r="K43" s="233">
        <f>45.217+0.57+0.642</f>
        <v>46.429</v>
      </c>
      <c r="L43" s="233">
        <f>46.078+0.6+0.98</f>
        <v>47.658</v>
      </c>
      <c r="M43" s="233">
        <f>47.294+0.613+1.359</f>
        <v>49.266</v>
      </c>
      <c r="N43" s="233">
        <f>48.233+0.601+1.497</f>
        <v>50.330999999999996</v>
      </c>
      <c r="O43" s="233">
        <f>49.055+0.583+1.535</f>
        <v>51.172999999999995</v>
      </c>
      <c r="P43" s="233">
        <f>50.226+0.609+1.522</f>
        <v>52.357</v>
      </c>
      <c r="Q43" s="233">
        <f>51.478+0.58+1.429</f>
        <v>53.487</v>
      </c>
      <c r="R43" s="233">
        <f>52.127+0.575+1.3</f>
        <v>54.002</v>
      </c>
      <c r="S43" s="233">
        <f>52.606+0.571+1.165</f>
        <v>54.342</v>
      </c>
      <c r="T43" s="233">
        <f>52.4+0.556+1.071</f>
        <v>54.026999999999994</v>
      </c>
      <c r="U43" s="233">
        <f>53.302+0.552+1.084</f>
        <v>54.938</v>
      </c>
      <c r="V43" s="233">
        <f>54.866+0.665+1.143</f>
        <v>56.674</v>
      </c>
      <c r="W43" s="233">
        <f>55.956+0.636+1.151</f>
        <v>57.74300000000001</v>
      </c>
      <c r="X43" s="233">
        <f>56.536+1.132+0.624</f>
        <v>58.292</v>
      </c>
      <c r="Y43" s="233">
        <f>57.034+1.199+0.545</f>
        <v>58.778</v>
      </c>
      <c r="Z43" s="233">
        <f>58.029+1.342+0.532</f>
        <v>59.903000000000006</v>
      </c>
      <c r="AA43" s="233">
        <f>58.701+1.487+0.516</f>
        <v>60.704</v>
      </c>
      <c r="AB43" s="233">
        <f>59.407+1.595+0.511</f>
        <v>61.513</v>
      </c>
      <c r="AC43" s="233">
        <f>61.288+1.698+0.494</f>
        <v>63.48</v>
      </c>
      <c r="AD43" s="233">
        <f>62.391+1.83+0.495</f>
        <v>64.71600000000001</v>
      </c>
      <c r="AE43" s="232">
        <f t="shared" si="2"/>
        <v>1.947069943289236</v>
      </c>
      <c r="AF43" s="231" t="s">
        <v>40</v>
      </c>
    </row>
    <row r="44" spans="1:32" ht="12.75" customHeight="1">
      <c r="A44" s="224"/>
      <c r="B44" s="226" t="s">
        <v>11</v>
      </c>
      <c r="C44" s="230">
        <v>41.836</v>
      </c>
      <c r="D44" s="230">
        <v>61.817</v>
      </c>
      <c r="E44" s="228">
        <v>73.271</v>
      </c>
      <c r="F44" s="228">
        <v>74.744</v>
      </c>
      <c r="G44" s="228">
        <v>73.372</v>
      </c>
      <c r="H44" s="228">
        <v>71.417</v>
      </c>
      <c r="I44" s="229">
        <v>68.358</v>
      </c>
      <c r="J44" s="228">
        <v>69.586</v>
      </c>
      <c r="K44" s="228">
        <v>70.774</v>
      </c>
      <c r="L44" s="228">
        <v>71.406</v>
      </c>
      <c r="M44" s="228">
        <v>72.54</v>
      </c>
      <c r="N44" s="228">
        <v>73.531</v>
      </c>
      <c r="O44" s="228">
        <v>74.984</v>
      </c>
      <c r="P44" s="228">
        <v>75.494</v>
      </c>
      <c r="Q44" s="228">
        <v>76.369</v>
      </c>
      <c r="R44" s="228">
        <v>77.001</v>
      </c>
      <c r="S44" s="228">
        <v>77.74</v>
      </c>
      <c r="T44" s="228">
        <v>77.844</v>
      </c>
      <c r="U44" s="228">
        <v>78.394</v>
      </c>
      <c r="V44" s="228">
        <v>79.261</v>
      </c>
      <c r="W44" s="228">
        <v>80.689</v>
      </c>
      <c r="X44" s="228">
        <v>82.459</v>
      </c>
      <c r="Y44" s="228">
        <v>83.775</v>
      </c>
      <c r="Z44" s="228">
        <v>84.889</v>
      </c>
      <c r="AA44" s="228">
        <v>86.651</v>
      </c>
      <c r="AB44" s="228">
        <v>88.255</v>
      </c>
      <c r="AC44" s="465">
        <v>89.674</v>
      </c>
      <c r="AD44" s="465">
        <v>91.046</v>
      </c>
      <c r="AE44" s="227">
        <f t="shared" si="2"/>
        <v>1.5299863951647126</v>
      </c>
      <c r="AF44" s="226" t="s">
        <v>11</v>
      </c>
    </row>
    <row r="45" spans="1:32" ht="15" customHeight="1">
      <c r="A45" s="224"/>
      <c r="B45" s="223" t="s">
        <v>105</v>
      </c>
      <c r="C45" s="222"/>
      <c r="D45" s="222"/>
      <c r="E45" s="222"/>
      <c r="F45" s="222"/>
      <c r="G45" s="222"/>
      <c r="H45" s="222"/>
      <c r="I45" s="222"/>
      <c r="J45" s="222"/>
      <c r="K45" s="222"/>
      <c r="L45" s="222"/>
      <c r="M45" s="222"/>
      <c r="N45" s="222"/>
      <c r="O45" s="222"/>
      <c r="P45" s="222"/>
      <c r="Q45" s="222"/>
      <c r="R45" s="222"/>
      <c r="S45" s="222"/>
      <c r="T45" s="221"/>
      <c r="U45" s="221"/>
      <c r="V45" s="221"/>
      <c r="W45" s="221"/>
      <c r="X45" s="221"/>
      <c r="Y45" s="221"/>
      <c r="Z45" s="221"/>
      <c r="AA45" s="221"/>
      <c r="AB45" s="221"/>
      <c r="AC45" s="221"/>
      <c r="AD45" s="221"/>
      <c r="AF45" s="221"/>
    </row>
    <row r="46" spans="2:32" ht="12.75" customHeight="1">
      <c r="B46" s="220" t="s">
        <v>5</v>
      </c>
      <c r="C46" s="219"/>
      <c r="D46" s="217"/>
      <c r="E46" s="216"/>
      <c r="F46" s="216"/>
      <c r="G46" s="216"/>
      <c r="H46" s="218"/>
      <c r="I46" s="216"/>
      <c r="J46" s="217"/>
      <c r="K46" s="218"/>
      <c r="L46" s="216"/>
      <c r="M46" s="216"/>
      <c r="N46" s="217"/>
      <c r="O46" s="217"/>
      <c r="P46" s="216"/>
      <c r="Q46" s="216"/>
      <c r="R46" s="215"/>
      <c r="S46" s="215"/>
      <c r="T46" s="214"/>
      <c r="U46" s="214"/>
      <c r="V46" s="214"/>
      <c r="W46" s="214"/>
      <c r="X46" s="214"/>
      <c r="Y46" s="214"/>
      <c r="Z46" s="214"/>
      <c r="AA46" s="214"/>
      <c r="AB46" s="214"/>
      <c r="AC46" s="214"/>
      <c r="AD46" s="214"/>
      <c r="AE46" s="214"/>
      <c r="AF46" s="214"/>
    </row>
    <row r="47" ht="12.75" customHeight="1">
      <c r="B47" s="213" t="s">
        <v>137</v>
      </c>
    </row>
    <row r="48" spans="1:2" ht="13.5" customHeight="1">
      <c r="A48" s="209"/>
      <c r="B48" s="211" t="s">
        <v>120</v>
      </c>
    </row>
    <row r="49" spans="1:2" ht="12.75" customHeight="1">
      <c r="A49" s="209"/>
      <c r="B49" s="211" t="s">
        <v>74</v>
      </c>
    </row>
    <row r="50" spans="1:2" ht="12.75" customHeight="1">
      <c r="A50" s="209"/>
      <c r="B50" s="211" t="s">
        <v>122</v>
      </c>
    </row>
    <row r="51" ht="11.25">
      <c r="B51" s="209" t="s">
        <v>123</v>
      </c>
    </row>
    <row r="52" spans="2:30" ht="11.25">
      <c r="B52" s="209" t="s">
        <v>124</v>
      </c>
      <c r="K52" s="225"/>
      <c r="L52" s="225"/>
      <c r="M52" s="225"/>
      <c r="N52" s="225"/>
      <c r="O52" s="225"/>
      <c r="P52" s="225"/>
      <c r="Q52" s="225"/>
      <c r="R52" s="225"/>
      <c r="AC52" s="225"/>
      <c r="AD52" s="225"/>
    </row>
    <row r="53" ht="11.25">
      <c r="B53" s="268" t="s">
        <v>133</v>
      </c>
    </row>
    <row r="54" ht="11.25">
      <c r="B54" s="268" t="s">
        <v>132</v>
      </c>
    </row>
    <row r="57" spans="5:30" ht="11.25">
      <c r="E57" s="183"/>
      <c r="F57" s="183"/>
      <c r="G57" s="183"/>
      <c r="H57" s="183"/>
      <c r="I57" s="183"/>
      <c r="J57" s="183"/>
      <c r="K57" s="183"/>
      <c r="L57" s="183"/>
      <c r="M57" s="183"/>
      <c r="N57" s="183"/>
      <c r="O57" s="183"/>
      <c r="P57" s="183"/>
      <c r="Q57" s="183"/>
      <c r="R57" s="183"/>
      <c r="AC57" s="183"/>
      <c r="AD57" s="183"/>
    </row>
    <row r="58" spans="5:30" ht="11.25">
      <c r="E58" s="183"/>
      <c r="F58" s="183"/>
      <c r="G58" s="183"/>
      <c r="H58" s="183"/>
      <c r="I58" s="183"/>
      <c r="J58" s="183"/>
      <c r="K58" s="183"/>
      <c r="L58" s="183"/>
      <c r="M58" s="183"/>
      <c r="N58" s="183"/>
      <c r="O58" s="183"/>
      <c r="P58" s="183"/>
      <c r="Q58" s="183"/>
      <c r="R58" s="183"/>
      <c r="AC58" s="183"/>
      <c r="AD58" s="183"/>
    </row>
    <row r="59" spans="5:30" ht="11.25">
      <c r="E59" s="500"/>
      <c r="F59" s="500"/>
      <c r="G59" s="500"/>
      <c r="H59" s="500"/>
      <c r="I59" s="500"/>
      <c r="J59" s="500"/>
      <c r="K59" s="500"/>
      <c r="L59" s="500"/>
      <c r="M59" s="500"/>
      <c r="N59" s="500"/>
      <c r="O59" s="500"/>
      <c r="P59" s="500"/>
      <c r="Q59" s="500"/>
      <c r="R59" s="500"/>
      <c r="AC59" s="500"/>
      <c r="AD59" s="500"/>
    </row>
    <row r="60" spans="5:30" ht="11.25">
      <c r="E60" s="225"/>
      <c r="F60" s="225"/>
      <c r="G60" s="225"/>
      <c r="H60" s="225"/>
      <c r="I60" s="225"/>
      <c r="J60" s="225"/>
      <c r="K60" s="225"/>
      <c r="L60" s="225"/>
      <c r="M60" s="225"/>
      <c r="N60" s="225"/>
      <c r="O60" s="225"/>
      <c r="P60" s="225"/>
      <c r="Q60" s="225"/>
      <c r="R60" s="225"/>
      <c r="AC60" s="225"/>
      <c r="AD60" s="225"/>
    </row>
  </sheetData>
  <sheetProtection/>
  <mergeCells count="1">
    <mergeCell ref="B2:AF2"/>
  </mergeCells>
  <printOptions horizontalCentered="1"/>
  <pageMargins left="0.4724409448818898"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3"/>
  <dimension ref="A1:AF72"/>
  <sheetViews>
    <sheetView zoomScalePageLayoutView="0" workbookViewId="0" topLeftCell="A1">
      <selection activeCell="AH26" sqref="AH26"/>
    </sheetView>
  </sheetViews>
  <sheetFormatPr defaultColWidth="9.140625" defaultRowHeight="12.75"/>
  <cols>
    <col min="1" max="1" width="2.7109375" style="209" customWidth="1"/>
    <col min="2" max="2" width="4.28125" style="209" customWidth="1"/>
    <col min="3" max="14" width="6.7109375" style="209" customWidth="1"/>
    <col min="15" max="15" width="10.140625" style="209" customWidth="1"/>
    <col min="16" max="16" width="10.421875" style="209" bestFit="1" customWidth="1"/>
    <col min="17" max="17" width="8.7109375" style="209" bestFit="1" customWidth="1"/>
    <col min="18" max="20" width="10.421875" style="209" bestFit="1" customWidth="1"/>
    <col min="21" max="21" width="7.28125" style="209" customWidth="1"/>
    <col min="22" max="22" width="7.8515625" style="209" customWidth="1"/>
    <col min="23" max="30" width="7.28125" style="209" customWidth="1"/>
    <col min="31" max="31" width="6.28125" style="209" customWidth="1"/>
    <col min="32" max="32" width="5.140625" style="209" customWidth="1"/>
    <col min="33" max="16384" width="9.140625" style="209" customWidth="1"/>
  </cols>
  <sheetData>
    <row r="1" spans="2:32" ht="14.25" customHeight="1">
      <c r="B1" s="327"/>
      <c r="C1" s="326"/>
      <c r="D1" s="326"/>
      <c r="E1" s="326"/>
      <c r="F1" s="326"/>
      <c r="G1" s="326"/>
      <c r="H1" s="326"/>
      <c r="I1" s="326"/>
      <c r="J1" s="326"/>
      <c r="K1" s="326"/>
      <c r="L1" s="326"/>
      <c r="M1" s="326"/>
      <c r="N1" s="326"/>
      <c r="O1" s="326"/>
      <c r="P1" s="326"/>
      <c r="Q1" s="324"/>
      <c r="T1" s="324"/>
      <c r="U1" s="324"/>
      <c r="V1" s="324"/>
      <c r="W1" s="324"/>
      <c r="X1" s="324"/>
      <c r="Y1" s="324"/>
      <c r="Z1" s="324"/>
      <c r="AA1" s="324"/>
      <c r="AB1" s="324"/>
      <c r="AC1" s="324"/>
      <c r="AD1" s="324"/>
      <c r="AF1" s="324" t="s">
        <v>92</v>
      </c>
    </row>
    <row r="2" spans="2:32" s="213" customFormat="1" ht="30" customHeight="1">
      <c r="B2" s="583" t="s">
        <v>46</v>
      </c>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3"/>
      <c r="AC2" s="583"/>
      <c r="AD2" s="583"/>
      <c r="AE2" s="583"/>
      <c r="AF2" s="583"/>
    </row>
    <row r="3" spans="3:32" ht="10.5" customHeight="1">
      <c r="C3" s="322"/>
      <c r="D3" s="322"/>
      <c r="E3" s="322"/>
      <c r="F3" s="322"/>
      <c r="G3" s="322"/>
      <c r="H3" s="322"/>
      <c r="I3" s="322"/>
      <c r="J3" s="322"/>
      <c r="K3" s="322"/>
      <c r="L3" s="322"/>
      <c r="M3" s="322"/>
      <c r="N3" s="322"/>
      <c r="O3" s="322"/>
      <c r="P3" s="322"/>
      <c r="Q3" s="322"/>
      <c r="R3" s="322"/>
      <c r="X3" s="322" t="s">
        <v>109</v>
      </c>
      <c r="Y3" s="322"/>
      <c r="Z3" s="322"/>
      <c r="AA3" s="322"/>
      <c r="AB3" s="322"/>
      <c r="AC3" s="322"/>
      <c r="AD3" s="322"/>
      <c r="AE3" s="321"/>
      <c r="AF3" s="322"/>
    </row>
    <row r="4" spans="2:32" ht="19.5" customHeight="1">
      <c r="B4" s="320"/>
      <c r="C4" s="319">
        <v>1970</v>
      </c>
      <c r="D4" s="319">
        <v>1980</v>
      </c>
      <c r="E4" s="318">
        <v>1990</v>
      </c>
      <c r="F4" s="318">
        <v>1991</v>
      </c>
      <c r="G4" s="318">
        <v>1992</v>
      </c>
      <c r="H4" s="318">
        <v>1993</v>
      </c>
      <c r="I4" s="318">
        <v>1994</v>
      </c>
      <c r="J4" s="318">
        <v>1995</v>
      </c>
      <c r="K4" s="318">
        <v>1996</v>
      </c>
      <c r="L4" s="318">
        <v>1997</v>
      </c>
      <c r="M4" s="318">
        <v>1998</v>
      </c>
      <c r="N4" s="318">
        <v>1999</v>
      </c>
      <c r="O4" s="318">
        <v>2000</v>
      </c>
      <c r="P4" s="318">
        <v>2001</v>
      </c>
      <c r="Q4" s="318">
        <v>2002</v>
      </c>
      <c r="R4" s="318">
        <v>2003</v>
      </c>
      <c r="S4" s="318">
        <v>2004</v>
      </c>
      <c r="T4" s="318">
        <v>2005</v>
      </c>
      <c r="U4" s="318">
        <v>2006</v>
      </c>
      <c r="V4" s="318">
        <v>2007</v>
      </c>
      <c r="W4" s="318">
        <v>2008</v>
      </c>
      <c r="X4" s="318">
        <v>2009</v>
      </c>
      <c r="Y4" s="318">
        <v>2010</v>
      </c>
      <c r="Z4" s="318">
        <v>2011</v>
      </c>
      <c r="AA4" s="318">
        <v>2012</v>
      </c>
      <c r="AB4" s="318">
        <v>2013</v>
      </c>
      <c r="AC4" s="460">
        <v>2014</v>
      </c>
      <c r="AD4" s="460">
        <v>2015</v>
      </c>
      <c r="AE4" s="317" t="s">
        <v>135</v>
      </c>
      <c r="AF4" s="361"/>
    </row>
    <row r="5" spans="2:32" ht="9.75" customHeight="1">
      <c r="B5" s="320"/>
      <c r="C5" s="363"/>
      <c r="D5" s="363"/>
      <c r="E5" s="313"/>
      <c r="F5" s="313"/>
      <c r="G5" s="313"/>
      <c r="H5" s="313"/>
      <c r="I5" s="313"/>
      <c r="J5" s="313"/>
      <c r="K5" s="313"/>
      <c r="L5" s="313"/>
      <c r="M5" s="313"/>
      <c r="N5" s="313"/>
      <c r="O5" s="313"/>
      <c r="P5" s="313"/>
      <c r="Q5" s="313"/>
      <c r="R5" s="313"/>
      <c r="S5" s="313"/>
      <c r="T5" s="313"/>
      <c r="U5" s="313"/>
      <c r="V5" s="313"/>
      <c r="W5" s="313"/>
      <c r="X5" s="313"/>
      <c r="Y5" s="313"/>
      <c r="Z5" s="313"/>
      <c r="AA5" s="313"/>
      <c r="AB5" s="313"/>
      <c r="AC5" s="313"/>
      <c r="AD5" s="313"/>
      <c r="AE5" s="362" t="s">
        <v>42</v>
      </c>
      <c r="AF5" s="361"/>
    </row>
    <row r="6" spans="2:32" ht="12.75" customHeight="1">
      <c r="B6" s="305" t="s">
        <v>117</v>
      </c>
      <c r="C6" s="360" t="s">
        <v>41</v>
      </c>
      <c r="D6" s="360" t="s">
        <v>41</v>
      </c>
      <c r="E6" s="359" t="s">
        <v>41</v>
      </c>
      <c r="F6" s="359" t="s">
        <v>41</v>
      </c>
      <c r="G6" s="359" t="s">
        <v>41</v>
      </c>
      <c r="H6" s="359" t="s">
        <v>41</v>
      </c>
      <c r="I6" s="359" t="s">
        <v>41</v>
      </c>
      <c r="J6" s="358">
        <f aca="true" t="shared" si="0" ref="J6:AC6">SUM(J9:J36)</f>
        <v>514.7284657948057</v>
      </c>
      <c r="K6" s="358">
        <f t="shared" si="0"/>
        <v>519.3074723402809</v>
      </c>
      <c r="L6" s="358">
        <f t="shared" si="0"/>
        <v>522.4775718300093</v>
      </c>
      <c r="M6" s="358">
        <f t="shared" si="0"/>
        <v>525.5552769022315</v>
      </c>
      <c r="N6" s="358">
        <f t="shared" si="0"/>
        <v>527.7253265321467</v>
      </c>
      <c r="O6" s="358">
        <f t="shared" si="0"/>
        <v>551.2284300559636</v>
      </c>
      <c r="P6" s="358">
        <f t="shared" si="0"/>
        <v>550.4064586271504</v>
      </c>
      <c r="Q6" s="358">
        <f t="shared" si="0"/>
        <v>541.8320172296691</v>
      </c>
      <c r="R6" s="358">
        <f t="shared" si="0"/>
        <v>548.5824828345259</v>
      </c>
      <c r="S6" s="358">
        <f t="shared" si="0"/>
        <v>549.6854444180372</v>
      </c>
      <c r="T6" s="358">
        <f t="shared" si="0"/>
        <v>548.5637472468998</v>
      </c>
      <c r="U6" s="358">
        <f t="shared" si="0"/>
        <v>546.3121909646682</v>
      </c>
      <c r="V6" s="358">
        <f t="shared" si="0"/>
        <v>558.7420955772774</v>
      </c>
      <c r="W6" s="358">
        <f t="shared" si="0"/>
        <v>569.1919313762203</v>
      </c>
      <c r="X6" s="358">
        <f t="shared" si="0"/>
        <v>547.0311654889523</v>
      </c>
      <c r="Y6" s="358">
        <f t="shared" si="0"/>
        <v>542.3330893764933</v>
      </c>
      <c r="Z6" s="358">
        <f t="shared" si="0"/>
        <v>544.2979426212156</v>
      </c>
      <c r="AA6" s="358">
        <f t="shared" si="0"/>
        <v>539.9232643906546</v>
      </c>
      <c r="AB6" s="358">
        <f t="shared" si="0"/>
        <v>537.0604617787336</v>
      </c>
      <c r="AC6" s="466">
        <f t="shared" si="0"/>
        <v>532.3527116705428</v>
      </c>
      <c r="AD6" s="501">
        <f>SUM(AD9:AD36)</f>
        <v>543.4884075007564</v>
      </c>
      <c r="AE6" s="306">
        <f aca="true" t="shared" si="1" ref="AE6:AE44">AD6/AC6*100-100</f>
        <v>2.0917890688054115</v>
      </c>
      <c r="AF6" s="305" t="s">
        <v>117</v>
      </c>
    </row>
    <row r="7" spans="1:32" ht="12.75" customHeight="1">
      <c r="A7" s="224"/>
      <c r="B7" s="273" t="s">
        <v>118</v>
      </c>
      <c r="C7" s="300">
        <f aca="true" t="shared" si="2" ref="C7:AC7">SUM(C9,C12:C13,C15,C16:C18,C24,C27:C28,C30,C34:C36,C20)</f>
        <v>272.649</v>
      </c>
      <c r="D7" s="300">
        <f t="shared" si="2"/>
        <v>351.629</v>
      </c>
      <c r="E7" s="357">
        <f t="shared" si="2"/>
        <v>379.30367255537925</v>
      </c>
      <c r="F7" s="357">
        <f t="shared" si="2"/>
        <v>379.59051875934784</v>
      </c>
      <c r="G7" s="357">
        <f t="shared" si="2"/>
        <v>379.91211337588805</v>
      </c>
      <c r="H7" s="357">
        <f t="shared" si="2"/>
        <v>381.3524385044322</v>
      </c>
      <c r="I7" s="357">
        <f t="shared" si="2"/>
        <v>381.16198104403657</v>
      </c>
      <c r="J7" s="357">
        <f t="shared" si="2"/>
        <v>389.5220507948057</v>
      </c>
      <c r="K7" s="357">
        <f t="shared" si="2"/>
        <v>396.9328543402807</v>
      </c>
      <c r="L7" s="357">
        <f t="shared" si="2"/>
        <v>400.7667048300093</v>
      </c>
      <c r="M7" s="357">
        <f t="shared" si="2"/>
        <v>408.30732990223146</v>
      </c>
      <c r="N7" s="357">
        <f t="shared" si="2"/>
        <v>410.5345435321467</v>
      </c>
      <c r="O7" s="357">
        <f t="shared" si="2"/>
        <v>409.37451955596373</v>
      </c>
      <c r="P7" s="357">
        <f t="shared" si="2"/>
        <v>411.4887644071504</v>
      </c>
      <c r="Q7" s="357">
        <f t="shared" si="2"/>
        <v>404.9020358596691</v>
      </c>
      <c r="R7" s="357">
        <f t="shared" si="2"/>
        <v>412.4548384345259</v>
      </c>
      <c r="S7" s="357">
        <f t="shared" si="2"/>
        <v>416.8064281880372</v>
      </c>
      <c r="T7" s="357">
        <f t="shared" si="2"/>
        <v>414.3605957868998</v>
      </c>
      <c r="U7" s="357">
        <f t="shared" si="2"/>
        <v>412.4994609646682</v>
      </c>
      <c r="V7" s="357">
        <f t="shared" si="2"/>
        <v>425.60805357727736</v>
      </c>
      <c r="W7" s="357">
        <f t="shared" si="2"/>
        <v>428.7786267762202</v>
      </c>
      <c r="X7" s="357">
        <f t="shared" si="2"/>
        <v>422.4120359945417</v>
      </c>
      <c r="Y7" s="357">
        <f t="shared" si="2"/>
        <v>420.23369187649314</v>
      </c>
      <c r="Z7" s="357">
        <f t="shared" si="2"/>
        <v>424.6397859505485</v>
      </c>
      <c r="AA7" s="357">
        <f t="shared" si="2"/>
        <v>419.6332880641024</v>
      </c>
      <c r="AB7" s="357">
        <f t="shared" si="2"/>
        <v>417.5084512779006</v>
      </c>
      <c r="AC7" s="357">
        <f t="shared" si="2"/>
        <v>407.0416030273888</v>
      </c>
      <c r="AD7" s="502">
        <f>SUM(AD9,AD12:AD13,AD15,AD16:AD18,AD24,AD27:AD28,AD30,AD34:AD36,AD20)</f>
        <v>419.3600375660094</v>
      </c>
      <c r="AE7" s="300">
        <f t="shared" si="1"/>
        <v>3.0263330448292436</v>
      </c>
      <c r="AF7" s="273" t="s">
        <v>118</v>
      </c>
    </row>
    <row r="8" spans="1:32" ht="12.75" customHeight="1">
      <c r="A8" s="224"/>
      <c r="B8" s="294" t="s">
        <v>119</v>
      </c>
      <c r="C8" s="356"/>
      <c r="D8" s="356"/>
      <c r="E8" s="354"/>
      <c r="F8" s="355"/>
      <c r="G8" s="355"/>
      <c r="H8" s="355"/>
      <c r="I8" s="355"/>
      <c r="J8" s="354">
        <f aca="true" t="shared" si="3" ref="J8:AC8">J6-J7</f>
        <v>125.20641500000005</v>
      </c>
      <c r="K8" s="354">
        <f t="shared" si="3"/>
        <v>122.37461800000023</v>
      </c>
      <c r="L8" s="354">
        <f t="shared" si="3"/>
        <v>121.71086700000001</v>
      </c>
      <c r="M8" s="354">
        <f t="shared" si="3"/>
        <v>117.24794700000007</v>
      </c>
      <c r="N8" s="354">
        <f t="shared" si="3"/>
        <v>117.19078300000001</v>
      </c>
      <c r="O8" s="354">
        <f t="shared" si="3"/>
        <v>141.85391049999987</v>
      </c>
      <c r="P8" s="354">
        <f t="shared" si="3"/>
        <v>138.91769422</v>
      </c>
      <c r="Q8" s="354">
        <f t="shared" si="3"/>
        <v>136.92998136999995</v>
      </c>
      <c r="R8" s="354">
        <f t="shared" si="3"/>
        <v>136.12764439999995</v>
      </c>
      <c r="S8" s="354">
        <f t="shared" si="3"/>
        <v>132.87901622999993</v>
      </c>
      <c r="T8" s="354">
        <f t="shared" si="3"/>
        <v>134.20315145999996</v>
      </c>
      <c r="U8" s="354">
        <f t="shared" si="3"/>
        <v>133.81273</v>
      </c>
      <c r="V8" s="354">
        <f t="shared" si="3"/>
        <v>133.13404200000002</v>
      </c>
      <c r="W8" s="354">
        <f t="shared" si="3"/>
        <v>140.41330460000006</v>
      </c>
      <c r="X8" s="354">
        <f t="shared" si="3"/>
        <v>124.61912949441057</v>
      </c>
      <c r="Y8" s="354">
        <f t="shared" si="3"/>
        <v>122.09939750000012</v>
      </c>
      <c r="Z8" s="354">
        <f t="shared" si="3"/>
        <v>119.6581566706671</v>
      </c>
      <c r="AA8" s="354">
        <f t="shared" si="3"/>
        <v>120.28997632655222</v>
      </c>
      <c r="AB8" s="354">
        <f t="shared" si="3"/>
        <v>119.55201050083303</v>
      </c>
      <c r="AC8" s="467">
        <f t="shared" si="3"/>
        <v>125.311108643154</v>
      </c>
      <c r="AD8" s="504">
        <f>AD6-AD7</f>
        <v>124.12836993474696</v>
      </c>
      <c r="AE8" s="295">
        <f t="shared" si="1"/>
        <v>-0.9438418678228402</v>
      </c>
      <c r="AF8" s="294" t="s">
        <v>119</v>
      </c>
    </row>
    <row r="9" spans="1:32" s="245" customFormat="1" ht="12.75" customHeight="1">
      <c r="A9" s="250"/>
      <c r="B9" s="231" t="s">
        <v>29</v>
      </c>
      <c r="C9" s="281">
        <v>12.153</v>
      </c>
      <c r="D9" s="281">
        <v>14.422</v>
      </c>
      <c r="E9" s="291">
        <v>11.371379813302717</v>
      </c>
      <c r="F9" s="291">
        <v>11.928856672785459</v>
      </c>
      <c r="G9" s="291">
        <v>12.208590988011615</v>
      </c>
      <c r="H9" s="291">
        <v>12.449307712355173</v>
      </c>
      <c r="I9" s="291">
        <v>12.920557778575041</v>
      </c>
      <c r="J9" s="291">
        <v>13.1163927490109</v>
      </c>
      <c r="K9" s="291">
        <v>13.048036161999931</v>
      </c>
      <c r="L9" s="278">
        <v>13.062294037072977</v>
      </c>
      <c r="M9" s="278">
        <v>13.264206083397962</v>
      </c>
      <c r="N9" s="279">
        <v>13.441653719101833</v>
      </c>
      <c r="O9" s="278">
        <v>13.298261168538518</v>
      </c>
      <c r="P9" s="278">
        <v>13.785338279369089</v>
      </c>
      <c r="Q9" s="278">
        <v>14.959423828844177</v>
      </c>
      <c r="R9" s="278">
        <v>16.483572017775955</v>
      </c>
      <c r="S9" s="278">
        <v>17.1429920041393</v>
      </c>
      <c r="T9" s="278">
        <v>17.51504805548251</v>
      </c>
      <c r="U9" s="278">
        <v>18.078005341336816</v>
      </c>
      <c r="V9" s="278">
        <v>18.729636998103302</v>
      </c>
      <c r="W9" s="278">
        <v>17.61</v>
      </c>
      <c r="X9" s="278">
        <v>17.63</v>
      </c>
      <c r="Y9" s="278">
        <v>17.38</v>
      </c>
      <c r="Z9" s="278">
        <v>17.67</v>
      </c>
      <c r="AA9" s="278">
        <v>17.91</v>
      </c>
      <c r="AB9" s="493">
        <v>16.1743950094485</v>
      </c>
      <c r="AC9" s="278">
        <v>15.789431240535</v>
      </c>
      <c r="AD9" s="503">
        <v>15.1660673711109</v>
      </c>
      <c r="AE9" s="277">
        <f t="shared" si="1"/>
        <v>-3.9479817855869612</v>
      </c>
      <c r="AF9" s="231" t="s">
        <v>29</v>
      </c>
    </row>
    <row r="10" spans="1:32" ht="12.75" customHeight="1">
      <c r="A10" s="224"/>
      <c r="B10" s="273" t="s">
        <v>12</v>
      </c>
      <c r="C10" s="276">
        <v>12.235</v>
      </c>
      <c r="D10" s="276">
        <v>21.614</v>
      </c>
      <c r="E10" s="275">
        <v>25.955</v>
      </c>
      <c r="F10" s="275">
        <v>19.026</v>
      </c>
      <c r="G10" s="275">
        <v>16.957</v>
      </c>
      <c r="H10" s="275">
        <v>14.062</v>
      </c>
      <c r="I10" s="275">
        <v>12.817</v>
      </c>
      <c r="J10" s="289">
        <v>11.566</v>
      </c>
      <c r="K10" s="289">
        <v>10.577</v>
      </c>
      <c r="L10" s="289">
        <v>11.863</v>
      </c>
      <c r="M10" s="289">
        <v>12.764</v>
      </c>
      <c r="N10" s="289">
        <v>14.741</v>
      </c>
      <c r="O10" s="289">
        <v>14.587</v>
      </c>
      <c r="P10" s="289">
        <v>14.963</v>
      </c>
      <c r="Q10" s="289">
        <v>16.985</v>
      </c>
      <c r="R10" s="289">
        <v>14.4</v>
      </c>
      <c r="S10" s="289">
        <v>13.029</v>
      </c>
      <c r="T10" s="275">
        <v>13.688</v>
      </c>
      <c r="U10" s="275">
        <v>12.942</v>
      </c>
      <c r="V10" s="275">
        <v>13.571</v>
      </c>
      <c r="W10" s="275">
        <v>13.839</v>
      </c>
      <c r="X10" s="275">
        <v>10.451</v>
      </c>
      <c r="Y10" s="275">
        <v>10.613</v>
      </c>
      <c r="Z10" s="275">
        <v>10.843</v>
      </c>
      <c r="AA10" s="275">
        <v>10.482</v>
      </c>
      <c r="AB10" s="275">
        <v>10.317</v>
      </c>
      <c r="AC10" s="275">
        <v>11.477</v>
      </c>
      <c r="AD10" s="506">
        <v>12.508</v>
      </c>
      <c r="AE10" s="274">
        <f t="shared" si="1"/>
        <v>8.983183758821994</v>
      </c>
      <c r="AF10" s="273" t="s">
        <v>12</v>
      </c>
    </row>
    <row r="11" spans="1:32" s="245" customFormat="1" ht="12.75" customHeight="1">
      <c r="A11" s="250"/>
      <c r="B11" s="231" t="s">
        <v>14</v>
      </c>
      <c r="C11" s="353"/>
      <c r="D11" s="353"/>
      <c r="E11" s="352"/>
      <c r="F11" s="291" t="s">
        <v>41</v>
      </c>
      <c r="G11" s="291" t="s">
        <v>41</v>
      </c>
      <c r="H11" s="291">
        <v>13.617</v>
      </c>
      <c r="I11" s="351">
        <v>11.523</v>
      </c>
      <c r="J11" s="291">
        <f>11.7632+1.1693+5.668</f>
        <v>18.6005</v>
      </c>
      <c r="K11" s="291">
        <f>9.7292+1.2833+5.59</f>
        <v>16.6025</v>
      </c>
      <c r="L11" s="291">
        <f>8.804+1.2948+5.512</f>
        <v>15.610800000000001</v>
      </c>
      <c r="M11" s="291">
        <f>8.6809+1.234+5.4582</f>
        <v>15.373099999999999</v>
      </c>
      <c r="N11" s="351">
        <f>8.649+1.2615+5.5333</f>
        <v>15.4438</v>
      </c>
      <c r="O11" s="291">
        <f>9.3513+1.221+5.599</f>
        <v>16.171300000000002</v>
      </c>
      <c r="P11" s="291">
        <f>10.6081+1.2103+5.7009</f>
        <v>17.5193</v>
      </c>
      <c r="Q11" s="291">
        <f>9.6675+1.1339+5.7291</f>
        <v>16.5305</v>
      </c>
      <c r="R11" s="291">
        <f>9.4486+1.1103+5.8659</f>
        <v>16.4248</v>
      </c>
      <c r="S11" s="291">
        <f>8.5162+1.1043+5.5975</f>
        <v>15.218</v>
      </c>
      <c r="T11" s="291">
        <f>8.6073+7.0006</f>
        <v>15.6079</v>
      </c>
      <c r="U11" s="291">
        <f>9.5012+6.5139</f>
        <v>16.0151</v>
      </c>
      <c r="V11" s="291">
        <f>9.5188+6.6021</f>
        <v>16.1209</v>
      </c>
      <c r="W11" s="291">
        <f>9.3691+6.7378</f>
        <v>16.1069</v>
      </c>
      <c r="X11" s="291">
        <v>16.062</v>
      </c>
      <c r="Y11" s="291">
        <f>10.3357+1.0618+5.5581</f>
        <v>16.955599999999997</v>
      </c>
      <c r="Z11" s="291">
        <f>1.0184+5.5477+9.2667</f>
        <v>15.832799999999999</v>
      </c>
      <c r="AA11" s="291">
        <f>9.0154+0.8681+5.4433</f>
        <v>15.326799999999999</v>
      </c>
      <c r="AB11" s="291">
        <f>0.9886+5.7067+9.0256</f>
        <v>15.7209</v>
      </c>
      <c r="AC11" s="291">
        <f>10.0102+0.9721+5.7406</f>
        <v>16.7229</v>
      </c>
      <c r="AD11" s="507">
        <f>9.9959+0.856+5.411</f>
        <v>16.262900000000002</v>
      </c>
      <c r="AE11" s="290">
        <f t="shared" si="1"/>
        <v>-2.7507190738448344</v>
      </c>
      <c r="AF11" s="231" t="s">
        <v>14</v>
      </c>
    </row>
    <row r="12" spans="1:32" ht="12.75" customHeight="1">
      <c r="A12" s="224"/>
      <c r="B12" s="273" t="s">
        <v>25</v>
      </c>
      <c r="C12" s="276">
        <v>3.898</v>
      </c>
      <c r="D12" s="276">
        <v>4.611</v>
      </c>
      <c r="E12" s="275">
        <v>6.443</v>
      </c>
      <c r="F12" s="275">
        <v>6.394</v>
      </c>
      <c r="G12" s="275">
        <v>6.421</v>
      </c>
      <c r="H12" s="275">
        <v>6.601</v>
      </c>
      <c r="I12" s="275">
        <v>6.745</v>
      </c>
      <c r="J12" s="275">
        <v>7.284</v>
      </c>
      <c r="K12" s="275">
        <v>7.717</v>
      </c>
      <c r="L12" s="275">
        <v>7.596</v>
      </c>
      <c r="M12" s="275">
        <v>7.543</v>
      </c>
      <c r="N12" s="275">
        <v>7.397</v>
      </c>
      <c r="O12" s="275">
        <v>7.418</v>
      </c>
      <c r="P12" s="275">
        <v>7.332</v>
      </c>
      <c r="Q12" s="275">
        <v>7.295</v>
      </c>
      <c r="R12" s="275">
        <v>7.272</v>
      </c>
      <c r="S12" s="275">
        <v>7.3</v>
      </c>
      <c r="T12" s="275">
        <v>7.169</v>
      </c>
      <c r="U12" s="275">
        <v>7.054</v>
      </c>
      <c r="V12" s="275">
        <v>6.861</v>
      </c>
      <c r="W12" s="275">
        <v>6.766</v>
      </c>
      <c r="X12" s="275">
        <v>6.776</v>
      </c>
      <c r="Y12" s="275">
        <v>6.849</v>
      </c>
      <c r="Z12" s="275">
        <v>6.697</v>
      </c>
      <c r="AA12" s="275">
        <v>6.491</v>
      </c>
      <c r="AB12" s="275">
        <v>6.498</v>
      </c>
      <c r="AC12" s="275">
        <v>6.615</v>
      </c>
      <c r="AD12" s="506">
        <v>6.914</v>
      </c>
      <c r="AE12" s="515">
        <f t="shared" si="1"/>
        <v>4.520030234315925</v>
      </c>
      <c r="AF12" s="273" t="s">
        <v>25</v>
      </c>
    </row>
    <row r="13" spans="1:32" s="245" customFormat="1" ht="12.75" customHeight="1">
      <c r="A13" s="250"/>
      <c r="B13" s="231" t="s">
        <v>30</v>
      </c>
      <c r="C13" s="350">
        <v>67.7</v>
      </c>
      <c r="D13" s="349">
        <v>90</v>
      </c>
      <c r="E13" s="291">
        <v>73.1</v>
      </c>
      <c r="F13" s="291">
        <v>70.3</v>
      </c>
      <c r="G13" s="291">
        <v>69.9</v>
      </c>
      <c r="H13" s="291">
        <v>70.2</v>
      </c>
      <c r="I13" s="291">
        <v>68.6</v>
      </c>
      <c r="J13" s="291">
        <v>68.5</v>
      </c>
      <c r="K13" s="291">
        <v>68.3</v>
      </c>
      <c r="L13" s="291">
        <v>68</v>
      </c>
      <c r="M13" s="291">
        <v>68.2</v>
      </c>
      <c r="N13" s="291">
        <v>68</v>
      </c>
      <c r="O13" s="291">
        <v>69</v>
      </c>
      <c r="P13" s="291">
        <v>68.7</v>
      </c>
      <c r="Q13" s="291">
        <v>67.5</v>
      </c>
      <c r="R13" s="291">
        <v>67.5</v>
      </c>
      <c r="S13" s="291">
        <f>40.359+27.447</f>
        <v>67.806</v>
      </c>
      <c r="T13" s="291">
        <f>40.365+26.697</f>
        <v>67.062</v>
      </c>
      <c r="U13" s="291">
        <f>38.542+1.495+26.147</f>
        <v>66.184</v>
      </c>
      <c r="V13" s="291">
        <f>40.141+25.246</f>
        <v>65.387</v>
      </c>
      <c r="W13" s="291">
        <f>39.479+24.113</f>
        <v>63.592</v>
      </c>
      <c r="X13" s="291">
        <v>62.097</v>
      </c>
      <c r="Y13" s="291">
        <v>61.767</v>
      </c>
      <c r="Z13" s="291">
        <v>61.4</v>
      </c>
      <c r="AA13" s="291">
        <v>59.4</v>
      </c>
      <c r="AB13" s="291">
        <v>60.5</v>
      </c>
      <c r="AC13" s="291">
        <v>62.2</v>
      </c>
      <c r="AD13" s="507">
        <v>65.1</v>
      </c>
      <c r="AE13" s="232">
        <f t="shared" si="1"/>
        <v>4.662379421221857</v>
      </c>
      <c r="AF13" s="231" t="s">
        <v>30</v>
      </c>
    </row>
    <row r="14" spans="1:32" ht="12.75" customHeight="1">
      <c r="A14" s="224"/>
      <c r="B14" s="273" t="s">
        <v>15</v>
      </c>
      <c r="C14" s="276">
        <v>2.61</v>
      </c>
      <c r="D14" s="276">
        <v>3.66</v>
      </c>
      <c r="E14" s="275">
        <v>4.45</v>
      </c>
      <c r="F14" s="275">
        <v>3.83</v>
      </c>
      <c r="G14" s="275">
        <v>2.97</v>
      </c>
      <c r="H14" s="275">
        <v>2.54</v>
      </c>
      <c r="I14" s="275">
        <v>2.35</v>
      </c>
      <c r="J14" s="275">
        <v>2.048</v>
      </c>
      <c r="K14" s="275">
        <v>2.091</v>
      </c>
      <c r="L14" s="275">
        <v>2.238</v>
      </c>
      <c r="M14" s="275">
        <v>2.265</v>
      </c>
      <c r="N14" s="275">
        <v>2.223</v>
      </c>
      <c r="O14" s="275">
        <v>2.63</v>
      </c>
      <c r="P14" s="275">
        <v>2.461</v>
      </c>
      <c r="Q14" s="275">
        <v>2.33</v>
      </c>
      <c r="R14" s="275">
        <v>2.297</v>
      </c>
      <c r="S14" s="275">
        <v>2.469</v>
      </c>
      <c r="T14" s="275">
        <v>2.716</v>
      </c>
      <c r="U14" s="275">
        <v>2.881</v>
      </c>
      <c r="V14" s="275">
        <v>2.677</v>
      </c>
      <c r="W14" s="275">
        <v>2.453</v>
      </c>
      <c r="X14" s="275">
        <v>2.114</v>
      </c>
      <c r="Y14" s="275">
        <f>2.061</f>
        <v>2.061</v>
      </c>
      <c r="Z14" s="275">
        <v>2.0706943</v>
      </c>
      <c r="AA14" s="275">
        <v>2.2335885</v>
      </c>
      <c r="AB14" s="275">
        <f>2.4146148</f>
        <v>2.4146148</v>
      </c>
      <c r="AC14" s="275">
        <v>2.3926965</v>
      </c>
      <c r="AD14" s="506">
        <v>3.1464145</v>
      </c>
      <c r="AE14" s="274">
        <f t="shared" si="1"/>
        <v>31.50077747010539</v>
      </c>
      <c r="AF14" s="273" t="s">
        <v>15</v>
      </c>
    </row>
    <row r="15" spans="1:32" ht="12.75" customHeight="1">
      <c r="A15" s="224"/>
      <c r="B15" s="231" t="s">
        <v>33</v>
      </c>
      <c r="C15" s="281">
        <v>3.3</v>
      </c>
      <c r="D15" s="281">
        <v>4.5</v>
      </c>
      <c r="E15" s="278">
        <v>3.86</v>
      </c>
      <c r="F15" s="278">
        <v>4.1</v>
      </c>
      <c r="G15" s="278">
        <v>4.3</v>
      </c>
      <c r="H15" s="278">
        <v>4.49</v>
      </c>
      <c r="I15" s="278">
        <v>5</v>
      </c>
      <c r="J15" s="278">
        <v>5.15</v>
      </c>
      <c r="K15" s="278">
        <v>5.3</v>
      </c>
      <c r="L15" s="279">
        <v>5.5</v>
      </c>
      <c r="M15" s="279">
        <v>5.7</v>
      </c>
      <c r="N15" s="279">
        <v>5.9</v>
      </c>
      <c r="O15" s="348">
        <v>6.9632</v>
      </c>
      <c r="P15" s="279">
        <v>7.2896</v>
      </c>
      <c r="Q15" s="279">
        <v>7.2624</v>
      </c>
      <c r="R15" s="279">
        <v>7.5344</v>
      </c>
      <c r="S15" s="279">
        <v>7.8608</v>
      </c>
      <c r="T15" s="279">
        <v>7.9152</v>
      </c>
      <c r="U15" s="279">
        <v>8.024</v>
      </c>
      <c r="V15" s="279">
        <v>8.296</v>
      </c>
      <c r="W15" s="279">
        <v>8.568</v>
      </c>
      <c r="X15" s="279">
        <v>8.9488</v>
      </c>
      <c r="Y15" s="279">
        <v>8.4592</v>
      </c>
      <c r="Z15" s="279">
        <v>8.3776</v>
      </c>
      <c r="AA15" s="279">
        <v>8.1056</v>
      </c>
      <c r="AB15" s="279">
        <v>8.1328</v>
      </c>
      <c r="AC15" s="279">
        <v>10.2</v>
      </c>
      <c r="AD15" s="505">
        <f>0.396*27.2</f>
        <v>10.7712</v>
      </c>
      <c r="AE15" s="251">
        <f t="shared" si="1"/>
        <v>5.6000000000000085</v>
      </c>
      <c r="AF15" s="231" t="s">
        <v>33</v>
      </c>
    </row>
    <row r="16" spans="1:32" ht="12.75" customHeight="1">
      <c r="A16" s="224"/>
      <c r="B16" s="273" t="s">
        <v>26</v>
      </c>
      <c r="C16" s="276">
        <v>9.425</v>
      </c>
      <c r="D16" s="276">
        <v>15.621</v>
      </c>
      <c r="E16" s="275">
        <v>17.718</v>
      </c>
      <c r="F16" s="275">
        <v>17.968</v>
      </c>
      <c r="G16" s="275">
        <v>18.549</v>
      </c>
      <c r="H16" s="275">
        <v>18.922</v>
      </c>
      <c r="I16" s="275">
        <v>19.578</v>
      </c>
      <c r="J16" s="275">
        <v>20.221</v>
      </c>
      <c r="K16" s="275">
        <v>20.449</v>
      </c>
      <c r="L16" s="275">
        <v>20.695</v>
      </c>
      <c r="M16" s="275">
        <v>21.2</v>
      </c>
      <c r="N16" s="275">
        <v>21.5</v>
      </c>
      <c r="O16" s="275">
        <v>21.7</v>
      </c>
      <c r="P16" s="283">
        <v>21.8</v>
      </c>
      <c r="Q16" s="283">
        <v>22</v>
      </c>
      <c r="R16" s="283">
        <v>21.95</v>
      </c>
      <c r="S16" s="283">
        <v>21.6</v>
      </c>
      <c r="T16" s="283">
        <v>21.7</v>
      </c>
      <c r="U16" s="283">
        <v>21.8</v>
      </c>
      <c r="V16" s="283">
        <v>22</v>
      </c>
      <c r="W16" s="283">
        <v>22.1</v>
      </c>
      <c r="X16" s="283">
        <v>20.919043007800454</v>
      </c>
      <c r="Y16" s="283">
        <v>21.1</v>
      </c>
      <c r="Z16" s="283">
        <v>21.161722909489495</v>
      </c>
      <c r="AA16" s="283">
        <v>21.09610045397415</v>
      </c>
      <c r="AB16" s="283">
        <v>21.028128543117838</v>
      </c>
      <c r="AC16" s="283">
        <v>21.006120944621784</v>
      </c>
      <c r="AD16" s="508">
        <v>21.148271968974477</v>
      </c>
      <c r="AE16" s="282">
        <f t="shared" si="1"/>
        <v>0.6767123960080141</v>
      </c>
      <c r="AF16" s="273" t="s">
        <v>26</v>
      </c>
    </row>
    <row r="17" spans="1:32" ht="16.5" customHeight="1">
      <c r="A17" s="224"/>
      <c r="B17" s="231" t="s">
        <v>31</v>
      </c>
      <c r="C17" s="281">
        <v>20.911</v>
      </c>
      <c r="D17" s="281">
        <v>28.099</v>
      </c>
      <c r="E17" s="278">
        <v>33.36</v>
      </c>
      <c r="F17" s="278">
        <v>35.45</v>
      </c>
      <c r="G17" s="278">
        <v>35.52</v>
      </c>
      <c r="H17" s="278">
        <v>37.09</v>
      </c>
      <c r="I17" s="278">
        <v>38.13</v>
      </c>
      <c r="J17" s="278">
        <v>39.6</v>
      </c>
      <c r="K17" s="279">
        <v>44</v>
      </c>
      <c r="L17" s="278">
        <v>43.97</v>
      </c>
      <c r="M17" s="278">
        <v>49.4</v>
      </c>
      <c r="N17" s="278">
        <v>50</v>
      </c>
      <c r="O17" s="278">
        <v>50.278</v>
      </c>
      <c r="P17" s="278">
        <v>51.712</v>
      </c>
      <c r="Q17" s="278">
        <v>50.053</v>
      </c>
      <c r="R17" s="278">
        <v>49.209</v>
      </c>
      <c r="S17" s="278">
        <v>53.458</v>
      </c>
      <c r="T17" s="278">
        <v>53.176</v>
      </c>
      <c r="U17" s="278">
        <v>49.369</v>
      </c>
      <c r="V17" s="278">
        <v>59.163</v>
      </c>
      <c r="W17" s="278">
        <v>60.864</v>
      </c>
      <c r="X17" s="278">
        <v>57.043</v>
      </c>
      <c r="Y17" s="278">
        <v>50.902</v>
      </c>
      <c r="Z17" s="278">
        <v>55.742</v>
      </c>
      <c r="AA17" s="278">
        <v>54.531</v>
      </c>
      <c r="AB17" s="278">
        <v>53.836</v>
      </c>
      <c r="AC17" s="478">
        <v>39.469</v>
      </c>
      <c r="AD17" s="503">
        <v>46.389</v>
      </c>
      <c r="AE17" s="277">
        <f t="shared" si="1"/>
        <v>17.532747219336713</v>
      </c>
      <c r="AF17" s="231" t="s">
        <v>31</v>
      </c>
    </row>
    <row r="18" spans="1:32" ht="12.75" customHeight="1">
      <c r="A18" s="224"/>
      <c r="B18" s="273" t="s">
        <v>32</v>
      </c>
      <c r="C18" s="276">
        <v>25.2</v>
      </c>
      <c r="D18" s="276">
        <v>38</v>
      </c>
      <c r="E18" s="275">
        <v>52.25974260388607</v>
      </c>
      <c r="F18" s="275">
        <v>54.120923065039335</v>
      </c>
      <c r="G18" s="275">
        <v>53.16586463106571</v>
      </c>
      <c r="H18" s="275">
        <v>53.48103734304247</v>
      </c>
      <c r="I18" s="275">
        <v>54.21079519277558</v>
      </c>
      <c r="J18" s="275">
        <v>53.18936072092363</v>
      </c>
      <c r="K18" s="275">
        <v>54.37349676481762</v>
      </c>
      <c r="L18" s="275">
        <v>55.39005647013747</v>
      </c>
      <c r="M18" s="275">
        <v>55.36184905414865</v>
      </c>
      <c r="N18" s="275">
        <v>54.52585914209821</v>
      </c>
      <c r="O18" s="385">
        <v>55.77588072874809</v>
      </c>
      <c r="P18" s="275">
        <v>54.330983789104856</v>
      </c>
      <c r="Q18" s="275">
        <v>54.906423532000495</v>
      </c>
      <c r="R18" s="275">
        <v>55.430434346171054</v>
      </c>
      <c r="S18" s="275">
        <v>56.32957465552941</v>
      </c>
      <c r="T18" s="275">
        <v>56.465931808729366</v>
      </c>
      <c r="U18" s="275">
        <v>58.76052956623673</v>
      </c>
      <c r="V18" s="275">
        <v>61.14644688077618</v>
      </c>
      <c r="W18" s="275">
        <v>63.28796595635444</v>
      </c>
      <c r="X18" s="275">
        <v>63.869495878397515</v>
      </c>
      <c r="Y18" s="275">
        <v>66.62824888080422</v>
      </c>
      <c r="Z18" s="275">
        <v>68.11317679035129</v>
      </c>
      <c r="AA18" s="275">
        <v>68.61310431672496</v>
      </c>
      <c r="AB18" s="275">
        <v>68.83465021044331</v>
      </c>
      <c r="AC18" s="275">
        <v>69.23588419810031</v>
      </c>
      <c r="AD18" s="506">
        <v>70.32869965418051</v>
      </c>
      <c r="AE18" s="274">
        <f t="shared" si="1"/>
        <v>1.578394598028666</v>
      </c>
      <c r="AF18" s="273" t="s">
        <v>32</v>
      </c>
    </row>
    <row r="19" spans="1:32" ht="12.75" customHeight="1">
      <c r="A19" s="224"/>
      <c r="B19" s="231" t="s">
        <v>44</v>
      </c>
      <c r="C19" s="234">
        <v>3.3</v>
      </c>
      <c r="D19" s="234">
        <v>7.1</v>
      </c>
      <c r="E19" s="233">
        <v>7</v>
      </c>
      <c r="F19" s="233" t="s">
        <v>41</v>
      </c>
      <c r="G19" s="233" t="s">
        <v>41</v>
      </c>
      <c r="H19" s="233" t="s">
        <v>41</v>
      </c>
      <c r="I19" s="233" t="s">
        <v>41</v>
      </c>
      <c r="J19" s="233">
        <v>4.051915</v>
      </c>
      <c r="K19" s="233">
        <v>4.266118</v>
      </c>
      <c r="L19" s="233">
        <v>4.459067</v>
      </c>
      <c r="M19" s="233">
        <v>3.963847</v>
      </c>
      <c r="N19" s="233">
        <v>3.354983</v>
      </c>
      <c r="O19" s="233">
        <v>3.331147</v>
      </c>
      <c r="P19" s="233">
        <v>3.477757</v>
      </c>
      <c r="Q19" s="233">
        <v>3.557693</v>
      </c>
      <c r="R19" s="233">
        <v>3.71685</v>
      </c>
      <c r="S19" s="233">
        <v>3.390253</v>
      </c>
      <c r="T19" s="233">
        <v>3.403469</v>
      </c>
      <c r="U19" s="233">
        <v>3.537056</v>
      </c>
      <c r="V19" s="233">
        <v>3.80798</v>
      </c>
      <c r="W19" s="233">
        <v>4.093489</v>
      </c>
      <c r="X19" s="233">
        <v>3.437996</v>
      </c>
      <c r="Y19" s="233">
        <v>3.248418</v>
      </c>
      <c r="Z19" s="233">
        <v>3.145021</v>
      </c>
      <c r="AA19" s="233">
        <v>3.249078</v>
      </c>
      <c r="AB19" s="233">
        <v>3.507</v>
      </c>
      <c r="AC19" s="233">
        <v>3.648</v>
      </c>
      <c r="AD19" s="368">
        <v>3.377</v>
      </c>
      <c r="AE19" s="232">
        <f t="shared" si="1"/>
        <v>-7.428728070175453</v>
      </c>
      <c r="AF19" s="231" t="s">
        <v>44</v>
      </c>
    </row>
    <row r="20" spans="1:32" s="245" customFormat="1" ht="12.75" customHeight="1">
      <c r="A20" s="250"/>
      <c r="B20" s="235" t="s">
        <v>34</v>
      </c>
      <c r="C20" s="249">
        <v>32.004</v>
      </c>
      <c r="D20" s="249">
        <v>57.836</v>
      </c>
      <c r="E20" s="237">
        <v>83.955</v>
      </c>
      <c r="F20" s="237">
        <v>84.69</v>
      </c>
      <c r="G20" s="237">
        <v>84.7</v>
      </c>
      <c r="H20" s="237">
        <v>81.45</v>
      </c>
      <c r="I20" s="237">
        <v>79.28</v>
      </c>
      <c r="J20" s="237">
        <f>76.797+10.35</f>
        <v>87.14699999999999</v>
      </c>
      <c r="K20" s="237">
        <v>88.736</v>
      </c>
      <c r="L20" s="237">
        <v>90</v>
      </c>
      <c r="M20" s="237">
        <v>90.6</v>
      </c>
      <c r="N20" s="237">
        <v>92.153</v>
      </c>
      <c r="O20" s="237">
        <f>82.263+11.158</f>
        <v>93.421</v>
      </c>
      <c r="P20" s="237">
        <v>95.594</v>
      </c>
      <c r="Q20" s="237">
        <f>85.512+11.634</f>
        <v>97.146</v>
      </c>
      <c r="R20" s="237">
        <f>86.816+11.503</f>
        <v>98.319</v>
      </c>
      <c r="S20" s="237">
        <f>88.196+11.564</f>
        <v>99.75999999999999</v>
      </c>
      <c r="T20" s="237">
        <f>89.329+11.625</f>
        <v>100.954</v>
      </c>
      <c r="U20" s="237">
        <f>91.442+11.607</f>
        <v>103.04899999999999</v>
      </c>
      <c r="V20" s="237">
        <f>91.108+11.549</f>
        <v>102.65700000000001</v>
      </c>
      <c r="W20" s="237">
        <f>90.693+11.745</f>
        <v>102.438</v>
      </c>
      <c r="X20" s="237">
        <f>89.797+11.909</f>
        <v>101.706</v>
      </c>
      <c r="Y20" s="237">
        <f>90.134+12.085</f>
        <v>102.219</v>
      </c>
      <c r="Z20" s="237">
        <f>90.903+11.537</f>
        <v>102.44000000000001</v>
      </c>
      <c r="AA20" s="237">
        <f>90.546+10.97</f>
        <v>101.516</v>
      </c>
      <c r="AB20" s="237">
        <f>90.746+11.022</f>
        <v>101.768</v>
      </c>
      <c r="AC20" s="237">
        <f>91.608+11.207</f>
        <v>102.815</v>
      </c>
      <c r="AD20" s="509">
        <f>91.676+11.377</f>
        <v>103.053</v>
      </c>
      <c r="AE20" s="258">
        <f t="shared" si="1"/>
        <v>0.231483732918349</v>
      </c>
      <c r="AF20" s="235" t="s">
        <v>34</v>
      </c>
    </row>
    <row r="21" spans="1:32" ht="12.75" customHeight="1">
      <c r="A21" s="224"/>
      <c r="B21" s="231" t="s">
        <v>13</v>
      </c>
      <c r="C21" s="234" t="s">
        <v>41</v>
      </c>
      <c r="D21" s="234" t="s">
        <v>41</v>
      </c>
      <c r="E21" s="233" t="s">
        <v>41</v>
      </c>
      <c r="F21" s="233" t="s">
        <v>41</v>
      </c>
      <c r="G21" s="233" t="s">
        <v>41</v>
      </c>
      <c r="H21" s="233" t="s">
        <v>41</v>
      </c>
      <c r="I21" s="233" t="s">
        <v>41</v>
      </c>
      <c r="J21" s="252">
        <v>1</v>
      </c>
      <c r="K21" s="252">
        <v>1.04</v>
      </c>
      <c r="L21" s="252">
        <v>1.05</v>
      </c>
      <c r="M21" s="252">
        <v>1.06</v>
      </c>
      <c r="N21" s="252">
        <v>1.08</v>
      </c>
      <c r="O21" s="252">
        <v>1.12</v>
      </c>
      <c r="P21" s="252">
        <v>1.16</v>
      </c>
      <c r="Q21" s="252">
        <v>1.2</v>
      </c>
      <c r="R21" s="252">
        <v>1.28</v>
      </c>
      <c r="S21" s="252">
        <v>1.24</v>
      </c>
      <c r="T21" s="252">
        <v>1.26</v>
      </c>
      <c r="U21" s="252">
        <v>1.28</v>
      </c>
      <c r="V21" s="252">
        <v>1.3</v>
      </c>
      <c r="W21" s="252">
        <v>1.33</v>
      </c>
      <c r="X21" s="252">
        <v>1.2832081221716343</v>
      </c>
      <c r="Y21" s="252">
        <v>1.29</v>
      </c>
      <c r="Z21" s="252">
        <v>1.325042573063031</v>
      </c>
      <c r="AA21" s="252">
        <v>1.3655790761715423</v>
      </c>
      <c r="AB21" s="252">
        <v>1.3463918995498854</v>
      </c>
      <c r="AC21" s="252">
        <v>1.3463918995498854</v>
      </c>
      <c r="AD21" s="510">
        <v>1.426717257084444</v>
      </c>
      <c r="AE21" s="251">
        <f t="shared" si="1"/>
        <v>5.965971539297897</v>
      </c>
      <c r="AF21" s="231" t="s">
        <v>13</v>
      </c>
    </row>
    <row r="22" spans="1:32" s="245" customFormat="1" ht="12.75" customHeight="1">
      <c r="A22" s="250"/>
      <c r="B22" s="235" t="s">
        <v>17</v>
      </c>
      <c r="C22" s="249">
        <v>3.28</v>
      </c>
      <c r="D22" s="249">
        <v>4.55</v>
      </c>
      <c r="E22" s="237">
        <v>5.862</v>
      </c>
      <c r="F22" s="271">
        <v>5.331</v>
      </c>
      <c r="G22" s="237">
        <v>2.583</v>
      </c>
      <c r="H22" s="237">
        <v>1.722</v>
      </c>
      <c r="I22" s="237">
        <v>1.795</v>
      </c>
      <c r="J22" s="237">
        <v>1.835</v>
      </c>
      <c r="K22" s="237">
        <v>1.606</v>
      </c>
      <c r="L22" s="237">
        <v>1.72</v>
      </c>
      <c r="M22" s="237">
        <v>1.903</v>
      </c>
      <c r="N22" s="237">
        <v>2.368</v>
      </c>
      <c r="O22" s="237">
        <v>2.348</v>
      </c>
      <c r="P22" s="237">
        <v>2.305</v>
      </c>
      <c r="Q22" s="237">
        <v>2.361</v>
      </c>
      <c r="R22" s="237">
        <v>2.55</v>
      </c>
      <c r="S22" s="237">
        <v>2.655</v>
      </c>
      <c r="T22" s="237">
        <v>2.891</v>
      </c>
      <c r="U22" s="237">
        <v>2.78</v>
      </c>
      <c r="V22" s="237">
        <v>2.644</v>
      </c>
      <c r="W22" s="237">
        <v>2.517</v>
      </c>
      <c r="X22" s="237">
        <v>2.143</v>
      </c>
      <c r="Y22" s="237">
        <v>2.311</v>
      </c>
      <c r="Z22" s="237">
        <v>2.412</v>
      </c>
      <c r="AA22" s="237">
        <v>2.358</v>
      </c>
      <c r="AB22" s="237">
        <v>2.319</v>
      </c>
      <c r="AC22" s="237">
        <v>2.33</v>
      </c>
      <c r="AD22" s="509">
        <v>2.314</v>
      </c>
      <c r="AE22" s="258">
        <f t="shared" si="1"/>
        <v>-0.6866952789699639</v>
      </c>
      <c r="AF22" s="235" t="s">
        <v>17</v>
      </c>
    </row>
    <row r="23" spans="1:32" ht="12.75" customHeight="1">
      <c r="A23" s="224"/>
      <c r="B23" s="231" t="s">
        <v>18</v>
      </c>
      <c r="C23" s="234" t="s">
        <v>41</v>
      </c>
      <c r="D23" s="234" t="s">
        <v>41</v>
      </c>
      <c r="E23" s="233">
        <v>7.889</v>
      </c>
      <c r="F23" s="233">
        <v>7.798</v>
      </c>
      <c r="G23" s="233">
        <v>6.392</v>
      </c>
      <c r="H23" s="233">
        <v>4.522</v>
      </c>
      <c r="I23" s="233">
        <v>4.627</v>
      </c>
      <c r="J23" s="233">
        <f>3.334+0.835</f>
        <v>4.1690000000000005</v>
      </c>
      <c r="K23" s="233">
        <f>2.879+0.722</f>
        <v>3.601</v>
      </c>
      <c r="L23" s="233">
        <f>2.603+0.588</f>
        <v>3.1910000000000003</v>
      </c>
      <c r="M23" s="233">
        <f>2.39+0.574</f>
        <v>2.964</v>
      </c>
      <c r="N23" s="233">
        <f>2.096+0.569</f>
        <v>2.665</v>
      </c>
      <c r="O23" s="233">
        <f>2.266+0.489</f>
        <v>2.755</v>
      </c>
      <c r="P23" s="233">
        <v>2.833</v>
      </c>
      <c r="Q23" s="233">
        <f>2.508+0.505</f>
        <v>3.013</v>
      </c>
      <c r="R23" s="233">
        <f>2.583+0.404</f>
        <v>2.987</v>
      </c>
      <c r="S23" s="233">
        <f>3.14+0.409</f>
        <v>3.549</v>
      </c>
      <c r="T23" s="233">
        <f>3.267+0.424</f>
        <v>3.691</v>
      </c>
      <c r="U23" s="233">
        <f>3.283+0.413</f>
        <v>3.6959999999999997</v>
      </c>
      <c r="V23" s="233">
        <f>3.1703+0.4498</f>
        <v>3.6201</v>
      </c>
      <c r="W23" s="233">
        <f>2.9521+0.4691</f>
        <v>3.4212000000000002</v>
      </c>
      <c r="X23" s="233">
        <v>2.7746999999999997</v>
      </c>
      <c r="Y23" s="233">
        <f>2.3479+0.3457</f>
        <v>2.6936</v>
      </c>
      <c r="Z23" s="233">
        <v>2.748</v>
      </c>
      <c r="AA23" s="233">
        <f>2.387+0.348</f>
        <v>2.735</v>
      </c>
      <c r="AB23" s="233">
        <f>2.521+0.326</f>
        <v>2.847</v>
      </c>
      <c r="AC23" s="233">
        <v>2.9733</v>
      </c>
      <c r="AD23" s="368">
        <v>2.745543</v>
      </c>
      <c r="AE23" s="232">
        <f t="shared" si="1"/>
        <v>-7.66007466451417</v>
      </c>
      <c r="AF23" s="231" t="s">
        <v>18</v>
      </c>
    </row>
    <row r="24" spans="1:32" s="245" customFormat="1" ht="12.75" customHeight="1">
      <c r="A24" s="347"/>
      <c r="B24" s="235" t="s">
        <v>35</v>
      </c>
      <c r="C24" s="267">
        <v>0.4</v>
      </c>
      <c r="D24" s="267">
        <v>0.44</v>
      </c>
      <c r="E24" s="247">
        <v>0.48</v>
      </c>
      <c r="F24" s="247">
        <v>0.49</v>
      </c>
      <c r="G24" s="247">
        <v>0.51</v>
      </c>
      <c r="H24" s="247">
        <v>0.52</v>
      </c>
      <c r="I24" s="247">
        <v>0.53</v>
      </c>
      <c r="J24" s="247">
        <v>0.54</v>
      </c>
      <c r="K24" s="247">
        <v>0.55</v>
      </c>
      <c r="L24" s="247">
        <v>0.56</v>
      </c>
      <c r="M24" s="247">
        <v>0.57</v>
      </c>
      <c r="N24" s="247">
        <v>0.58</v>
      </c>
      <c r="O24" s="247">
        <v>0.62</v>
      </c>
      <c r="P24" s="247">
        <v>0.66</v>
      </c>
      <c r="Q24" s="247">
        <v>0.72</v>
      </c>
      <c r="R24" s="247">
        <v>0.74</v>
      </c>
      <c r="S24" s="247">
        <v>0.77</v>
      </c>
      <c r="T24" s="247">
        <v>0.8</v>
      </c>
      <c r="U24" s="247">
        <v>0.82</v>
      </c>
      <c r="V24" s="247">
        <v>0.86</v>
      </c>
      <c r="W24" s="247">
        <v>0.91</v>
      </c>
      <c r="X24" s="247">
        <v>0.905872688234131</v>
      </c>
      <c r="Y24" s="247">
        <v>0.94</v>
      </c>
      <c r="Z24" s="247">
        <v>0.9876300463226344</v>
      </c>
      <c r="AA24" s="247">
        <v>1.0049122484837048</v>
      </c>
      <c r="AB24" s="247">
        <v>1.026458894764151</v>
      </c>
      <c r="AC24" s="247">
        <v>1.037546284758761</v>
      </c>
      <c r="AD24" s="479">
        <v>1.0928294004495056</v>
      </c>
      <c r="AE24" s="246">
        <f t="shared" si="1"/>
        <v>5.328255375479301</v>
      </c>
      <c r="AF24" s="235" t="s">
        <v>35</v>
      </c>
    </row>
    <row r="25" spans="1:32" ht="12.75" customHeight="1">
      <c r="A25" s="224"/>
      <c r="B25" s="231" t="s">
        <v>16</v>
      </c>
      <c r="C25" s="234" t="s">
        <v>41</v>
      </c>
      <c r="D25" s="234" t="s">
        <v>41</v>
      </c>
      <c r="E25" s="233">
        <v>19.261</v>
      </c>
      <c r="F25" s="233">
        <v>17.332</v>
      </c>
      <c r="G25" s="233">
        <v>15.971</v>
      </c>
      <c r="H25" s="233">
        <v>15.8</v>
      </c>
      <c r="I25" s="233">
        <v>16.392</v>
      </c>
      <c r="J25" s="233">
        <v>16.605</v>
      </c>
      <c r="K25" s="233">
        <v>16.564</v>
      </c>
      <c r="L25" s="233">
        <v>16.632</v>
      </c>
      <c r="M25" s="233">
        <v>17.172</v>
      </c>
      <c r="N25" s="233">
        <v>17.796</v>
      </c>
      <c r="O25" s="233">
        <v>18.732</v>
      </c>
      <c r="P25" s="233">
        <v>18.617</v>
      </c>
      <c r="Q25" s="233">
        <v>18.898</v>
      </c>
      <c r="R25" s="233">
        <v>18.707</v>
      </c>
      <c r="S25" s="233">
        <f>11.612+6.312+0.299</f>
        <v>18.223</v>
      </c>
      <c r="T25" s="233">
        <f>11.53+6.029+0.286</f>
        <v>17.845</v>
      </c>
      <c r="U25" s="233">
        <f>11.784+5.863+0.283</f>
        <v>17.930000000000003</v>
      </c>
      <c r="V25" s="233">
        <f>11.254+5.613+0.278</f>
        <v>17.145</v>
      </c>
      <c r="W25" s="233">
        <f>11.862+5.515+0.277</f>
        <v>17.654</v>
      </c>
      <c r="X25" s="233">
        <f>11.321+4.759+0.21</f>
        <v>16.29</v>
      </c>
      <c r="Y25" s="233">
        <f>11.776+4.484+0.201</f>
        <v>16.461</v>
      </c>
      <c r="Z25" s="233">
        <f>11.852+0.197+4.4067046</f>
        <v>16.4557046</v>
      </c>
      <c r="AA25" s="233">
        <f>12.553+4.3348054+0.186545</f>
        <v>17.0743504</v>
      </c>
      <c r="AB25" s="233">
        <f>12.606+4.358511+0.1853244</f>
        <v>17.1498354</v>
      </c>
      <c r="AC25" s="233">
        <f>12.987+4.4538901+0.1891748</f>
        <v>17.6300649</v>
      </c>
      <c r="AD25" s="368">
        <f>4.4906701+0.1925056+13.13</f>
        <v>17.813175700000002</v>
      </c>
      <c r="AE25" s="232">
        <f t="shared" si="1"/>
        <v>1.0386280540578383</v>
      </c>
      <c r="AF25" s="231" t="s">
        <v>16</v>
      </c>
    </row>
    <row r="26" spans="1:32" s="245" customFormat="1" ht="12.75" customHeight="1">
      <c r="A26" s="250"/>
      <c r="B26" s="235" t="s">
        <v>19</v>
      </c>
      <c r="C26" s="249" t="s">
        <v>41</v>
      </c>
      <c r="D26" s="249" t="s">
        <v>41</v>
      </c>
      <c r="E26" s="237" t="s">
        <v>41</v>
      </c>
      <c r="F26" s="237" t="s">
        <v>41</v>
      </c>
      <c r="G26" s="237" t="s">
        <v>41</v>
      </c>
      <c r="H26" s="237" t="s">
        <v>41</v>
      </c>
      <c r="I26" s="237" t="s">
        <v>41</v>
      </c>
      <c r="J26" s="247">
        <v>0.41</v>
      </c>
      <c r="K26" s="247">
        <v>0.42</v>
      </c>
      <c r="L26" s="247">
        <v>0.44</v>
      </c>
      <c r="M26" s="247">
        <v>0.45</v>
      </c>
      <c r="N26" s="247">
        <v>0.455</v>
      </c>
      <c r="O26" s="247">
        <v>0.46</v>
      </c>
      <c r="P26" s="247">
        <v>0.47</v>
      </c>
      <c r="Q26" s="247">
        <v>0.48</v>
      </c>
      <c r="R26" s="247">
        <v>0.49</v>
      </c>
      <c r="S26" s="247">
        <v>0.5</v>
      </c>
      <c r="T26" s="247">
        <v>0.49</v>
      </c>
      <c r="U26" s="247">
        <v>0.5</v>
      </c>
      <c r="V26" s="247">
        <v>0.505</v>
      </c>
      <c r="W26" s="247">
        <v>0.51</v>
      </c>
      <c r="X26" s="247">
        <v>0.4848885722388764</v>
      </c>
      <c r="Y26" s="247">
        <v>0.5</v>
      </c>
      <c r="Z26" s="247">
        <v>0.47567815316050804</v>
      </c>
      <c r="AA26" s="247">
        <v>0.4764518954048124</v>
      </c>
      <c r="AB26" s="247">
        <v>0.46847402439797603</v>
      </c>
      <c r="AC26" s="247">
        <v>0.49155426958825765</v>
      </c>
      <c r="AD26" s="479">
        <v>0.539906461587028</v>
      </c>
      <c r="AE26" s="246">
        <f t="shared" si="1"/>
        <v>9.83659282204421</v>
      </c>
      <c r="AF26" s="235" t="s">
        <v>19</v>
      </c>
    </row>
    <row r="27" spans="1:32" ht="12.75" customHeight="1">
      <c r="A27" s="224"/>
      <c r="B27" s="231" t="s">
        <v>27</v>
      </c>
      <c r="C27" s="234">
        <v>9.5</v>
      </c>
      <c r="D27" s="261">
        <v>11.2</v>
      </c>
      <c r="E27" s="233">
        <v>13</v>
      </c>
      <c r="F27" s="253">
        <v>12.3</v>
      </c>
      <c r="G27" s="253">
        <v>13.2</v>
      </c>
      <c r="H27" s="253">
        <v>13.05</v>
      </c>
      <c r="I27" s="253">
        <v>12.15</v>
      </c>
      <c r="J27" s="253">
        <v>12</v>
      </c>
      <c r="K27" s="253">
        <v>11.85</v>
      </c>
      <c r="L27" s="253">
        <v>12</v>
      </c>
      <c r="M27" s="253">
        <v>11.7</v>
      </c>
      <c r="N27" s="253">
        <v>11.25</v>
      </c>
      <c r="O27" s="523">
        <v>4.617277399572086</v>
      </c>
      <c r="P27" s="252">
        <v>4.672245187115668</v>
      </c>
      <c r="Q27" s="253">
        <v>4.4114885322856</v>
      </c>
      <c r="R27" s="253">
        <v>4.599831164782615</v>
      </c>
      <c r="S27" s="253">
        <v>4.700190619040386</v>
      </c>
      <c r="T27" s="252">
        <v>4.775028046812017</v>
      </c>
      <c r="U27" s="252">
        <v>4.860911858498458</v>
      </c>
      <c r="V27" s="252">
        <v>4.961403033817193</v>
      </c>
      <c r="W27" s="252">
        <v>5.048543181837985</v>
      </c>
      <c r="X27" s="252">
        <v>4.853947506228394</v>
      </c>
      <c r="Y27" s="524">
        <v>4.846074938770187</v>
      </c>
      <c r="Z27" s="252">
        <v>5.010096540903104</v>
      </c>
      <c r="AA27" s="252">
        <v>4.483869529722649</v>
      </c>
      <c r="AB27" s="252">
        <v>4.6464404346162365</v>
      </c>
      <c r="AC27" s="252">
        <v>4.546757462094314</v>
      </c>
      <c r="AD27" s="510">
        <v>4.883554311138337</v>
      </c>
      <c r="AE27" s="251">
        <f t="shared" si="1"/>
        <v>7.407407407407391</v>
      </c>
      <c r="AF27" s="231" t="s">
        <v>27</v>
      </c>
    </row>
    <row r="28" spans="1:32" s="245" customFormat="1" ht="12.75" customHeight="1">
      <c r="A28" s="250"/>
      <c r="B28" s="235" t="s">
        <v>36</v>
      </c>
      <c r="C28" s="249">
        <v>9.1</v>
      </c>
      <c r="D28" s="249">
        <v>9.8</v>
      </c>
      <c r="E28" s="247">
        <v>8.192984741832733</v>
      </c>
      <c r="F28" s="247">
        <v>8.170867841982773</v>
      </c>
      <c r="G28" s="247">
        <v>8.338078415562842</v>
      </c>
      <c r="H28" s="247">
        <v>8.577886975268642</v>
      </c>
      <c r="I28" s="247">
        <v>8.736271342619089</v>
      </c>
      <c r="J28" s="247">
        <v>8.971114336525325</v>
      </c>
      <c r="K28" s="247">
        <v>8.993439770994408</v>
      </c>
      <c r="L28" s="247">
        <v>9.071136073440593</v>
      </c>
      <c r="M28" s="247">
        <v>9.240753404456093</v>
      </c>
      <c r="N28" s="247">
        <v>9.251280045109212</v>
      </c>
      <c r="O28" s="247">
        <v>9.537900259105012</v>
      </c>
      <c r="P28" s="247">
        <v>9.493597151560785</v>
      </c>
      <c r="Q28" s="247">
        <v>9.606299966538835</v>
      </c>
      <c r="R28" s="247">
        <v>9.782600905796183</v>
      </c>
      <c r="S28" s="247">
        <v>9.909870909328074</v>
      </c>
      <c r="T28" s="247">
        <v>9.658124709230014</v>
      </c>
      <c r="U28" s="247">
        <v>9.563670932805143</v>
      </c>
      <c r="V28" s="247">
        <v>10.139828761267628</v>
      </c>
      <c r="W28" s="247">
        <v>9.904487885450676</v>
      </c>
      <c r="X28" s="247">
        <v>9.183516929671056</v>
      </c>
      <c r="Y28" s="247">
        <v>9.951612714295887</v>
      </c>
      <c r="Z28" s="247">
        <v>9.90355966348199</v>
      </c>
      <c r="AA28" s="247">
        <v>9.868701515196832</v>
      </c>
      <c r="AB28" s="247">
        <v>9.896578185510519</v>
      </c>
      <c r="AC28" s="247">
        <v>10.136862897278643</v>
      </c>
      <c r="AD28" s="479">
        <v>10.2954148601556</v>
      </c>
      <c r="AE28" s="258">
        <f t="shared" si="1"/>
        <v>1.5641127287962178</v>
      </c>
      <c r="AF28" s="235" t="s">
        <v>36</v>
      </c>
    </row>
    <row r="29" spans="1:32" ht="12.75" customHeight="1">
      <c r="A29" s="224"/>
      <c r="B29" s="231" t="s">
        <v>20</v>
      </c>
      <c r="C29" s="234">
        <v>29.14</v>
      </c>
      <c r="D29" s="234">
        <v>49.223</v>
      </c>
      <c r="E29" s="233">
        <v>46.3</v>
      </c>
      <c r="F29" s="233">
        <v>41.72</v>
      </c>
      <c r="G29" s="233">
        <v>39.008</v>
      </c>
      <c r="H29" s="233">
        <v>37.811</v>
      </c>
      <c r="I29" s="233">
        <v>34.262</v>
      </c>
      <c r="J29" s="233">
        <v>34.024</v>
      </c>
      <c r="K29" s="233">
        <v>33.984</v>
      </c>
      <c r="L29" s="233">
        <v>33.128</v>
      </c>
      <c r="M29" s="233">
        <v>34.035</v>
      </c>
      <c r="N29" s="233">
        <v>33.25</v>
      </c>
      <c r="O29" s="260">
        <v>59.2</v>
      </c>
      <c r="P29" s="233">
        <v>55.4</v>
      </c>
      <c r="Q29" s="233">
        <v>52</v>
      </c>
      <c r="R29" s="233">
        <v>51.6</v>
      </c>
      <c r="S29" s="233">
        <v>51.1</v>
      </c>
      <c r="T29" s="233">
        <v>49.2</v>
      </c>
      <c r="U29" s="233">
        <v>48.7</v>
      </c>
      <c r="V29" s="233">
        <v>47.7</v>
      </c>
      <c r="W29" s="233">
        <v>47.7</v>
      </c>
      <c r="X29" s="233">
        <v>43.9</v>
      </c>
      <c r="Y29" s="233">
        <v>41.7</v>
      </c>
      <c r="Z29" s="233">
        <v>40.1</v>
      </c>
      <c r="AA29" s="233">
        <v>39.419</v>
      </c>
      <c r="AB29" s="233">
        <v>37.8</v>
      </c>
      <c r="AC29" s="233">
        <v>39.158</v>
      </c>
      <c r="AD29" s="368">
        <v>37.58</v>
      </c>
      <c r="AE29" s="232">
        <f t="shared" si="1"/>
        <v>-4.029827876806792</v>
      </c>
      <c r="AF29" s="231" t="s">
        <v>20</v>
      </c>
    </row>
    <row r="30" spans="1:32" s="245" customFormat="1" ht="12.75" customHeight="1">
      <c r="A30" s="250"/>
      <c r="B30" s="235" t="s">
        <v>37</v>
      </c>
      <c r="C30" s="249">
        <v>4.358</v>
      </c>
      <c r="D30" s="249">
        <v>7.6</v>
      </c>
      <c r="E30" s="237">
        <v>10.3</v>
      </c>
      <c r="F30" s="237">
        <v>10.7</v>
      </c>
      <c r="G30" s="237">
        <v>11.4</v>
      </c>
      <c r="H30" s="237">
        <v>11.8</v>
      </c>
      <c r="I30" s="237">
        <v>12.55</v>
      </c>
      <c r="J30" s="237">
        <v>11.3</v>
      </c>
      <c r="K30" s="237">
        <v>11.1</v>
      </c>
      <c r="L30" s="237">
        <v>11.6</v>
      </c>
      <c r="M30" s="237">
        <v>11.55</v>
      </c>
      <c r="N30" s="237">
        <v>11.48</v>
      </c>
      <c r="O30" s="237">
        <v>11.821</v>
      </c>
      <c r="P30" s="237">
        <v>11.159</v>
      </c>
      <c r="Q30" s="237">
        <v>9.936</v>
      </c>
      <c r="R30" s="237">
        <v>10.537</v>
      </c>
      <c r="S30" s="237">
        <v>10.809</v>
      </c>
      <c r="T30" s="346">
        <v>6.376263166645883</v>
      </c>
      <c r="U30" s="247">
        <v>6.064343265791044</v>
      </c>
      <c r="V30" s="247">
        <v>6.248737903312966</v>
      </c>
      <c r="W30" s="247">
        <v>6.282629752577119</v>
      </c>
      <c r="X30" s="247">
        <v>6.000359984210191</v>
      </c>
      <c r="Y30" s="247">
        <v>6.077555342622833</v>
      </c>
      <c r="Z30" s="237">
        <v>5.85</v>
      </c>
      <c r="AA30" s="237">
        <v>5.85</v>
      </c>
      <c r="AB30" s="237">
        <v>6.023</v>
      </c>
      <c r="AC30" s="237">
        <v>5.657</v>
      </c>
      <c r="AD30" s="509">
        <v>6.047</v>
      </c>
      <c r="AE30" s="258">
        <f t="shared" si="1"/>
        <v>6.8941134877143355</v>
      </c>
      <c r="AF30" s="235" t="s">
        <v>37</v>
      </c>
    </row>
    <row r="31" spans="1:32" ht="12.75" customHeight="1">
      <c r="A31" s="224"/>
      <c r="B31" s="231" t="s">
        <v>21</v>
      </c>
      <c r="C31" s="234">
        <v>7.858</v>
      </c>
      <c r="D31" s="234">
        <v>24.016</v>
      </c>
      <c r="E31" s="233">
        <v>24.007</v>
      </c>
      <c r="F31" s="233">
        <v>20.835</v>
      </c>
      <c r="G31" s="233">
        <v>25.649</v>
      </c>
      <c r="H31" s="269">
        <v>20.512</v>
      </c>
      <c r="I31" s="233">
        <v>14.058</v>
      </c>
      <c r="J31" s="233">
        <v>12.343</v>
      </c>
      <c r="K31" s="233">
        <v>12.842</v>
      </c>
      <c r="L31" s="233">
        <v>13.531</v>
      </c>
      <c r="M31" s="233">
        <v>8.962</v>
      </c>
      <c r="N31" s="233">
        <v>8.323</v>
      </c>
      <c r="O31" s="233">
        <v>7.7</v>
      </c>
      <c r="P31" s="233">
        <v>7.073</v>
      </c>
      <c r="Q31" s="233">
        <v>6.987</v>
      </c>
      <c r="R31" s="233">
        <v>9.455</v>
      </c>
      <c r="S31" s="233">
        <v>9.438</v>
      </c>
      <c r="T31" s="233">
        <v>11.811</v>
      </c>
      <c r="U31" s="233">
        <v>11.735</v>
      </c>
      <c r="V31" s="233">
        <v>12.156</v>
      </c>
      <c r="W31" s="260">
        <v>20.194</v>
      </c>
      <c r="X31" s="233">
        <v>17.108</v>
      </c>
      <c r="Y31" s="233">
        <v>15.812</v>
      </c>
      <c r="Z31" s="233">
        <v>15.529</v>
      </c>
      <c r="AA31" s="233">
        <v>16.901</v>
      </c>
      <c r="AB31" s="233">
        <v>17.082</v>
      </c>
      <c r="AC31" s="233">
        <v>18.339</v>
      </c>
      <c r="AD31" s="368">
        <v>17.471</v>
      </c>
      <c r="AE31" s="232">
        <f t="shared" si="1"/>
        <v>-4.733082501772174</v>
      </c>
      <c r="AF31" s="231" t="s">
        <v>21</v>
      </c>
    </row>
    <row r="32" spans="1:32" s="245" customFormat="1" ht="12.75" customHeight="1">
      <c r="A32" s="250"/>
      <c r="B32" s="235" t="s">
        <v>23</v>
      </c>
      <c r="C32" s="249">
        <v>2.642</v>
      </c>
      <c r="D32" s="249">
        <v>4.925</v>
      </c>
      <c r="E32" s="237">
        <v>6.508</v>
      </c>
      <c r="F32" s="237">
        <v>5.554</v>
      </c>
      <c r="G32" s="237">
        <v>4.17</v>
      </c>
      <c r="H32" s="237">
        <v>3.894</v>
      </c>
      <c r="I32" s="237">
        <v>4.053</v>
      </c>
      <c r="J32" s="237">
        <v>4.113</v>
      </c>
      <c r="K32" s="237">
        <v>4.301</v>
      </c>
      <c r="L32" s="237">
        <v>4.379</v>
      </c>
      <c r="M32" s="237">
        <v>3.876</v>
      </c>
      <c r="N32" s="237">
        <v>4.138</v>
      </c>
      <c r="O32" s="237">
        <v>3.502</v>
      </c>
      <c r="P32" s="237">
        <v>3.393</v>
      </c>
      <c r="Q32" s="237">
        <v>3.339</v>
      </c>
      <c r="R32" s="237">
        <v>3.446</v>
      </c>
      <c r="S32" s="237">
        <v>3.218</v>
      </c>
      <c r="T32" s="237">
        <v>3.062</v>
      </c>
      <c r="U32" s="237">
        <v>3.133</v>
      </c>
      <c r="V32" s="237">
        <v>3.235</v>
      </c>
      <c r="W32" s="237">
        <v>3.146</v>
      </c>
      <c r="X32" s="237">
        <v>3.196</v>
      </c>
      <c r="Y32" s="237">
        <v>3.183</v>
      </c>
      <c r="Z32" s="247">
        <v>3.244143134443557</v>
      </c>
      <c r="AA32" s="247">
        <v>3.2370370249757103</v>
      </c>
      <c r="AB32" s="247">
        <v>3.3223001768851614</v>
      </c>
      <c r="AC32" s="247">
        <v>3.448992354015874</v>
      </c>
      <c r="AD32" s="479">
        <v>3.576082566075633</v>
      </c>
      <c r="AE32" s="258">
        <f t="shared" si="1"/>
        <v>3.6848505016771043</v>
      </c>
      <c r="AF32" s="235" t="s">
        <v>23</v>
      </c>
    </row>
    <row r="33" spans="1:32" ht="12.75" customHeight="1">
      <c r="A33" s="224"/>
      <c r="B33" s="231" t="s">
        <v>22</v>
      </c>
      <c r="C33" s="263"/>
      <c r="D33" s="263"/>
      <c r="E33" s="262"/>
      <c r="F33" s="233"/>
      <c r="G33" s="233"/>
      <c r="H33" s="233"/>
      <c r="I33" s="233"/>
      <c r="J33" s="233">
        <f>11.191+3.25</f>
        <v>14.441</v>
      </c>
      <c r="K33" s="233">
        <f>11.1+3.38</f>
        <v>14.48</v>
      </c>
      <c r="L33" s="233">
        <f>9.969+3.5</f>
        <v>13.469</v>
      </c>
      <c r="M33" s="233">
        <f>8.84+3.62</f>
        <v>12.46</v>
      </c>
      <c r="N33" s="233">
        <f>7.833+3.52</f>
        <v>11.353</v>
      </c>
      <c r="O33" s="252">
        <v>9.3174635</v>
      </c>
      <c r="P33" s="252">
        <v>9.24563722</v>
      </c>
      <c r="Q33" s="252">
        <v>9.24878837</v>
      </c>
      <c r="R33" s="252">
        <v>8.7739944</v>
      </c>
      <c r="S33" s="252">
        <v>8.84976323</v>
      </c>
      <c r="T33" s="252">
        <v>8.53778246</v>
      </c>
      <c r="U33" s="252">
        <v>8.683574</v>
      </c>
      <c r="V33" s="252">
        <v>8.652062</v>
      </c>
      <c r="W33" s="252">
        <v>7.4487156</v>
      </c>
      <c r="X33" s="252">
        <v>5.3743368</v>
      </c>
      <c r="Y33" s="252">
        <v>5.2707795</v>
      </c>
      <c r="Z33" s="252">
        <v>5.4770729099999995</v>
      </c>
      <c r="AA33" s="252">
        <v>5.432091430000001</v>
      </c>
      <c r="AB33" s="252">
        <f>4.388+((219.763+60.719)*3.1)/1000</f>
        <v>5.2574942</v>
      </c>
      <c r="AC33" s="252">
        <f>4.495+((230.887+62.017)*2.93)/1000</f>
        <v>5.3532087200000005</v>
      </c>
      <c r="AD33" s="510">
        <f>4.499+((234.226+60.225)*2.95)/1000</f>
        <v>5.36763045</v>
      </c>
      <c r="AE33" s="251">
        <f t="shared" si="1"/>
        <v>0.2694034691029117</v>
      </c>
      <c r="AF33" s="231" t="s">
        <v>22</v>
      </c>
    </row>
    <row r="34" spans="1:32" ht="12.75" customHeight="1">
      <c r="A34" s="224"/>
      <c r="B34" s="235" t="s">
        <v>38</v>
      </c>
      <c r="C34" s="249">
        <v>7.5</v>
      </c>
      <c r="D34" s="249">
        <v>8.5</v>
      </c>
      <c r="E34" s="237">
        <v>8.5</v>
      </c>
      <c r="F34" s="237">
        <v>8.1</v>
      </c>
      <c r="G34" s="237">
        <v>8</v>
      </c>
      <c r="H34" s="237">
        <v>8</v>
      </c>
      <c r="I34" s="237">
        <v>8</v>
      </c>
      <c r="J34" s="237">
        <v>8</v>
      </c>
      <c r="K34" s="237">
        <v>8</v>
      </c>
      <c r="L34" s="237">
        <v>8</v>
      </c>
      <c r="M34" s="237">
        <v>7.8</v>
      </c>
      <c r="N34" s="237">
        <v>7.6</v>
      </c>
      <c r="O34" s="237">
        <v>7.7</v>
      </c>
      <c r="P34" s="237">
        <v>7.7</v>
      </c>
      <c r="Q34" s="237">
        <v>7.7</v>
      </c>
      <c r="R34" s="237">
        <v>7.67</v>
      </c>
      <c r="S34" s="237">
        <v>7.605</v>
      </c>
      <c r="T34" s="237">
        <v>7.54</v>
      </c>
      <c r="U34" s="237">
        <v>7.54</v>
      </c>
      <c r="V34" s="237">
        <v>7.54</v>
      </c>
      <c r="W34" s="237">
        <v>7.54</v>
      </c>
      <c r="X34" s="237">
        <v>7.54</v>
      </c>
      <c r="Y34" s="237">
        <v>7.54</v>
      </c>
      <c r="Z34" s="237">
        <v>7.54</v>
      </c>
      <c r="AA34" s="237">
        <v>7.54</v>
      </c>
      <c r="AB34" s="237">
        <v>7.54</v>
      </c>
      <c r="AC34" s="237">
        <v>7.54</v>
      </c>
      <c r="AD34" s="509">
        <v>7.54</v>
      </c>
      <c r="AE34" s="258">
        <f t="shared" si="1"/>
        <v>0</v>
      </c>
      <c r="AF34" s="235" t="s">
        <v>38</v>
      </c>
    </row>
    <row r="35" spans="1:32" ht="12.75" customHeight="1">
      <c r="A35" s="224"/>
      <c r="B35" s="231" t="s">
        <v>39</v>
      </c>
      <c r="C35" s="234">
        <v>5.5</v>
      </c>
      <c r="D35" s="261">
        <v>7.3</v>
      </c>
      <c r="E35" s="233">
        <v>9.663565396357743</v>
      </c>
      <c r="F35" s="233">
        <v>9.677871179540276</v>
      </c>
      <c r="G35" s="233">
        <v>9.699579341247878</v>
      </c>
      <c r="H35" s="233">
        <v>9.421206473765904</v>
      </c>
      <c r="I35" s="233">
        <v>9.531356730066832</v>
      </c>
      <c r="J35" s="233">
        <v>9.70318298834586</v>
      </c>
      <c r="K35" s="233">
        <v>9.815881642468796</v>
      </c>
      <c r="L35" s="233">
        <v>9.822218249358277</v>
      </c>
      <c r="M35" s="233">
        <v>9.777521360228848</v>
      </c>
      <c r="N35" s="233">
        <v>9.755750625837438</v>
      </c>
      <c r="O35" s="260">
        <v>9.224</v>
      </c>
      <c r="P35" s="233">
        <v>9.22</v>
      </c>
      <c r="Q35" s="233">
        <v>9.306</v>
      </c>
      <c r="R35" s="233">
        <v>9.327</v>
      </c>
      <c r="S35" s="233">
        <v>9.255</v>
      </c>
      <c r="T35" s="233">
        <v>9.254</v>
      </c>
      <c r="U35" s="233">
        <v>9.332</v>
      </c>
      <c r="V35" s="233">
        <v>9.418</v>
      </c>
      <c r="W35" s="233">
        <v>9.167</v>
      </c>
      <c r="X35" s="233">
        <v>9.239</v>
      </c>
      <c r="Y35" s="233">
        <v>9.374</v>
      </c>
      <c r="Z35" s="233">
        <v>9.647</v>
      </c>
      <c r="AA35" s="233">
        <v>9.523</v>
      </c>
      <c r="AB35" s="233">
        <v>9.704</v>
      </c>
      <c r="AC35" s="233">
        <v>9.693</v>
      </c>
      <c r="AD35" s="368">
        <v>9.831</v>
      </c>
      <c r="AE35" s="232">
        <f t="shared" si="1"/>
        <v>1.4237078303930701</v>
      </c>
      <c r="AF35" s="231" t="s">
        <v>39</v>
      </c>
    </row>
    <row r="36" spans="1:32" ht="12.75" customHeight="1">
      <c r="A36" s="224"/>
      <c r="B36" s="226" t="s">
        <v>28</v>
      </c>
      <c r="C36" s="345">
        <f>60.2+1.5</f>
        <v>61.7</v>
      </c>
      <c r="D36" s="345">
        <f>52.2+1.5</f>
        <v>53.7</v>
      </c>
      <c r="E36" s="343">
        <v>47.1</v>
      </c>
      <c r="F36" s="343">
        <v>45.2</v>
      </c>
      <c r="G36" s="343">
        <v>44</v>
      </c>
      <c r="H36" s="343">
        <v>45.3</v>
      </c>
      <c r="I36" s="343">
        <v>45.2</v>
      </c>
      <c r="J36" s="343">
        <v>44.8</v>
      </c>
      <c r="K36" s="343">
        <v>44.7</v>
      </c>
      <c r="L36" s="343">
        <v>45.5</v>
      </c>
      <c r="M36" s="343">
        <v>46.4</v>
      </c>
      <c r="N36" s="343">
        <v>47.7</v>
      </c>
      <c r="O36" s="343">
        <v>48</v>
      </c>
      <c r="P36" s="343">
        <v>48.04</v>
      </c>
      <c r="Q36" s="343">
        <v>42.1</v>
      </c>
      <c r="R36" s="344">
        <v>46.1</v>
      </c>
      <c r="S36" s="343">
        <v>42.5</v>
      </c>
      <c r="T36" s="343">
        <v>44</v>
      </c>
      <c r="U36" s="343">
        <v>42</v>
      </c>
      <c r="V36" s="343">
        <v>42.2</v>
      </c>
      <c r="W36" s="343">
        <v>44.7</v>
      </c>
      <c r="X36" s="343">
        <v>45.7</v>
      </c>
      <c r="Y36" s="343">
        <v>46.2</v>
      </c>
      <c r="Z36" s="343">
        <v>44.1</v>
      </c>
      <c r="AA36" s="343">
        <v>43.7</v>
      </c>
      <c r="AB36" s="343">
        <v>41.9</v>
      </c>
      <c r="AC36" s="468">
        <f>39.6+1.5</f>
        <v>41.1</v>
      </c>
      <c r="AD36" s="511">
        <f>39.3+1.5</f>
        <v>40.8</v>
      </c>
      <c r="AE36" s="342">
        <f t="shared" si="1"/>
        <v>-0.7299270072992812</v>
      </c>
      <c r="AF36" s="226" t="s">
        <v>28</v>
      </c>
    </row>
    <row r="37" spans="1:32" ht="12.75" customHeight="1">
      <c r="A37" s="224"/>
      <c r="B37" s="231" t="s">
        <v>116</v>
      </c>
      <c r="C37" s="234">
        <v>0.776</v>
      </c>
      <c r="D37" s="234">
        <v>1.421</v>
      </c>
      <c r="E37" s="456">
        <v>2.174</v>
      </c>
      <c r="F37" s="456">
        <v>1.28</v>
      </c>
      <c r="G37" s="456">
        <v>0.515</v>
      </c>
      <c r="H37" s="456">
        <v>0.307</v>
      </c>
      <c r="I37" s="456">
        <v>0.197</v>
      </c>
      <c r="J37" s="456">
        <v>0.196</v>
      </c>
      <c r="K37" s="456">
        <v>0.223</v>
      </c>
      <c r="L37" s="456">
        <v>0.19</v>
      </c>
      <c r="M37" s="456">
        <v>0.19</v>
      </c>
      <c r="N37" s="456">
        <v>0.221</v>
      </c>
      <c r="O37" s="456">
        <v>0.184</v>
      </c>
      <c r="P37" s="456">
        <v>0.197</v>
      </c>
      <c r="Q37" s="456">
        <v>0.159</v>
      </c>
      <c r="R37" s="456">
        <v>0.176</v>
      </c>
      <c r="S37" s="456">
        <v>0.141</v>
      </c>
      <c r="T37" s="456">
        <v>0.28</v>
      </c>
      <c r="U37" s="456">
        <v>0.48</v>
      </c>
      <c r="V37" s="456">
        <v>0.663</v>
      </c>
      <c r="W37" s="456">
        <v>0.79</v>
      </c>
      <c r="X37" s="456">
        <v>1.302</v>
      </c>
      <c r="Y37" s="456">
        <v>2.37</v>
      </c>
      <c r="Z37" s="456">
        <v>1.254</v>
      </c>
      <c r="AA37" s="456">
        <v>0.983</v>
      </c>
      <c r="AB37" s="456">
        <v>1.063</v>
      </c>
      <c r="AC37" s="494">
        <v>1.1326680761099364</v>
      </c>
      <c r="AD37" s="512">
        <v>1.2130914544345939</v>
      </c>
      <c r="AE37" s="251">
        <f t="shared" si="1"/>
        <v>7.100348285692462</v>
      </c>
      <c r="AF37" s="231" t="s">
        <v>116</v>
      </c>
    </row>
    <row r="38" spans="1:32" ht="12.75" customHeight="1">
      <c r="A38" s="224"/>
      <c r="B38" s="235" t="s">
        <v>107</v>
      </c>
      <c r="C38" s="267"/>
      <c r="D38" s="267"/>
      <c r="E38" s="247"/>
      <c r="F38" s="247"/>
      <c r="G38" s="247"/>
      <c r="H38" s="247"/>
      <c r="I38" s="247"/>
      <c r="J38" s="247"/>
      <c r="K38" s="247"/>
      <c r="L38" s="247"/>
      <c r="M38" s="247"/>
      <c r="N38" s="247"/>
      <c r="O38" s="247"/>
      <c r="P38" s="247"/>
      <c r="Q38" s="247"/>
      <c r="R38" s="247"/>
      <c r="S38" s="247"/>
      <c r="T38" s="247"/>
      <c r="U38" s="247"/>
      <c r="V38" s="247"/>
      <c r="W38" s="237">
        <v>0.124</v>
      </c>
      <c r="X38" s="237">
        <v>0.102</v>
      </c>
      <c r="Y38" s="237">
        <v>0.081</v>
      </c>
      <c r="Z38" s="237">
        <v>0.08</v>
      </c>
      <c r="AA38" s="237">
        <v>0.112</v>
      </c>
      <c r="AB38" s="237">
        <v>0.108802</v>
      </c>
      <c r="AC38" s="237">
        <v>0.108</v>
      </c>
      <c r="AD38" s="509">
        <f>0.109621</f>
        <v>0.109621</v>
      </c>
      <c r="AE38" s="258">
        <f t="shared" si="1"/>
        <v>1.5009259259259267</v>
      </c>
      <c r="AF38" s="235" t="s">
        <v>107</v>
      </c>
    </row>
    <row r="39" spans="1:32" s="245" customFormat="1" ht="12.75" customHeight="1">
      <c r="A39" s="250"/>
      <c r="B39" s="231" t="s">
        <v>6</v>
      </c>
      <c r="C39" s="263"/>
      <c r="D39" s="263"/>
      <c r="E39" s="262"/>
      <c r="F39" s="233"/>
      <c r="G39" s="233"/>
      <c r="H39" s="233"/>
      <c r="I39" s="233"/>
      <c r="J39" s="252">
        <v>0.9</v>
      </c>
      <c r="K39" s="252">
        <v>0.9</v>
      </c>
      <c r="L39" s="252">
        <v>0.9</v>
      </c>
      <c r="M39" s="252">
        <v>0.9</v>
      </c>
      <c r="N39" s="252">
        <v>0.9</v>
      </c>
      <c r="O39" s="252">
        <v>0.9</v>
      </c>
      <c r="P39" s="233">
        <v>0.831</v>
      </c>
      <c r="Q39" s="252">
        <v>1</v>
      </c>
      <c r="R39" s="233">
        <v>1.344</v>
      </c>
      <c r="S39" s="233">
        <v>1.11</v>
      </c>
      <c r="T39" s="233">
        <v>1.086</v>
      </c>
      <c r="U39" s="233">
        <v>1.016</v>
      </c>
      <c r="V39" s="233">
        <v>1.027</v>
      </c>
      <c r="W39" s="233">
        <v>1.239</v>
      </c>
      <c r="X39" s="233">
        <v>1.213</v>
      </c>
      <c r="Y39" s="233">
        <f>1.441</f>
        <v>1.441</v>
      </c>
      <c r="Z39" s="233">
        <v>1.64</v>
      </c>
      <c r="AA39" s="233">
        <v>1.403</v>
      </c>
      <c r="AB39" s="233">
        <v>1.395</v>
      </c>
      <c r="AC39" s="233">
        <v>1.208</v>
      </c>
      <c r="AD39" s="368">
        <v>1.248</v>
      </c>
      <c r="AE39" s="232">
        <f t="shared" si="1"/>
        <v>3.3112582781456865</v>
      </c>
      <c r="AF39" s="231" t="s">
        <v>6</v>
      </c>
    </row>
    <row r="40" spans="1:32" s="245" customFormat="1" ht="12.75" customHeight="1">
      <c r="A40" s="250"/>
      <c r="B40" s="235" t="s">
        <v>108</v>
      </c>
      <c r="C40" s="340"/>
      <c r="D40" s="340"/>
      <c r="E40" s="339"/>
      <c r="F40" s="237"/>
      <c r="G40" s="237"/>
      <c r="H40" s="237"/>
      <c r="I40" s="237"/>
      <c r="J40" s="247"/>
      <c r="K40" s="247"/>
      <c r="L40" s="247"/>
      <c r="M40" s="247"/>
      <c r="N40" s="247"/>
      <c r="O40" s="247"/>
      <c r="P40" s="237"/>
      <c r="Q40" s="247"/>
      <c r="R40" s="237"/>
      <c r="S40" s="237"/>
      <c r="T40" s="237"/>
      <c r="U40" s="237"/>
      <c r="V40" s="237"/>
      <c r="W40" s="247"/>
      <c r="X40" s="247"/>
      <c r="Y40" s="247">
        <v>9.398804324412298</v>
      </c>
      <c r="Z40" s="247">
        <v>9.547604794538175</v>
      </c>
      <c r="AA40" s="247">
        <v>9.462568086499578</v>
      </c>
      <c r="AB40" s="247">
        <v>9.21917067650737</v>
      </c>
      <c r="AC40" s="247">
        <v>8.89309021507867</v>
      </c>
      <c r="AD40" s="479">
        <v>9.344</v>
      </c>
      <c r="AE40" s="246">
        <f t="shared" si="1"/>
        <v>5.070338588905685</v>
      </c>
      <c r="AF40" s="235" t="s">
        <v>108</v>
      </c>
    </row>
    <row r="41" spans="1:32" ht="12.75" customHeight="1">
      <c r="A41" s="224"/>
      <c r="B41" s="239" t="s">
        <v>24</v>
      </c>
      <c r="C41" s="234" t="s">
        <v>41</v>
      </c>
      <c r="D41" s="234" t="s">
        <v>41</v>
      </c>
      <c r="E41" s="233" t="s">
        <v>41</v>
      </c>
      <c r="F41" s="233" t="s">
        <v>41</v>
      </c>
      <c r="G41" s="233" t="s">
        <v>41</v>
      </c>
      <c r="H41" s="233">
        <v>86.914</v>
      </c>
      <c r="I41" s="233">
        <v>79.17</v>
      </c>
      <c r="J41" s="233">
        <v>85.674</v>
      </c>
      <c r="K41" s="233">
        <v>91.658</v>
      </c>
      <c r="L41" s="233">
        <v>95.36</v>
      </c>
      <c r="M41" s="233">
        <v>94.914</v>
      </c>
      <c r="N41" s="233">
        <v>91.263</v>
      </c>
      <c r="O41" s="233">
        <v>87.391</v>
      </c>
      <c r="P41" s="233">
        <v>76.8</v>
      </c>
      <c r="Q41" s="252">
        <v>80</v>
      </c>
      <c r="R41" s="252">
        <v>81</v>
      </c>
      <c r="S41" s="252">
        <v>85</v>
      </c>
      <c r="T41" s="252">
        <v>95</v>
      </c>
      <c r="U41" s="252">
        <v>100</v>
      </c>
      <c r="V41" s="252">
        <v>105</v>
      </c>
      <c r="W41" s="252">
        <v>110</v>
      </c>
      <c r="X41" s="242">
        <v>88.426</v>
      </c>
      <c r="Y41" s="233">
        <v>89.056</v>
      </c>
      <c r="Z41" s="233">
        <v>95.334</v>
      </c>
      <c r="AA41" s="233">
        <v>96.559</v>
      </c>
      <c r="AB41" s="233">
        <v>94.846</v>
      </c>
      <c r="AC41" s="233">
        <v>93.918</v>
      </c>
      <c r="AD41" s="368">
        <v>90.839</v>
      </c>
      <c r="AE41" s="240">
        <f t="shared" si="1"/>
        <v>-3.27839178858153</v>
      </c>
      <c r="AF41" s="239" t="s">
        <v>24</v>
      </c>
    </row>
    <row r="42" spans="1:32" s="245" customFormat="1" ht="12.75" customHeight="1">
      <c r="A42" s="250"/>
      <c r="B42" s="235" t="s">
        <v>10</v>
      </c>
      <c r="C42" s="238" t="s">
        <v>41</v>
      </c>
      <c r="D42" s="238" t="s">
        <v>41</v>
      </c>
      <c r="E42" s="236" t="s">
        <v>41</v>
      </c>
      <c r="F42" s="236" t="s">
        <v>41</v>
      </c>
      <c r="G42" s="236" t="s">
        <v>41</v>
      </c>
      <c r="H42" s="236" t="s">
        <v>41</v>
      </c>
      <c r="I42" s="236" t="s">
        <v>41</v>
      </c>
      <c r="J42" s="236">
        <v>0.389</v>
      </c>
      <c r="K42" s="236">
        <v>0.408</v>
      </c>
      <c r="L42" s="236">
        <v>0.433</v>
      </c>
      <c r="M42" s="236">
        <v>0.458</v>
      </c>
      <c r="N42" s="236">
        <v>0.468</v>
      </c>
      <c r="O42" s="236">
        <v>0.485</v>
      </c>
      <c r="P42" s="236">
        <v>0.508</v>
      </c>
      <c r="Q42" s="236">
        <v>0.523</v>
      </c>
      <c r="R42" s="236">
        <v>0.537</v>
      </c>
      <c r="S42" s="236">
        <v>0.554</v>
      </c>
      <c r="T42" s="236">
        <v>0.587</v>
      </c>
      <c r="U42" s="236">
        <v>0.622</v>
      </c>
      <c r="V42" s="236">
        <v>0.653</v>
      </c>
      <c r="W42" s="236">
        <v>0.636</v>
      </c>
      <c r="X42" s="236">
        <v>0.644</v>
      </c>
      <c r="Y42" s="236">
        <v>0.638</v>
      </c>
      <c r="Z42" s="236">
        <v>0.615</v>
      </c>
      <c r="AA42" s="236">
        <v>0.622</v>
      </c>
      <c r="AB42" s="236">
        <v>0.64</v>
      </c>
      <c r="AC42" s="464">
        <v>0.673</v>
      </c>
      <c r="AD42" s="513">
        <v>0.721</v>
      </c>
      <c r="AE42" s="495">
        <f t="shared" si="1"/>
        <v>7.132243684992574</v>
      </c>
      <c r="AF42" s="235" t="s">
        <v>10</v>
      </c>
    </row>
    <row r="43" spans="1:32" ht="12.75" customHeight="1">
      <c r="A43" s="224"/>
      <c r="B43" s="231" t="s">
        <v>40</v>
      </c>
      <c r="C43" s="234">
        <v>3.726</v>
      </c>
      <c r="D43" s="234">
        <v>4.257</v>
      </c>
      <c r="E43" s="233">
        <v>3.89</v>
      </c>
      <c r="F43" s="233">
        <v>3.935</v>
      </c>
      <c r="G43" s="233">
        <v>3.935</v>
      </c>
      <c r="H43" s="233">
        <v>3.935</v>
      </c>
      <c r="I43" s="233">
        <v>4</v>
      </c>
      <c r="J43" s="233">
        <v>3.752</v>
      </c>
      <c r="K43" s="233">
        <v>4.117</v>
      </c>
      <c r="L43" s="233">
        <v>4.248</v>
      </c>
      <c r="M43" s="233">
        <v>4.212</v>
      </c>
      <c r="N43" s="233">
        <v>4.177</v>
      </c>
      <c r="O43" s="233">
        <v>4.141</v>
      </c>
      <c r="P43" s="233">
        <v>4.105</v>
      </c>
      <c r="Q43" s="233">
        <v>4.125</v>
      </c>
      <c r="R43" s="233">
        <v>4.005</v>
      </c>
      <c r="S43" s="233">
        <v>4.231</v>
      </c>
      <c r="T43" s="233">
        <v>4.312</v>
      </c>
      <c r="U43" s="233">
        <v>4.258</v>
      </c>
      <c r="V43" s="233">
        <v>4.268</v>
      </c>
      <c r="W43" s="233">
        <v>4.36</v>
      </c>
      <c r="X43" s="233">
        <v>4.401</v>
      </c>
      <c r="Y43" s="233">
        <f>4.506</f>
        <v>4.506</v>
      </c>
      <c r="Z43" s="233">
        <v>4.748</v>
      </c>
      <c r="AA43" s="233">
        <v>3.788</v>
      </c>
      <c r="AB43" s="233">
        <v>3.738</v>
      </c>
      <c r="AC43" s="233">
        <v>3.793</v>
      </c>
      <c r="AD43" s="368">
        <v>4.089</v>
      </c>
      <c r="AE43" s="232">
        <f t="shared" si="1"/>
        <v>7.803849195887167</v>
      </c>
      <c r="AF43" s="231" t="s">
        <v>40</v>
      </c>
    </row>
    <row r="44" spans="1:32" s="245" customFormat="1" ht="12.75" customHeight="1">
      <c r="A44" s="250"/>
      <c r="B44" s="226" t="s">
        <v>11</v>
      </c>
      <c r="C44" s="230">
        <v>1.885</v>
      </c>
      <c r="D44" s="230">
        <v>2.486</v>
      </c>
      <c r="E44" s="228">
        <v>3.318</v>
      </c>
      <c r="F44" s="228">
        <v>3.627</v>
      </c>
      <c r="G44" s="228">
        <v>3.583</v>
      </c>
      <c r="H44" s="228">
        <v>3.539</v>
      </c>
      <c r="I44" s="259">
        <v>3.531</v>
      </c>
      <c r="J44" s="228">
        <f>2.3881+0.8137+2.327</f>
        <v>5.5288</v>
      </c>
      <c r="K44" s="228">
        <f>2.2944+0.8259+2.304</f>
        <v>5.4243</v>
      </c>
      <c r="L44" s="228">
        <f>2.2758+0.8245+2.287</f>
        <v>5.3873</v>
      </c>
      <c r="M44" s="229">
        <f>0.547+2.0788+2.129</f>
        <v>4.7548</v>
      </c>
      <c r="N44" s="228">
        <f>0.529+2.1269+2.069</f>
        <v>4.7249</v>
      </c>
      <c r="O44" s="228">
        <f>0.5283+2.1834+2.087</f>
        <v>4.7987</v>
      </c>
      <c r="P44" s="228">
        <f>0.5267+2.3116+2.01</f>
        <v>4.8483</v>
      </c>
      <c r="Q44" s="228">
        <f>0.5281+2.3648+1.968</f>
        <v>4.8609</v>
      </c>
      <c r="R44" s="228">
        <f>0.5193+2.4579+2.017</f>
        <v>4.994199999999999</v>
      </c>
      <c r="S44" s="228">
        <f>0.5348+2.4569+2.066</f>
        <v>5.0577000000000005</v>
      </c>
      <c r="T44" s="228">
        <v>5.3115</v>
      </c>
      <c r="U44" s="228">
        <v>5.6021</v>
      </c>
      <c r="V44" s="228">
        <v>5.673</v>
      </c>
      <c r="W44" s="228">
        <v>5.3265</v>
      </c>
      <c r="X44" s="228">
        <v>5.4176910016</v>
      </c>
      <c r="Y44" s="228">
        <v>5.5076538816</v>
      </c>
      <c r="Z44" s="228">
        <v>5.6060850048</v>
      </c>
      <c r="AA44" s="228">
        <v>5.7069478848</v>
      </c>
      <c r="AB44" s="228">
        <v>5.7751977792</v>
      </c>
      <c r="AC44" s="465">
        <v>5.8559</v>
      </c>
      <c r="AD44" s="514">
        <v>6.0099260096</v>
      </c>
      <c r="AE44" s="227">
        <f t="shared" si="1"/>
        <v>2.630270489591709</v>
      </c>
      <c r="AF44" s="226" t="s">
        <v>11</v>
      </c>
    </row>
    <row r="45" spans="2:32" ht="15" customHeight="1">
      <c r="B45" s="338" t="s">
        <v>106</v>
      </c>
      <c r="C45" s="338"/>
      <c r="D45" s="338"/>
      <c r="E45" s="338"/>
      <c r="F45" s="338"/>
      <c r="G45" s="338"/>
      <c r="H45" s="338"/>
      <c r="I45" s="338"/>
      <c r="J45" s="338"/>
      <c r="K45" s="338"/>
      <c r="L45" s="338"/>
      <c r="M45" s="338"/>
      <c r="N45" s="338"/>
      <c r="O45" s="338"/>
      <c r="P45" s="338"/>
      <c r="Q45" s="338"/>
      <c r="R45" s="338"/>
      <c r="S45" s="338"/>
      <c r="T45" s="338"/>
      <c r="U45" s="338"/>
      <c r="V45" s="338"/>
      <c r="W45" s="338"/>
      <c r="X45" s="338"/>
      <c r="Y45" s="338"/>
      <c r="Z45" s="338"/>
      <c r="AA45" s="338"/>
      <c r="AB45" s="338"/>
      <c r="AC45" s="469"/>
      <c r="AD45" s="469"/>
      <c r="AE45" s="338"/>
      <c r="AF45" s="337"/>
    </row>
    <row r="46" spans="2:31" ht="12.75" customHeight="1">
      <c r="B46" s="336" t="s">
        <v>5</v>
      </c>
      <c r="C46" s="335"/>
      <c r="D46" s="218"/>
      <c r="E46" s="218"/>
      <c r="F46" s="218"/>
      <c r="G46" s="218"/>
      <c r="H46" s="334"/>
      <c r="I46" s="218"/>
      <c r="J46" s="218"/>
      <c r="K46" s="219"/>
      <c r="L46" s="218"/>
      <c r="M46" s="217"/>
      <c r="N46" s="217"/>
      <c r="AE46" s="332"/>
    </row>
    <row r="47" spans="2:30" s="213" customFormat="1" ht="12.75" customHeight="1">
      <c r="B47" s="213" t="s">
        <v>138</v>
      </c>
      <c r="D47" s="330"/>
      <c r="E47" s="330"/>
      <c r="F47" s="330"/>
      <c r="G47" s="330"/>
      <c r="H47" s="330"/>
      <c r="I47" s="330"/>
      <c r="J47" s="330"/>
      <c r="K47" s="330"/>
      <c r="L47" s="330"/>
      <c r="M47" s="330"/>
      <c r="N47" s="330"/>
      <c r="O47" s="470"/>
      <c r="P47" s="470"/>
      <c r="Q47" s="470"/>
      <c r="R47" s="470"/>
      <c r="S47" s="470"/>
      <c r="T47" s="470"/>
      <c r="U47" s="470"/>
      <c r="V47" s="470"/>
      <c r="W47" s="470"/>
      <c r="X47" s="470"/>
      <c r="Y47" s="470"/>
      <c r="Z47" s="470"/>
      <c r="AA47" s="470"/>
      <c r="AB47" s="470"/>
      <c r="AC47" s="470"/>
      <c r="AD47" s="470"/>
    </row>
    <row r="48" spans="2:31" s="213" customFormat="1" ht="12.75" customHeight="1">
      <c r="B48" s="584" t="s">
        <v>121</v>
      </c>
      <c r="C48" s="584"/>
      <c r="D48" s="584"/>
      <c r="E48" s="584"/>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row>
    <row r="49" ht="11.25">
      <c r="B49" s="209" t="s">
        <v>125</v>
      </c>
    </row>
    <row r="50" ht="11.25">
      <c r="B50" s="209" t="s">
        <v>136</v>
      </c>
    </row>
    <row r="51" ht="12.75" customHeight="1">
      <c r="B51" s="209" t="s">
        <v>130</v>
      </c>
    </row>
    <row r="52" spans="2:32" s="213" customFormat="1" ht="11.25" customHeight="1">
      <c r="B52" s="331" t="s">
        <v>84</v>
      </c>
      <c r="D52" s="330"/>
      <c r="E52" s="330"/>
      <c r="F52" s="330"/>
      <c r="G52" s="330"/>
      <c r="H52" s="330"/>
      <c r="I52" s="330"/>
      <c r="J52" s="330"/>
      <c r="K52" s="330"/>
      <c r="L52" s="330"/>
      <c r="M52" s="330"/>
      <c r="N52" s="330"/>
      <c r="O52" s="330"/>
      <c r="P52" s="330"/>
      <c r="Q52" s="330"/>
      <c r="R52" s="330"/>
      <c r="S52" s="330"/>
      <c r="T52" s="209"/>
      <c r="U52" s="209"/>
      <c r="V52" s="209"/>
      <c r="W52" s="209"/>
      <c r="X52" s="209"/>
      <c r="Y52" s="209"/>
      <c r="Z52" s="209"/>
      <c r="AA52" s="209"/>
      <c r="AD52" s="209"/>
      <c r="AE52" s="209"/>
      <c r="AF52" s="209"/>
    </row>
    <row r="53" spans="2:29" ht="12.75" customHeight="1">
      <c r="B53" s="209" t="s">
        <v>123</v>
      </c>
      <c r="C53" s="328"/>
      <c r="D53" s="328"/>
      <c r="E53" s="328"/>
      <c r="F53" s="328"/>
      <c r="G53" s="328"/>
      <c r="H53" s="328"/>
      <c r="I53" s="328"/>
      <c r="J53" s="328"/>
      <c r="K53" s="328"/>
      <c r="L53" s="329"/>
      <c r="M53" s="329"/>
      <c r="N53" s="329"/>
      <c r="O53" s="330"/>
      <c r="P53" s="330"/>
      <c r="Q53" s="330"/>
      <c r="R53" s="330"/>
      <c r="S53" s="330"/>
      <c r="T53" s="330"/>
      <c r="U53" s="330"/>
      <c r="V53" s="330"/>
      <c r="W53" s="330"/>
      <c r="X53" s="330"/>
      <c r="Y53" s="330"/>
      <c r="Z53" s="330"/>
      <c r="AA53" s="330"/>
      <c r="AB53" s="330"/>
      <c r="AC53" s="330"/>
    </row>
    <row r="54" ht="11.25">
      <c r="B54" s="209" t="s">
        <v>134</v>
      </c>
    </row>
    <row r="55" spans="2:19" ht="11.25">
      <c r="B55" s="268" t="s">
        <v>141</v>
      </c>
      <c r="E55" s="472"/>
      <c r="F55" s="472"/>
      <c r="G55" s="472"/>
      <c r="H55" s="472"/>
      <c r="I55" s="472"/>
      <c r="J55" s="472"/>
      <c r="K55" s="472"/>
      <c r="L55" s="472"/>
      <c r="M55" s="472"/>
      <c r="N55" s="472"/>
      <c r="O55" s="472"/>
      <c r="P55" s="472"/>
      <c r="Q55" s="472"/>
      <c r="R55" s="472"/>
      <c r="S55" s="472"/>
    </row>
    <row r="56" spans="20:29" ht="11.25">
      <c r="T56" s="225"/>
      <c r="AB56" s="225"/>
      <c r="AC56" s="225"/>
    </row>
    <row r="57" ht="11.25">
      <c r="E57" s="471"/>
    </row>
    <row r="59" spans="21:27" ht="11.25">
      <c r="U59" s="330"/>
      <c r="V59" s="330"/>
      <c r="W59" s="330"/>
      <c r="X59" s="330"/>
      <c r="Y59" s="330"/>
      <c r="Z59" s="330"/>
      <c r="AA59" s="330"/>
    </row>
    <row r="61" spans="20:29" ht="11.25">
      <c r="T61" s="183"/>
      <c r="U61" s="472"/>
      <c r="V61" s="473"/>
      <c r="W61" s="473"/>
      <c r="X61" s="473"/>
      <c r="Y61" s="473"/>
      <c r="Z61" s="473"/>
      <c r="AA61" s="473"/>
      <c r="AB61" s="183"/>
      <c r="AC61" s="183"/>
    </row>
    <row r="62" spans="20:29" ht="11.25">
      <c r="T62" s="183"/>
      <c r="AB62" s="183"/>
      <c r="AC62" s="183"/>
    </row>
    <row r="63" spans="20:29" ht="11.25">
      <c r="T63" s="500"/>
      <c r="AB63" s="500"/>
      <c r="AC63" s="500"/>
    </row>
    <row r="64" spans="20:29" ht="11.25">
      <c r="T64" s="225"/>
      <c r="AB64" s="225"/>
      <c r="AC64" s="225"/>
    </row>
    <row r="65" spans="23:27" ht="11.25">
      <c r="W65" s="473"/>
      <c r="X65" s="473"/>
      <c r="Y65" s="473"/>
      <c r="Z65" s="473"/>
      <c r="AA65" s="473"/>
    </row>
    <row r="71" spans="23:28" ht="11.25">
      <c r="W71" s="473"/>
      <c r="X71" s="473"/>
      <c r="Y71" s="473"/>
      <c r="Z71" s="473"/>
      <c r="AA71" s="473"/>
      <c r="AB71" s="473"/>
    </row>
    <row r="72" spans="23:28" ht="11.25">
      <c r="W72" s="473"/>
      <c r="X72" s="473"/>
      <c r="Y72" s="473"/>
      <c r="Z72" s="473"/>
      <c r="AA72" s="473"/>
      <c r="AB72" s="473"/>
    </row>
  </sheetData>
  <sheetProtection/>
  <mergeCells count="2">
    <mergeCell ref="B2:AF2"/>
    <mergeCell ref="B48:AE48"/>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4"/>
  <dimension ref="A1:AF72"/>
  <sheetViews>
    <sheetView zoomScalePageLayoutView="0" workbookViewId="0" topLeftCell="N1">
      <selection activeCell="AH29" sqref="AH29"/>
    </sheetView>
  </sheetViews>
  <sheetFormatPr defaultColWidth="9.140625" defaultRowHeight="12.75"/>
  <cols>
    <col min="1" max="1" width="2.7109375" style="224" customWidth="1"/>
    <col min="2" max="2" width="4.00390625" style="209" customWidth="1"/>
    <col min="3" max="20" width="6.7109375" style="209" customWidth="1"/>
    <col min="21" max="30" width="7.28125" style="209" customWidth="1"/>
    <col min="31" max="31" width="8.00390625" style="209" customWidth="1"/>
    <col min="32" max="32" width="4.8515625" style="209" customWidth="1"/>
    <col min="33" max="16384" width="9.140625" style="209" customWidth="1"/>
  </cols>
  <sheetData>
    <row r="1" spans="2:32" ht="14.25" customHeight="1">
      <c r="B1" s="327"/>
      <c r="C1" s="326"/>
      <c r="D1" s="326"/>
      <c r="E1" s="326"/>
      <c r="F1" s="326"/>
      <c r="G1" s="326"/>
      <c r="H1" s="326"/>
      <c r="I1" s="326"/>
      <c r="J1" s="326"/>
      <c r="K1" s="326"/>
      <c r="L1" s="326"/>
      <c r="M1" s="326"/>
      <c r="N1" s="326"/>
      <c r="O1" s="326"/>
      <c r="P1" s="326"/>
      <c r="Q1" s="325"/>
      <c r="T1" s="324"/>
      <c r="U1" s="324"/>
      <c r="V1" s="324"/>
      <c r="W1" s="324"/>
      <c r="X1" s="324"/>
      <c r="Y1" s="324"/>
      <c r="Z1" s="324"/>
      <c r="AA1" s="324"/>
      <c r="AB1" s="324"/>
      <c r="AC1" s="324"/>
      <c r="AD1" s="324"/>
      <c r="AF1" s="324" t="s">
        <v>93</v>
      </c>
    </row>
    <row r="2" spans="1:32" s="213" customFormat="1" ht="30" customHeight="1">
      <c r="A2" s="400"/>
      <c r="B2" s="583" t="s">
        <v>1</v>
      </c>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3"/>
      <c r="AC2" s="583"/>
      <c r="AD2" s="583"/>
      <c r="AE2" s="583"/>
      <c r="AF2" s="583"/>
    </row>
    <row r="3" spans="3:32" ht="15" customHeight="1">
      <c r="C3" s="322"/>
      <c r="D3" s="322"/>
      <c r="E3" s="322"/>
      <c r="F3" s="322"/>
      <c r="G3" s="322"/>
      <c r="H3" s="322"/>
      <c r="I3" s="322"/>
      <c r="J3" s="322"/>
      <c r="K3" s="322"/>
      <c r="L3" s="322"/>
      <c r="M3" s="322"/>
      <c r="N3" s="322"/>
      <c r="O3" s="322"/>
      <c r="P3" s="322"/>
      <c r="Q3" s="322"/>
      <c r="X3" s="322" t="s">
        <v>109</v>
      </c>
      <c r="Y3" s="322"/>
      <c r="Z3" s="322"/>
      <c r="AA3" s="322"/>
      <c r="AB3" s="322"/>
      <c r="AC3" s="322"/>
      <c r="AD3" s="322"/>
      <c r="AE3" s="321"/>
      <c r="AF3" s="322"/>
    </row>
    <row r="4" spans="2:32" ht="19.5" customHeight="1">
      <c r="B4" s="320"/>
      <c r="C4" s="319">
        <v>1970</v>
      </c>
      <c r="D4" s="319">
        <v>1980</v>
      </c>
      <c r="E4" s="318">
        <v>1990</v>
      </c>
      <c r="F4" s="318">
        <v>1991</v>
      </c>
      <c r="G4" s="318">
        <v>1992</v>
      </c>
      <c r="H4" s="318">
        <v>1993</v>
      </c>
      <c r="I4" s="318">
        <v>1994</v>
      </c>
      <c r="J4" s="318">
        <v>1995</v>
      </c>
      <c r="K4" s="318">
        <v>1996</v>
      </c>
      <c r="L4" s="318">
        <v>1997</v>
      </c>
      <c r="M4" s="318">
        <v>1998</v>
      </c>
      <c r="N4" s="318">
        <v>1999</v>
      </c>
      <c r="O4" s="318">
        <v>2000</v>
      </c>
      <c r="P4" s="318">
        <v>2001</v>
      </c>
      <c r="Q4" s="318">
        <v>2002</v>
      </c>
      <c r="R4" s="318">
        <v>2003</v>
      </c>
      <c r="S4" s="318">
        <v>2004</v>
      </c>
      <c r="T4" s="318">
        <v>2005</v>
      </c>
      <c r="U4" s="318">
        <v>2006</v>
      </c>
      <c r="V4" s="318">
        <v>2007</v>
      </c>
      <c r="W4" s="318">
        <v>2008</v>
      </c>
      <c r="X4" s="318">
        <v>2009</v>
      </c>
      <c r="Y4" s="318">
        <v>2010</v>
      </c>
      <c r="Z4" s="318">
        <v>2011</v>
      </c>
      <c r="AA4" s="318">
        <v>2012</v>
      </c>
      <c r="AB4" s="318">
        <v>2013</v>
      </c>
      <c r="AC4" s="460">
        <v>2014</v>
      </c>
      <c r="AD4" s="460">
        <v>2015</v>
      </c>
      <c r="AE4" s="317" t="s">
        <v>135</v>
      </c>
      <c r="AF4" s="361"/>
    </row>
    <row r="5" spans="2:32" ht="9.75" customHeight="1">
      <c r="B5" s="320"/>
      <c r="C5" s="363"/>
      <c r="D5" s="363"/>
      <c r="E5" s="313"/>
      <c r="F5" s="313"/>
      <c r="G5" s="313"/>
      <c r="H5" s="313"/>
      <c r="I5" s="313"/>
      <c r="J5" s="313"/>
      <c r="K5" s="313"/>
      <c r="L5" s="313"/>
      <c r="M5" s="313"/>
      <c r="N5" s="313"/>
      <c r="O5" s="313"/>
      <c r="P5" s="313"/>
      <c r="Q5" s="313"/>
      <c r="R5" s="313"/>
      <c r="S5" s="313"/>
      <c r="T5" s="313"/>
      <c r="U5" s="313"/>
      <c r="V5" s="313"/>
      <c r="W5" s="313"/>
      <c r="X5" s="313"/>
      <c r="Y5" s="313"/>
      <c r="Z5" s="313"/>
      <c r="AA5" s="313"/>
      <c r="AB5" s="313"/>
      <c r="AC5" s="313"/>
      <c r="AD5" s="313"/>
      <c r="AE5" s="362" t="s">
        <v>42</v>
      </c>
      <c r="AF5" s="361"/>
    </row>
    <row r="6" spans="2:32" ht="12.75" customHeight="1">
      <c r="B6" s="305" t="s">
        <v>117</v>
      </c>
      <c r="C6" s="399" t="s">
        <v>41</v>
      </c>
      <c r="D6" s="399" t="s">
        <v>41</v>
      </c>
      <c r="E6" s="359" t="s">
        <v>41</v>
      </c>
      <c r="F6" s="359" t="s">
        <v>41</v>
      </c>
      <c r="G6" s="359" t="s">
        <v>41</v>
      </c>
      <c r="H6" s="359" t="s">
        <v>41</v>
      </c>
      <c r="I6" s="359" t="s">
        <v>41</v>
      </c>
      <c r="J6" s="358">
        <f aca="true" t="shared" si="0" ref="J6:AA6">SUM(J9:J36)</f>
        <v>73.71903011209119</v>
      </c>
      <c r="K6" s="358">
        <f t="shared" si="0"/>
        <v>74.88954108527673</v>
      </c>
      <c r="L6" s="358">
        <f t="shared" si="0"/>
        <v>75.67054402780744</v>
      </c>
      <c r="M6" s="358">
        <f t="shared" si="0"/>
        <v>76.85262198072537</v>
      </c>
      <c r="N6" s="358">
        <f t="shared" si="0"/>
        <v>78.51509682077854</v>
      </c>
      <c r="O6" s="358">
        <f t="shared" si="0"/>
        <v>80.0924826697441</v>
      </c>
      <c r="P6" s="358">
        <f t="shared" si="0"/>
        <v>80.89515498490023</v>
      </c>
      <c r="Q6" s="358">
        <f t="shared" si="0"/>
        <v>81.67139268915017</v>
      </c>
      <c r="R6" s="358">
        <f t="shared" si="0"/>
        <v>82.09006979555612</v>
      </c>
      <c r="S6" s="358">
        <f t="shared" si="0"/>
        <v>85.34013743624409</v>
      </c>
      <c r="T6" s="358">
        <f t="shared" si="0"/>
        <v>86.08519745887872</v>
      </c>
      <c r="U6" s="358">
        <f t="shared" si="0"/>
        <v>87.85912816090782</v>
      </c>
      <c r="V6" s="358">
        <f t="shared" si="0"/>
        <v>89.97241998789852</v>
      </c>
      <c r="W6" s="358">
        <f t="shared" si="0"/>
        <v>93.54354812448204</v>
      </c>
      <c r="X6" s="358">
        <f t="shared" si="0"/>
        <v>93.45798241195453</v>
      </c>
      <c r="Y6" s="358">
        <f t="shared" si="0"/>
        <v>96.12143266802344</v>
      </c>
      <c r="Z6" s="358">
        <f t="shared" si="0"/>
        <v>97.3460186098992</v>
      </c>
      <c r="AA6" s="358">
        <f t="shared" si="0"/>
        <v>98.92246983318948</v>
      </c>
      <c r="AB6" s="358">
        <f>SUM(AB9:AB36)</f>
        <v>99.3516629482615</v>
      </c>
      <c r="AC6" s="466">
        <f>SUM(AC9:AC36)</f>
        <v>100.62664467596638</v>
      </c>
      <c r="AD6" s="466">
        <f>SUM(AD9:AD36)</f>
        <v>102.3634431270354</v>
      </c>
      <c r="AE6" s="398">
        <f>AD6/AC6*100-100</f>
        <v>1.7259826725434237</v>
      </c>
      <c r="AF6" s="397" t="s">
        <v>117</v>
      </c>
    </row>
    <row r="7" spans="2:32" ht="12.75" customHeight="1">
      <c r="B7" s="273" t="s">
        <v>118</v>
      </c>
      <c r="C7" s="300">
        <f aca="true" t="shared" si="1" ref="C7:AA7">SUM(C9,C12:C13,C15,C16:C18,C24,C27:C28,C30,C34:C36,C20)</f>
        <v>38.910000000000004</v>
      </c>
      <c r="D7" s="300">
        <f t="shared" si="1"/>
        <v>40.66999999999999</v>
      </c>
      <c r="E7" s="357">
        <f t="shared" si="1"/>
        <v>50.76965626723036</v>
      </c>
      <c r="F7" s="357">
        <f t="shared" si="1"/>
        <v>51.63650849921758</v>
      </c>
      <c r="G7" s="357">
        <f t="shared" si="1"/>
        <v>51.12006622598522</v>
      </c>
      <c r="H7" s="357">
        <f t="shared" si="1"/>
        <v>51.393721733549064</v>
      </c>
      <c r="I7" s="357">
        <f t="shared" si="1"/>
        <v>51.312382198117284</v>
      </c>
      <c r="J7" s="357">
        <f t="shared" si="1"/>
        <v>50.87474411209119</v>
      </c>
      <c r="K7" s="357">
        <f t="shared" si="1"/>
        <v>52.15036208527671</v>
      </c>
      <c r="L7" s="357">
        <f t="shared" si="1"/>
        <v>52.87555102780744</v>
      </c>
      <c r="M7" s="357">
        <f t="shared" si="1"/>
        <v>53.950461980725386</v>
      </c>
      <c r="N7" s="357">
        <f t="shared" si="1"/>
        <v>55.421388820778525</v>
      </c>
      <c r="O7" s="357">
        <f t="shared" si="1"/>
        <v>57.10991166974409</v>
      </c>
      <c r="P7" s="357">
        <f t="shared" si="1"/>
        <v>57.74074820490023</v>
      </c>
      <c r="Q7" s="357">
        <f t="shared" si="1"/>
        <v>58.522443059150156</v>
      </c>
      <c r="R7" s="357">
        <f t="shared" si="1"/>
        <v>58.98304119555614</v>
      </c>
      <c r="S7" s="357">
        <f t="shared" si="1"/>
        <v>61.82417266624412</v>
      </c>
      <c r="T7" s="357">
        <f t="shared" si="1"/>
        <v>63.09970591887871</v>
      </c>
      <c r="U7" s="357">
        <f t="shared" si="1"/>
        <v>64.77922916090783</v>
      </c>
      <c r="V7" s="357">
        <f t="shared" si="1"/>
        <v>66.58432198789852</v>
      </c>
      <c r="W7" s="357">
        <f t="shared" si="1"/>
        <v>68.50774332448202</v>
      </c>
      <c r="X7" s="357">
        <f t="shared" si="1"/>
        <v>68.62762501195454</v>
      </c>
      <c r="Y7" s="357">
        <f t="shared" si="1"/>
        <v>71.0868232702474</v>
      </c>
      <c r="Z7" s="357">
        <f t="shared" si="1"/>
        <v>72.64765774257242</v>
      </c>
      <c r="AA7" s="357">
        <f t="shared" si="1"/>
        <v>72.77102687279948</v>
      </c>
      <c r="AB7" s="357">
        <f>SUM(AB9,AB12:AB13,AB15,AB16:AB18,AB24,AB27:AB28,AB30,AB34:AB36,AB20)</f>
        <v>73.25309744713405</v>
      </c>
      <c r="AC7" s="357">
        <f>SUM(AC9,AC12:AC13,AC15,AC16:AC18,AC24,AC27:AC28,AC30,AC34:AC36,AC20)</f>
        <v>74.13948066494262</v>
      </c>
      <c r="AD7" s="357">
        <f>SUM(AD9,AD12:AD13,AD15,AD16:AD18,AD24,AD27:AD28,AD30,AD34:AD36,AD20)</f>
        <v>75.85022346392773</v>
      </c>
      <c r="AE7" s="396">
        <f aca="true" t="shared" si="2" ref="AE7:AE44">AD7/AC7*100-100</f>
        <v>2.3074653121950632</v>
      </c>
      <c r="AF7" s="395" t="s">
        <v>118</v>
      </c>
    </row>
    <row r="8" spans="2:32" ht="12.75" customHeight="1">
      <c r="B8" s="294" t="s">
        <v>119</v>
      </c>
      <c r="C8" s="295"/>
      <c r="D8" s="295"/>
      <c r="E8" s="354"/>
      <c r="F8" s="354"/>
      <c r="G8" s="354"/>
      <c r="H8" s="354"/>
      <c r="I8" s="354"/>
      <c r="J8" s="354">
        <f aca="true" t="shared" si="3" ref="J8:AA8">J6-J7</f>
        <v>22.844285999999997</v>
      </c>
      <c r="K8" s="354">
        <f t="shared" si="3"/>
        <v>22.73917900000002</v>
      </c>
      <c r="L8" s="354">
        <f t="shared" si="3"/>
        <v>22.794992999999998</v>
      </c>
      <c r="M8" s="354">
        <f t="shared" si="3"/>
        <v>22.902159999999988</v>
      </c>
      <c r="N8" s="354">
        <f t="shared" si="3"/>
        <v>23.093708000000014</v>
      </c>
      <c r="O8" s="354">
        <f t="shared" si="3"/>
        <v>22.982571000000007</v>
      </c>
      <c r="P8" s="354">
        <f t="shared" si="3"/>
        <v>23.154406780000002</v>
      </c>
      <c r="Q8" s="354">
        <f t="shared" si="3"/>
        <v>23.14894963000001</v>
      </c>
      <c r="R8" s="354">
        <f t="shared" si="3"/>
        <v>23.10702859999998</v>
      </c>
      <c r="S8" s="354">
        <f t="shared" si="3"/>
        <v>23.515964769999975</v>
      </c>
      <c r="T8" s="354">
        <f t="shared" si="3"/>
        <v>22.985491540000012</v>
      </c>
      <c r="U8" s="354">
        <f t="shared" si="3"/>
        <v>23.079898999999983</v>
      </c>
      <c r="V8" s="354">
        <f t="shared" si="3"/>
        <v>23.388098</v>
      </c>
      <c r="W8" s="354">
        <f t="shared" si="3"/>
        <v>25.035804800000022</v>
      </c>
      <c r="X8" s="354">
        <f t="shared" si="3"/>
        <v>24.830357399999997</v>
      </c>
      <c r="Y8" s="354">
        <f t="shared" si="3"/>
        <v>25.03460939777605</v>
      </c>
      <c r="Z8" s="354">
        <f t="shared" si="3"/>
        <v>24.698360867326784</v>
      </c>
      <c r="AA8" s="354">
        <f t="shared" si="3"/>
        <v>26.15144296039</v>
      </c>
      <c r="AB8" s="354">
        <f>AB6-AB7</f>
        <v>26.098565501127453</v>
      </c>
      <c r="AC8" s="467">
        <f>AC6-AC7</f>
        <v>26.48716401102375</v>
      </c>
      <c r="AD8" s="467">
        <f>AD6-AD7</f>
        <v>26.513219663107662</v>
      </c>
      <c r="AE8" s="394">
        <f t="shared" si="2"/>
        <v>0.0983708639893166</v>
      </c>
      <c r="AF8" s="294" t="s">
        <v>119</v>
      </c>
    </row>
    <row r="9" spans="2:32" ht="12.75" customHeight="1">
      <c r="B9" s="231" t="s">
        <v>29</v>
      </c>
      <c r="C9" s="281">
        <v>0.86</v>
      </c>
      <c r="D9" s="281">
        <v>0.77</v>
      </c>
      <c r="E9" s="278">
        <v>0.74</v>
      </c>
      <c r="F9" s="278">
        <v>0.75</v>
      </c>
      <c r="G9" s="278">
        <v>0.76</v>
      </c>
      <c r="H9" s="278">
        <v>0.77</v>
      </c>
      <c r="I9" s="278">
        <v>0.79</v>
      </c>
      <c r="J9" s="278">
        <v>0.8</v>
      </c>
      <c r="K9" s="278">
        <v>0.81</v>
      </c>
      <c r="L9" s="278">
        <v>0.82</v>
      </c>
      <c r="M9" s="278">
        <v>0.82</v>
      </c>
      <c r="N9" s="278">
        <v>0.82</v>
      </c>
      <c r="O9" s="278">
        <v>0.87</v>
      </c>
      <c r="P9" s="278">
        <v>0.876</v>
      </c>
      <c r="Q9" s="279">
        <v>0.89</v>
      </c>
      <c r="R9" s="279">
        <v>0.9</v>
      </c>
      <c r="S9" s="279">
        <v>0.91</v>
      </c>
      <c r="T9" s="279">
        <v>0.93</v>
      </c>
      <c r="U9" s="279">
        <v>0.95</v>
      </c>
      <c r="V9" s="279">
        <v>0.97</v>
      </c>
      <c r="W9" s="279">
        <v>1</v>
      </c>
      <c r="X9" s="279">
        <v>1</v>
      </c>
      <c r="Y9" s="279">
        <v>1.07</v>
      </c>
      <c r="Z9" s="279">
        <f>Y9*329.9/311.6</f>
        <v>1.1328401797175867</v>
      </c>
      <c r="AA9" s="279">
        <f>Z9*(132.4+123.5)/(125.8+112.1)</f>
        <v>1.2185531819660802</v>
      </c>
      <c r="AB9" s="279">
        <f>AA9*354.8/348.8</f>
        <v>1.2395145325732948</v>
      </c>
      <c r="AC9" s="279">
        <f>AB9*(133.4+131.3)/(138.3+128.9)</f>
        <v>1.227917278338889</v>
      </c>
      <c r="AD9" s="279">
        <f>AC9*((134.9+132.7)/(133.4+131.1))</f>
        <v>1.242308747385583</v>
      </c>
      <c r="AE9" s="293">
        <f t="shared" si="2"/>
        <v>1.172022684310022</v>
      </c>
      <c r="AF9" s="254" t="s">
        <v>29</v>
      </c>
    </row>
    <row r="10" spans="2:32" ht="12.75" customHeight="1">
      <c r="B10" s="273" t="s">
        <v>12</v>
      </c>
      <c r="C10" s="276"/>
      <c r="D10" s="276"/>
      <c r="E10" s="275">
        <v>0.586</v>
      </c>
      <c r="F10" s="275">
        <v>0.454</v>
      </c>
      <c r="G10" s="275">
        <v>0.524</v>
      </c>
      <c r="H10" s="275">
        <v>0.283</v>
      </c>
      <c r="I10" s="275">
        <v>0.25</v>
      </c>
      <c r="J10" s="275">
        <v>0.283</v>
      </c>
      <c r="K10" s="275">
        <v>0.296</v>
      </c>
      <c r="L10" s="393">
        <v>0.308</v>
      </c>
      <c r="M10" s="275">
        <v>0.444</v>
      </c>
      <c r="N10" s="275">
        <v>0.46</v>
      </c>
      <c r="O10" s="275">
        <v>0.419</v>
      </c>
      <c r="P10" s="275">
        <v>0.469</v>
      </c>
      <c r="Q10" s="275">
        <v>0.436</v>
      </c>
      <c r="R10" s="275">
        <v>0.486</v>
      </c>
      <c r="S10" s="275">
        <v>0.44</v>
      </c>
      <c r="T10" s="275">
        <v>0.434</v>
      </c>
      <c r="U10" s="275">
        <v>0.446</v>
      </c>
      <c r="V10" s="275">
        <v>0.443</v>
      </c>
      <c r="W10" s="275">
        <v>0.486</v>
      </c>
      <c r="X10" s="275">
        <v>0.688</v>
      </c>
      <c r="Y10" s="275">
        <f>0.909</f>
        <v>0.909</v>
      </c>
      <c r="Z10" s="275">
        <v>0.872</v>
      </c>
      <c r="AA10" s="275">
        <v>1.02</v>
      </c>
      <c r="AB10" s="275">
        <v>1.01</v>
      </c>
      <c r="AC10" s="275">
        <v>0.729</v>
      </c>
      <c r="AD10" s="275">
        <v>0.740478</v>
      </c>
      <c r="AE10" s="274">
        <f t="shared" si="2"/>
        <v>1.5744855967078024</v>
      </c>
      <c r="AF10" s="273" t="s">
        <v>12</v>
      </c>
    </row>
    <row r="11" spans="1:32" s="245" customFormat="1" ht="12.75" customHeight="1">
      <c r="A11" s="250"/>
      <c r="B11" s="231" t="s">
        <v>14</v>
      </c>
      <c r="C11" s="350"/>
      <c r="D11" s="350"/>
      <c r="E11" s="291"/>
      <c r="F11" s="291"/>
      <c r="G11" s="291"/>
      <c r="H11" s="291" t="s">
        <v>41</v>
      </c>
      <c r="I11" s="291" t="s">
        <v>41</v>
      </c>
      <c r="J11" s="291">
        <v>7.688</v>
      </c>
      <c r="K11" s="291">
        <v>7.791</v>
      </c>
      <c r="L11" s="291">
        <v>7.863</v>
      </c>
      <c r="M11" s="291">
        <v>7.855</v>
      </c>
      <c r="N11" s="291">
        <v>8.154</v>
      </c>
      <c r="O11" s="291">
        <v>8.068</v>
      </c>
      <c r="P11" s="291">
        <v>8.227</v>
      </c>
      <c r="Q11" s="291">
        <v>8.307</v>
      </c>
      <c r="R11" s="291">
        <v>8.5634</v>
      </c>
      <c r="S11" s="291">
        <f>4.8847+3.8408</f>
        <v>8.7255</v>
      </c>
      <c r="T11" s="291">
        <f>4.769+3.1652</f>
        <v>7.934200000000001</v>
      </c>
      <c r="U11" s="291">
        <f>4.5344+3.2644</f>
        <v>7.7988</v>
      </c>
      <c r="V11" s="291">
        <f>4.4489+3.3015</f>
        <v>7.7504</v>
      </c>
      <c r="W11" s="291">
        <f>4.678+4.4648</f>
        <v>9.142800000000001</v>
      </c>
      <c r="X11" s="291">
        <v>8.9867</v>
      </c>
      <c r="Y11" s="291">
        <f>4.624+4.373</f>
        <v>8.997</v>
      </c>
      <c r="Z11" s="291">
        <f>4.461+4.255</f>
        <v>8.716000000000001</v>
      </c>
      <c r="AA11" s="291">
        <f>4.465+5.037</f>
        <v>9.501999999999999</v>
      </c>
      <c r="AB11" s="291">
        <v>9.580900000000002</v>
      </c>
      <c r="AC11" s="291">
        <f>4.721+4.8364</f>
        <v>9.557400000000001</v>
      </c>
      <c r="AD11" s="291">
        <f>4.619+5.214</f>
        <v>9.833</v>
      </c>
      <c r="AE11" s="232">
        <f t="shared" si="2"/>
        <v>2.8836294389687396</v>
      </c>
      <c r="AF11" s="231" t="s">
        <v>14</v>
      </c>
    </row>
    <row r="12" spans="2:32" ht="12.75" customHeight="1">
      <c r="B12" s="273" t="s">
        <v>25</v>
      </c>
      <c r="C12" s="392" t="s">
        <v>43</v>
      </c>
      <c r="D12" s="392" t="s">
        <v>43</v>
      </c>
      <c r="E12" s="391" t="s">
        <v>43</v>
      </c>
      <c r="F12" s="391" t="s">
        <v>43</v>
      </c>
      <c r="G12" s="391" t="s">
        <v>43</v>
      </c>
      <c r="H12" s="391" t="s">
        <v>43</v>
      </c>
      <c r="I12" s="391" t="s">
        <v>43</v>
      </c>
      <c r="J12" s="391" t="s">
        <v>43</v>
      </c>
      <c r="K12" s="391" t="s">
        <v>43</v>
      </c>
      <c r="L12" s="391" t="s">
        <v>43</v>
      </c>
      <c r="M12" s="391" t="s">
        <v>43</v>
      </c>
      <c r="N12" s="391" t="s">
        <v>43</v>
      </c>
      <c r="O12" s="391" t="s">
        <v>43</v>
      </c>
      <c r="P12" s="391" t="s">
        <v>43</v>
      </c>
      <c r="Q12" s="275">
        <v>0.009</v>
      </c>
      <c r="R12" s="275">
        <v>0.067</v>
      </c>
      <c r="S12" s="275">
        <v>0.128</v>
      </c>
      <c r="T12" s="275">
        <v>0.162</v>
      </c>
      <c r="U12" s="275">
        <v>0.164</v>
      </c>
      <c r="V12" s="275">
        <v>0.177</v>
      </c>
      <c r="W12" s="275">
        <v>0.195</v>
      </c>
      <c r="X12" s="275">
        <v>0.215</v>
      </c>
      <c r="Y12" s="275">
        <f>0.239</f>
        <v>0.239</v>
      </c>
      <c r="Z12" s="275">
        <v>0.278</v>
      </c>
      <c r="AA12" s="275">
        <v>0.274</v>
      </c>
      <c r="AB12" s="275">
        <v>0.284</v>
      </c>
      <c r="AC12" s="275">
        <v>0.294</v>
      </c>
      <c r="AD12" s="275">
        <v>0.301</v>
      </c>
      <c r="AE12" s="274">
        <f t="shared" si="2"/>
        <v>2.3809523809523796</v>
      </c>
      <c r="AF12" s="273" t="s">
        <v>25</v>
      </c>
    </row>
    <row r="13" spans="1:32" s="245" customFormat="1" ht="12.75" customHeight="1">
      <c r="A13" s="250"/>
      <c r="B13" s="231" t="s">
        <v>30</v>
      </c>
      <c r="C13" s="390">
        <v>14.63</v>
      </c>
      <c r="D13" s="390">
        <v>13.84</v>
      </c>
      <c r="E13" s="389">
        <v>15.1</v>
      </c>
      <c r="F13" s="389">
        <v>15.14</v>
      </c>
      <c r="G13" s="389">
        <v>14.43</v>
      </c>
      <c r="H13" s="389">
        <v>14.62</v>
      </c>
      <c r="I13" s="389">
        <v>14.47</v>
      </c>
      <c r="J13" s="389">
        <v>14.43</v>
      </c>
      <c r="K13" s="389">
        <v>14.47</v>
      </c>
      <c r="L13" s="389">
        <v>14.5</v>
      </c>
      <c r="M13" s="389">
        <v>14.4</v>
      </c>
      <c r="N13" s="389">
        <v>14.5</v>
      </c>
      <c r="O13" s="389">
        <v>14.6</v>
      </c>
      <c r="P13" s="389">
        <v>14.7</v>
      </c>
      <c r="Q13" s="291">
        <v>14.74</v>
      </c>
      <c r="R13" s="291">
        <v>14.75</v>
      </c>
      <c r="S13" s="291">
        <v>14.986</v>
      </c>
      <c r="T13" s="291">
        <v>15.485</v>
      </c>
      <c r="U13" s="291">
        <v>15.568</v>
      </c>
      <c r="V13" s="291">
        <v>15.92</v>
      </c>
      <c r="W13" s="291">
        <v>15.991</v>
      </c>
      <c r="X13" s="291">
        <v>16.496</v>
      </c>
      <c r="Y13" s="291">
        <f>16.349</f>
        <v>16.349</v>
      </c>
      <c r="Z13" s="291">
        <v>16.6</v>
      </c>
      <c r="AA13" s="291">
        <v>16.6</v>
      </c>
      <c r="AB13" s="291">
        <v>16.7</v>
      </c>
      <c r="AC13" s="291">
        <v>16.6</v>
      </c>
      <c r="AD13" s="291">
        <v>16.9</v>
      </c>
      <c r="AE13" s="232">
        <f t="shared" si="2"/>
        <v>1.807228915662634</v>
      </c>
      <c r="AF13" s="231" t="s">
        <v>30</v>
      </c>
    </row>
    <row r="14" spans="2:32" ht="12.75" customHeight="1">
      <c r="B14" s="273" t="s">
        <v>15</v>
      </c>
      <c r="C14" s="276" t="s">
        <v>41</v>
      </c>
      <c r="D14" s="276" t="s">
        <v>41</v>
      </c>
      <c r="E14" s="275" t="s">
        <v>41</v>
      </c>
      <c r="F14" s="275" t="s">
        <v>41</v>
      </c>
      <c r="G14" s="275" t="s">
        <v>41</v>
      </c>
      <c r="H14" s="275" t="s">
        <v>41</v>
      </c>
      <c r="I14" s="275" t="s">
        <v>41</v>
      </c>
      <c r="J14" s="283">
        <f>0.0352*3</f>
        <v>0.1056</v>
      </c>
      <c r="K14" s="283">
        <f>0.0356*3</f>
        <v>0.1068</v>
      </c>
      <c r="L14" s="283">
        <f>0.0369*3</f>
        <v>0.1107</v>
      </c>
      <c r="M14" s="283">
        <f>0.0306*3</f>
        <v>0.09179999999999999</v>
      </c>
      <c r="N14" s="283">
        <f>0.0293*3</f>
        <v>0.0879</v>
      </c>
      <c r="O14" s="283">
        <f>0.0349*3</f>
        <v>0.1047</v>
      </c>
      <c r="P14" s="283">
        <f>0.0292*3</f>
        <v>0.0876</v>
      </c>
      <c r="Q14" s="283">
        <f>0.0308*3</f>
        <v>0.09240000000000001</v>
      </c>
      <c r="R14" s="283">
        <f>0.0311*3</f>
        <v>0.0933</v>
      </c>
      <c r="S14" s="283">
        <f>0.0278*3</f>
        <v>0.0834</v>
      </c>
      <c r="T14" s="283">
        <f>0.0251*3</f>
        <v>0.0753</v>
      </c>
      <c r="U14" s="283">
        <f>0.0262*3</f>
        <v>0.0786</v>
      </c>
      <c r="V14" s="283">
        <f>0.0264*3</f>
        <v>0.07919999999999999</v>
      </c>
      <c r="W14" s="476">
        <v>0.22281640000000003</v>
      </c>
      <c r="X14" s="283">
        <v>0.2223115</v>
      </c>
      <c r="Y14" s="283">
        <v>0.2050992</v>
      </c>
      <c r="Z14" s="283">
        <v>0.1896993</v>
      </c>
      <c r="AA14" s="283">
        <v>0.2561285</v>
      </c>
      <c r="AB14" s="283">
        <v>0.20434</v>
      </c>
      <c r="AC14" s="283">
        <v>0.1765499</v>
      </c>
      <c r="AD14" s="283">
        <v>0.168931</v>
      </c>
      <c r="AE14" s="282">
        <f t="shared" si="2"/>
        <v>-4.315437165356656</v>
      </c>
      <c r="AF14" s="273" t="s">
        <v>15</v>
      </c>
    </row>
    <row r="15" spans="2:32" ht="12.75" customHeight="1">
      <c r="B15" s="231" t="s">
        <v>33</v>
      </c>
      <c r="C15" s="388" t="s">
        <v>43</v>
      </c>
      <c r="D15" s="388" t="s">
        <v>43</v>
      </c>
      <c r="E15" s="387" t="s">
        <v>43</v>
      </c>
      <c r="F15" s="387" t="s">
        <v>43</v>
      </c>
      <c r="G15" s="387" t="s">
        <v>43</v>
      </c>
      <c r="H15" s="387" t="s">
        <v>43</v>
      </c>
      <c r="I15" s="387" t="s">
        <v>43</v>
      </c>
      <c r="J15" s="387" t="s">
        <v>43</v>
      </c>
      <c r="K15" s="387" t="s">
        <v>43</v>
      </c>
      <c r="L15" s="387" t="s">
        <v>43</v>
      </c>
      <c r="M15" s="387" t="s">
        <v>43</v>
      </c>
      <c r="N15" s="387" t="s">
        <v>43</v>
      </c>
      <c r="O15" s="387" t="s">
        <v>43</v>
      </c>
      <c r="P15" s="387" t="s">
        <v>43</v>
      </c>
      <c r="Q15" s="387" t="s">
        <v>43</v>
      </c>
      <c r="R15" s="387" t="s">
        <v>43</v>
      </c>
      <c r="S15" s="279">
        <v>0.05</v>
      </c>
      <c r="T15" s="279">
        <v>0.11</v>
      </c>
      <c r="U15" s="278">
        <f>0.06713+0.04598</f>
        <v>0.11310999999999999</v>
      </c>
      <c r="V15" s="278">
        <f>0.107+0.068</f>
        <v>0.175</v>
      </c>
      <c r="W15" s="278">
        <f>0.083+0.058</f>
        <v>0.14100000000000001</v>
      </c>
      <c r="X15" s="278">
        <f>0.079+0.053</f>
        <v>0.132</v>
      </c>
      <c r="Y15" s="278">
        <f>0.069+0.062</f>
        <v>0.131</v>
      </c>
      <c r="Z15" s="278">
        <f>0.073+0.065</f>
        <v>0.138</v>
      </c>
      <c r="AA15" s="278">
        <f>0.0711+0.0729</f>
        <v>0.14400000000000002</v>
      </c>
      <c r="AB15" s="278">
        <v>0.14982473</v>
      </c>
      <c r="AC15" s="278">
        <f>0.07929535+0.080777584</f>
        <v>0.160072934</v>
      </c>
      <c r="AD15" s="278">
        <f>0.085496552+0.09417113</f>
        <v>0.179667682</v>
      </c>
      <c r="AE15" s="277">
        <f t="shared" si="2"/>
        <v>12.24113753047095</v>
      </c>
      <c r="AF15" s="231" t="s">
        <v>33</v>
      </c>
    </row>
    <row r="16" spans="2:32" ht="12.75" customHeight="1">
      <c r="B16" s="273" t="s">
        <v>26</v>
      </c>
      <c r="C16" s="284">
        <v>0.63</v>
      </c>
      <c r="D16" s="284">
        <v>0.68</v>
      </c>
      <c r="E16" s="283">
        <v>0.83</v>
      </c>
      <c r="F16" s="283">
        <v>0.81</v>
      </c>
      <c r="G16" s="283">
        <v>0.79</v>
      </c>
      <c r="H16" s="283">
        <v>0.77</v>
      </c>
      <c r="I16" s="283">
        <v>0.72</v>
      </c>
      <c r="J16" s="283">
        <v>0.74</v>
      </c>
      <c r="K16" s="283">
        <v>0.74</v>
      </c>
      <c r="L16" s="283">
        <v>0.75</v>
      </c>
      <c r="M16" s="283">
        <v>0.8</v>
      </c>
      <c r="N16" s="283">
        <v>0.81</v>
      </c>
      <c r="O16" s="283">
        <v>1.19</v>
      </c>
      <c r="P16" s="283">
        <v>1.33</v>
      </c>
      <c r="Q16" s="283">
        <v>1.35</v>
      </c>
      <c r="R16" s="283">
        <v>1.4</v>
      </c>
      <c r="S16" s="283">
        <v>1.5</v>
      </c>
      <c r="T16" s="283">
        <v>1.5</v>
      </c>
      <c r="U16" s="283">
        <v>1.55</v>
      </c>
      <c r="V16" s="283">
        <v>1.6</v>
      </c>
      <c r="W16" s="283">
        <v>1.66</v>
      </c>
      <c r="X16" s="283">
        <v>1.671</v>
      </c>
      <c r="Y16" s="283">
        <v>1.692746498280652</v>
      </c>
      <c r="Z16" s="283">
        <f>AVERAGE(W16:Y16)</f>
        <v>1.6745821660935505</v>
      </c>
      <c r="AA16" s="283">
        <v>1.6693892905336882</v>
      </c>
      <c r="AB16" s="283">
        <v>1.6640104964628029</v>
      </c>
      <c r="AC16" s="283">
        <v>1.662268977961797</v>
      </c>
      <c r="AD16" s="283">
        <f>AC16*(1.007)</f>
        <v>1.6739048608075293</v>
      </c>
      <c r="AE16" s="282">
        <f t="shared" si="2"/>
        <v>0.6999999999999886</v>
      </c>
      <c r="AF16" s="273" t="s">
        <v>26</v>
      </c>
    </row>
    <row r="17" spans="2:32" ht="12.75" customHeight="1">
      <c r="B17" s="231" t="s">
        <v>31</v>
      </c>
      <c r="C17" s="281">
        <v>3.67</v>
      </c>
      <c r="D17" s="281">
        <v>3.88</v>
      </c>
      <c r="E17" s="278">
        <v>4.38</v>
      </c>
      <c r="F17" s="278">
        <v>4.3</v>
      </c>
      <c r="G17" s="278">
        <v>4.25</v>
      </c>
      <c r="H17" s="278">
        <v>4.2</v>
      </c>
      <c r="I17" s="278">
        <v>4.15</v>
      </c>
      <c r="J17" s="278">
        <v>4.25</v>
      </c>
      <c r="K17" s="278">
        <v>4.49</v>
      </c>
      <c r="L17" s="278">
        <v>4.57</v>
      </c>
      <c r="M17" s="278">
        <v>4.84</v>
      </c>
      <c r="N17" s="279">
        <v>5.06</v>
      </c>
      <c r="O17" s="279">
        <v>5.23</v>
      </c>
      <c r="P17" s="279">
        <v>5.34</v>
      </c>
      <c r="Q17" s="279">
        <v>5.5</v>
      </c>
      <c r="R17" s="279">
        <v>5.6</v>
      </c>
      <c r="S17" s="279">
        <v>5.8</v>
      </c>
      <c r="T17" s="279">
        <v>6</v>
      </c>
      <c r="U17" s="279">
        <v>6.2</v>
      </c>
      <c r="V17" s="279">
        <v>6.4</v>
      </c>
      <c r="W17" s="279">
        <v>6.5</v>
      </c>
      <c r="X17" s="279">
        <v>6.2725</v>
      </c>
      <c r="Y17" s="478">
        <v>7.588900000000001</v>
      </c>
      <c r="Z17" s="278">
        <v>7.6311</v>
      </c>
      <c r="AA17" s="278">
        <v>7.3169</v>
      </c>
      <c r="AB17" s="278">
        <v>6.969900000000002</v>
      </c>
      <c r="AC17" s="278">
        <v>7.152700000000001</v>
      </c>
      <c r="AD17" s="278">
        <v>7.277299999999999</v>
      </c>
      <c r="AE17" s="293">
        <f t="shared" si="2"/>
        <v>1.741999524654986</v>
      </c>
      <c r="AF17" s="231" t="s">
        <v>31</v>
      </c>
    </row>
    <row r="18" spans="2:32" ht="12.75" customHeight="1">
      <c r="B18" s="273" t="s">
        <v>32</v>
      </c>
      <c r="C18" s="276">
        <v>6.5</v>
      </c>
      <c r="D18" s="386">
        <v>7.7</v>
      </c>
      <c r="E18" s="385">
        <v>10.476443368895263</v>
      </c>
      <c r="F18" s="275">
        <v>10.233383195251669</v>
      </c>
      <c r="G18" s="275">
        <v>10.414323650575252</v>
      </c>
      <c r="H18" s="275">
        <v>10.37918002638481</v>
      </c>
      <c r="I18" s="275">
        <v>10.453352069536807</v>
      </c>
      <c r="J18" s="275">
        <v>9.327340933853145</v>
      </c>
      <c r="K18" s="275">
        <v>9.818268042852674</v>
      </c>
      <c r="L18" s="275">
        <v>10.054374505661677</v>
      </c>
      <c r="M18" s="275">
        <v>10.502619818419767</v>
      </c>
      <c r="N18" s="275">
        <v>10.935597585658641</v>
      </c>
      <c r="O18" s="385">
        <v>11.633685254006512</v>
      </c>
      <c r="P18" s="275">
        <v>11.779086423126303</v>
      </c>
      <c r="Q18" s="275">
        <v>11.945869204302205</v>
      </c>
      <c r="R18" s="275">
        <v>11.762165248289488</v>
      </c>
      <c r="S18" s="275">
        <v>13.303413046515091</v>
      </c>
      <c r="T18" s="275">
        <v>13.620330458217733</v>
      </c>
      <c r="U18" s="275">
        <v>13.86912542912846</v>
      </c>
      <c r="V18" s="275">
        <v>13.942725725198631</v>
      </c>
      <c r="W18" s="275">
        <v>14.823026604643687</v>
      </c>
      <c r="X18" s="275">
        <v>14.65691476777499</v>
      </c>
      <c r="Y18" s="275">
        <v>15.03220290291087</v>
      </c>
      <c r="Z18" s="275">
        <v>15.301799934284682</v>
      </c>
      <c r="AA18" s="275">
        <v>15.595579058566956</v>
      </c>
      <c r="AB18" s="275">
        <v>15.748900135343224</v>
      </c>
      <c r="AC18" s="275">
        <v>16.142915646960294</v>
      </c>
      <c r="AD18" s="275">
        <v>16.20729282632928</v>
      </c>
      <c r="AE18" s="274">
        <f t="shared" si="2"/>
        <v>0.39879524106358133</v>
      </c>
      <c r="AF18" s="273" t="s">
        <v>32</v>
      </c>
    </row>
    <row r="19" spans="2:32" ht="12.75" customHeight="1">
      <c r="B19" s="231" t="s">
        <v>44</v>
      </c>
      <c r="C19" s="234"/>
      <c r="D19" s="384"/>
      <c r="E19" s="383"/>
      <c r="F19" s="233"/>
      <c r="G19" s="233"/>
      <c r="H19" s="252">
        <v>0.546627</v>
      </c>
      <c r="I19" s="252">
        <v>0.542601</v>
      </c>
      <c r="J19" s="252">
        <v>0.525396</v>
      </c>
      <c r="K19" s="252">
        <v>0.48687899999999995</v>
      </c>
      <c r="L19" s="252">
        <v>0.498093</v>
      </c>
      <c r="M19" s="252">
        <v>0.487896</v>
      </c>
      <c r="N19" s="252">
        <v>0.48726600000000003</v>
      </c>
      <c r="O19" s="252">
        <v>0.504171</v>
      </c>
      <c r="P19" s="252">
        <v>0.531744</v>
      </c>
      <c r="Q19" s="252">
        <v>0.5347379999999999</v>
      </c>
      <c r="R19" s="252">
        <v>0.550308</v>
      </c>
      <c r="S19" s="252">
        <v>0.529083</v>
      </c>
      <c r="T19" s="252">
        <v>0.533166</v>
      </c>
      <c r="U19" s="252">
        <v>0.5597730000000001</v>
      </c>
      <c r="V19" s="252">
        <v>0.66096</v>
      </c>
      <c r="W19" s="252">
        <v>0.623604</v>
      </c>
      <c r="X19" s="252">
        <v>0.57882</v>
      </c>
      <c r="Y19" s="252">
        <v>0.549357</v>
      </c>
      <c r="Z19" s="252">
        <v>0.519531</v>
      </c>
      <c r="AA19" s="252">
        <f>0.174139*3</f>
        <v>0.5224169999999999</v>
      </c>
      <c r="AB19" s="252">
        <f>0.177596*3</f>
        <v>0.532788</v>
      </c>
      <c r="AC19" s="252">
        <f>0.191899*3</f>
        <v>0.5756969999999999</v>
      </c>
      <c r="AD19" s="252">
        <f>0.199322*3</f>
        <v>0.597966</v>
      </c>
      <c r="AE19" s="232">
        <f t="shared" si="2"/>
        <v>3.868180657533401</v>
      </c>
      <c r="AF19" s="231" t="s">
        <v>44</v>
      </c>
    </row>
    <row r="20" spans="1:32" s="245" customFormat="1" ht="12.75" customHeight="1">
      <c r="A20" s="250"/>
      <c r="B20" s="235" t="s">
        <v>34</v>
      </c>
      <c r="C20" s="249">
        <v>2.21</v>
      </c>
      <c r="D20" s="249">
        <v>3.66</v>
      </c>
      <c r="E20" s="237">
        <f>2.58+1.629</f>
        <v>4.209</v>
      </c>
      <c r="F20" s="237">
        <v>5.328</v>
      </c>
      <c r="G20" s="237">
        <v>5.4</v>
      </c>
      <c r="H20" s="237">
        <v>5.5</v>
      </c>
      <c r="I20" s="237">
        <v>5.1</v>
      </c>
      <c r="J20" s="237">
        <f>4.038+1.1136</f>
        <v>5.1516</v>
      </c>
      <c r="K20" s="237">
        <v>5.282</v>
      </c>
      <c r="L20" s="237">
        <v>5.319</v>
      </c>
      <c r="M20" s="237">
        <v>5.251</v>
      </c>
      <c r="N20" s="237">
        <f>4.167+1.072</f>
        <v>5.239</v>
      </c>
      <c r="O20" s="237">
        <f>4.503+1.1057</f>
        <v>5.6087</v>
      </c>
      <c r="P20" s="237">
        <f>4.506+1.083</f>
        <v>5.589</v>
      </c>
      <c r="Q20" s="237">
        <f>4.843+1.042</f>
        <v>5.885</v>
      </c>
      <c r="R20" s="237">
        <f>4.935+1.05</f>
        <v>5.984999999999999</v>
      </c>
      <c r="S20" s="237">
        <f>4.954+1.051</f>
        <v>6.005</v>
      </c>
      <c r="T20" s="237">
        <f>4.982+1.053</f>
        <v>6.035</v>
      </c>
      <c r="U20" s="237">
        <f>5.204+1.075</f>
        <v>6.279</v>
      </c>
      <c r="V20" s="237">
        <f>5.637+1.088</f>
        <v>6.725</v>
      </c>
      <c r="W20" s="237">
        <f>5.777+1.107</f>
        <v>6.884</v>
      </c>
      <c r="X20" s="237">
        <f>1.108+5.84</f>
        <v>6.948</v>
      </c>
      <c r="Y20" s="237">
        <f>5.948+1.135</f>
        <v>7.083</v>
      </c>
      <c r="Z20" s="237">
        <f>5.849+1.246</f>
        <v>7.095000000000001</v>
      </c>
      <c r="AA20" s="237">
        <f>1.243+5.295</f>
        <v>6.538</v>
      </c>
      <c r="AB20" s="237">
        <f>1.228+5.343</f>
        <v>6.571</v>
      </c>
      <c r="AC20" s="237">
        <f>1.266+5.354</f>
        <v>6.62</v>
      </c>
      <c r="AD20" s="237">
        <f>1.264+5.461</f>
        <v>6.7250000000000005</v>
      </c>
      <c r="AE20" s="258">
        <f t="shared" si="2"/>
        <v>1.586102719033235</v>
      </c>
      <c r="AF20" s="235" t="s">
        <v>34</v>
      </c>
    </row>
    <row r="21" spans="2:32" ht="12.75" customHeight="1">
      <c r="B21" s="231" t="s">
        <v>13</v>
      </c>
      <c r="C21" s="379" t="s">
        <v>43</v>
      </c>
      <c r="D21" s="379" t="s">
        <v>43</v>
      </c>
      <c r="E21" s="378" t="s">
        <v>43</v>
      </c>
      <c r="F21" s="378" t="s">
        <v>43</v>
      </c>
      <c r="G21" s="378" t="s">
        <v>43</v>
      </c>
      <c r="H21" s="378" t="s">
        <v>43</v>
      </c>
      <c r="I21" s="378" t="s">
        <v>43</v>
      </c>
      <c r="J21" s="378" t="s">
        <v>43</v>
      </c>
      <c r="K21" s="378" t="s">
        <v>43</v>
      </c>
      <c r="L21" s="378" t="s">
        <v>43</v>
      </c>
      <c r="M21" s="378" t="s">
        <v>43</v>
      </c>
      <c r="N21" s="378" t="s">
        <v>43</v>
      </c>
      <c r="O21" s="378" t="s">
        <v>43</v>
      </c>
      <c r="P21" s="378" t="s">
        <v>43</v>
      </c>
      <c r="Q21" s="378" t="s">
        <v>43</v>
      </c>
      <c r="R21" s="378" t="s">
        <v>43</v>
      </c>
      <c r="S21" s="378" t="s">
        <v>43</v>
      </c>
      <c r="T21" s="378" t="s">
        <v>43</v>
      </c>
      <c r="U21" s="378" t="s">
        <v>43</v>
      </c>
      <c r="V21" s="378" t="s">
        <v>43</v>
      </c>
      <c r="W21" s="378" t="s">
        <v>43</v>
      </c>
      <c r="X21" s="378" t="s">
        <v>43</v>
      </c>
      <c r="Y21" s="378" t="s">
        <v>43</v>
      </c>
      <c r="Z21" s="378" t="s">
        <v>43</v>
      </c>
      <c r="AA21" s="378" t="s">
        <v>43</v>
      </c>
      <c r="AB21" s="378" t="s">
        <v>43</v>
      </c>
      <c r="AC21" s="378" t="s">
        <v>43</v>
      </c>
      <c r="AD21" s="378" t="s">
        <v>43</v>
      </c>
      <c r="AE21" s="377" t="s">
        <v>43</v>
      </c>
      <c r="AF21" s="231" t="s">
        <v>13</v>
      </c>
    </row>
    <row r="22" spans="1:32" s="245" customFormat="1" ht="12.75" customHeight="1">
      <c r="A22" s="250"/>
      <c r="B22" s="235" t="s">
        <v>17</v>
      </c>
      <c r="C22" s="249" t="s">
        <v>41</v>
      </c>
      <c r="D22" s="249" t="s">
        <v>41</v>
      </c>
      <c r="E22" s="247">
        <f>0.2431*3</f>
        <v>0.7293000000000001</v>
      </c>
      <c r="F22" s="247">
        <f>0.2516*3</f>
        <v>0.7547999999999999</v>
      </c>
      <c r="G22" s="247">
        <f>0.1937*3</f>
        <v>0.5811000000000001</v>
      </c>
      <c r="H22" s="247">
        <f>0.1149*3</f>
        <v>0.3447</v>
      </c>
      <c r="I22" s="247">
        <f>0.1128*3</f>
        <v>0.3384</v>
      </c>
      <c r="J22" s="247">
        <f>0.1012*3</f>
        <v>0.3036</v>
      </c>
      <c r="K22" s="247">
        <f>0.0795*3</f>
        <v>0.2385</v>
      </c>
      <c r="L22" s="247">
        <f>0.0884*3</f>
        <v>0.2652</v>
      </c>
      <c r="M22" s="247">
        <f>0.098*3</f>
        <v>0.29400000000000004</v>
      </c>
      <c r="N22" s="247">
        <f>0.0938*3</f>
        <v>0.2814</v>
      </c>
      <c r="O22" s="247">
        <f>0.0889*3</f>
        <v>0.26670000000000005</v>
      </c>
      <c r="P22" s="247">
        <f>0.0869*3</f>
        <v>0.26070000000000004</v>
      </c>
      <c r="Q22" s="247">
        <f>0.0882*3</f>
        <v>0.2646</v>
      </c>
      <c r="R22" s="247">
        <f>0.0846*3</f>
        <v>0.25379999999999997</v>
      </c>
      <c r="S22" s="247">
        <f>0.0879*3</f>
        <v>0.26370000000000005</v>
      </c>
      <c r="T22" s="247">
        <f>0.0909*3</f>
        <v>0.2727</v>
      </c>
      <c r="U22" s="247">
        <f>0.0931*3</f>
        <v>0.2793</v>
      </c>
      <c r="V22" s="247">
        <f>0.0932*3</f>
        <v>0.2796</v>
      </c>
      <c r="W22" s="247">
        <f>0.0861*3</f>
        <v>0.2583</v>
      </c>
      <c r="X22" s="382">
        <f>0.057*3</f>
        <v>0.171</v>
      </c>
      <c r="Y22" s="247">
        <f>0.041*3</f>
        <v>0.123</v>
      </c>
      <c r="Z22" s="247">
        <f>0.0416*3</f>
        <v>0.1248</v>
      </c>
      <c r="AA22" s="247">
        <f>(30695+2777+7112)*3/1000000</f>
        <v>0.121752</v>
      </c>
      <c r="AB22" s="247">
        <v>0.132762</v>
      </c>
      <c r="AC22" s="247">
        <f>(34.69+3.718+6.582)*3/1000</f>
        <v>0.13497</v>
      </c>
      <c r="AD22" s="247">
        <f>(33.938+2.98+6.741)*3/1000</f>
        <v>0.130977</v>
      </c>
      <c r="AE22" s="246">
        <f t="shared" si="2"/>
        <v>-2.9584352078239675</v>
      </c>
      <c r="AF22" s="235" t="s">
        <v>17</v>
      </c>
    </row>
    <row r="23" spans="2:32" ht="12.75" customHeight="1">
      <c r="B23" s="231" t="s">
        <v>18</v>
      </c>
      <c r="C23" s="379" t="s">
        <v>43</v>
      </c>
      <c r="D23" s="379" t="s">
        <v>43</v>
      </c>
      <c r="E23" s="378" t="s">
        <v>43</v>
      </c>
      <c r="F23" s="378" t="s">
        <v>43</v>
      </c>
      <c r="G23" s="378" t="s">
        <v>43</v>
      </c>
      <c r="H23" s="378" t="s">
        <v>43</v>
      </c>
      <c r="I23" s="378" t="s">
        <v>43</v>
      </c>
      <c r="J23" s="378" t="s">
        <v>43</v>
      </c>
      <c r="K23" s="378" t="s">
        <v>43</v>
      </c>
      <c r="L23" s="378" t="s">
        <v>43</v>
      </c>
      <c r="M23" s="378" t="s">
        <v>43</v>
      </c>
      <c r="N23" s="378" t="s">
        <v>43</v>
      </c>
      <c r="O23" s="378" t="s">
        <v>43</v>
      </c>
      <c r="P23" s="378" t="s">
        <v>43</v>
      </c>
      <c r="Q23" s="378" t="s">
        <v>43</v>
      </c>
      <c r="R23" s="378" t="s">
        <v>43</v>
      </c>
      <c r="S23" s="378" t="s">
        <v>43</v>
      </c>
      <c r="T23" s="378" t="s">
        <v>43</v>
      </c>
      <c r="U23" s="378" t="s">
        <v>43</v>
      </c>
      <c r="V23" s="378" t="s">
        <v>43</v>
      </c>
      <c r="W23" s="378" t="s">
        <v>43</v>
      </c>
      <c r="X23" s="378" t="s">
        <v>43</v>
      </c>
      <c r="Y23" s="378" t="s">
        <v>43</v>
      </c>
      <c r="Z23" s="378" t="s">
        <v>43</v>
      </c>
      <c r="AA23" s="378" t="s">
        <v>43</v>
      </c>
      <c r="AB23" s="378" t="s">
        <v>43</v>
      </c>
      <c r="AC23" s="378" t="s">
        <v>43</v>
      </c>
      <c r="AD23" s="378" t="s">
        <v>43</v>
      </c>
      <c r="AE23" s="377" t="s">
        <v>43</v>
      </c>
      <c r="AF23" s="231" t="s">
        <v>18</v>
      </c>
    </row>
    <row r="24" spans="1:32" s="245" customFormat="1" ht="12.75" customHeight="1">
      <c r="A24" s="250"/>
      <c r="B24" s="235" t="s">
        <v>35</v>
      </c>
      <c r="C24" s="376" t="s">
        <v>43</v>
      </c>
      <c r="D24" s="376" t="s">
        <v>43</v>
      </c>
      <c r="E24" s="375" t="s">
        <v>43</v>
      </c>
      <c r="F24" s="375" t="s">
        <v>43</v>
      </c>
      <c r="G24" s="375" t="s">
        <v>43</v>
      </c>
      <c r="H24" s="375" t="s">
        <v>43</v>
      </c>
      <c r="I24" s="375" t="s">
        <v>43</v>
      </c>
      <c r="J24" s="375" t="s">
        <v>43</v>
      </c>
      <c r="K24" s="375" t="s">
        <v>43</v>
      </c>
      <c r="L24" s="375" t="s">
        <v>43</v>
      </c>
      <c r="M24" s="375" t="s">
        <v>43</v>
      </c>
      <c r="N24" s="375" t="s">
        <v>43</v>
      </c>
      <c r="O24" s="375" t="s">
        <v>43</v>
      </c>
      <c r="P24" s="375" t="s">
        <v>43</v>
      </c>
      <c r="Q24" s="375" t="s">
        <v>43</v>
      </c>
      <c r="R24" s="375" t="s">
        <v>43</v>
      </c>
      <c r="S24" s="375" t="s">
        <v>43</v>
      </c>
      <c r="T24" s="375" t="s">
        <v>43</v>
      </c>
      <c r="U24" s="375" t="s">
        <v>43</v>
      </c>
      <c r="V24" s="375" t="s">
        <v>43</v>
      </c>
      <c r="W24" s="375" t="s">
        <v>43</v>
      </c>
      <c r="X24" s="375" t="s">
        <v>43</v>
      </c>
      <c r="Y24" s="375" t="s">
        <v>43</v>
      </c>
      <c r="Z24" s="375" t="s">
        <v>43</v>
      </c>
      <c r="AA24" s="375" t="s">
        <v>43</v>
      </c>
      <c r="AB24" s="375" t="s">
        <v>43</v>
      </c>
      <c r="AC24" s="375" t="s">
        <v>43</v>
      </c>
      <c r="AD24" s="375" t="s">
        <v>43</v>
      </c>
      <c r="AE24" s="381" t="s">
        <v>43</v>
      </c>
      <c r="AF24" s="235" t="s">
        <v>35</v>
      </c>
    </row>
    <row r="25" spans="2:32" ht="12.75" customHeight="1">
      <c r="B25" s="231" t="s">
        <v>16</v>
      </c>
      <c r="C25" s="234" t="s">
        <v>41</v>
      </c>
      <c r="D25" s="234" t="s">
        <v>41</v>
      </c>
      <c r="E25" s="233" t="s">
        <v>41</v>
      </c>
      <c r="F25" s="233" t="s">
        <v>41</v>
      </c>
      <c r="G25" s="233" t="s">
        <v>41</v>
      </c>
      <c r="H25" s="233" t="s">
        <v>41</v>
      </c>
      <c r="I25" s="233" t="s">
        <v>41</v>
      </c>
      <c r="J25" s="252">
        <v>2.5</v>
      </c>
      <c r="K25" s="252">
        <v>2.5</v>
      </c>
      <c r="L25" s="252">
        <v>2.5</v>
      </c>
      <c r="M25" s="252">
        <v>2.55</v>
      </c>
      <c r="N25" s="233">
        <f>1.193+1.327</f>
        <v>2.52</v>
      </c>
      <c r="O25" s="233">
        <f>1.212+1.358</f>
        <v>2.5700000000000003</v>
      </c>
      <c r="P25" s="233">
        <f>1.214+1.357</f>
        <v>2.5709999999999997</v>
      </c>
      <c r="Q25" s="233">
        <f>1.201+1.335</f>
        <v>2.536</v>
      </c>
      <c r="R25" s="233">
        <f>1.193+1.323</f>
        <v>2.516</v>
      </c>
      <c r="S25" s="233">
        <f>1.169+1.251</f>
        <v>2.42</v>
      </c>
      <c r="T25" s="233">
        <f>1.144+1.209</f>
        <v>2.3529999999999998</v>
      </c>
      <c r="U25" s="233">
        <f>1.113+1.17</f>
        <v>2.283</v>
      </c>
      <c r="V25" s="233">
        <f>1.104+1.176</f>
        <v>2.2800000000000002</v>
      </c>
      <c r="W25" s="233">
        <f>1.095+1.24</f>
        <v>2.335</v>
      </c>
      <c r="X25" s="233">
        <f>1.185+1.339</f>
        <v>2.524</v>
      </c>
      <c r="Y25" s="233">
        <f>1.15+1.339</f>
        <v>2.489</v>
      </c>
      <c r="Z25" s="233">
        <f>1.161535+1.342378</f>
        <v>2.503913</v>
      </c>
      <c r="AA25" s="233">
        <v>2.4990787</v>
      </c>
      <c r="AB25" s="233">
        <v>2.5104894</v>
      </c>
      <c r="AC25" s="233">
        <f>2819469.2/1000000</f>
        <v>2.8194692000000003</v>
      </c>
      <c r="AD25" s="233">
        <f>(1162367.9+1784301)/1000000</f>
        <v>2.9466688999999997</v>
      </c>
      <c r="AE25" s="232">
        <f t="shared" si="2"/>
        <v>4.511476841101853</v>
      </c>
      <c r="AF25" s="231" t="s">
        <v>16</v>
      </c>
    </row>
    <row r="26" spans="1:32" s="245" customFormat="1" ht="12.75" customHeight="1">
      <c r="A26" s="250"/>
      <c r="B26" s="235" t="s">
        <v>19</v>
      </c>
      <c r="C26" s="376" t="s">
        <v>43</v>
      </c>
      <c r="D26" s="376" t="s">
        <v>43</v>
      </c>
      <c r="E26" s="375" t="s">
        <v>43</v>
      </c>
      <c r="F26" s="375" t="s">
        <v>43</v>
      </c>
      <c r="G26" s="375" t="s">
        <v>43</v>
      </c>
      <c r="H26" s="375" t="s">
        <v>43</v>
      </c>
      <c r="I26" s="375" t="s">
        <v>43</v>
      </c>
      <c r="J26" s="375" t="s">
        <v>43</v>
      </c>
      <c r="K26" s="375" t="s">
        <v>43</v>
      </c>
      <c r="L26" s="375" t="s">
        <v>43</v>
      </c>
      <c r="M26" s="375" t="s">
        <v>43</v>
      </c>
      <c r="N26" s="375" t="s">
        <v>43</v>
      </c>
      <c r="O26" s="375" t="s">
        <v>43</v>
      </c>
      <c r="P26" s="375" t="s">
        <v>43</v>
      </c>
      <c r="Q26" s="375" t="s">
        <v>43</v>
      </c>
      <c r="R26" s="375" t="s">
        <v>43</v>
      </c>
      <c r="S26" s="375" t="s">
        <v>43</v>
      </c>
      <c r="T26" s="375" t="s">
        <v>43</v>
      </c>
      <c r="U26" s="375" t="s">
        <v>43</v>
      </c>
      <c r="V26" s="375" t="s">
        <v>43</v>
      </c>
      <c r="W26" s="375" t="s">
        <v>43</v>
      </c>
      <c r="X26" s="375" t="s">
        <v>43</v>
      </c>
      <c r="Y26" s="375" t="s">
        <v>43</v>
      </c>
      <c r="Z26" s="375" t="s">
        <v>43</v>
      </c>
      <c r="AA26" s="375" t="s">
        <v>43</v>
      </c>
      <c r="AB26" s="375" t="s">
        <v>43</v>
      </c>
      <c r="AC26" s="375" t="s">
        <v>43</v>
      </c>
      <c r="AD26" s="375" t="s">
        <v>43</v>
      </c>
      <c r="AE26" s="373" t="s">
        <v>43</v>
      </c>
      <c r="AF26" s="235" t="s">
        <v>19</v>
      </c>
    </row>
    <row r="27" spans="2:32" ht="12.75" customHeight="1">
      <c r="B27" s="231" t="s">
        <v>27</v>
      </c>
      <c r="C27" s="234">
        <v>1.24</v>
      </c>
      <c r="D27" s="234">
        <v>1.35</v>
      </c>
      <c r="E27" s="233">
        <v>1.26</v>
      </c>
      <c r="F27" s="233">
        <v>1.29</v>
      </c>
      <c r="G27" s="233">
        <v>1.32</v>
      </c>
      <c r="H27" s="233">
        <v>1.34</v>
      </c>
      <c r="I27" s="233">
        <v>1.39</v>
      </c>
      <c r="J27" s="233">
        <v>1.38</v>
      </c>
      <c r="K27" s="233">
        <v>1.39</v>
      </c>
      <c r="L27" s="252">
        <v>1.4</v>
      </c>
      <c r="M27" s="252">
        <v>1.4</v>
      </c>
      <c r="N27" s="252">
        <v>1.42</v>
      </c>
      <c r="O27" s="524">
        <v>0.6692024025713582</v>
      </c>
      <c r="P27" s="252">
        <v>0.6847210123896893</v>
      </c>
      <c r="Q27" s="252">
        <v>0.6635320777721085</v>
      </c>
      <c r="R27" s="252">
        <v>0.6866486373608297</v>
      </c>
      <c r="S27" s="252">
        <v>0.7272619778268847</v>
      </c>
      <c r="T27" s="252">
        <v>0.7464064132044701</v>
      </c>
      <c r="U27" s="252">
        <v>0.7779999304545517</v>
      </c>
      <c r="V27" s="252">
        <v>0.7949860840723357</v>
      </c>
      <c r="W27" s="252">
        <v>0.825323264988066</v>
      </c>
      <c r="X27" s="252">
        <v>0.8248953383354507</v>
      </c>
      <c r="Y27" s="524">
        <v>0.8539250612298133</v>
      </c>
      <c r="Z27" s="252">
        <v>0.8899034590968964</v>
      </c>
      <c r="AA27" s="252">
        <v>0.816130470277351</v>
      </c>
      <c r="AB27" s="252">
        <v>0.8535595653837628</v>
      </c>
      <c r="AC27" s="252">
        <v>0.8532425379056862</v>
      </c>
      <c r="AD27" s="510">
        <v>0.9164456888616629</v>
      </c>
      <c r="AE27" s="251">
        <f t="shared" si="2"/>
        <v>7.407407407407391</v>
      </c>
      <c r="AF27" s="231" t="s">
        <v>27</v>
      </c>
    </row>
    <row r="28" spans="1:32" s="245" customFormat="1" ht="12.75" customHeight="1">
      <c r="A28" s="250"/>
      <c r="B28" s="235" t="s">
        <v>36</v>
      </c>
      <c r="C28" s="249">
        <v>1.5</v>
      </c>
      <c r="D28" s="249">
        <v>1.65</v>
      </c>
      <c r="E28" s="247">
        <v>4.244212898335107</v>
      </c>
      <c r="F28" s="247">
        <v>4.625125303965898</v>
      </c>
      <c r="G28" s="247">
        <v>4.720742575409969</v>
      </c>
      <c r="H28" s="247">
        <v>4.697141707164257</v>
      </c>
      <c r="I28" s="247">
        <v>4.89203012858048</v>
      </c>
      <c r="J28" s="247">
        <v>5.127203178238052</v>
      </c>
      <c r="K28" s="247">
        <v>5.5820940424240515</v>
      </c>
      <c r="L28" s="247">
        <v>5.6763765221457625</v>
      </c>
      <c r="M28" s="247">
        <v>5.770842162305629</v>
      </c>
      <c r="N28" s="247">
        <v>5.86549123511989</v>
      </c>
      <c r="O28" s="247">
        <v>5.9603240131662325</v>
      </c>
      <c r="P28" s="247">
        <v>6.055340769384238</v>
      </c>
      <c r="Q28" s="247">
        <v>6.150541777075853</v>
      </c>
      <c r="R28" s="247">
        <v>6.245927309905817</v>
      </c>
      <c r="S28" s="247">
        <v>6.34149764190213</v>
      </c>
      <c r="T28" s="247">
        <v>6.437253047456507</v>
      </c>
      <c r="U28" s="247">
        <v>6.533193801324818</v>
      </c>
      <c r="V28" s="247">
        <v>6.629320178627555</v>
      </c>
      <c r="W28" s="247">
        <v>6.725632454850284</v>
      </c>
      <c r="X28" s="247">
        <v>6.822130905844093</v>
      </c>
      <c r="Y28" s="247">
        <v>6.91881580782606</v>
      </c>
      <c r="Z28" s="247">
        <v>7.015687437379696</v>
      </c>
      <c r="AA28" s="247">
        <v>7.112746071455411</v>
      </c>
      <c r="AB28" s="247">
        <v>7.209991987370969</v>
      </c>
      <c r="AC28" s="247">
        <v>7.010058362987262</v>
      </c>
      <c r="AD28" s="247">
        <v>7.18204298832206</v>
      </c>
      <c r="AE28" s="246">
        <f t="shared" si="2"/>
        <v>2.453397909536207</v>
      </c>
      <c r="AF28" s="235" t="s">
        <v>36</v>
      </c>
    </row>
    <row r="29" spans="2:32" ht="12.75" customHeight="1">
      <c r="B29" s="231" t="s">
        <v>20</v>
      </c>
      <c r="C29" s="234" t="s">
        <v>41</v>
      </c>
      <c r="D29" s="234" t="s">
        <v>41</v>
      </c>
      <c r="E29" s="233" t="s">
        <v>41</v>
      </c>
      <c r="F29" s="233" t="s">
        <v>41</v>
      </c>
      <c r="G29" s="233" t="s">
        <v>41</v>
      </c>
      <c r="H29" s="233" t="s">
        <v>41</v>
      </c>
      <c r="I29" s="233" t="s">
        <v>41</v>
      </c>
      <c r="J29" s="252">
        <v>5</v>
      </c>
      <c r="K29" s="252">
        <v>4.9</v>
      </c>
      <c r="L29" s="252">
        <v>4.85</v>
      </c>
      <c r="M29" s="252">
        <v>4.8</v>
      </c>
      <c r="N29" s="252">
        <v>4.75</v>
      </c>
      <c r="O29" s="252">
        <v>4.7</v>
      </c>
      <c r="P29" s="252">
        <v>4.65</v>
      </c>
      <c r="Q29" s="252">
        <v>4.62</v>
      </c>
      <c r="R29" s="252">
        <v>4.5</v>
      </c>
      <c r="S29" s="252">
        <v>4.5</v>
      </c>
      <c r="T29" s="252">
        <v>4.4</v>
      </c>
      <c r="U29" s="252">
        <v>4.45</v>
      </c>
      <c r="V29" s="252">
        <v>4.6</v>
      </c>
      <c r="W29" s="252">
        <v>4.6</v>
      </c>
      <c r="X29" s="252">
        <v>4.32</v>
      </c>
      <c r="Y29" s="252">
        <f>4.34</f>
        <v>4.34</v>
      </c>
      <c r="Z29" s="252">
        <v>4.403712781401456</v>
      </c>
      <c r="AA29" s="252">
        <v>4.392245206824666</v>
      </c>
      <c r="AB29" s="252">
        <f>AA29*(3620.9+113.1)/(3867.5+132.5)</f>
        <v>4.100160900570825</v>
      </c>
      <c r="AC29" s="252">
        <f>AB29*(3711.1+147.7)/(3620.9+113.1)</f>
        <v>4.237198951023754</v>
      </c>
      <c r="AD29" s="252">
        <f>AC29*((3672.2+171.3)/(3711.1+147.7))</f>
        <v>4.22039861310765</v>
      </c>
      <c r="AE29" s="251">
        <f t="shared" si="2"/>
        <v>-0.39649632009950153</v>
      </c>
      <c r="AF29" s="231" t="s">
        <v>20</v>
      </c>
    </row>
    <row r="30" spans="1:32" s="245" customFormat="1" ht="12.75" customHeight="1">
      <c r="A30" s="250"/>
      <c r="B30" s="235" t="s">
        <v>37</v>
      </c>
      <c r="C30" s="249">
        <v>0.93</v>
      </c>
      <c r="D30" s="249">
        <v>0.74</v>
      </c>
      <c r="E30" s="237">
        <v>0.67</v>
      </c>
      <c r="F30" s="237">
        <v>0.65</v>
      </c>
      <c r="G30" s="237">
        <v>0.63</v>
      </c>
      <c r="H30" s="237">
        <v>0.61</v>
      </c>
      <c r="I30" s="237">
        <v>0.58</v>
      </c>
      <c r="J30" s="237">
        <v>0.53</v>
      </c>
      <c r="K30" s="237">
        <v>0.54</v>
      </c>
      <c r="L30" s="237">
        <v>0.5</v>
      </c>
      <c r="M30" s="237">
        <v>0.5</v>
      </c>
      <c r="N30" s="237">
        <v>0.5</v>
      </c>
      <c r="O30" s="237">
        <v>0.53</v>
      </c>
      <c r="P30" s="237">
        <v>0.545</v>
      </c>
      <c r="Q30" s="237">
        <v>0.55</v>
      </c>
      <c r="R30" s="237">
        <v>0.77</v>
      </c>
      <c r="S30" s="237">
        <v>0.847</v>
      </c>
      <c r="T30" s="237">
        <f>0.80121+0.046506</f>
        <v>0.847716</v>
      </c>
      <c r="U30" s="237">
        <f>0.785327+0.202473</f>
        <v>0.9878</v>
      </c>
      <c r="V30" s="237">
        <f>0.803969+0.245921</f>
        <v>1.04989</v>
      </c>
      <c r="W30" s="237">
        <f>0.8354+0.259361</f>
        <v>1.094761</v>
      </c>
      <c r="X30" s="237">
        <f>0.829067+0.261117</f>
        <v>1.090184</v>
      </c>
      <c r="Y30" s="237">
        <f>0.866169+0.267064</f>
        <v>1.133233</v>
      </c>
      <c r="Z30" s="237">
        <v>1.148</v>
      </c>
      <c r="AA30" s="237">
        <f>0.745589+0.28248</f>
        <v>1.028069</v>
      </c>
      <c r="AB30" s="237">
        <f>0.655705+0.285591</f>
        <v>0.9412959999999999</v>
      </c>
      <c r="AC30" s="237">
        <f>0.650711+0.288136+0.027714</f>
        <v>0.966561</v>
      </c>
      <c r="AD30" s="237">
        <f>0.685636+0.29445+0.028566</f>
        <v>1.008652</v>
      </c>
      <c r="AE30" s="258">
        <f t="shared" si="2"/>
        <v>4.354717394970422</v>
      </c>
      <c r="AF30" s="235" t="s">
        <v>37</v>
      </c>
    </row>
    <row r="31" spans="2:32" ht="12.75" customHeight="1">
      <c r="B31" s="231" t="s">
        <v>21</v>
      </c>
      <c r="C31" s="234"/>
      <c r="D31" s="234"/>
      <c r="E31" s="233"/>
      <c r="F31" s="233"/>
      <c r="G31" s="233"/>
      <c r="H31" s="233"/>
      <c r="I31" s="233"/>
      <c r="J31" s="252">
        <v>6</v>
      </c>
      <c r="K31" s="252">
        <v>6</v>
      </c>
      <c r="L31" s="252">
        <v>6</v>
      </c>
      <c r="M31" s="252">
        <v>6</v>
      </c>
      <c r="N31" s="252">
        <v>6</v>
      </c>
      <c r="O31" s="252">
        <v>6</v>
      </c>
      <c r="P31" s="252">
        <v>6</v>
      </c>
      <c r="Q31" s="252">
        <v>6</v>
      </c>
      <c r="R31" s="233">
        <v>5.777215</v>
      </c>
      <c r="S31" s="233">
        <v>6.192045</v>
      </c>
      <c r="T31" s="233">
        <v>6.596908000000001</v>
      </c>
      <c r="U31" s="252">
        <v>6.8</v>
      </c>
      <c r="V31" s="252">
        <v>6.9</v>
      </c>
      <c r="W31" s="252">
        <v>7</v>
      </c>
      <c r="X31" s="252">
        <v>7.047</v>
      </c>
      <c r="Y31" s="252">
        <v>7.138710097776035</v>
      </c>
      <c r="Z31" s="252">
        <f>AVERAGE(W31:Y31)</f>
        <v>7.061903365925345</v>
      </c>
      <c r="AA31" s="252">
        <v>7.548372713565322</v>
      </c>
      <c r="AB31" s="252">
        <v>7.751718100556632</v>
      </c>
      <c r="AC31" s="252">
        <v>8</v>
      </c>
      <c r="AD31" s="252">
        <f>AC31*(1-0.047)</f>
        <v>7.624</v>
      </c>
      <c r="AE31" s="251">
        <f t="shared" si="2"/>
        <v>-4.700000000000003</v>
      </c>
      <c r="AF31" s="231" t="s">
        <v>21</v>
      </c>
    </row>
    <row r="32" spans="2:32" ht="12.75" customHeight="1">
      <c r="B32" s="235" t="s">
        <v>23</v>
      </c>
      <c r="C32" s="376" t="s">
        <v>43</v>
      </c>
      <c r="D32" s="376" t="s">
        <v>43</v>
      </c>
      <c r="E32" s="375" t="s">
        <v>43</v>
      </c>
      <c r="F32" s="375" t="s">
        <v>43</v>
      </c>
      <c r="G32" s="375" t="s">
        <v>43</v>
      </c>
      <c r="H32" s="375" t="s">
        <v>43</v>
      </c>
      <c r="I32" s="375" t="s">
        <v>43</v>
      </c>
      <c r="J32" s="375" t="s">
        <v>43</v>
      </c>
      <c r="K32" s="375" t="s">
        <v>43</v>
      </c>
      <c r="L32" s="375" t="s">
        <v>43</v>
      </c>
      <c r="M32" s="375" t="s">
        <v>43</v>
      </c>
      <c r="N32" s="375" t="s">
        <v>43</v>
      </c>
      <c r="O32" s="375" t="s">
        <v>43</v>
      </c>
      <c r="P32" s="375" t="s">
        <v>43</v>
      </c>
      <c r="Q32" s="375" t="s">
        <v>43</v>
      </c>
      <c r="R32" s="375" t="s">
        <v>43</v>
      </c>
      <c r="S32" s="375" t="s">
        <v>43</v>
      </c>
      <c r="T32" s="375" t="s">
        <v>43</v>
      </c>
      <c r="U32" s="375" t="s">
        <v>43</v>
      </c>
      <c r="V32" s="375" t="s">
        <v>43</v>
      </c>
      <c r="W32" s="375" t="s">
        <v>43</v>
      </c>
      <c r="X32" s="375" t="s">
        <v>43</v>
      </c>
      <c r="Y32" s="375" t="s">
        <v>43</v>
      </c>
      <c r="Z32" s="375" t="s">
        <v>43</v>
      </c>
      <c r="AA32" s="375" t="s">
        <v>43</v>
      </c>
      <c r="AB32" s="375" t="s">
        <v>43</v>
      </c>
      <c r="AC32" s="375" t="s">
        <v>43</v>
      </c>
      <c r="AD32" s="375" t="s">
        <v>43</v>
      </c>
      <c r="AE32" s="381" t="s">
        <v>43</v>
      </c>
      <c r="AF32" s="235" t="s">
        <v>23</v>
      </c>
    </row>
    <row r="33" spans="2:32" ht="12.75" customHeight="1">
      <c r="B33" s="231" t="s">
        <v>22</v>
      </c>
      <c r="C33" s="234"/>
      <c r="D33" s="234"/>
      <c r="E33" s="233"/>
      <c r="F33" s="233"/>
      <c r="G33" s="233"/>
      <c r="H33" s="233" t="s">
        <v>41</v>
      </c>
      <c r="I33" s="233" t="s">
        <v>41</v>
      </c>
      <c r="J33" s="252">
        <f>0.14623*3</f>
        <v>0.43869</v>
      </c>
      <c r="K33" s="252">
        <v>0.42</v>
      </c>
      <c r="L33" s="252">
        <v>0.4</v>
      </c>
      <c r="M33" s="252">
        <f>0.126488*3</f>
        <v>0.37946399999999997</v>
      </c>
      <c r="N33" s="252">
        <f>0.117714*3</f>
        <v>0.353142</v>
      </c>
      <c r="O33" s="252">
        <v>0.35</v>
      </c>
      <c r="P33" s="252">
        <v>0.35736278</v>
      </c>
      <c r="Q33" s="252">
        <v>0.35821163</v>
      </c>
      <c r="R33" s="252">
        <v>0.36700559999999993</v>
      </c>
      <c r="S33" s="252">
        <v>0.36223677000000004</v>
      </c>
      <c r="T33" s="252">
        <v>0.38621753999999997</v>
      </c>
      <c r="U33" s="252">
        <v>0.384426</v>
      </c>
      <c r="V33" s="252">
        <f>0.109705*3.6</f>
        <v>0.394938</v>
      </c>
      <c r="W33" s="252">
        <f>0.10708*3.43</f>
        <v>0.3672844</v>
      </c>
      <c r="X33" s="252">
        <v>0.2925259</v>
      </c>
      <c r="Y33" s="252">
        <v>0.2834431</v>
      </c>
      <c r="Z33" s="252">
        <f>2.81*0.109182</f>
        <v>0.30680142</v>
      </c>
      <c r="AA33" s="252">
        <f>0.098788*2.93</f>
        <v>0.28944884000000004</v>
      </c>
      <c r="AB33" s="252">
        <f>3.1*88.841/1000</f>
        <v>0.2754071</v>
      </c>
      <c r="AC33" s="252">
        <f>87.672*2.93/1000</f>
        <v>0.25687896</v>
      </c>
      <c r="AD33" s="252">
        <f>85.017*2.95/1000</f>
        <v>0.25080015</v>
      </c>
      <c r="AE33" s="251">
        <f t="shared" si="2"/>
        <v>-2.3664102346101004</v>
      </c>
      <c r="AF33" s="231" t="s">
        <v>22</v>
      </c>
    </row>
    <row r="34" spans="2:32" ht="12.75" customHeight="1">
      <c r="B34" s="235" t="s">
        <v>38</v>
      </c>
      <c r="C34" s="249">
        <v>0.1</v>
      </c>
      <c r="D34" s="249">
        <v>0.13</v>
      </c>
      <c r="E34" s="237">
        <v>0.35</v>
      </c>
      <c r="F34" s="237">
        <v>0.34</v>
      </c>
      <c r="G34" s="237">
        <v>0.345</v>
      </c>
      <c r="H34" s="237">
        <f>0.0993+0.2581</f>
        <v>0.3574</v>
      </c>
      <c r="I34" s="237">
        <v>0.37</v>
      </c>
      <c r="J34" s="237">
        <f>0.1091+0.2785</f>
        <v>0.38760000000000006</v>
      </c>
      <c r="K34" s="237">
        <v>0.4</v>
      </c>
      <c r="L34" s="237">
        <f>0.1162+0.3006</f>
        <v>0.41679999999999995</v>
      </c>
      <c r="M34" s="237">
        <v>0.439</v>
      </c>
      <c r="N34" s="237">
        <f>0.1205+0.3598</f>
        <v>0.4803</v>
      </c>
      <c r="O34" s="237">
        <f>0.118+0.379</f>
        <v>0.497</v>
      </c>
      <c r="P34" s="237">
        <f>0.1193+0.3853</f>
        <v>0.5045999999999999</v>
      </c>
      <c r="Q34" s="237">
        <f>0.1167+0.4008</f>
        <v>0.5175</v>
      </c>
      <c r="R34" s="237">
        <f>0.1182+0.4041</f>
        <v>0.5223</v>
      </c>
      <c r="S34" s="237">
        <f>0.119+0.404</f>
        <v>0.523</v>
      </c>
      <c r="T34" s="237">
        <f>0.117+0.409</f>
        <v>0.526</v>
      </c>
      <c r="U34" s="237">
        <f>0.11+0.414</f>
        <v>0.524</v>
      </c>
      <c r="V34" s="237">
        <f>0.11+0.41</f>
        <v>0.52</v>
      </c>
      <c r="W34" s="237">
        <f>0.112+0.42</f>
        <v>0.532</v>
      </c>
      <c r="X34" s="237">
        <v>0.532</v>
      </c>
      <c r="Y34" s="237">
        <f>0.113+0.417</f>
        <v>0.53</v>
      </c>
      <c r="Z34" s="237">
        <f>0.397+0.118</f>
        <v>0.515</v>
      </c>
      <c r="AA34" s="237">
        <f>0.401+0.125</f>
        <v>0.526</v>
      </c>
      <c r="AB34" s="237">
        <f>0.124+0.401</f>
        <v>0.525</v>
      </c>
      <c r="AC34" s="247">
        <f>(62.1+55.5)/(63.5+56.7)*AB34</f>
        <v>0.5136439267886855</v>
      </c>
      <c r="AD34" s="479">
        <f>(62.9+55.2)/(62.1+55.5)*AC34</f>
        <v>0.5158277870216306</v>
      </c>
      <c r="AE34" s="258">
        <f t="shared" si="2"/>
        <v>0.4251700680271995</v>
      </c>
      <c r="AF34" s="235" t="s">
        <v>38</v>
      </c>
    </row>
    <row r="35" spans="2:32" ht="12.75" customHeight="1">
      <c r="B35" s="231" t="s">
        <v>39</v>
      </c>
      <c r="C35" s="234">
        <v>1.44</v>
      </c>
      <c r="D35" s="234">
        <v>1.97</v>
      </c>
      <c r="E35" s="233">
        <v>2.01</v>
      </c>
      <c r="F35" s="233">
        <v>1.93</v>
      </c>
      <c r="G35" s="233">
        <v>1.91</v>
      </c>
      <c r="H35" s="233">
        <v>1.91</v>
      </c>
      <c r="I35" s="233">
        <v>1.89</v>
      </c>
      <c r="J35" s="233">
        <v>1.94</v>
      </c>
      <c r="K35" s="269">
        <v>1.98</v>
      </c>
      <c r="L35" s="233">
        <f>1.496+0.375</f>
        <v>1.871</v>
      </c>
      <c r="M35" s="233">
        <f>1.505+0.374</f>
        <v>1.879</v>
      </c>
      <c r="N35" s="233">
        <f>1.526+0.38</f>
        <v>1.9060000000000001</v>
      </c>
      <c r="O35" s="233">
        <f>1.588+0.394</f>
        <v>1.9820000000000002</v>
      </c>
      <c r="P35" s="233">
        <f>1.581+0.41</f>
        <v>1.9909999999999999</v>
      </c>
      <c r="Q35" s="233">
        <f>1.578+0.415</f>
        <v>1.993</v>
      </c>
      <c r="R35" s="233">
        <f>1.558+0.436</f>
        <v>1.994</v>
      </c>
      <c r="S35" s="233">
        <f>1.556+0.462</f>
        <v>2.0180000000000002</v>
      </c>
      <c r="T35" s="233">
        <f>1.541+0.473</f>
        <v>2.014</v>
      </c>
      <c r="U35" s="233">
        <f>1.657+0.482</f>
        <v>2.1390000000000002</v>
      </c>
      <c r="V35" s="233">
        <f>1.69+0.514</f>
        <v>2.2039999999999997</v>
      </c>
      <c r="W35" s="233">
        <f>1.715+0.524</f>
        <v>2.239</v>
      </c>
      <c r="X35" s="233">
        <f>1.715+0.524</f>
        <v>2.239</v>
      </c>
      <c r="Y35" s="233">
        <f>1.731+0.549</f>
        <v>2.2800000000000002</v>
      </c>
      <c r="Z35" s="233">
        <f>1.725+0.615</f>
        <v>2.34</v>
      </c>
      <c r="AA35" s="233">
        <f>1.796+0.577</f>
        <v>2.373</v>
      </c>
      <c r="AB35" s="233">
        <v>2.449</v>
      </c>
      <c r="AC35" s="233">
        <v>2.443</v>
      </c>
      <c r="AD35" s="233">
        <f>1.892+0.6078</f>
        <v>2.4998</v>
      </c>
      <c r="AE35" s="232">
        <f t="shared" si="2"/>
        <v>2.3250102333196736</v>
      </c>
      <c r="AF35" s="231" t="s">
        <v>39</v>
      </c>
    </row>
    <row r="36" spans="2:32" ht="12.75" customHeight="1">
      <c r="B36" s="235" t="s">
        <v>28</v>
      </c>
      <c r="C36" s="249">
        <v>5.2</v>
      </c>
      <c r="D36" s="249">
        <v>4.3</v>
      </c>
      <c r="E36" s="237">
        <v>6.5</v>
      </c>
      <c r="F36" s="237">
        <v>6.24</v>
      </c>
      <c r="G36" s="237">
        <v>6.15</v>
      </c>
      <c r="H36" s="237">
        <v>6.24</v>
      </c>
      <c r="I36" s="237">
        <v>6.507</v>
      </c>
      <c r="J36" s="237">
        <v>6.811</v>
      </c>
      <c r="K36" s="237">
        <v>6.648</v>
      </c>
      <c r="L36" s="237">
        <v>6.998</v>
      </c>
      <c r="M36" s="237">
        <f>6.716+0.632</f>
        <v>7.348</v>
      </c>
      <c r="N36" s="237">
        <f>7.171+0.714</f>
        <v>7.885</v>
      </c>
      <c r="O36" s="237">
        <f>7.47+0.869</f>
        <v>8.339</v>
      </c>
      <c r="P36" s="237">
        <f>7.451+0.895</f>
        <v>8.346</v>
      </c>
      <c r="Q36" s="237">
        <f>7.367+0.961</f>
        <v>8.328</v>
      </c>
      <c r="R36" s="237">
        <f>7.34+0.96</f>
        <v>8.3</v>
      </c>
      <c r="S36" s="237">
        <f>7.606+1.079</f>
        <v>8.685</v>
      </c>
      <c r="T36" s="237">
        <f>7.586+1.1</f>
        <v>8.686</v>
      </c>
      <c r="U36" s="237">
        <f>7.947+1.177</f>
        <v>9.124</v>
      </c>
      <c r="V36" s="237">
        <f>8.352+1.1244</f>
        <v>9.4764</v>
      </c>
      <c r="W36" s="237">
        <f>8.646+1.251</f>
        <v>9.897</v>
      </c>
      <c r="X36" s="237">
        <f>8.457+1.271</f>
        <v>9.728000000000002</v>
      </c>
      <c r="Y36" s="237">
        <f>8.875+1.31</f>
        <v>10.185</v>
      </c>
      <c r="Z36" s="237">
        <f>9.519+0.8249*1.60934+0.0412</f>
        <v>10.887744566</v>
      </c>
      <c r="AA36" s="237">
        <f>10.099+0.0402+0.8822*1.609</f>
        <v>11.558659800000001</v>
      </c>
      <c r="AB36" s="380">
        <f>10.422+0.0406+1.4845</f>
        <v>11.9471</v>
      </c>
      <c r="AC36" s="380">
        <f>10.847+0.0414+1.6047</f>
        <v>12.493099999999998</v>
      </c>
      <c r="AD36" s="380">
        <f>11.457+0.0415+1.0703*1.609344</f>
        <v>13.2209808832</v>
      </c>
      <c r="AE36" s="258">
        <f t="shared" si="2"/>
        <v>5.826263162865914</v>
      </c>
      <c r="AF36" s="235" t="s">
        <v>28</v>
      </c>
    </row>
    <row r="37" spans="2:32" ht="12.75" customHeight="1">
      <c r="B37" s="254" t="s">
        <v>116</v>
      </c>
      <c r="C37" s="439" t="s">
        <v>43</v>
      </c>
      <c r="D37" s="439" t="s">
        <v>43</v>
      </c>
      <c r="E37" s="440" t="s">
        <v>43</v>
      </c>
      <c r="F37" s="440" t="s">
        <v>43</v>
      </c>
      <c r="G37" s="440" t="s">
        <v>43</v>
      </c>
      <c r="H37" s="440" t="s">
        <v>43</v>
      </c>
      <c r="I37" s="440" t="s">
        <v>43</v>
      </c>
      <c r="J37" s="440" t="s">
        <v>43</v>
      </c>
      <c r="K37" s="440" t="s">
        <v>43</v>
      </c>
      <c r="L37" s="440" t="s">
        <v>43</v>
      </c>
      <c r="M37" s="440" t="s">
        <v>43</v>
      </c>
      <c r="N37" s="440" t="s">
        <v>43</v>
      </c>
      <c r="O37" s="440" t="s">
        <v>43</v>
      </c>
      <c r="P37" s="440" t="s">
        <v>43</v>
      </c>
      <c r="Q37" s="440" t="s">
        <v>43</v>
      </c>
      <c r="R37" s="440" t="s">
        <v>43</v>
      </c>
      <c r="S37" s="440" t="s">
        <v>43</v>
      </c>
      <c r="T37" s="440" t="s">
        <v>43</v>
      </c>
      <c r="U37" s="440" t="s">
        <v>43</v>
      </c>
      <c r="V37" s="440" t="s">
        <v>43</v>
      </c>
      <c r="W37" s="440" t="s">
        <v>43</v>
      </c>
      <c r="X37" s="440" t="s">
        <v>43</v>
      </c>
      <c r="Y37" s="440" t="s">
        <v>43</v>
      </c>
      <c r="Z37" s="440" t="s">
        <v>43</v>
      </c>
      <c r="AA37" s="440" t="s">
        <v>43</v>
      </c>
      <c r="AB37" s="440" t="s">
        <v>43</v>
      </c>
      <c r="AC37" s="474" t="s">
        <v>43</v>
      </c>
      <c r="AD37" s="474" t="s">
        <v>43</v>
      </c>
      <c r="AE37" s="441" t="s">
        <v>43</v>
      </c>
      <c r="AF37" s="254" t="s">
        <v>116</v>
      </c>
    </row>
    <row r="38" spans="2:32" ht="12.75" customHeight="1">
      <c r="B38" s="235" t="s">
        <v>107</v>
      </c>
      <c r="C38" s="376" t="s">
        <v>43</v>
      </c>
      <c r="D38" s="376" t="s">
        <v>43</v>
      </c>
      <c r="E38" s="375" t="s">
        <v>43</v>
      </c>
      <c r="F38" s="375" t="s">
        <v>43</v>
      </c>
      <c r="G38" s="375" t="s">
        <v>43</v>
      </c>
      <c r="H38" s="374" t="s">
        <v>43</v>
      </c>
      <c r="I38" s="374" t="s">
        <v>43</v>
      </c>
      <c r="J38" s="374" t="s">
        <v>43</v>
      </c>
      <c r="K38" s="374" t="s">
        <v>43</v>
      </c>
      <c r="L38" s="374" t="s">
        <v>43</v>
      </c>
      <c r="M38" s="374" t="s">
        <v>43</v>
      </c>
      <c r="N38" s="374" t="s">
        <v>43</v>
      </c>
      <c r="O38" s="374" t="s">
        <v>43</v>
      </c>
      <c r="P38" s="374" t="s">
        <v>43</v>
      </c>
      <c r="Q38" s="374" t="s">
        <v>43</v>
      </c>
      <c r="R38" s="374" t="s">
        <v>43</v>
      </c>
      <c r="S38" s="374" t="s">
        <v>43</v>
      </c>
      <c r="T38" s="374" t="s">
        <v>43</v>
      </c>
      <c r="U38" s="374" t="s">
        <v>43</v>
      </c>
      <c r="V38" s="374" t="s">
        <v>43</v>
      </c>
      <c r="W38" s="374" t="s">
        <v>43</v>
      </c>
      <c r="X38" s="374" t="s">
        <v>43</v>
      </c>
      <c r="Y38" s="374" t="s">
        <v>43</v>
      </c>
      <c r="Z38" s="374" t="s">
        <v>43</v>
      </c>
      <c r="AA38" s="374" t="s">
        <v>43</v>
      </c>
      <c r="AB38" s="374" t="s">
        <v>43</v>
      </c>
      <c r="AC38" s="374" t="s">
        <v>43</v>
      </c>
      <c r="AD38" s="374" t="s">
        <v>43</v>
      </c>
      <c r="AE38" s="373" t="s">
        <v>43</v>
      </c>
      <c r="AF38" s="235" t="s">
        <v>107</v>
      </c>
    </row>
    <row r="39" spans="1:32" s="245" customFormat="1" ht="12.75" customHeight="1">
      <c r="A39" s="250"/>
      <c r="B39" s="231" t="s">
        <v>6</v>
      </c>
      <c r="C39" s="379" t="s">
        <v>43</v>
      </c>
      <c r="D39" s="379" t="s">
        <v>43</v>
      </c>
      <c r="E39" s="378" t="s">
        <v>43</v>
      </c>
      <c r="F39" s="378" t="s">
        <v>43</v>
      </c>
      <c r="G39" s="378" t="s">
        <v>43</v>
      </c>
      <c r="H39" s="378" t="s">
        <v>43</v>
      </c>
      <c r="I39" s="378" t="s">
        <v>43</v>
      </c>
      <c r="J39" s="378" t="s">
        <v>43</v>
      </c>
      <c r="K39" s="378" t="s">
        <v>43</v>
      </c>
      <c r="L39" s="378" t="s">
        <v>43</v>
      </c>
      <c r="M39" s="378" t="s">
        <v>43</v>
      </c>
      <c r="N39" s="378" t="s">
        <v>43</v>
      </c>
      <c r="O39" s="378" t="s">
        <v>43</v>
      </c>
      <c r="P39" s="378" t="s">
        <v>43</v>
      </c>
      <c r="Q39" s="378" t="s">
        <v>43</v>
      </c>
      <c r="R39" s="378" t="s">
        <v>43</v>
      </c>
      <c r="S39" s="378" t="s">
        <v>43</v>
      </c>
      <c r="T39" s="378" t="s">
        <v>43</v>
      </c>
      <c r="U39" s="378" t="s">
        <v>43</v>
      </c>
      <c r="V39" s="378" t="s">
        <v>43</v>
      </c>
      <c r="W39" s="378" t="s">
        <v>43</v>
      </c>
      <c r="X39" s="378" t="s">
        <v>43</v>
      </c>
      <c r="Y39" s="378" t="s">
        <v>43</v>
      </c>
      <c r="Z39" s="378" t="s">
        <v>43</v>
      </c>
      <c r="AA39" s="378" t="s">
        <v>43</v>
      </c>
      <c r="AB39" s="378" t="s">
        <v>43</v>
      </c>
      <c r="AC39" s="378" t="s">
        <v>43</v>
      </c>
      <c r="AD39" s="378" t="s">
        <v>43</v>
      </c>
      <c r="AE39" s="377" t="s">
        <v>43</v>
      </c>
      <c r="AF39" s="231" t="s">
        <v>6</v>
      </c>
    </row>
    <row r="40" spans="1:32" s="245" customFormat="1" ht="12.75" customHeight="1">
      <c r="A40" s="250"/>
      <c r="B40" s="235" t="s">
        <v>108</v>
      </c>
      <c r="C40" s="376"/>
      <c r="D40" s="376"/>
      <c r="E40" s="375"/>
      <c r="F40" s="375"/>
      <c r="G40" s="375"/>
      <c r="H40" s="375"/>
      <c r="I40" s="375"/>
      <c r="J40" s="375"/>
      <c r="K40" s="375"/>
      <c r="L40" s="375"/>
      <c r="M40" s="375"/>
      <c r="N40" s="375"/>
      <c r="O40" s="375"/>
      <c r="P40" s="375"/>
      <c r="Q40" s="375"/>
      <c r="R40" s="375"/>
      <c r="S40" s="375"/>
      <c r="T40" s="375"/>
      <c r="U40" s="375"/>
      <c r="V40" s="375"/>
      <c r="W40" s="374"/>
      <c r="X40" s="374"/>
      <c r="Y40" s="247">
        <v>0.43019567558770144</v>
      </c>
      <c r="Z40" s="247">
        <v>0.4353952054618243</v>
      </c>
      <c r="AA40" s="247">
        <v>0.45043191350042133</v>
      </c>
      <c r="AB40" s="247">
        <v>0.46382932349263195</v>
      </c>
      <c r="AC40" s="247">
        <v>0.4649097849213302</v>
      </c>
      <c r="AD40" s="247">
        <v>0.425869412746633</v>
      </c>
      <c r="AE40" s="246">
        <f t="shared" si="2"/>
        <v>-8.397408151197212</v>
      </c>
      <c r="AF40" s="235" t="s">
        <v>108</v>
      </c>
    </row>
    <row r="41" spans="2:32" ht="12.75" customHeight="1">
      <c r="B41" s="239" t="s">
        <v>24</v>
      </c>
      <c r="C41" s="234"/>
      <c r="D41" s="234"/>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372"/>
      <c r="AF41" s="239" t="s">
        <v>24</v>
      </c>
    </row>
    <row r="42" spans="1:32" s="245" customFormat="1" ht="12.75" customHeight="1">
      <c r="A42" s="250"/>
      <c r="B42" s="235" t="s">
        <v>10</v>
      </c>
      <c r="C42" s="371" t="s">
        <v>43</v>
      </c>
      <c r="D42" s="371" t="s">
        <v>43</v>
      </c>
      <c r="E42" s="370" t="s">
        <v>43</v>
      </c>
      <c r="F42" s="370" t="s">
        <v>43</v>
      </c>
      <c r="G42" s="370" t="s">
        <v>43</v>
      </c>
      <c r="H42" s="370" t="s">
        <v>43</v>
      </c>
      <c r="I42" s="370" t="s">
        <v>43</v>
      </c>
      <c r="J42" s="370" t="s">
        <v>43</v>
      </c>
      <c r="K42" s="370" t="s">
        <v>43</v>
      </c>
      <c r="L42" s="370" t="s">
        <v>43</v>
      </c>
      <c r="M42" s="370" t="s">
        <v>43</v>
      </c>
      <c r="N42" s="370" t="s">
        <v>43</v>
      </c>
      <c r="O42" s="370" t="s">
        <v>43</v>
      </c>
      <c r="P42" s="370" t="s">
        <v>43</v>
      </c>
      <c r="Q42" s="370" t="s">
        <v>43</v>
      </c>
      <c r="R42" s="370" t="s">
        <v>43</v>
      </c>
      <c r="S42" s="370" t="s">
        <v>43</v>
      </c>
      <c r="T42" s="370" t="s">
        <v>43</v>
      </c>
      <c r="U42" s="370" t="s">
        <v>43</v>
      </c>
      <c r="V42" s="370" t="s">
        <v>43</v>
      </c>
      <c r="W42" s="370" t="s">
        <v>43</v>
      </c>
      <c r="X42" s="370" t="s">
        <v>43</v>
      </c>
      <c r="Y42" s="370" t="s">
        <v>43</v>
      </c>
      <c r="Z42" s="370" t="s">
        <v>43</v>
      </c>
      <c r="AA42" s="370" t="s">
        <v>43</v>
      </c>
      <c r="AB42" s="370" t="s">
        <v>43</v>
      </c>
      <c r="AC42" s="475" t="s">
        <v>43</v>
      </c>
      <c r="AD42" s="475" t="s">
        <v>43</v>
      </c>
      <c r="AE42" s="369" t="s">
        <v>43</v>
      </c>
      <c r="AF42" s="235" t="s">
        <v>10</v>
      </c>
    </row>
    <row r="43" spans="2:32" ht="12.75" customHeight="1">
      <c r="B43" s="231" t="s">
        <v>40</v>
      </c>
      <c r="C43" s="234">
        <v>0.428</v>
      </c>
      <c r="D43" s="234">
        <v>0.501</v>
      </c>
      <c r="E43" s="233">
        <v>0.419</v>
      </c>
      <c r="F43" s="269">
        <v>0.42</v>
      </c>
      <c r="G43" s="233">
        <v>0.349</v>
      </c>
      <c r="H43" s="233">
        <v>0.37</v>
      </c>
      <c r="I43" s="233">
        <v>0.375</v>
      </c>
      <c r="J43" s="233">
        <v>0.381</v>
      </c>
      <c r="K43" s="233">
        <v>0.419</v>
      </c>
      <c r="L43" s="233">
        <v>0.427</v>
      </c>
      <c r="M43" s="233">
        <v>0.469</v>
      </c>
      <c r="N43" s="233">
        <v>0.507</v>
      </c>
      <c r="O43" s="233">
        <v>0.496</v>
      </c>
      <c r="P43" s="233">
        <v>0.508</v>
      </c>
      <c r="Q43" s="233">
        <v>0.498</v>
      </c>
      <c r="R43" s="233">
        <v>0.476</v>
      </c>
      <c r="S43" s="233">
        <v>0.458</v>
      </c>
      <c r="T43" s="233">
        <v>0.518</v>
      </c>
      <c r="U43" s="233">
        <v>0.508</v>
      </c>
      <c r="V43" s="233">
        <v>0.535</v>
      </c>
      <c r="W43" s="233">
        <v>0.572</v>
      </c>
      <c r="X43" s="233">
        <v>0.588</v>
      </c>
      <c r="Y43" s="233">
        <v>0.62</v>
      </c>
      <c r="Z43" s="233">
        <v>0.631</v>
      </c>
      <c r="AA43" s="233">
        <v>0.660384</v>
      </c>
      <c r="AB43" s="233">
        <v>0.728919</v>
      </c>
      <c r="AC43" s="233">
        <v>0.752</v>
      </c>
      <c r="AD43" s="368">
        <v>0.809</v>
      </c>
      <c r="AE43" s="225">
        <f t="shared" si="2"/>
        <v>7.579787234042556</v>
      </c>
      <c r="AF43" s="231" t="s">
        <v>40</v>
      </c>
    </row>
    <row r="44" spans="1:32" s="245" customFormat="1" ht="12.75" customHeight="1">
      <c r="A44" s="250"/>
      <c r="B44" s="226" t="s">
        <v>11</v>
      </c>
      <c r="C44" s="230"/>
      <c r="D44" s="230"/>
      <c r="E44" s="228"/>
      <c r="F44" s="228"/>
      <c r="G44" s="228"/>
      <c r="H44" s="228"/>
      <c r="I44" s="228"/>
      <c r="J44" s="228">
        <v>1.5002</v>
      </c>
      <c r="K44" s="228">
        <v>1.5463</v>
      </c>
      <c r="L44" s="228">
        <v>1.5072</v>
      </c>
      <c r="M44" s="228">
        <v>1.3951</v>
      </c>
      <c r="N44" s="228">
        <v>1.403</v>
      </c>
      <c r="O44" s="228">
        <v>1.403</v>
      </c>
      <c r="P44" s="228">
        <v>1.4358</v>
      </c>
      <c r="Q44" s="228">
        <v>1.4478</v>
      </c>
      <c r="R44" s="228">
        <v>1.4394</v>
      </c>
      <c r="S44" s="259">
        <v>1.4695</v>
      </c>
      <c r="T44" s="228">
        <v>0.7815</v>
      </c>
      <c r="U44" s="228">
        <v>0.7864</v>
      </c>
      <c r="V44" s="228">
        <v>0.8226</v>
      </c>
      <c r="W44" s="228">
        <v>0.9031</v>
      </c>
      <c r="X44" s="228">
        <v>0.9346</v>
      </c>
      <c r="Y44" s="228">
        <v>0.9782</v>
      </c>
      <c r="Z44" s="228">
        <v>1.0706</v>
      </c>
      <c r="AA44" s="228">
        <v>1.1303</v>
      </c>
      <c r="AB44" s="228">
        <v>1.12</v>
      </c>
      <c r="AC44" s="465">
        <v>1.1303</v>
      </c>
      <c r="AD44" s="465">
        <v>1.1533</v>
      </c>
      <c r="AE44" s="227">
        <f t="shared" si="2"/>
        <v>2.0348580023002825</v>
      </c>
      <c r="AF44" s="226" t="s">
        <v>11</v>
      </c>
    </row>
    <row r="45" spans="2:32" ht="31.5" customHeight="1">
      <c r="B45" s="585" t="s">
        <v>77</v>
      </c>
      <c r="C45" s="585"/>
      <c r="D45" s="585"/>
      <c r="E45" s="585"/>
      <c r="F45" s="585"/>
      <c r="G45" s="585"/>
      <c r="H45" s="585"/>
      <c r="I45" s="585"/>
      <c r="J45" s="585"/>
      <c r="K45" s="585"/>
      <c r="L45" s="585"/>
      <c r="M45" s="585"/>
      <c r="N45" s="585"/>
      <c r="O45" s="585"/>
      <c r="P45" s="585"/>
      <c r="Q45" s="585"/>
      <c r="R45" s="585"/>
      <c r="S45" s="585"/>
      <c r="T45" s="585"/>
      <c r="U45" s="585"/>
      <c r="V45" s="585"/>
      <c r="W45" s="585"/>
      <c r="X45" s="585"/>
      <c r="Y45" s="585"/>
      <c r="Z45" s="585"/>
      <c r="AA45" s="585"/>
      <c r="AB45" s="585"/>
      <c r="AC45" s="586"/>
      <c r="AD45" s="586"/>
      <c r="AE45" s="585"/>
      <c r="AF45" s="585"/>
    </row>
    <row r="46" spans="2:32" ht="12.75" customHeight="1">
      <c r="B46" s="336" t="s">
        <v>7</v>
      </c>
      <c r="C46" s="367"/>
      <c r="D46" s="367"/>
      <c r="E46" s="367"/>
      <c r="F46" s="367"/>
      <c r="G46" s="367"/>
      <c r="H46" s="332"/>
      <c r="I46" s="367"/>
      <c r="J46" s="367"/>
      <c r="K46" s="367"/>
      <c r="L46" s="367"/>
      <c r="M46" s="367"/>
      <c r="N46" s="367"/>
      <c r="O46" s="367"/>
      <c r="P46" s="341"/>
      <c r="Q46" s="332"/>
      <c r="R46" s="333"/>
      <c r="S46" s="367"/>
      <c r="T46" s="367"/>
      <c r="U46" s="367"/>
      <c r="V46" s="367"/>
      <c r="W46" s="367"/>
      <c r="X46" s="367"/>
      <c r="Y46" s="367"/>
      <c r="Z46" s="367"/>
      <c r="AA46" s="367"/>
      <c r="AB46" s="367"/>
      <c r="AC46" s="367"/>
      <c r="AD46" s="367"/>
      <c r="AE46" s="332"/>
      <c r="AF46" s="367"/>
    </row>
    <row r="47" spans="2:31" ht="12.75" customHeight="1">
      <c r="B47" s="213" t="s">
        <v>139</v>
      </c>
      <c r="C47" s="213"/>
      <c r="D47" s="213"/>
      <c r="E47" s="213"/>
      <c r="F47" s="213"/>
      <c r="G47" s="213"/>
      <c r="H47" s="213"/>
      <c r="I47" s="213"/>
      <c r="J47" s="213"/>
      <c r="K47" s="213"/>
      <c r="L47" s="213"/>
      <c r="M47" s="213"/>
      <c r="N47" s="213"/>
      <c r="O47" s="213"/>
      <c r="P47" s="213"/>
      <c r="Q47" s="213"/>
      <c r="R47" s="213"/>
      <c r="S47" s="365"/>
      <c r="T47" s="365"/>
      <c r="U47" s="365"/>
      <c r="V47" s="365"/>
      <c r="W47" s="365"/>
      <c r="X47" s="365"/>
      <c r="Y47" s="365"/>
      <c r="Z47" s="365"/>
      <c r="AA47" s="365"/>
      <c r="AB47" s="365"/>
      <c r="AC47" s="365"/>
      <c r="AD47" s="365"/>
      <c r="AE47" s="365"/>
    </row>
    <row r="48" spans="2:32" ht="12.75" customHeight="1">
      <c r="B48" s="212" t="s">
        <v>127</v>
      </c>
      <c r="N48" s="366"/>
      <c r="O48" s="366"/>
      <c r="P48" s="366"/>
      <c r="Q48" s="366"/>
      <c r="R48" s="366"/>
      <c r="S48" s="366"/>
      <c r="T48" s="517"/>
      <c r="U48" s="517"/>
      <c r="V48" s="517"/>
      <c r="W48" s="517"/>
      <c r="X48" s="517"/>
      <c r="Y48" s="517"/>
      <c r="Z48" s="517"/>
      <c r="AA48" s="517"/>
      <c r="AB48" s="517"/>
      <c r="AC48" s="517"/>
      <c r="AD48" s="517"/>
      <c r="AE48" s="517"/>
      <c r="AF48" s="517"/>
    </row>
    <row r="49" spans="2:31" s="209" customFormat="1" ht="12.75" customHeight="1">
      <c r="B49" s="212" t="s">
        <v>128</v>
      </c>
      <c r="C49" s="213"/>
      <c r="D49" s="213"/>
      <c r="E49" s="213"/>
      <c r="F49" s="213"/>
      <c r="G49" s="213"/>
      <c r="H49" s="213"/>
      <c r="I49" s="213"/>
      <c r="J49" s="208"/>
      <c r="K49" s="208"/>
      <c r="L49" s="208"/>
      <c r="M49" s="208"/>
      <c r="N49" s="208"/>
      <c r="O49" s="208"/>
      <c r="P49" s="213"/>
      <c r="Q49" s="213"/>
      <c r="R49" s="213"/>
      <c r="S49" s="364"/>
      <c r="T49" s="364"/>
      <c r="U49" s="364"/>
      <c r="V49" s="364"/>
      <c r="W49" s="364"/>
      <c r="X49" s="364"/>
      <c r="Y49" s="364"/>
      <c r="Z49" s="364"/>
      <c r="AA49" s="436"/>
      <c r="AB49" s="364"/>
      <c r="AC49" s="364"/>
      <c r="AD49" s="364"/>
      <c r="AE49" s="364"/>
    </row>
    <row r="50" spans="2:31" s="209" customFormat="1" ht="12.75" customHeight="1">
      <c r="B50" s="213" t="s">
        <v>126</v>
      </c>
      <c r="V50" s="364"/>
      <c r="W50" s="364"/>
      <c r="X50" s="364"/>
      <c r="Y50" s="364"/>
      <c r="Z50" s="364"/>
      <c r="AA50" s="436"/>
      <c r="AB50" s="364"/>
      <c r="AC50" s="364"/>
      <c r="AD50" s="364"/>
      <c r="AE50" s="364"/>
    </row>
    <row r="51" spans="2:31" s="209" customFormat="1" ht="11.25">
      <c r="B51" s="268" t="s">
        <v>131</v>
      </c>
      <c r="V51" s="364"/>
      <c r="W51" s="364"/>
      <c r="X51" s="364"/>
      <c r="Y51" s="364"/>
      <c r="Z51" s="364"/>
      <c r="AA51" s="436"/>
      <c r="AB51" s="364"/>
      <c r="AC51" s="364"/>
      <c r="AD51" s="364"/>
      <c r="AE51" s="364"/>
    </row>
    <row r="52" spans="2:26" s="209" customFormat="1" ht="11.25">
      <c r="B52" s="268" t="s">
        <v>142</v>
      </c>
      <c r="V52" s="364"/>
      <c r="W52" s="364"/>
      <c r="X52" s="364"/>
      <c r="Y52" s="364"/>
      <c r="Z52" s="364"/>
    </row>
    <row r="53" spans="22:26" s="209" customFormat="1" ht="11.25">
      <c r="V53" s="364"/>
      <c r="W53" s="364"/>
      <c r="X53" s="364"/>
      <c r="Y53" s="364"/>
      <c r="Z53" s="364"/>
    </row>
    <row r="54" spans="22:26" s="209" customFormat="1" ht="12.75" customHeight="1">
      <c r="V54" s="364"/>
      <c r="W54" s="364"/>
      <c r="X54" s="364"/>
      <c r="Y54" s="364"/>
      <c r="Z54" s="364"/>
    </row>
    <row r="55" spans="22:26" s="209" customFormat="1" ht="11.25">
      <c r="V55" s="364"/>
      <c r="W55" s="364"/>
      <c r="X55" s="364"/>
      <c r="Y55" s="364"/>
      <c r="Z55" s="364"/>
    </row>
    <row r="56" spans="22:26" s="209" customFormat="1" ht="11.25">
      <c r="V56" s="364"/>
      <c r="W56" s="364"/>
      <c r="X56" s="364"/>
      <c r="Y56" s="364"/>
      <c r="Z56" s="364"/>
    </row>
    <row r="57" s="209" customFormat="1" ht="11.25"/>
    <row r="58" spans="19:26" s="209" customFormat="1" ht="11.25">
      <c r="S58" s="477"/>
      <c r="T58" s="477"/>
      <c r="U58" s="477"/>
      <c r="V58" s="477"/>
      <c r="W58" s="477"/>
      <c r="X58" s="477"/>
      <c r="Y58" s="477"/>
      <c r="Z58" s="477"/>
    </row>
    <row r="59" spans="19:26" s="209" customFormat="1" ht="11.25">
      <c r="S59" s="477"/>
      <c r="T59" s="477"/>
      <c r="U59" s="477"/>
      <c r="V59" s="477"/>
      <c r="W59" s="477"/>
      <c r="X59" s="477"/>
      <c r="Y59" s="477"/>
      <c r="Z59" s="477"/>
    </row>
    <row r="60" spans="19:26" s="209" customFormat="1" ht="11.25">
      <c r="S60" s="477"/>
      <c r="T60" s="477"/>
      <c r="U60" s="477"/>
      <c r="V60" s="477"/>
      <c r="W60" s="477"/>
      <c r="X60" s="477"/>
      <c r="Y60" s="477"/>
      <c r="Z60" s="477"/>
    </row>
    <row r="61" spans="19:26" s="209" customFormat="1" ht="11.25">
      <c r="S61" s="477"/>
      <c r="T61" s="477"/>
      <c r="U61" s="477"/>
      <c r="V61" s="477"/>
      <c r="W61" s="477"/>
      <c r="X61" s="477"/>
      <c r="Y61" s="477"/>
      <c r="Z61" s="477"/>
    </row>
    <row r="62" spans="19:26" s="209" customFormat="1" ht="11.25">
      <c r="S62" s="477"/>
      <c r="T62" s="477"/>
      <c r="U62" s="477"/>
      <c r="V62" s="477"/>
      <c r="W62" s="477"/>
      <c r="X62" s="477"/>
      <c r="Y62" s="477"/>
      <c r="Z62" s="477"/>
    </row>
    <row r="63" spans="19:26" s="209" customFormat="1" ht="11.25">
      <c r="S63" s="477"/>
      <c r="T63" s="477"/>
      <c r="U63" s="477"/>
      <c r="V63" s="477"/>
      <c r="W63" s="477"/>
      <c r="X63" s="477"/>
      <c r="Y63" s="477"/>
      <c r="Z63" s="477"/>
    </row>
    <row r="64" spans="19:26" s="209" customFormat="1" ht="11.25">
      <c r="S64" s="477"/>
      <c r="T64" s="477"/>
      <c r="U64" s="477"/>
      <c r="V64" s="477"/>
      <c r="W64" s="477"/>
      <c r="X64" s="477"/>
      <c r="Y64" s="477"/>
      <c r="Z64" s="477"/>
    </row>
    <row r="65" spans="19:26" s="209" customFormat="1" ht="11.25">
      <c r="S65" s="477"/>
      <c r="T65" s="477"/>
      <c r="U65" s="477"/>
      <c r="V65" s="477"/>
      <c r="W65" s="477"/>
      <c r="X65" s="477"/>
      <c r="Y65" s="477"/>
      <c r="Z65" s="477"/>
    </row>
    <row r="66" spans="19:26" ht="11.25">
      <c r="S66" s="477"/>
      <c r="T66" s="477"/>
      <c r="U66" s="477"/>
      <c r="V66" s="477"/>
      <c r="W66" s="477"/>
      <c r="X66" s="477"/>
      <c r="Y66" s="477"/>
      <c r="Z66" s="477"/>
    </row>
    <row r="67" spans="19:25" ht="11.25">
      <c r="S67" s="477"/>
      <c r="T67" s="477"/>
      <c r="U67" s="477"/>
      <c r="V67" s="477"/>
      <c r="W67" s="477"/>
      <c r="X67" s="477"/>
      <c r="Y67" s="477"/>
    </row>
    <row r="68" spans="19:25" ht="11.25">
      <c r="S68" s="477"/>
      <c r="T68" s="477"/>
      <c r="U68" s="477"/>
      <c r="V68" s="477"/>
      <c r="W68" s="477"/>
      <c r="X68" s="477"/>
      <c r="Y68" s="477"/>
    </row>
    <row r="69" spans="19:25" ht="11.25">
      <c r="S69" s="477"/>
      <c r="T69" s="477"/>
      <c r="U69" s="477"/>
      <c r="V69" s="477"/>
      <c r="W69" s="477"/>
      <c r="X69" s="477"/>
      <c r="Y69" s="477"/>
    </row>
    <row r="70" spans="19:25" ht="11.25">
      <c r="S70" s="477"/>
      <c r="T70" s="477"/>
      <c r="U70" s="477"/>
      <c r="V70" s="477"/>
      <c r="W70" s="477"/>
      <c r="X70" s="477"/>
      <c r="Y70" s="477"/>
    </row>
    <row r="71" spans="19:25" ht="11.25">
      <c r="S71" s="477"/>
      <c r="T71" s="477"/>
      <c r="U71" s="477"/>
      <c r="V71" s="477"/>
      <c r="W71" s="477"/>
      <c r="X71" s="477"/>
      <c r="Y71" s="477"/>
    </row>
    <row r="72" spans="19:25" ht="11.25">
      <c r="S72" s="477"/>
      <c r="T72" s="477"/>
      <c r="U72" s="477"/>
      <c r="V72" s="477"/>
      <c r="W72" s="477"/>
      <c r="X72" s="477"/>
      <c r="Y72" s="477"/>
    </row>
  </sheetData>
  <sheetProtection/>
  <mergeCells count="2">
    <mergeCell ref="B2:AF2"/>
    <mergeCell ref="B45:AF45"/>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5"/>
  <dimension ref="A1:AJ92"/>
  <sheetViews>
    <sheetView zoomScalePageLayoutView="0" workbookViewId="0" topLeftCell="S7">
      <selection activeCell="AK15" sqref="AK15"/>
    </sheetView>
  </sheetViews>
  <sheetFormatPr defaultColWidth="9.140625" defaultRowHeight="12.75"/>
  <cols>
    <col min="1" max="1" width="2.7109375" style="209" customWidth="1"/>
    <col min="2" max="2" width="4.00390625" style="209" customWidth="1"/>
    <col min="3" max="20" width="6.7109375" style="209" customWidth="1"/>
    <col min="21" max="30" width="7.28125" style="209" customWidth="1"/>
    <col min="31" max="34" width="9.00390625" style="209" customWidth="1"/>
    <col min="35" max="35" width="6.00390625" style="209" customWidth="1"/>
    <col min="36" max="36" width="5.421875" style="209" customWidth="1"/>
    <col min="37" max="16384" width="9.140625" style="209" customWidth="1"/>
  </cols>
  <sheetData>
    <row r="1" spans="2:36" ht="14.25" customHeight="1">
      <c r="B1" s="327"/>
      <c r="C1" s="326"/>
      <c r="D1" s="326"/>
      <c r="E1" s="326"/>
      <c r="F1" s="326"/>
      <c r="G1" s="326"/>
      <c r="H1" s="326"/>
      <c r="I1" s="326"/>
      <c r="J1" s="326"/>
      <c r="K1" s="326"/>
      <c r="L1" s="326"/>
      <c r="M1" s="326"/>
      <c r="N1" s="326"/>
      <c r="O1" s="326"/>
      <c r="P1" s="326"/>
      <c r="Q1" s="434"/>
      <c r="U1" s="324"/>
      <c r="V1" s="324"/>
      <c r="W1" s="324"/>
      <c r="X1" s="324"/>
      <c r="Y1" s="324"/>
      <c r="Z1" s="324"/>
      <c r="AA1" s="324"/>
      <c r="AB1" s="324"/>
      <c r="AC1" s="324"/>
      <c r="AD1" s="324"/>
      <c r="AE1" s="324"/>
      <c r="AF1" s="324"/>
      <c r="AG1" s="324"/>
      <c r="AH1" s="324"/>
      <c r="AJ1" s="324" t="s">
        <v>94</v>
      </c>
    </row>
    <row r="2" spans="2:36" s="213" customFormat="1" ht="30" customHeight="1">
      <c r="B2" s="587" t="s">
        <v>47</v>
      </c>
      <c r="C2" s="587"/>
      <c r="D2" s="587"/>
      <c r="E2" s="587"/>
      <c r="F2" s="587"/>
      <c r="G2" s="587"/>
      <c r="H2" s="587"/>
      <c r="I2" s="587"/>
      <c r="J2" s="587"/>
      <c r="K2" s="587"/>
      <c r="L2" s="587"/>
      <c r="M2" s="587"/>
      <c r="N2" s="587"/>
      <c r="O2" s="587"/>
      <c r="P2" s="587"/>
      <c r="Q2" s="587"/>
      <c r="R2" s="587"/>
      <c r="S2" s="587"/>
      <c r="T2" s="587"/>
      <c r="U2" s="587"/>
      <c r="V2" s="587"/>
      <c r="W2" s="587"/>
      <c r="X2" s="587"/>
      <c r="Y2" s="587"/>
      <c r="Z2" s="587"/>
      <c r="AA2" s="587"/>
      <c r="AB2" s="587"/>
      <c r="AC2" s="587"/>
      <c r="AD2" s="587"/>
      <c r="AE2" s="587"/>
      <c r="AF2" s="587"/>
      <c r="AG2" s="587"/>
      <c r="AH2" s="587"/>
      <c r="AI2" s="587"/>
      <c r="AJ2" s="587"/>
    </row>
    <row r="3" spans="3:36" ht="8.25" customHeight="1">
      <c r="C3" s="322"/>
      <c r="D3" s="322"/>
      <c r="E3" s="322"/>
      <c r="F3" s="322"/>
      <c r="G3" s="322"/>
      <c r="H3" s="322"/>
      <c r="I3" s="322"/>
      <c r="J3" s="322"/>
      <c r="K3" s="322"/>
      <c r="L3" s="322"/>
      <c r="M3" s="322"/>
      <c r="N3" s="322"/>
      <c r="O3" s="322"/>
      <c r="P3" s="322"/>
      <c r="Q3" s="322"/>
      <c r="R3" s="322"/>
      <c r="Y3" s="322"/>
      <c r="Z3" s="322"/>
      <c r="AA3" s="322"/>
      <c r="AB3" s="322"/>
      <c r="AD3" s="322" t="s">
        <v>109</v>
      </c>
      <c r="AE3" s="322"/>
      <c r="AF3" s="322"/>
      <c r="AG3" s="322"/>
      <c r="AH3" s="322"/>
      <c r="AI3" s="321"/>
      <c r="AJ3" s="322"/>
    </row>
    <row r="4" spans="2:36" ht="24.75" customHeight="1">
      <c r="B4" s="320"/>
      <c r="C4" s="319">
        <v>1970</v>
      </c>
      <c r="D4" s="319">
        <v>1980</v>
      </c>
      <c r="E4" s="318">
        <v>1990</v>
      </c>
      <c r="F4" s="318">
        <v>1991</v>
      </c>
      <c r="G4" s="318">
        <v>1992</v>
      </c>
      <c r="H4" s="318">
        <v>1993</v>
      </c>
      <c r="I4" s="318">
        <v>1994</v>
      </c>
      <c r="J4" s="318">
        <v>1995</v>
      </c>
      <c r="K4" s="318">
        <v>1996</v>
      </c>
      <c r="L4" s="318">
        <v>1997</v>
      </c>
      <c r="M4" s="318">
        <v>1998</v>
      </c>
      <c r="N4" s="318">
        <v>1999</v>
      </c>
      <c r="O4" s="318">
        <v>2000</v>
      </c>
      <c r="P4" s="318">
        <v>2001</v>
      </c>
      <c r="Q4" s="318">
        <v>2002</v>
      </c>
      <c r="R4" s="318">
        <v>2003</v>
      </c>
      <c r="S4" s="318">
        <v>2004</v>
      </c>
      <c r="T4" s="318">
        <v>2005</v>
      </c>
      <c r="U4" s="318">
        <v>2006</v>
      </c>
      <c r="V4" s="318">
        <v>2007</v>
      </c>
      <c r="W4" s="318">
        <v>2008</v>
      </c>
      <c r="X4" s="318">
        <v>2009</v>
      </c>
      <c r="Y4" s="318">
        <v>2010</v>
      </c>
      <c r="Z4" s="318">
        <v>2011</v>
      </c>
      <c r="AA4" s="318">
        <v>2012</v>
      </c>
      <c r="AB4" s="318">
        <v>2013</v>
      </c>
      <c r="AC4" s="460">
        <v>2014</v>
      </c>
      <c r="AD4" s="460">
        <v>2015</v>
      </c>
      <c r="AE4" s="433"/>
      <c r="AF4" s="433"/>
      <c r="AG4" s="433"/>
      <c r="AH4" s="433" t="s">
        <v>115</v>
      </c>
      <c r="AI4" s="317" t="s">
        <v>135</v>
      </c>
      <c r="AJ4" s="361"/>
    </row>
    <row r="5" spans="2:36" ht="9.75" customHeight="1">
      <c r="B5" s="316"/>
      <c r="C5" s="315"/>
      <c r="D5" s="315"/>
      <c r="E5" s="314"/>
      <c r="F5" s="314"/>
      <c r="G5" s="314"/>
      <c r="H5" s="314"/>
      <c r="I5" s="314"/>
      <c r="J5" s="314"/>
      <c r="K5" s="314"/>
      <c r="L5" s="314"/>
      <c r="M5" s="314"/>
      <c r="N5" s="314"/>
      <c r="O5" s="314"/>
      <c r="P5" s="314"/>
      <c r="Q5" s="314"/>
      <c r="R5" s="314"/>
      <c r="S5" s="314"/>
      <c r="T5" s="314"/>
      <c r="U5" s="314"/>
      <c r="V5" s="314"/>
      <c r="W5" s="314"/>
      <c r="X5" s="314"/>
      <c r="Y5" s="314"/>
      <c r="Z5" s="314"/>
      <c r="AA5" s="313"/>
      <c r="AB5" s="313"/>
      <c r="AC5" s="313"/>
      <c r="AD5" s="313"/>
      <c r="AE5" s="432">
        <v>2012</v>
      </c>
      <c r="AF5" s="432">
        <v>2013</v>
      </c>
      <c r="AG5" s="486">
        <v>2014</v>
      </c>
      <c r="AH5" s="486">
        <v>2015</v>
      </c>
      <c r="AI5" s="362" t="s">
        <v>42</v>
      </c>
      <c r="AJ5" s="361"/>
    </row>
    <row r="6" spans="2:36" ht="12.75" customHeight="1">
      <c r="B6" s="305" t="s">
        <v>117</v>
      </c>
      <c r="C6" s="431">
        <f>20.5+SUM(C9:C36)</f>
        <v>330.167</v>
      </c>
      <c r="D6" s="431">
        <f>18+SUM(D9:D36)</f>
        <v>369.59900000000005</v>
      </c>
      <c r="E6" s="430">
        <f aca="true" t="shared" si="0" ref="E6:AB6">SUM(E9:E36)</f>
        <v>404.13599999999997</v>
      </c>
      <c r="F6" s="429">
        <f t="shared" si="0"/>
        <v>386.78900000000004</v>
      </c>
      <c r="G6" s="428">
        <f t="shared" si="0"/>
        <v>375.5250000000001</v>
      </c>
      <c r="H6" s="428">
        <f t="shared" si="0"/>
        <v>350.168</v>
      </c>
      <c r="I6" s="428">
        <f t="shared" si="0"/>
        <v>343.344</v>
      </c>
      <c r="J6" s="428">
        <f t="shared" si="0"/>
        <v>350.32250628200006</v>
      </c>
      <c r="K6" s="428">
        <f t="shared" si="0"/>
        <v>348.7789985870001</v>
      </c>
      <c r="L6" s="428">
        <f t="shared" si="0"/>
        <v>349.80795994899984</v>
      </c>
      <c r="M6" s="428">
        <f t="shared" si="0"/>
        <v>350.73916329400004</v>
      </c>
      <c r="N6" s="428">
        <f t="shared" si="0"/>
        <v>358.488527788</v>
      </c>
      <c r="O6" s="428">
        <f t="shared" si="0"/>
        <v>371.5097931639082</v>
      </c>
      <c r="P6" s="428">
        <f t="shared" si="0"/>
        <v>373.59488607944144</v>
      </c>
      <c r="Q6" s="428">
        <f t="shared" si="0"/>
        <v>366.1284853288046</v>
      </c>
      <c r="R6" s="428">
        <f t="shared" si="0"/>
        <v>362.43931435149534</v>
      </c>
      <c r="S6" s="428">
        <f t="shared" si="0"/>
        <v>368.817539779</v>
      </c>
      <c r="T6" s="428">
        <f t="shared" si="0"/>
        <v>377.3995049220001</v>
      </c>
      <c r="U6" s="428">
        <f t="shared" si="0"/>
        <v>389.354898616</v>
      </c>
      <c r="V6" s="428">
        <f t="shared" si="0"/>
        <v>396.393456999</v>
      </c>
      <c r="W6" s="428">
        <f t="shared" si="0"/>
        <v>411.777940444</v>
      </c>
      <c r="X6" s="428">
        <f t="shared" si="0"/>
        <v>404.736418338917</v>
      </c>
      <c r="Y6" s="428">
        <f t="shared" si="0"/>
        <v>406.77556774583996</v>
      </c>
      <c r="Z6" s="428">
        <f t="shared" si="0"/>
        <v>415.13198409338</v>
      </c>
      <c r="AA6" s="428">
        <f t="shared" si="0"/>
        <v>420.87095878564827</v>
      </c>
      <c r="AB6" s="428">
        <f t="shared" si="0"/>
        <v>426.5842343535969</v>
      </c>
      <c r="AC6" s="481">
        <f>SUM(AC9:AC36)</f>
        <v>433.75344617924003</v>
      </c>
      <c r="AD6" s="481">
        <f>SUM(AD9:AD36)</f>
        <v>441.8980457377532</v>
      </c>
      <c r="AE6" s="427">
        <v>63.99008623127671</v>
      </c>
      <c r="AF6" s="427">
        <v>67.01169230449909</v>
      </c>
      <c r="AG6" s="520">
        <f>0.680708332962707*100</f>
        <v>68.0708332962707</v>
      </c>
      <c r="AH6" s="518">
        <f>0.663340459*100</f>
        <v>66.3340459</v>
      </c>
      <c r="AI6" s="426">
        <f>AD6/AC6*100-100</f>
        <v>1.877702558966547</v>
      </c>
      <c r="AJ6" s="305" t="s">
        <v>117</v>
      </c>
    </row>
    <row r="7" spans="1:36" ht="12.75" customHeight="1">
      <c r="A7" s="224"/>
      <c r="B7" s="273" t="s">
        <v>118</v>
      </c>
      <c r="C7" s="425">
        <f aca="true" t="shared" si="1" ref="C7:AB7">SUM(C9,C12:C13,C15:C18,C24,C27:C28,C30,C34:C36,C20)</f>
        <v>220.18699999999993</v>
      </c>
      <c r="D7" s="425">
        <f t="shared" si="1"/>
        <v>246.90300000000002</v>
      </c>
      <c r="E7" s="424">
        <f t="shared" si="1"/>
        <v>268.91700000000003</v>
      </c>
      <c r="F7" s="423">
        <f t="shared" si="1"/>
        <v>277.34700000000004</v>
      </c>
      <c r="G7" s="423">
        <f t="shared" si="1"/>
        <v>278.471</v>
      </c>
      <c r="H7" s="423">
        <f t="shared" si="1"/>
        <v>265.075</v>
      </c>
      <c r="I7" s="423">
        <f t="shared" si="1"/>
        <v>265.148</v>
      </c>
      <c r="J7" s="423">
        <f t="shared" si="1"/>
        <v>274.79150628199994</v>
      </c>
      <c r="K7" s="423">
        <f t="shared" si="1"/>
        <v>280.858998587</v>
      </c>
      <c r="L7" s="423">
        <f t="shared" si="1"/>
        <v>284.693959949</v>
      </c>
      <c r="M7" s="423">
        <f t="shared" si="1"/>
        <v>289.215163294</v>
      </c>
      <c r="N7" s="423">
        <f t="shared" si="1"/>
        <v>297.70952778799995</v>
      </c>
      <c r="O7" s="423">
        <f t="shared" si="1"/>
        <v>308.90579316390824</v>
      </c>
      <c r="P7" s="423">
        <f t="shared" si="1"/>
        <v>313.6842370794416</v>
      </c>
      <c r="Q7" s="423">
        <f t="shared" si="1"/>
        <v>311.1065353288045</v>
      </c>
      <c r="R7" s="423">
        <f t="shared" si="1"/>
        <v>309.3515003514955</v>
      </c>
      <c r="S7" s="423">
        <f t="shared" si="1"/>
        <v>317.065539779</v>
      </c>
      <c r="T7" s="423">
        <f t="shared" si="1"/>
        <v>327.083504922</v>
      </c>
      <c r="U7" s="423">
        <f t="shared" si="1"/>
        <v>338.261898616</v>
      </c>
      <c r="V7" s="423">
        <f t="shared" si="1"/>
        <v>345.366456999</v>
      </c>
      <c r="W7" s="423">
        <f t="shared" si="1"/>
        <v>361.372940444</v>
      </c>
      <c r="X7" s="423">
        <f t="shared" si="1"/>
        <v>357.73141833891697</v>
      </c>
      <c r="Y7" s="423">
        <f t="shared" si="1"/>
        <v>361.54256774583996</v>
      </c>
      <c r="Z7" s="423">
        <f t="shared" si="1"/>
        <v>370.12298409337996</v>
      </c>
      <c r="AA7" s="423">
        <f t="shared" si="1"/>
        <v>376.3469587856483</v>
      </c>
      <c r="AB7" s="423">
        <f t="shared" si="1"/>
        <v>383.04723435359693</v>
      </c>
      <c r="AC7" s="423">
        <f>SUM(AC9,AC12:AC13,AC15:AC18,AC24,AC27:AC28,AC30,AC34:AC36,AC20)</f>
        <v>390.50344617924003</v>
      </c>
      <c r="AD7" s="423">
        <f>SUM(AD9,AD12:AD13,AD15:AD18,AD24,AD27:AD28,AD30,AD34:AD36,AD20)</f>
        <v>396.10904573775315</v>
      </c>
      <c r="AE7" s="422"/>
      <c r="AF7" s="422"/>
      <c r="AG7" s="422"/>
      <c r="AH7" s="421"/>
      <c r="AI7" s="420">
        <f aca="true" t="shared" si="2" ref="AI7:AI44">AD7/AC7*100-100</f>
        <v>1.4354801765155543</v>
      </c>
      <c r="AJ7" s="273" t="s">
        <v>118</v>
      </c>
    </row>
    <row r="8" spans="1:36" ht="12.75" customHeight="1" thickBot="1">
      <c r="A8" s="224"/>
      <c r="B8" s="294" t="s">
        <v>119</v>
      </c>
      <c r="C8" s="419">
        <f>20.5+SUM(C10,C11,C14,C21,C22,C23,C25,C26,C29,C31,C32,C33,C19)</f>
        <v>109.97999999999999</v>
      </c>
      <c r="D8" s="419">
        <f>18+SUM(D10,D11,D14,D21,D22,D23,D25,D26,D29,D31,D32,D33,D19)</f>
        <v>122.696</v>
      </c>
      <c r="E8" s="418">
        <f aca="true" t="shared" si="3" ref="E8:AB8">E6-E7</f>
        <v>135.21899999999994</v>
      </c>
      <c r="F8" s="417">
        <f t="shared" si="3"/>
        <v>109.44200000000001</v>
      </c>
      <c r="G8" s="416">
        <f t="shared" si="3"/>
        <v>97.05400000000009</v>
      </c>
      <c r="H8" s="416">
        <f t="shared" si="3"/>
        <v>85.09300000000002</v>
      </c>
      <c r="I8" s="416">
        <f t="shared" si="3"/>
        <v>78.19599999999997</v>
      </c>
      <c r="J8" s="416">
        <f t="shared" si="3"/>
        <v>75.53100000000012</v>
      </c>
      <c r="K8" s="416">
        <f t="shared" si="3"/>
        <v>67.92000000000013</v>
      </c>
      <c r="L8" s="416">
        <f t="shared" si="3"/>
        <v>65.11399999999986</v>
      </c>
      <c r="M8" s="416">
        <f t="shared" si="3"/>
        <v>61.52400000000006</v>
      </c>
      <c r="N8" s="416">
        <f t="shared" si="3"/>
        <v>60.77900000000005</v>
      </c>
      <c r="O8" s="416">
        <f t="shared" si="3"/>
        <v>62.603999999999985</v>
      </c>
      <c r="P8" s="416">
        <f t="shared" si="3"/>
        <v>59.910648999999864</v>
      </c>
      <c r="Q8" s="416">
        <f t="shared" si="3"/>
        <v>55.02195000000006</v>
      </c>
      <c r="R8" s="416">
        <f t="shared" si="3"/>
        <v>53.08781399999987</v>
      </c>
      <c r="S8" s="416">
        <f t="shared" si="3"/>
        <v>51.75200000000001</v>
      </c>
      <c r="T8" s="416">
        <f t="shared" si="3"/>
        <v>50.316000000000145</v>
      </c>
      <c r="U8" s="416">
        <f t="shared" si="3"/>
        <v>51.09300000000002</v>
      </c>
      <c r="V8" s="416">
        <f t="shared" si="3"/>
        <v>51.027000000000044</v>
      </c>
      <c r="W8" s="416">
        <f t="shared" si="3"/>
        <v>50.40500000000003</v>
      </c>
      <c r="X8" s="416">
        <f t="shared" si="3"/>
        <v>47.00500000000005</v>
      </c>
      <c r="Y8" s="416">
        <f t="shared" si="3"/>
        <v>45.233000000000004</v>
      </c>
      <c r="Z8" s="416">
        <f t="shared" si="3"/>
        <v>45.00900000000007</v>
      </c>
      <c r="AA8" s="416">
        <f t="shared" si="3"/>
        <v>44.523999999999944</v>
      </c>
      <c r="AB8" s="416">
        <f t="shared" si="3"/>
        <v>43.53699999999998</v>
      </c>
      <c r="AC8" s="482">
        <f>AC6-AC7</f>
        <v>43.25</v>
      </c>
      <c r="AD8" s="482">
        <f>AD6-AD7</f>
        <v>45.789000000000044</v>
      </c>
      <c r="AE8" s="415"/>
      <c r="AF8" s="483"/>
      <c r="AG8" s="483"/>
      <c r="AH8" s="487"/>
      <c r="AI8" s="414">
        <f t="shared" si="2"/>
        <v>5.870520231213973</v>
      </c>
      <c r="AJ8" s="294" t="s">
        <v>119</v>
      </c>
    </row>
    <row r="9" spans="1:36" ht="12.75" customHeight="1">
      <c r="A9" s="224"/>
      <c r="B9" s="231" t="s">
        <v>29</v>
      </c>
      <c r="C9" s="413">
        <v>8.26</v>
      </c>
      <c r="D9" s="413">
        <v>6.963</v>
      </c>
      <c r="E9" s="278">
        <v>6.539</v>
      </c>
      <c r="F9" s="278">
        <v>6.77</v>
      </c>
      <c r="G9" s="278">
        <v>6.798</v>
      </c>
      <c r="H9" s="278">
        <v>6.694</v>
      </c>
      <c r="I9" s="278">
        <v>6.638</v>
      </c>
      <c r="J9" s="278">
        <v>6.757</v>
      </c>
      <c r="K9" s="278">
        <v>6.788</v>
      </c>
      <c r="L9" s="278">
        <v>6.98</v>
      </c>
      <c r="M9" s="278">
        <v>7.097</v>
      </c>
      <c r="N9" s="278">
        <v>7.354</v>
      </c>
      <c r="O9" s="278">
        <v>7.734</v>
      </c>
      <c r="P9" s="278">
        <v>8.038</v>
      </c>
      <c r="Q9" s="278">
        <v>8.26</v>
      </c>
      <c r="R9" s="278">
        <v>8.265</v>
      </c>
      <c r="S9" s="278">
        <v>9.225</v>
      </c>
      <c r="T9" s="278">
        <v>8.51</v>
      </c>
      <c r="U9" s="278">
        <v>8.964</v>
      </c>
      <c r="V9" s="278">
        <v>9.403</v>
      </c>
      <c r="W9" s="278">
        <v>10.139</v>
      </c>
      <c r="X9" s="278">
        <v>10.237</v>
      </c>
      <c r="Y9" s="278">
        <v>10.564</v>
      </c>
      <c r="Z9" s="278">
        <v>10.669</v>
      </c>
      <c r="AA9" s="278">
        <v>10.857</v>
      </c>
      <c r="AB9" s="278">
        <v>10.886</v>
      </c>
      <c r="AC9" s="278">
        <v>10.974</v>
      </c>
      <c r="AD9" s="278">
        <v>10.333</v>
      </c>
      <c r="AE9" s="406"/>
      <c r="AF9" s="405">
        <v>89.33492559250413</v>
      </c>
      <c r="AG9" s="405">
        <v>90.4</v>
      </c>
      <c r="AH9" s="404"/>
      <c r="AI9" s="277">
        <f t="shared" si="2"/>
        <v>-5.841078913796252</v>
      </c>
      <c r="AJ9" s="231" t="s">
        <v>29</v>
      </c>
    </row>
    <row r="10" spans="1:36" ht="12.75" customHeight="1">
      <c r="A10" s="224"/>
      <c r="B10" s="273" t="s">
        <v>12</v>
      </c>
      <c r="C10" s="276">
        <v>6.224</v>
      </c>
      <c r="D10" s="276">
        <v>7.055</v>
      </c>
      <c r="E10" s="275">
        <v>7.793</v>
      </c>
      <c r="F10" s="275">
        <v>4.866</v>
      </c>
      <c r="G10" s="275">
        <v>5.393</v>
      </c>
      <c r="H10" s="275">
        <v>5.837</v>
      </c>
      <c r="I10" s="275">
        <v>5.059</v>
      </c>
      <c r="J10" s="275">
        <v>4.693</v>
      </c>
      <c r="K10" s="275">
        <v>5.065</v>
      </c>
      <c r="L10" s="275">
        <v>5.886</v>
      </c>
      <c r="M10" s="275">
        <v>4.74</v>
      </c>
      <c r="N10" s="275">
        <v>3.819</v>
      </c>
      <c r="O10" s="275">
        <v>3.472</v>
      </c>
      <c r="P10" s="275">
        <v>2.99</v>
      </c>
      <c r="Q10" s="275">
        <v>2.598</v>
      </c>
      <c r="R10" s="275">
        <v>2.517</v>
      </c>
      <c r="S10" s="275">
        <v>2.404</v>
      </c>
      <c r="T10" s="275">
        <v>2.389</v>
      </c>
      <c r="U10" s="275">
        <v>2.411</v>
      </c>
      <c r="V10" s="275">
        <v>2.404</v>
      </c>
      <c r="W10" s="275">
        <v>2.317</v>
      </c>
      <c r="X10" s="275">
        <v>2.138</v>
      </c>
      <c r="Y10" s="275">
        <v>2.09</v>
      </c>
      <c r="Z10" s="275">
        <v>2.059</v>
      </c>
      <c r="AA10" s="275">
        <v>1.87</v>
      </c>
      <c r="AB10" s="275">
        <v>1.821</v>
      </c>
      <c r="AC10" s="275">
        <v>1.698</v>
      </c>
      <c r="AD10" s="275">
        <v>1.549</v>
      </c>
      <c r="AE10" s="405">
        <v>85.2734163508392</v>
      </c>
      <c r="AF10" s="405">
        <v>88.08347062053817</v>
      </c>
      <c r="AG10" s="405">
        <v>91.2</v>
      </c>
      <c r="AH10" s="404">
        <v>94.1502383713439</v>
      </c>
      <c r="AI10" s="274">
        <f t="shared" si="2"/>
        <v>-8.775029446407544</v>
      </c>
      <c r="AJ10" s="273" t="s">
        <v>12</v>
      </c>
    </row>
    <row r="11" spans="1:36" s="245" customFormat="1" ht="12.75" customHeight="1">
      <c r="A11" s="250"/>
      <c r="B11" s="231" t="s">
        <v>14</v>
      </c>
      <c r="C11" s="350"/>
      <c r="D11" s="350"/>
      <c r="E11" s="291">
        <v>13.313</v>
      </c>
      <c r="F11" s="389">
        <v>12.5</v>
      </c>
      <c r="G11" s="291">
        <v>11.147</v>
      </c>
      <c r="H11" s="291">
        <v>8.548</v>
      </c>
      <c r="I11" s="291">
        <v>8.481</v>
      </c>
      <c r="J11" s="291">
        <v>8.023</v>
      </c>
      <c r="K11" s="291">
        <v>8.111</v>
      </c>
      <c r="L11" s="291">
        <v>7.71</v>
      </c>
      <c r="M11" s="291">
        <v>7.001</v>
      </c>
      <c r="N11" s="291">
        <v>6.929</v>
      </c>
      <c r="O11" s="291">
        <v>7.3</v>
      </c>
      <c r="P11" s="291">
        <v>7.299</v>
      </c>
      <c r="Q11" s="291">
        <v>6.597</v>
      </c>
      <c r="R11" s="291">
        <v>6.518</v>
      </c>
      <c r="S11" s="291">
        <v>6.58</v>
      </c>
      <c r="T11" s="291">
        <v>6.667</v>
      </c>
      <c r="U11" s="291">
        <v>6.922</v>
      </c>
      <c r="V11" s="291">
        <v>6.898</v>
      </c>
      <c r="W11" s="291">
        <v>6.773</v>
      </c>
      <c r="X11" s="291">
        <v>6.472</v>
      </c>
      <c r="Y11" s="291">
        <v>6.559</v>
      </c>
      <c r="Z11" s="291">
        <v>6.669</v>
      </c>
      <c r="AA11" s="291">
        <v>7.196</v>
      </c>
      <c r="AB11" s="291">
        <v>7.512</v>
      </c>
      <c r="AC11" s="291">
        <v>7.644</v>
      </c>
      <c r="AD11" s="291">
        <v>8.125</v>
      </c>
      <c r="AE11" s="405">
        <v>92.3076923076923</v>
      </c>
      <c r="AF11" s="405"/>
      <c r="AG11" s="405">
        <v>93.2</v>
      </c>
      <c r="AH11" s="404">
        <v>99.9987949193801</v>
      </c>
      <c r="AI11" s="232">
        <f t="shared" si="2"/>
        <v>6.292517006802711</v>
      </c>
      <c r="AJ11" s="231" t="s">
        <v>14</v>
      </c>
    </row>
    <row r="12" spans="1:36" ht="12.75" customHeight="1">
      <c r="A12" s="224"/>
      <c r="B12" s="273" t="s">
        <v>25</v>
      </c>
      <c r="C12" s="276">
        <v>3.898</v>
      </c>
      <c r="D12" s="276">
        <v>3.803</v>
      </c>
      <c r="E12" s="275">
        <v>5.051</v>
      </c>
      <c r="F12" s="275">
        <v>4.913</v>
      </c>
      <c r="G12" s="275">
        <v>4.974</v>
      </c>
      <c r="H12" s="275">
        <v>4.939</v>
      </c>
      <c r="I12" s="275">
        <v>5.052</v>
      </c>
      <c r="J12" s="275">
        <v>4.888</v>
      </c>
      <c r="K12" s="275">
        <v>4.821</v>
      </c>
      <c r="L12" s="275">
        <v>5.173</v>
      </c>
      <c r="M12" s="275">
        <v>5.365</v>
      </c>
      <c r="N12" s="275">
        <v>5.31</v>
      </c>
      <c r="O12" s="275">
        <v>5.537</v>
      </c>
      <c r="P12" s="275">
        <v>5.721</v>
      </c>
      <c r="Q12" s="275">
        <v>5.745</v>
      </c>
      <c r="R12" s="275">
        <v>5.826</v>
      </c>
      <c r="S12" s="275">
        <v>5.946</v>
      </c>
      <c r="T12" s="275">
        <v>5.974</v>
      </c>
      <c r="U12" s="275">
        <v>6.11</v>
      </c>
      <c r="V12" s="275">
        <v>6.176</v>
      </c>
      <c r="W12" s="275">
        <v>6.28</v>
      </c>
      <c r="X12" s="275">
        <v>6.152</v>
      </c>
      <c r="Y12" s="275">
        <v>6.338</v>
      </c>
      <c r="Z12" s="275">
        <v>6.365</v>
      </c>
      <c r="AA12" s="275">
        <v>6.517</v>
      </c>
      <c r="AB12" s="275">
        <v>6.551</v>
      </c>
      <c r="AC12" s="275">
        <v>6.513</v>
      </c>
      <c r="AD12" s="275">
        <v>6.506</v>
      </c>
      <c r="AE12" s="405">
        <v>90.59208653572445</v>
      </c>
      <c r="AF12" s="405">
        <v>95.97230073487846</v>
      </c>
      <c r="AG12" s="405">
        <v>100</v>
      </c>
      <c r="AH12" s="404">
        <v>100</v>
      </c>
      <c r="AI12" s="274">
        <f t="shared" si="2"/>
        <v>-0.10747735298633643</v>
      </c>
      <c r="AJ12" s="273" t="s">
        <v>25</v>
      </c>
    </row>
    <row r="13" spans="1:36" s="245" customFormat="1" ht="12.75" customHeight="1">
      <c r="A13" s="250"/>
      <c r="B13" s="231" t="s">
        <v>30</v>
      </c>
      <c r="C13" s="350">
        <v>62.4</v>
      </c>
      <c r="D13" s="350">
        <v>62.499</v>
      </c>
      <c r="E13" s="291">
        <v>61.024</v>
      </c>
      <c r="F13" s="291">
        <v>67.31</v>
      </c>
      <c r="G13" s="351">
        <v>67.55</v>
      </c>
      <c r="H13" s="291">
        <v>63.361</v>
      </c>
      <c r="I13" s="291">
        <v>65.2</v>
      </c>
      <c r="J13" s="291">
        <v>70.977</v>
      </c>
      <c r="K13" s="291">
        <v>71.73</v>
      </c>
      <c r="L13" s="291">
        <v>72.40299999999999</v>
      </c>
      <c r="M13" s="291">
        <v>72.666</v>
      </c>
      <c r="N13" s="291">
        <v>73.79599999999999</v>
      </c>
      <c r="O13" s="291">
        <v>75.404</v>
      </c>
      <c r="P13" s="291">
        <v>75.75399999999999</v>
      </c>
      <c r="Q13" s="291">
        <v>70.819</v>
      </c>
      <c r="R13" s="291">
        <v>71.293</v>
      </c>
      <c r="S13" s="291">
        <v>72.9</v>
      </c>
      <c r="T13" s="291">
        <v>76.8</v>
      </c>
      <c r="U13" s="291">
        <v>79</v>
      </c>
      <c r="V13" s="291">
        <v>79.107</v>
      </c>
      <c r="W13" s="291">
        <v>82.538825</v>
      </c>
      <c r="X13" s="291">
        <v>82.254</v>
      </c>
      <c r="Y13" s="291">
        <v>83.892</v>
      </c>
      <c r="Z13" s="291">
        <v>85.413</v>
      </c>
      <c r="AA13" s="291">
        <v>88.795</v>
      </c>
      <c r="AB13" s="291">
        <v>89.615</v>
      </c>
      <c r="AC13" s="291">
        <v>90.976</v>
      </c>
      <c r="AD13" s="291">
        <v>91.25783236505316</v>
      </c>
      <c r="AE13" s="405"/>
      <c r="AF13" s="405">
        <v>60.31104234196587</v>
      </c>
      <c r="AG13" s="405">
        <v>60.1</v>
      </c>
      <c r="AH13" s="404">
        <v>59.391965255157444</v>
      </c>
      <c r="AI13" s="232">
        <f t="shared" si="2"/>
        <v>0.3097875978864266</v>
      </c>
      <c r="AJ13" s="231" t="s">
        <v>30</v>
      </c>
    </row>
    <row r="14" spans="1:36" ht="12.75" customHeight="1">
      <c r="A14" s="224"/>
      <c r="B14" s="273" t="s">
        <v>15</v>
      </c>
      <c r="C14" s="276">
        <v>1.231</v>
      </c>
      <c r="D14" s="276">
        <v>1.553</v>
      </c>
      <c r="E14" s="275">
        <v>1.51</v>
      </c>
      <c r="F14" s="275">
        <v>1.273</v>
      </c>
      <c r="G14" s="275">
        <v>0.95</v>
      </c>
      <c r="H14" s="275">
        <v>0.722</v>
      </c>
      <c r="I14" s="275">
        <v>0.537</v>
      </c>
      <c r="J14" s="275">
        <v>0.421</v>
      </c>
      <c r="K14" s="275">
        <v>0.309</v>
      </c>
      <c r="L14" s="275">
        <v>0.262</v>
      </c>
      <c r="M14" s="275">
        <v>0.236</v>
      </c>
      <c r="N14" s="275">
        <v>0.238</v>
      </c>
      <c r="O14" s="275">
        <v>0.261</v>
      </c>
      <c r="P14" s="275">
        <v>0.182649</v>
      </c>
      <c r="Q14" s="275">
        <v>0.17695</v>
      </c>
      <c r="R14" s="275">
        <v>0.181814</v>
      </c>
      <c r="S14" s="275">
        <v>0.193</v>
      </c>
      <c r="T14" s="275">
        <v>0.248</v>
      </c>
      <c r="U14" s="275">
        <v>0.257</v>
      </c>
      <c r="V14" s="275">
        <v>0.274</v>
      </c>
      <c r="W14" s="275">
        <v>0.274</v>
      </c>
      <c r="X14" s="275">
        <v>0.249</v>
      </c>
      <c r="Y14" s="275">
        <v>0.247</v>
      </c>
      <c r="Z14" s="275">
        <v>0.243</v>
      </c>
      <c r="AA14" s="275">
        <v>0.235</v>
      </c>
      <c r="AB14" s="275">
        <v>0.223</v>
      </c>
      <c r="AC14" s="275">
        <v>0.28</v>
      </c>
      <c r="AD14" s="275">
        <v>0.286</v>
      </c>
      <c r="AE14" s="405">
        <v>92.76595744680851</v>
      </c>
      <c r="AF14" s="405">
        <v>90.01614349775784</v>
      </c>
      <c r="AG14" s="405">
        <v>93.4</v>
      </c>
      <c r="AH14" s="404">
        <v>100</v>
      </c>
      <c r="AI14" s="274">
        <f t="shared" si="2"/>
        <v>2.142857142857139</v>
      </c>
      <c r="AJ14" s="273" t="s">
        <v>15</v>
      </c>
    </row>
    <row r="15" spans="1:36" ht="12.75" customHeight="1">
      <c r="A15" s="224"/>
      <c r="B15" s="231" t="s">
        <v>33</v>
      </c>
      <c r="C15" s="281">
        <v>0.582</v>
      </c>
      <c r="D15" s="281">
        <v>1.032</v>
      </c>
      <c r="E15" s="278">
        <v>1.226</v>
      </c>
      <c r="F15" s="278">
        <v>1.29</v>
      </c>
      <c r="G15" s="278">
        <v>1.226</v>
      </c>
      <c r="H15" s="278">
        <v>1.274</v>
      </c>
      <c r="I15" s="278">
        <v>1.26</v>
      </c>
      <c r="J15" s="278">
        <v>1.291</v>
      </c>
      <c r="K15" s="278">
        <v>1.295</v>
      </c>
      <c r="L15" s="278">
        <v>1.387</v>
      </c>
      <c r="M15" s="278">
        <v>1.421</v>
      </c>
      <c r="N15" s="278">
        <v>1.458</v>
      </c>
      <c r="O15" s="278">
        <v>1.389</v>
      </c>
      <c r="P15" s="278">
        <v>1.515</v>
      </c>
      <c r="Q15" s="278">
        <v>1.628</v>
      </c>
      <c r="R15" s="278">
        <v>1.601</v>
      </c>
      <c r="S15" s="278">
        <v>1.582</v>
      </c>
      <c r="T15" s="278">
        <v>1.781</v>
      </c>
      <c r="U15" s="278">
        <v>1.872</v>
      </c>
      <c r="V15" s="278">
        <v>2.007</v>
      </c>
      <c r="W15" s="278">
        <v>1.976</v>
      </c>
      <c r="X15" s="278">
        <v>1.683</v>
      </c>
      <c r="Y15" s="278">
        <v>1.678</v>
      </c>
      <c r="Z15" s="278">
        <v>1.638</v>
      </c>
      <c r="AA15" s="278">
        <v>1.578</v>
      </c>
      <c r="AB15" s="278">
        <v>1.569</v>
      </c>
      <c r="AC15" s="278">
        <v>1.728</v>
      </c>
      <c r="AD15" s="278">
        <v>1.918</v>
      </c>
      <c r="AE15" s="405">
        <v>93.93173198482933</v>
      </c>
      <c r="AF15" s="405">
        <v>100</v>
      </c>
      <c r="AG15" s="405"/>
      <c r="AH15" s="404"/>
      <c r="AI15" s="277">
        <f t="shared" si="2"/>
        <v>10.995370370370367</v>
      </c>
      <c r="AJ15" s="231" t="s">
        <v>33</v>
      </c>
    </row>
    <row r="16" spans="1:36" ht="12.75" customHeight="1">
      <c r="A16" s="224"/>
      <c r="B16" s="273" t="s">
        <v>26</v>
      </c>
      <c r="C16" s="276">
        <v>1.951</v>
      </c>
      <c r="D16" s="276">
        <v>1.464</v>
      </c>
      <c r="E16" s="275">
        <v>1.977</v>
      </c>
      <c r="F16" s="275">
        <v>1.995</v>
      </c>
      <c r="G16" s="275">
        <v>2.046</v>
      </c>
      <c r="H16" s="275">
        <v>1.726</v>
      </c>
      <c r="I16" s="275">
        <v>1.599</v>
      </c>
      <c r="J16" s="275">
        <v>1.568</v>
      </c>
      <c r="K16" s="275">
        <v>1.751</v>
      </c>
      <c r="L16" s="275">
        <v>1.884</v>
      </c>
      <c r="M16" s="275">
        <v>1.552</v>
      </c>
      <c r="N16" s="275">
        <v>1.583</v>
      </c>
      <c r="O16" s="275">
        <v>1.886</v>
      </c>
      <c r="P16" s="275">
        <v>1.747</v>
      </c>
      <c r="Q16" s="275">
        <v>1.836</v>
      </c>
      <c r="R16" s="275">
        <v>1.574</v>
      </c>
      <c r="S16" s="275">
        <v>1.668</v>
      </c>
      <c r="T16" s="275">
        <v>1.854</v>
      </c>
      <c r="U16" s="275">
        <v>1.811</v>
      </c>
      <c r="V16" s="275">
        <v>1.93</v>
      </c>
      <c r="W16" s="275">
        <v>1.657</v>
      </c>
      <c r="X16" s="275">
        <v>1.467</v>
      </c>
      <c r="Y16" s="275">
        <v>1.383</v>
      </c>
      <c r="Z16" s="275">
        <v>0.958</v>
      </c>
      <c r="AA16" s="275">
        <v>0.832</v>
      </c>
      <c r="AB16" s="275">
        <v>1.056</v>
      </c>
      <c r="AC16" s="275">
        <v>1.072</v>
      </c>
      <c r="AD16" s="275">
        <v>1.263</v>
      </c>
      <c r="AE16" s="405">
        <v>100</v>
      </c>
      <c r="AF16" s="405"/>
      <c r="AG16" s="405"/>
      <c r="AH16" s="404">
        <v>93.01386138613861</v>
      </c>
      <c r="AI16" s="274">
        <f t="shared" si="2"/>
        <v>17.817164179104466</v>
      </c>
      <c r="AJ16" s="273" t="s">
        <v>26</v>
      </c>
    </row>
    <row r="17" spans="1:36" ht="12.75" customHeight="1">
      <c r="A17" s="224"/>
      <c r="B17" s="231" t="s">
        <v>31</v>
      </c>
      <c r="C17" s="281">
        <v>14.013</v>
      </c>
      <c r="D17" s="281">
        <v>13.527</v>
      </c>
      <c r="E17" s="278">
        <v>15.476</v>
      </c>
      <c r="F17" s="278">
        <v>15.022</v>
      </c>
      <c r="G17" s="278">
        <v>16.302</v>
      </c>
      <c r="H17" s="278">
        <v>15.234</v>
      </c>
      <c r="I17" s="278">
        <v>14.853</v>
      </c>
      <c r="J17" s="278">
        <v>16.577</v>
      </c>
      <c r="K17" s="279">
        <v>16.85</v>
      </c>
      <c r="L17" s="279">
        <v>17.83</v>
      </c>
      <c r="M17" s="279">
        <v>18.73</v>
      </c>
      <c r="N17" s="278">
        <v>19.655</v>
      </c>
      <c r="O17" s="278">
        <v>20.144</v>
      </c>
      <c r="P17" s="278">
        <v>20.829</v>
      </c>
      <c r="Q17" s="278">
        <v>21.211</v>
      </c>
      <c r="R17" s="278">
        <v>21.127</v>
      </c>
      <c r="S17" s="278">
        <v>20.328</v>
      </c>
      <c r="T17" s="278">
        <v>21.151</v>
      </c>
      <c r="U17" s="278">
        <v>21.62</v>
      </c>
      <c r="V17" s="278">
        <v>21.362</v>
      </c>
      <c r="W17" s="278">
        <v>23.453</v>
      </c>
      <c r="X17" s="278">
        <v>23.055</v>
      </c>
      <c r="Y17" s="278">
        <v>22.348</v>
      </c>
      <c r="Z17" s="278">
        <v>22.937</v>
      </c>
      <c r="AA17" s="278">
        <v>22.452</v>
      </c>
      <c r="AB17" s="278">
        <v>23.766</v>
      </c>
      <c r="AC17" s="278">
        <v>25.146</v>
      </c>
      <c r="AD17" s="278">
        <v>26.247</v>
      </c>
      <c r="AE17" s="405">
        <v>50.858063904427794</v>
      </c>
      <c r="AF17" s="405"/>
      <c r="AG17" s="405"/>
      <c r="AH17" s="404"/>
      <c r="AI17" s="277">
        <f t="shared" si="2"/>
        <v>4.378429968981152</v>
      </c>
      <c r="AJ17" s="231" t="s">
        <v>31</v>
      </c>
    </row>
    <row r="18" spans="1:36" ht="12.75" customHeight="1">
      <c r="A18" s="224"/>
      <c r="B18" s="273" t="s">
        <v>32</v>
      </c>
      <c r="C18" s="276">
        <v>40.979</v>
      </c>
      <c r="D18" s="276">
        <v>54.496</v>
      </c>
      <c r="E18" s="275">
        <v>63.74</v>
      </c>
      <c r="F18" s="275">
        <v>62.37</v>
      </c>
      <c r="G18" s="275">
        <v>62.99</v>
      </c>
      <c r="H18" s="275">
        <v>58.43</v>
      </c>
      <c r="I18" s="275">
        <v>58.94</v>
      </c>
      <c r="J18" s="275">
        <v>54.21880628199998</v>
      </c>
      <c r="K18" s="275">
        <v>58.37219858699997</v>
      </c>
      <c r="L18" s="275">
        <v>59.89835994899995</v>
      </c>
      <c r="M18" s="275">
        <v>63.54396329399996</v>
      </c>
      <c r="N18" s="275">
        <v>64.96782778799995</v>
      </c>
      <c r="O18" s="275">
        <v>69.41590813899998</v>
      </c>
      <c r="P18" s="275">
        <v>71.11860576999997</v>
      </c>
      <c r="Q18" s="275">
        <v>72.89738271499998</v>
      </c>
      <c r="R18" s="275">
        <v>71.09636678814194</v>
      </c>
      <c r="S18" s="275">
        <v>73.914539779</v>
      </c>
      <c r="T18" s="275">
        <v>75.98150492199997</v>
      </c>
      <c r="U18" s="275">
        <v>79.27589861599998</v>
      </c>
      <c r="V18" s="275">
        <v>81.29345699899999</v>
      </c>
      <c r="W18" s="275">
        <v>86.33911544399999</v>
      </c>
      <c r="X18" s="275">
        <v>85.61241833891697</v>
      </c>
      <c r="Y18" s="275">
        <v>85.60156774584</v>
      </c>
      <c r="Z18" s="275">
        <v>88.73198409338002</v>
      </c>
      <c r="AA18" s="275">
        <v>88.78895878564826</v>
      </c>
      <c r="AB18" s="275">
        <v>88.12923435359698</v>
      </c>
      <c r="AC18" s="275">
        <v>87.22744617924002</v>
      </c>
      <c r="AD18" s="275">
        <v>89.12121337270003</v>
      </c>
      <c r="AE18" s="405">
        <v>37.609649122807014</v>
      </c>
      <c r="AF18" s="405">
        <v>37.086092715231786</v>
      </c>
      <c r="AG18" s="405">
        <v>38.2</v>
      </c>
      <c r="AH18" s="404">
        <v>37.6550685738601</v>
      </c>
      <c r="AI18" s="274">
        <f t="shared" si="2"/>
        <v>2.171068025502649</v>
      </c>
      <c r="AJ18" s="273" t="s">
        <v>32</v>
      </c>
    </row>
    <row r="19" spans="1:36" ht="12.75" customHeight="1">
      <c r="A19" s="224"/>
      <c r="B19" s="231" t="s">
        <v>44</v>
      </c>
      <c r="C19" s="234">
        <v>3.732</v>
      </c>
      <c r="D19" s="234">
        <v>3.619</v>
      </c>
      <c r="E19" s="233">
        <v>3.429</v>
      </c>
      <c r="F19" s="233">
        <v>1.427</v>
      </c>
      <c r="G19" s="233">
        <v>1.145</v>
      </c>
      <c r="H19" s="233">
        <v>1.094</v>
      </c>
      <c r="I19" s="233">
        <v>1.182</v>
      </c>
      <c r="J19" s="233">
        <v>1.139</v>
      </c>
      <c r="K19" s="233">
        <v>1.205</v>
      </c>
      <c r="L19" s="233">
        <v>1.158</v>
      </c>
      <c r="M19" s="233">
        <v>1.092</v>
      </c>
      <c r="N19" s="233">
        <v>1.137</v>
      </c>
      <c r="O19" s="233">
        <v>1.252</v>
      </c>
      <c r="P19" s="233">
        <v>1.241</v>
      </c>
      <c r="Q19" s="233">
        <v>1.195</v>
      </c>
      <c r="R19" s="233">
        <v>1.163</v>
      </c>
      <c r="S19" s="233">
        <v>1.169</v>
      </c>
      <c r="T19" s="233">
        <v>1.227</v>
      </c>
      <c r="U19" s="233">
        <v>1.322</v>
      </c>
      <c r="V19" s="233">
        <v>1.573</v>
      </c>
      <c r="W19" s="233">
        <v>1.769</v>
      </c>
      <c r="X19" s="233">
        <v>1.802</v>
      </c>
      <c r="Y19" s="233">
        <v>1.711</v>
      </c>
      <c r="Z19" s="233">
        <v>1.457</v>
      </c>
      <c r="AA19" s="233">
        <v>1.08</v>
      </c>
      <c r="AB19" s="233">
        <v>0.935</v>
      </c>
      <c r="AC19" s="233">
        <v>0.917</v>
      </c>
      <c r="AD19" s="233">
        <v>0.941</v>
      </c>
      <c r="AE19" s="405"/>
      <c r="AF19" s="405">
        <v>100</v>
      </c>
      <c r="AG19" s="405">
        <v>100</v>
      </c>
      <c r="AH19" s="404">
        <v>100</v>
      </c>
      <c r="AI19" s="232">
        <f t="shared" si="2"/>
        <v>2.6172300981461234</v>
      </c>
      <c r="AJ19" s="231" t="s">
        <v>44</v>
      </c>
    </row>
    <row r="20" spans="1:36" s="245" customFormat="1" ht="12.75" customHeight="1">
      <c r="A20" s="250"/>
      <c r="B20" s="235" t="s">
        <v>34</v>
      </c>
      <c r="C20" s="249">
        <v>32.457</v>
      </c>
      <c r="D20" s="249">
        <v>39.587</v>
      </c>
      <c r="E20" s="237">
        <v>44.709</v>
      </c>
      <c r="F20" s="237">
        <v>45.065</v>
      </c>
      <c r="G20" s="237">
        <v>44.409</v>
      </c>
      <c r="H20" s="237">
        <v>42.72</v>
      </c>
      <c r="I20" s="271">
        <v>43.375</v>
      </c>
      <c r="J20" s="237">
        <f>43.859+2.792</f>
        <v>46.651</v>
      </c>
      <c r="K20" s="237">
        <f>44.78+2.8</f>
        <v>47.58</v>
      </c>
      <c r="L20" s="237">
        <f>43.591+2.8</f>
        <v>46.391</v>
      </c>
      <c r="M20" s="237">
        <f>41.391+2.8</f>
        <v>44.190999999999995</v>
      </c>
      <c r="N20" s="237">
        <f>43.424+2.878</f>
        <v>46.302</v>
      </c>
      <c r="O20" s="237">
        <f>47.133+2.439</f>
        <v>49.572</v>
      </c>
      <c r="P20" s="237">
        <f>46.752+3.324</f>
        <v>50.076</v>
      </c>
      <c r="Q20" s="237">
        <f>45.956+3.348</f>
        <v>49.304</v>
      </c>
      <c r="R20" s="237">
        <f>45.222+3.475</f>
        <v>48.697</v>
      </c>
      <c r="S20" s="237">
        <v>49.254</v>
      </c>
      <c r="T20" s="237">
        <v>50.088</v>
      </c>
      <c r="U20" s="237">
        <v>50.185</v>
      </c>
      <c r="V20" s="237">
        <v>49.78</v>
      </c>
      <c r="W20" s="237">
        <v>49.524</v>
      </c>
      <c r="X20" s="237">
        <v>48.124</v>
      </c>
      <c r="Y20" s="237">
        <v>47.172</v>
      </c>
      <c r="Z20" s="237">
        <v>46.845</v>
      </c>
      <c r="AA20" s="237">
        <v>46.759</v>
      </c>
      <c r="AB20" s="237">
        <v>48.739</v>
      </c>
      <c r="AC20" s="237">
        <v>49.957</v>
      </c>
      <c r="AD20" s="237">
        <v>52.207</v>
      </c>
      <c r="AE20" s="405">
        <v>51.36712346731361</v>
      </c>
      <c r="AF20" s="405">
        <v>61.08951868736738</v>
      </c>
      <c r="AG20" s="405">
        <v>66.7</v>
      </c>
      <c r="AH20" s="404">
        <v>60.16183382631869</v>
      </c>
      <c r="AI20" s="258">
        <f t="shared" si="2"/>
        <v>4.5038733310647245</v>
      </c>
      <c r="AJ20" s="235" t="s">
        <v>34</v>
      </c>
    </row>
    <row r="21" spans="1:36" ht="12.75" customHeight="1">
      <c r="A21" s="224"/>
      <c r="B21" s="231" t="s">
        <v>13</v>
      </c>
      <c r="C21" s="379" t="s">
        <v>43</v>
      </c>
      <c r="D21" s="379" t="s">
        <v>43</v>
      </c>
      <c r="E21" s="378" t="s">
        <v>43</v>
      </c>
      <c r="F21" s="378" t="s">
        <v>43</v>
      </c>
      <c r="G21" s="378" t="s">
        <v>43</v>
      </c>
      <c r="H21" s="378" t="s">
        <v>43</v>
      </c>
      <c r="I21" s="378" t="s">
        <v>43</v>
      </c>
      <c r="J21" s="378" t="s">
        <v>43</v>
      </c>
      <c r="K21" s="378" t="s">
        <v>43</v>
      </c>
      <c r="L21" s="378" t="s">
        <v>43</v>
      </c>
      <c r="M21" s="378" t="s">
        <v>43</v>
      </c>
      <c r="N21" s="378" t="s">
        <v>43</v>
      </c>
      <c r="O21" s="378" t="s">
        <v>43</v>
      </c>
      <c r="P21" s="378" t="s">
        <v>43</v>
      </c>
      <c r="Q21" s="378" t="s">
        <v>43</v>
      </c>
      <c r="R21" s="378" t="s">
        <v>43</v>
      </c>
      <c r="S21" s="378" t="s">
        <v>43</v>
      </c>
      <c r="T21" s="378" t="s">
        <v>43</v>
      </c>
      <c r="U21" s="378" t="s">
        <v>43</v>
      </c>
      <c r="V21" s="378" t="s">
        <v>43</v>
      </c>
      <c r="W21" s="378" t="s">
        <v>43</v>
      </c>
      <c r="X21" s="378" t="s">
        <v>43</v>
      </c>
      <c r="Y21" s="378" t="s">
        <v>43</v>
      </c>
      <c r="Z21" s="378" t="s">
        <v>43</v>
      </c>
      <c r="AA21" s="378" t="s">
        <v>43</v>
      </c>
      <c r="AB21" s="378" t="s">
        <v>43</v>
      </c>
      <c r="AC21" s="378" t="s">
        <v>43</v>
      </c>
      <c r="AD21" s="378" t="s">
        <v>43</v>
      </c>
      <c r="AE21" s="405" t="s">
        <v>43</v>
      </c>
      <c r="AF21" s="405" t="s">
        <v>43</v>
      </c>
      <c r="AG21" s="405" t="s">
        <v>43</v>
      </c>
      <c r="AH21" s="404" t="s">
        <v>43</v>
      </c>
      <c r="AI21" s="377" t="s">
        <v>43</v>
      </c>
      <c r="AJ21" s="231" t="s">
        <v>13</v>
      </c>
    </row>
    <row r="22" spans="1:36" s="245" customFormat="1" ht="12.75" customHeight="1">
      <c r="A22" s="250"/>
      <c r="B22" s="235" t="s">
        <v>17</v>
      </c>
      <c r="C22" s="249">
        <v>3.747</v>
      </c>
      <c r="D22" s="249">
        <v>4.687</v>
      </c>
      <c r="E22" s="237">
        <v>5.366</v>
      </c>
      <c r="F22" s="237">
        <v>3.93</v>
      </c>
      <c r="G22" s="237">
        <v>3.656</v>
      </c>
      <c r="H22" s="237">
        <v>2.359</v>
      </c>
      <c r="I22" s="237">
        <v>1.794</v>
      </c>
      <c r="J22" s="237">
        <v>1.373</v>
      </c>
      <c r="K22" s="237">
        <v>1.149</v>
      </c>
      <c r="L22" s="237">
        <v>1.154</v>
      </c>
      <c r="M22" s="237">
        <v>1.059</v>
      </c>
      <c r="N22" s="237">
        <v>0.984</v>
      </c>
      <c r="O22" s="237">
        <v>0.715</v>
      </c>
      <c r="P22" s="237">
        <v>0.706</v>
      </c>
      <c r="Q22" s="237">
        <v>0.744</v>
      </c>
      <c r="R22" s="237">
        <v>0.762</v>
      </c>
      <c r="S22" s="237">
        <v>0.806</v>
      </c>
      <c r="T22" s="237">
        <v>0.889</v>
      </c>
      <c r="U22" s="237">
        <v>0.986</v>
      </c>
      <c r="V22" s="237">
        <v>0.975</v>
      </c>
      <c r="W22" s="237">
        <v>0.941</v>
      </c>
      <c r="X22" s="237">
        <v>0.748</v>
      </c>
      <c r="Y22" s="237">
        <v>0.741</v>
      </c>
      <c r="Z22" s="237">
        <v>0.733</v>
      </c>
      <c r="AA22" s="237">
        <v>0.717</v>
      </c>
      <c r="AB22" s="237">
        <v>0.721</v>
      </c>
      <c r="AC22" s="237">
        <v>0.644</v>
      </c>
      <c r="AD22" s="237">
        <v>0.59</v>
      </c>
      <c r="AE22" s="405">
        <v>88.27586206896552</v>
      </c>
      <c r="AF22" s="405">
        <v>88.52005532503458</v>
      </c>
      <c r="AG22" s="405">
        <v>89.8</v>
      </c>
      <c r="AH22" s="404">
        <v>91.8321489001692</v>
      </c>
      <c r="AI22" s="258">
        <f t="shared" si="2"/>
        <v>-8.385093167701868</v>
      </c>
      <c r="AJ22" s="235" t="s">
        <v>17</v>
      </c>
    </row>
    <row r="23" spans="1:36" ht="12.75" customHeight="1">
      <c r="A23" s="224"/>
      <c r="B23" s="231" t="s">
        <v>18</v>
      </c>
      <c r="C23" s="234">
        <v>2.132</v>
      </c>
      <c r="D23" s="234">
        <v>3.258</v>
      </c>
      <c r="E23" s="233">
        <v>3.64</v>
      </c>
      <c r="F23" s="233">
        <v>3.225</v>
      </c>
      <c r="G23" s="233">
        <v>2.74</v>
      </c>
      <c r="H23" s="233">
        <v>2.7</v>
      </c>
      <c r="I23" s="233">
        <v>1.574</v>
      </c>
      <c r="J23" s="233">
        <v>1.13</v>
      </c>
      <c r="K23" s="233">
        <v>0.954</v>
      </c>
      <c r="L23" s="233">
        <v>0.842</v>
      </c>
      <c r="M23" s="233">
        <v>0.8</v>
      </c>
      <c r="N23" s="233">
        <v>0.745</v>
      </c>
      <c r="O23" s="233">
        <v>0.611</v>
      </c>
      <c r="P23" s="233">
        <v>0.533</v>
      </c>
      <c r="Q23" s="233">
        <v>0.498</v>
      </c>
      <c r="R23" s="233">
        <v>0.432</v>
      </c>
      <c r="S23" s="233">
        <v>0.444</v>
      </c>
      <c r="T23" s="233">
        <v>0.28</v>
      </c>
      <c r="U23" s="233">
        <v>0.268</v>
      </c>
      <c r="V23" s="233">
        <v>0.246</v>
      </c>
      <c r="W23" s="233">
        <v>0.258</v>
      </c>
      <c r="X23" s="233">
        <v>0.231</v>
      </c>
      <c r="Y23" s="233">
        <v>0.244</v>
      </c>
      <c r="Z23" s="233">
        <v>0.269</v>
      </c>
      <c r="AA23" s="233">
        <v>0.278</v>
      </c>
      <c r="AB23" s="233">
        <v>0.278</v>
      </c>
      <c r="AC23" s="233">
        <v>0.27</v>
      </c>
      <c r="AD23" s="233">
        <v>0.262</v>
      </c>
      <c r="AE23" s="405">
        <v>100</v>
      </c>
      <c r="AF23" s="490">
        <v>64.51406649616368</v>
      </c>
      <c r="AG23" s="405">
        <v>67.2</v>
      </c>
      <c r="AH23" s="404">
        <v>68.69806094182826</v>
      </c>
      <c r="AI23" s="232">
        <f t="shared" si="2"/>
        <v>-2.962962962962962</v>
      </c>
      <c r="AJ23" s="231" t="s">
        <v>18</v>
      </c>
    </row>
    <row r="24" spans="1:36" s="245" customFormat="1" ht="12.75" customHeight="1">
      <c r="A24" s="250"/>
      <c r="B24" s="235" t="s">
        <v>35</v>
      </c>
      <c r="C24" s="249">
        <v>0.256</v>
      </c>
      <c r="D24" s="249">
        <v>0.246</v>
      </c>
      <c r="E24" s="237">
        <v>0.208</v>
      </c>
      <c r="F24" s="237">
        <v>0.22</v>
      </c>
      <c r="G24" s="237">
        <v>0.255</v>
      </c>
      <c r="H24" s="237">
        <v>0.262</v>
      </c>
      <c r="I24" s="237">
        <v>0.289</v>
      </c>
      <c r="J24" s="237">
        <v>0.287</v>
      </c>
      <c r="K24" s="237">
        <v>0.284</v>
      </c>
      <c r="L24" s="237">
        <v>0.295</v>
      </c>
      <c r="M24" s="237">
        <v>0.3</v>
      </c>
      <c r="N24" s="237">
        <v>0.31</v>
      </c>
      <c r="O24" s="237">
        <v>0.332</v>
      </c>
      <c r="P24" s="237">
        <v>0.346</v>
      </c>
      <c r="Q24" s="237">
        <v>0.268</v>
      </c>
      <c r="R24" s="237">
        <v>0.262</v>
      </c>
      <c r="S24" s="237">
        <v>0.253</v>
      </c>
      <c r="T24" s="237">
        <v>0.267</v>
      </c>
      <c r="U24" s="237">
        <v>0.298</v>
      </c>
      <c r="V24" s="237">
        <v>0.316</v>
      </c>
      <c r="W24" s="237">
        <v>0.345</v>
      </c>
      <c r="X24" s="237">
        <v>0.333</v>
      </c>
      <c r="Y24" s="237">
        <v>0.347</v>
      </c>
      <c r="Z24" s="237">
        <f>0.349</f>
        <v>0.349</v>
      </c>
      <c r="AA24" s="237">
        <v>0.373</v>
      </c>
      <c r="AB24" s="237">
        <v>0.394</v>
      </c>
      <c r="AC24" s="237">
        <v>0.366</v>
      </c>
      <c r="AD24" s="237">
        <v>0.418</v>
      </c>
      <c r="AE24" s="412"/>
      <c r="AF24" s="405">
        <v>100</v>
      </c>
      <c r="AG24" s="405">
        <v>100</v>
      </c>
      <c r="AH24" s="404"/>
      <c r="AI24" s="258">
        <f t="shared" si="2"/>
        <v>14.207650273224033</v>
      </c>
      <c r="AJ24" s="235" t="s">
        <v>35</v>
      </c>
    </row>
    <row r="25" spans="1:36" ht="12.75" customHeight="1">
      <c r="A25" s="224"/>
      <c r="B25" s="231" t="s">
        <v>16</v>
      </c>
      <c r="C25" s="234">
        <v>16.35</v>
      </c>
      <c r="D25" s="234">
        <v>13.544</v>
      </c>
      <c r="E25" s="233">
        <v>11.403</v>
      </c>
      <c r="F25" s="233">
        <v>9.861</v>
      </c>
      <c r="G25" s="233">
        <v>9.183</v>
      </c>
      <c r="H25" s="233">
        <v>8.432</v>
      </c>
      <c r="I25" s="233">
        <v>8.508</v>
      </c>
      <c r="J25" s="233">
        <v>8.441</v>
      </c>
      <c r="K25" s="233">
        <v>8.582</v>
      </c>
      <c r="L25" s="233">
        <v>8.669</v>
      </c>
      <c r="M25" s="233">
        <v>8.884</v>
      </c>
      <c r="N25" s="233">
        <v>9.514</v>
      </c>
      <c r="O25" s="233">
        <v>9.693</v>
      </c>
      <c r="P25" s="233">
        <v>10.005</v>
      </c>
      <c r="Q25" s="233">
        <v>10.531</v>
      </c>
      <c r="R25" s="233">
        <v>10.286</v>
      </c>
      <c r="S25" s="233">
        <v>10.165</v>
      </c>
      <c r="T25" s="233">
        <v>9.851</v>
      </c>
      <c r="U25" s="233">
        <v>9.658</v>
      </c>
      <c r="V25" s="233">
        <v>8.752</v>
      </c>
      <c r="W25" s="233">
        <v>8.292</v>
      </c>
      <c r="X25" s="233">
        <v>8.072</v>
      </c>
      <c r="Y25" s="233">
        <v>7.681</v>
      </c>
      <c r="Z25" s="233">
        <v>7.763</v>
      </c>
      <c r="AA25" s="233">
        <v>7.806</v>
      </c>
      <c r="AB25" s="233">
        <v>7.842</v>
      </c>
      <c r="AC25" s="233">
        <v>7.738</v>
      </c>
      <c r="AD25" s="233">
        <v>7.609</v>
      </c>
      <c r="AE25" s="405">
        <v>94.26008968609865</v>
      </c>
      <c r="AF25" s="405">
        <v>95.34913516976297</v>
      </c>
      <c r="AG25" s="405">
        <v>95.5</v>
      </c>
      <c r="AH25" s="404">
        <v>95.0882719695478</v>
      </c>
      <c r="AI25" s="232">
        <f t="shared" si="2"/>
        <v>-1.6670974411992887</v>
      </c>
      <c r="AJ25" s="231" t="s">
        <v>16</v>
      </c>
    </row>
    <row r="26" spans="1:36" s="245" customFormat="1" ht="12.75" customHeight="1">
      <c r="A26" s="250"/>
      <c r="B26" s="235" t="s">
        <v>19</v>
      </c>
      <c r="C26" s="376" t="s">
        <v>43</v>
      </c>
      <c r="D26" s="376" t="s">
        <v>43</v>
      </c>
      <c r="E26" s="375" t="s">
        <v>43</v>
      </c>
      <c r="F26" s="375" t="s">
        <v>43</v>
      </c>
      <c r="G26" s="375" t="s">
        <v>43</v>
      </c>
      <c r="H26" s="375" t="s">
        <v>43</v>
      </c>
      <c r="I26" s="375" t="s">
        <v>43</v>
      </c>
      <c r="J26" s="375" t="s">
        <v>43</v>
      </c>
      <c r="K26" s="375" t="s">
        <v>43</v>
      </c>
      <c r="L26" s="375" t="s">
        <v>43</v>
      </c>
      <c r="M26" s="375" t="s">
        <v>43</v>
      </c>
      <c r="N26" s="375" t="s">
        <v>43</v>
      </c>
      <c r="O26" s="375" t="s">
        <v>43</v>
      </c>
      <c r="P26" s="375" t="s">
        <v>43</v>
      </c>
      <c r="Q26" s="375" t="s">
        <v>43</v>
      </c>
      <c r="R26" s="375" t="s">
        <v>43</v>
      </c>
      <c r="S26" s="375" t="s">
        <v>43</v>
      </c>
      <c r="T26" s="375" t="s">
        <v>43</v>
      </c>
      <c r="U26" s="375" t="s">
        <v>43</v>
      </c>
      <c r="V26" s="375" t="s">
        <v>43</v>
      </c>
      <c r="W26" s="375" t="s">
        <v>43</v>
      </c>
      <c r="X26" s="375" t="s">
        <v>43</v>
      </c>
      <c r="Y26" s="375" t="s">
        <v>43</v>
      </c>
      <c r="Z26" s="375" t="s">
        <v>43</v>
      </c>
      <c r="AA26" s="375" t="s">
        <v>43</v>
      </c>
      <c r="AB26" s="375" t="s">
        <v>43</v>
      </c>
      <c r="AC26" s="375" t="s">
        <v>43</v>
      </c>
      <c r="AD26" s="375" t="s">
        <v>43</v>
      </c>
      <c r="AE26" s="405" t="s">
        <v>43</v>
      </c>
      <c r="AF26" s="405" t="s">
        <v>43</v>
      </c>
      <c r="AG26" s="405" t="s">
        <v>43</v>
      </c>
      <c r="AH26" s="404" t="s">
        <v>43</v>
      </c>
      <c r="AI26" s="381" t="s">
        <v>43</v>
      </c>
      <c r="AJ26" s="235" t="s">
        <v>19</v>
      </c>
    </row>
    <row r="27" spans="1:36" ht="12.75" customHeight="1">
      <c r="A27" s="224"/>
      <c r="B27" s="231" t="s">
        <v>27</v>
      </c>
      <c r="C27" s="234">
        <v>8.011</v>
      </c>
      <c r="D27" s="234">
        <v>8.91</v>
      </c>
      <c r="E27" s="233">
        <v>11.06</v>
      </c>
      <c r="F27" s="233">
        <v>15.195</v>
      </c>
      <c r="G27" s="233">
        <v>15.35</v>
      </c>
      <c r="H27" s="233">
        <v>15.245</v>
      </c>
      <c r="I27" s="233">
        <v>14.439</v>
      </c>
      <c r="J27" s="233">
        <v>16.35</v>
      </c>
      <c r="K27" s="233">
        <v>14.092</v>
      </c>
      <c r="L27" s="233">
        <v>13.875</v>
      </c>
      <c r="M27" s="233">
        <v>14.107</v>
      </c>
      <c r="N27" s="233">
        <v>14.281</v>
      </c>
      <c r="O27" s="233">
        <v>14.666</v>
      </c>
      <c r="P27" s="233">
        <v>14.392</v>
      </c>
      <c r="Q27" s="233">
        <v>14.288</v>
      </c>
      <c r="R27" s="233">
        <v>13.848</v>
      </c>
      <c r="S27" s="233">
        <v>14.509</v>
      </c>
      <c r="T27" s="233">
        <v>15.153</v>
      </c>
      <c r="U27" s="233">
        <v>15.889</v>
      </c>
      <c r="V27" s="233">
        <v>16.325</v>
      </c>
      <c r="W27" s="233">
        <v>16.343</v>
      </c>
      <c r="X27" s="233">
        <v>16.455</v>
      </c>
      <c r="Y27" s="233">
        <v>16.9</v>
      </c>
      <c r="Z27" s="233">
        <v>17.479</v>
      </c>
      <c r="AA27" s="233">
        <v>17.771</v>
      </c>
      <c r="AB27" s="233">
        <v>19.044</v>
      </c>
      <c r="AC27" s="233">
        <v>20.005</v>
      </c>
      <c r="AD27" s="233">
        <v>17.523</v>
      </c>
      <c r="AE27" s="405"/>
      <c r="AF27" s="405">
        <v>96.31558096100515</v>
      </c>
      <c r="AG27" s="405">
        <v>94.7</v>
      </c>
      <c r="AH27" s="404">
        <v>100</v>
      </c>
      <c r="AI27" s="232">
        <f t="shared" si="2"/>
        <v>-12.406898275431146</v>
      </c>
      <c r="AJ27" s="231" t="s">
        <v>27</v>
      </c>
    </row>
    <row r="28" spans="1:36" s="245" customFormat="1" ht="12.75" customHeight="1">
      <c r="A28" s="250"/>
      <c r="B28" s="235" t="s">
        <v>36</v>
      </c>
      <c r="C28" s="249">
        <v>6.438</v>
      </c>
      <c r="D28" s="249">
        <v>7.586</v>
      </c>
      <c r="E28" s="237">
        <v>8.912</v>
      </c>
      <c r="F28" s="237">
        <v>9.59</v>
      </c>
      <c r="G28" s="237">
        <v>9.957</v>
      </c>
      <c r="H28" s="237">
        <v>9.764</v>
      </c>
      <c r="I28" s="237">
        <v>9.949</v>
      </c>
      <c r="J28" s="237">
        <v>10.124</v>
      </c>
      <c r="K28" s="237">
        <v>10.222</v>
      </c>
      <c r="L28" s="237">
        <v>8.709</v>
      </c>
      <c r="M28" s="237">
        <v>8.537</v>
      </c>
      <c r="N28" s="237">
        <v>8.554</v>
      </c>
      <c r="O28" s="237">
        <v>8.73978502490829</v>
      </c>
      <c r="P28" s="237">
        <v>8.76093130944158</v>
      </c>
      <c r="Q28" s="237">
        <v>8.80985261380452</v>
      </c>
      <c r="R28" s="237">
        <v>8.6731335633535</v>
      </c>
      <c r="S28" s="237">
        <v>8.274</v>
      </c>
      <c r="T28" s="237">
        <v>8.685</v>
      </c>
      <c r="U28" s="237">
        <v>8.907</v>
      </c>
      <c r="V28" s="237">
        <v>9.167</v>
      </c>
      <c r="W28" s="237">
        <v>10.365</v>
      </c>
      <c r="X28" s="237">
        <v>10.184</v>
      </c>
      <c r="Y28" s="237">
        <v>10.263</v>
      </c>
      <c r="Z28" s="237">
        <v>10.778</v>
      </c>
      <c r="AA28" s="237">
        <v>11.211</v>
      </c>
      <c r="AB28" s="237">
        <v>11.804</v>
      </c>
      <c r="AC28" s="237">
        <v>11.981</v>
      </c>
      <c r="AD28" s="237">
        <v>12.104</v>
      </c>
      <c r="AE28" s="412"/>
      <c r="AF28" s="412"/>
      <c r="AG28" s="405">
        <v>71.1</v>
      </c>
      <c r="AH28" s="404">
        <v>69.1072891072891</v>
      </c>
      <c r="AI28" s="258">
        <f t="shared" si="2"/>
        <v>1.02662549035972</v>
      </c>
      <c r="AJ28" s="235" t="s">
        <v>36</v>
      </c>
    </row>
    <row r="29" spans="1:36" ht="12.75" customHeight="1">
      <c r="A29" s="224"/>
      <c r="B29" s="231" t="s">
        <v>20</v>
      </c>
      <c r="C29" s="234">
        <v>36.891</v>
      </c>
      <c r="D29" s="234">
        <v>46.324</v>
      </c>
      <c r="E29" s="233">
        <v>50.373</v>
      </c>
      <c r="F29" s="233">
        <v>40.115</v>
      </c>
      <c r="G29" s="233">
        <v>32.571</v>
      </c>
      <c r="H29" s="233">
        <v>30.864</v>
      </c>
      <c r="I29" s="233">
        <v>27.61</v>
      </c>
      <c r="J29" s="233">
        <v>26.635</v>
      </c>
      <c r="K29" s="233">
        <v>19.807</v>
      </c>
      <c r="L29" s="233">
        <v>19.928</v>
      </c>
      <c r="M29" s="233">
        <v>20.553</v>
      </c>
      <c r="N29" s="233">
        <v>21.518</v>
      </c>
      <c r="O29" s="233">
        <v>24.093</v>
      </c>
      <c r="P29" s="233">
        <v>22.469</v>
      </c>
      <c r="Q29" s="233">
        <v>20.749</v>
      </c>
      <c r="R29" s="233">
        <v>19.638</v>
      </c>
      <c r="S29" s="233">
        <v>18.43</v>
      </c>
      <c r="T29" s="233">
        <v>17.882</v>
      </c>
      <c r="U29" s="233">
        <v>18.24</v>
      </c>
      <c r="V29" s="233">
        <v>19.524</v>
      </c>
      <c r="W29" s="233">
        <v>19.762</v>
      </c>
      <c r="X29" s="233">
        <v>18.128</v>
      </c>
      <c r="Y29" s="233">
        <v>17.485</v>
      </c>
      <c r="Z29" s="233">
        <v>17.633</v>
      </c>
      <c r="AA29" s="233">
        <v>17.674</v>
      </c>
      <c r="AB29" s="233">
        <v>16.659</v>
      </c>
      <c r="AC29" s="233">
        <v>15.885</v>
      </c>
      <c r="AD29" s="233">
        <v>17.24</v>
      </c>
      <c r="AE29" s="405">
        <v>81.90977275271464</v>
      </c>
      <c r="AF29" s="405">
        <v>86.51351029639328</v>
      </c>
      <c r="AG29" s="405">
        <v>86.2</v>
      </c>
      <c r="AH29" s="404">
        <v>82.21272664279941</v>
      </c>
      <c r="AI29" s="232">
        <f t="shared" si="2"/>
        <v>8.53005980484734</v>
      </c>
      <c r="AJ29" s="231" t="s">
        <v>20</v>
      </c>
    </row>
    <row r="30" spans="1:36" s="245" customFormat="1" ht="12.75" customHeight="1">
      <c r="A30" s="250"/>
      <c r="B30" s="235" t="s">
        <v>37</v>
      </c>
      <c r="C30" s="249">
        <v>3.546</v>
      </c>
      <c r="D30" s="249">
        <v>6.076</v>
      </c>
      <c r="E30" s="237">
        <v>5.664</v>
      </c>
      <c r="F30" s="237">
        <v>5.692</v>
      </c>
      <c r="G30" s="237">
        <v>5.694</v>
      </c>
      <c r="H30" s="237">
        <v>5.397</v>
      </c>
      <c r="I30" s="237">
        <v>5.11</v>
      </c>
      <c r="J30" s="237">
        <v>4.809</v>
      </c>
      <c r="K30" s="237">
        <v>4.502</v>
      </c>
      <c r="L30" s="237">
        <v>4.568</v>
      </c>
      <c r="M30" s="237">
        <v>4.601</v>
      </c>
      <c r="N30" s="237">
        <v>4.329</v>
      </c>
      <c r="O30" s="247">
        <v>4.032</v>
      </c>
      <c r="P30" s="247">
        <v>3.992</v>
      </c>
      <c r="Q30" s="237">
        <v>3.925</v>
      </c>
      <c r="R30" s="237">
        <v>3.753</v>
      </c>
      <c r="S30" s="237">
        <v>3.752</v>
      </c>
      <c r="T30" s="237">
        <v>3.809</v>
      </c>
      <c r="U30" s="237">
        <v>3.876</v>
      </c>
      <c r="V30" s="237">
        <v>3.987</v>
      </c>
      <c r="W30" s="237">
        <v>4.213</v>
      </c>
      <c r="X30" s="237">
        <v>4.213</v>
      </c>
      <c r="Y30" s="237">
        <v>4.111</v>
      </c>
      <c r="Z30" s="237">
        <v>4.237</v>
      </c>
      <c r="AA30" s="237">
        <v>3.803</v>
      </c>
      <c r="AB30" s="237">
        <v>3.649</v>
      </c>
      <c r="AC30" s="237">
        <v>3.852</v>
      </c>
      <c r="AD30" s="237">
        <v>3.957</v>
      </c>
      <c r="AE30" s="405"/>
      <c r="AF30" s="405">
        <v>67.75342465753424</v>
      </c>
      <c r="AG30" s="405">
        <v>65</v>
      </c>
      <c r="AH30" s="404"/>
      <c r="AI30" s="258">
        <f t="shared" si="2"/>
        <v>2.72585669781931</v>
      </c>
      <c r="AJ30" s="235" t="s">
        <v>37</v>
      </c>
    </row>
    <row r="31" spans="1:36" ht="12.75" customHeight="1">
      <c r="A31" s="224"/>
      <c r="B31" s="231" t="s">
        <v>21</v>
      </c>
      <c r="C31" s="234">
        <v>17.793</v>
      </c>
      <c r="D31" s="234">
        <v>23.22</v>
      </c>
      <c r="E31" s="233">
        <v>30.582</v>
      </c>
      <c r="F31" s="233">
        <v>25.429</v>
      </c>
      <c r="G31" s="233">
        <v>24.269</v>
      </c>
      <c r="H31" s="233">
        <v>19.402</v>
      </c>
      <c r="I31" s="233">
        <v>18.313</v>
      </c>
      <c r="J31" s="233">
        <v>18.879</v>
      </c>
      <c r="K31" s="233">
        <v>18.356</v>
      </c>
      <c r="L31" s="233">
        <v>15.794</v>
      </c>
      <c r="M31" s="233">
        <v>13.422</v>
      </c>
      <c r="N31" s="233">
        <v>12.304</v>
      </c>
      <c r="O31" s="233">
        <v>11.632</v>
      </c>
      <c r="P31" s="233">
        <v>10.965</v>
      </c>
      <c r="Q31" s="233">
        <v>8.502</v>
      </c>
      <c r="R31" s="233">
        <v>8.497</v>
      </c>
      <c r="S31" s="233">
        <v>8.638</v>
      </c>
      <c r="T31" s="233">
        <v>7.985</v>
      </c>
      <c r="U31" s="233">
        <v>8.092</v>
      </c>
      <c r="V31" s="233">
        <v>7.476</v>
      </c>
      <c r="W31" s="233">
        <v>6.958</v>
      </c>
      <c r="X31" s="233">
        <v>6.128</v>
      </c>
      <c r="Y31" s="233">
        <v>5.437</v>
      </c>
      <c r="Z31" s="233">
        <v>5.063</v>
      </c>
      <c r="AA31" s="233">
        <v>4.55</v>
      </c>
      <c r="AB31" s="233">
        <v>4.382</v>
      </c>
      <c r="AC31" s="233">
        <v>4.971</v>
      </c>
      <c r="AD31" s="233">
        <v>5.148</v>
      </c>
      <c r="AE31" s="405">
        <v>94.59755030621172</v>
      </c>
      <c r="AF31" s="405">
        <v>96.4253798033959</v>
      </c>
      <c r="AG31" s="405">
        <v>95.4</v>
      </c>
      <c r="AH31" s="404">
        <v>100</v>
      </c>
      <c r="AI31" s="232">
        <f t="shared" si="2"/>
        <v>3.5606517803258697</v>
      </c>
      <c r="AJ31" s="231" t="s">
        <v>21</v>
      </c>
    </row>
    <row r="32" spans="1:36" ht="12.75" customHeight="1">
      <c r="A32" s="224"/>
      <c r="B32" s="235" t="s">
        <v>23</v>
      </c>
      <c r="C32" s="249">
        <v>1.38</v>
      </c>
      <c r="D32" s="249">
        <v>1.436</v>
      </c>
      <c r="E32" s="237">
        <v>1.429</v>
      </c>
      <c r="F32" s="237">
        <v>0.814</v>
      </c>
      <c r="G32" s="237">
        <v>0.547</v>
      </c>
      <c r="H32" s="237">
        <v>0.566</v>
      </c>
      <c r="I32" s="237">
        <v>0.59</v>
      </c>
      <c r="J32" s="237">
        <v>0.595</v>
      </c>
      <c r="K32" s="237">
        <v>0.613</v>
      </c>
      <c r="L32" s="237">
        <v>0.616</v>
      </c>
      <c r="M32" s="237">
        <v>0.645</v>
      </c>
      <c r="N32" s="237">
        <v>0.623</v>
      </c>
      <c r="O32" s="237">
        <v>0.705</v>
      </c>
      <c r="P32" s="237">
        <v>0.715</v>
      </c>
      <c r="Q32" s="237">
        <v>0.749</v>
      </c>
      <c r="R32" s="237">
        <v>0.777</v>
      </c>
      <c r="S32" s="237">
        <v>0.695</v>
      </c>
      <c r="T32" s="237">
        <v>0.716</v>
      </c>
      <c r="U32" s="237">
        <v>0.724</v>
      </c>
      <c r="V32" s="237">
        <v>0.74</v>
      </c>
      <c r="W32" s="237">
        <v>0.765</v>
      </c>
      <c r="X32" s="237">
        <v>0.773</v>
      </c>
      <c r="Y32" s="237">
        <v>0.729</v>
      </c>
      <c r="Z32" s="237">
        <v>0.689</v>
      </c>
      <c r="AA32" s="237">
        <v>0.659</v>
      </c>
      <c r="AB32" s="237">
        <v>0.679</v>
      </c>
      <c r="AC32" s="237">
        <v>0.62</v>
      </c>
      <c r="AD32" s="237">
        <v>0.628</v>
      </c>
      <c r="AE32" s="405">
        <v>83.87096774193549</v>
      </c>
      <c r="AF32" s="490">
        <v>98.29172141918528</v>
      </c>
      <c r="AG32" s="405">
        <v>98.5</v>
      </c>
      <c r="AH32" s="404">
        <v>94.55571227080395</v>
      </c>
      <c r="AI32" s="258">
        <f t="shared" si="2"/>
        <v>1.2903225806451672</v>
      </c>
      <c r="AJ32" s="235" t="s">
        <v>23</v>
      </c>
    </row>
    <row r="33" spans="1:36" ht="12.75" customHeight="1">
      <c r="A33" s="224"/>
      <c r="B33" s="231" t="s">
        <v>22</v>
      </c>
      <c r="C33" s="234"/>
      <c r="D33" s="234"/>
      <c r="E33" s="233">
        <v>6.381</v>
      </c>
      <c r="F33" s="233">
        <v>6.002</v>
      </c>
      <c r="G33" s="233">
        <v>5.453</v>
      </c>
      <c r="H33" s="233">
        <v>4.569</v>
      </c>
      <c r="I33" s="233">
        <v>4.548</v>
      </c>
      <c r="J33" s="233">
        <v>4.202</v>
      </c>
      <c r="K33" s="233">
        <v>3.769</v>
      </c>
      <c r="L33" s="233">
        <v>3.095</v>
      </c>
      <c r="M33" s="233">
        <v>3.092</v>
      </c>
      <c r="N33" s="233">
        <v>2.968</v>
      </c>
      <c r="O33" s="233">
        <v>2.87</v>
      </c>
      <c r="P33" s="233">
        <v>2.805</v>
      </c>
      <c r="Q33" s="233">
        <v>2.682</v>
      </c>
      <c r="R33" s="233">
        <v>2.316</v>
      </c>
      <c r="S33" s="233">
        <v>2.228</v>
      </c>
      <c r="T33" s="233">
        <v>2.182</v>
      </c>
      <c r="U33" s="233">
        <v>2.213</v>
      </c>
      <c r="V33" s="233">
        <v>2.165</v>
      </c>
      <c r="W33" s="233">
        <v>2.296</v>
      </c>
      <c r="X33" s="233">
        <v>2.264</v>
      </c>
      <c r="Y33" s="233">
        <v>2.309</v>
      </c>
      <c r="Z33" s="233">
        <v>2.431</v>
      </c>
      <c r="AA33" s="233">
        <v>2.459</v>
      </c>
      <c r="AB33" s="233">
        <v>2.485</v>
      </c>
      <c r="AC33" s="233">
        <v>2.583</v>
      </c>
      <c r="AD33" s="233">
        <v>3.411</v>
      </c>
      <c r="AE33" s="405">
        <v>92.28855721393035</v>
      </c>
      <c r="AF33" s="405">
        <v>90.21469859620149</v>
      </c>
      <c r="AG33" s="405">
        <v>91</v>
      </c>
      <c r="AH33" s="404">
        <v>99.7</v>
      </c>
      <c r="AI33" s="232">
        <f t="shared" si="2"/>
        <v>32.05574912891984</v>
      </c>
      <c r="AJ33" s="231" t="s">
        <v>22</v>
      </c>
    </row>
    <row r="34" spans="1:36" ht="12.75" customHeight="1">
      <c r="A34" s="224"/>
      <c r="B34" s="235" t="s">
        <v>38</v>
      </c>
      <c r="C34" s="249">
        <v>2.156</v>
      </c>
      <c r="D34" s="249">
        <v>3.216</v>
      </c>
      <c r="E34" s="237">
        <v>3.331</v>
      </c>
      <c r="F34" s="237">
        <v>3.23</v>
      </c>
      <c r="G34" s="237">
        <v>3.057</v>
      </c>
      <c r="H34" s="237">
        <v>3.007</v>
      </c>
      <c r="I34" s="237">
        <v>3.037</v>
      </c>
      <c r="J34" s="237">
        <v>3.184</v>
      </c>
      <c r="K34" s="237">
        <v>3.254</v>
      </c>
      <c r="L34" s="237">
        <v>3.376</v>
      </c>
      <c r="M34" s="237">
        <v>3.377</v>
      </c>
      <c r="N34" s="237">
        <v>3.415</v>
      </c>
      <c r="O34" s="237">
        <v>3.405</v>
      </c>
      <c r="P34" s="237">
        <v>3.282</v>
      </c>
      <c r="Q34" s="237">
        <v>3.318</v>
      </c>
      <c r="R34" s="237">
        <v>3.338</v>
      </c>
      <c r="S34" s="237">
        <v>3.352</v>
      </c>
      <c r="T34" s="237">
        <v>3.478</v>
      </c>
      <c r="U34" s="237">
        <v>3.54</v>
      </c>
      <c r="V34" s="237">
        <v>3.778</v>
      </c>
      <c r="W34" s="237">
        <v>4.052</v>
      </c>
      <c r="X34" s="237">
        <v>3.876</v>
      </c>
      <c r="Y34" s="237">
        <v>3.959</v>
      </c>
      <c r="Z34" s="237">
        <v>3.882</v>
      </c>
      <c r="AA34" s="237">
        <v>4.035</v>
      </c>
      <c r="AB34" s="237">
        <v>4.053</v>
      </c>
      <c r="AC34" s="237">
        <v>3.874</v>
      </c>
      <c r="AD34" s="237">
        <v>4.114</v>
      </c>
      <c r="AE34" s="405">
        <f>0.968277571251549*100</f>
        <v>96.8277571251549</v>
      </c>
      <c r="AF34" s="405">
        <f>0.961756723414754*100</f>
        <v>96.1756723414754</v>
      </c>
      <c r="AG34" s="405">
        <v>96.5</v>
      </c>
      <c r="AH34" s="404">
        <v>97.30123997082421</v>
      </c>
      <c r="AI34" s="258">
        <f t="shared" si="2"/>
        <v>6.195147134744445</v>
      </c>
      <c r="AJ34" s="235" t="s">
        <v>38</v>
      </c>
    </row>
    <row r="35" spans="1:36" ht="12.75" customHeight="1">
      <c r="A35" s="224"/>
      <c r="B35" s="231" t="s">
        <v>39</v>
      </c>
      <c r="C35" s="234">
        <v>4.64</v>
      </c>
      <c r="D35" s="234">
        <v>6.998</v>
      </c>
      <c r="E35" s="233">
        <v>6.6</v>
      </c>
      <c r="F35" s="233">
        <v>5.985</v>
      </c>
      <c r="G35" s="233">
        <v>5.963</v>
      </c>
      <c r="H35" s="233">
        <v>6.422</v>
      </c>
      <c r="I35" s="233">
        <v>6.507</v>
      </c>
      <c r="J35" s="233">
        <v>6.839</v>
      </c>
      <c r="K35" s="233">
        <v>6.97</v>
      </c>
      <c r="L35" s="233">
        <v>7.039</v>
      </c>
      <c r="M35" s="233">
        <v>7.23</v>
      </c>
      <c r="N35" s="233">
        <v>7.701</v>
      </c>
      <c r="O35" s="233">
        <v>8.243</v>
      </c>
      <c r="P35" s="233">
        <v>8.732</v>
      </c>
      <c r="Q35" s="233">
        <v>8.874</v>
      </c>
      <c r="R35" s="233">
        <v>8.834</v>
      </c>
      <c r="S35" s="233">
        <v>8.634</v>
      </c>
      <c r="T35" s="233">
        <v>8.91</v>
      </c>
      <c r="U35" s="233">
        <v>9.617</v>
      </c>
      <c r="V35" s="233">
        <v>10.261</v>
      </c>
      <c r="W35" s="233">
        <v>11.146</v>
      </c>
      <c r="X35" s="233">
        <v>11.321</v>
      </c>
      <c r="Y35" s="233">
        <v>11.155</v>
      </c>
      <c r="Z35" s="233">
        <v>11.379</v>
      </c>
      <c r="AA35" s="233">
        <v>11.792</v>
      </c>
      <c r="AB35" s="233">
        <v>11.842</v>
      </c>
      <c r="AC35" s="233">
        <v>12.121</v>
      </c>
      <c r="AD35" s="233">
        <v>12.741</v>
      </c>
      <c r="AE35" s="405">
        <v>46.530332848464106</v>
      </c>
      <c r="AF35" s="405">
        <v>50</v>
      </c>
      <c r="AG35" s="405">
        <v>49.8</v>
      </c>
      <c r="AH35" s="404">
        <v>49.94113491876619</v>
      </c>
      <c r="AI35" s="232">
        <f t="shared" si="2"/>
        <v>5.115089514066497</v>
      </c>
      <c r="AJ35" s="231" t="s">
        <v>39</v>
      </c>
    </row>
    <row r="36" spans="1:36" ht="12.75" customHeight="1" thickBot="1">
      <c r="A36" s="224"/>
      <c r="B36" s="226" t="s">
        <v>28</v>
      </c>
      <c r="C36" s="411">
        <v>30.6</v>
      </c>
      <c r="D36" s="411">
        <v>30.5</v>
      </c>
      <c r="E36" s="410">
        <v>33.4</v>
      </c>
      <c r="F36" s="228">
        <v>32.7</v>
      </c>
      <c r="G36" s="228">
        <v>31.9</v>
      </c>
      <c r="H36" s="228">
        <v>30.6</v>
      </c>
      <c r="I36" s="228">
        <v>28.9</v>
      </c>
      <c r="J36" s="228">
        <f>30.039+0.2317</f>
        <v>30.2707</v>
      </c>
      <c r="K36" s="228">
        <f>32.135+0.2128</f>
        <v>32.3478</v>
      </c>
      <c r="L36" s="228">
        <f>34.66+0.2256</f>
        <v>34.8856</v>
      </c>
      <c r="M36" s="228">
        <f>36.28+0.2172</f>
        <v>36.4972</v>
      </c>
      <c r="N36" s="228">
        <f>38.472+0.2217</f>
        <v>38.6937</v>
      </c>
      <c r="O36" s="228">
        <f>38.179+0.2271</f>
        <v>38.4061</v>
      </c>
      <c r="P36" s="228">
        <f>39.141+0.2397</f>
        <v>39.3807</v>
      </c>
      <c r="Q36" s="228">
        <f>39.687+0.2363</f>
        <v>39.9233</v>
      </c>
      <c r="R36" s="228">
        <f>40.931+0.233</f>
        <v>41.163999999999994</v>
      </c>
      <c r="S36" s="228">
        <v>43.474</v>
      </c>
      <c r="T36" s="228">
        <v>44.642</v>
      </c>
      <c r="U36" s="228">
        <v>47.297</v>
      </c>
      <c r="V36" s="228">
        <v>50.474</v>
      </c>
      <c r="W36" s="228">
        <v>53.002</v>
      </c>
      <c r="X36" s="228">
        <v>52.765</v>
      </c>
      <c r="Y36" s="228">
        <v>55.831</v>
      </c>
      <c r="Z36" s="228">
        <v>58.462</v>
      </c>
      <c r="AA36" s="228">
        <v>60.783</v>
      </c>
      <c r="AB36" s="228">
        <v>61.95</v>
      </c>
      <c r="AC36" s="465">
        <v>64.711</v>
      </c>
      <c r="AD36" s="465">
        <v>66.399</v>
      </c>
      <c r="AE36" s="409">
        <v>96.1894919869429</v>
      </c>
      <c r="AF36" s="484">
        <v>95.48387096774194</v>
      </c>
      <c r="AG36" s="484">
        <v>96.1</v>
      </c>
      <c r="AH36" s="488">
        <v>96.90756098301893</v>
      </c>
      <c r="AI36" s="227">
        <f t="shared" si="2"/>
        <v>2.6085209624329764</v>
      </c>
      <c r="AJ36" s="226" t="s">
        <v>28</v>
      </c>
    </row>
    <row r="37" spans="1:36" ht="12.75" customHeight="1">
      <c r="A37" s="224"/>
      <c r="B37" s="231" t="s">
        <v>116</v>
      </c>
      <c r="C37" s="232">
        <v>0.253</v>
      </c>
      <c r="D37" s="232">
        <v>0.369</v>
      </c>
      <c r="E37" s="233">
        <v>0.779</v>
      </c>
      <c r="F37" s="233">
        <v>0.318</v>
      </c>
      <c r="G37" s="233">
        <v>0.191</v>
      </c>
      <c r="H37" s="233">
        <v>0.223</v>
      </c>
      <c r="I37" s="233">
        <v>0.215</v>
      </c>
      <c r="J37" s="233">
        <v>0.197</v>
      </c>
      <c r="K37" s="233">
        <v>0.168</v>
      </c>
      <c r="L37" s="233">
        <v>0.095</v>
      </c>
      <c r="M37" s="233">
        <v>0.116</v>
      </c>
      <c r="N37" s="233">
        <v>0.121</v>
      </c>
      <c r="O37" s="233">
        <v>0.125</v>
      </c>
      <c r="P37" s="233">
        <v>0.138</v>
      </c>
      <c r="Q37" s="233">
        <v>0.123</v>
      </c>
      <c r="R37" s="233">
        <v>0.105</v>
      </c>
      <c r="S37" s="233">
        <v>0.089</v>
      </c>
      <c r="T37" s="233">
        <v>0.073</v>
      </c>
      <c r="U37" s="233">
        <v>0.08</v>
      </c>
      <c r="V37" s="233">
        <v>0.051</v>
      </c>
      <c r="W37" s="233">
        <v>0.041</v>
      </c>
      <c r="X37" s="233">
        <v>0.032</v>
      </c>
      <c r="Y37" s="233">
        <v>0.019</v>
      </c>
      <c r="Z37" s="233">
        <v>0.018</v>
      </c>
      <c r="AA37" s="233">
        <v>0.016</v>
      </c>
      <c r="AB37" s="233">
        <v>0.012</v>
      </c>
      <c r="AC37" s="233">
        <v>0.008</v>
      </c>
      <c r="AD37" s="233">
        <v>0.007</v>
      </c>
      <c r="AE37" s="406"/>
      <c r="AF37" s="405"/>
      <c r="AG37" s="405"/>
      <c r="AH37" s="404"/>
      <c r="AI37" s="232">
        <f t="shared" si="2"/>
        <v>-12.5</v>
      </c>
      <c r="AJ37" s="231" t="s">
        <v>116</v>
      </c>
    </row>
    <row r="38" spans="1:36" ht="12.75" customHeight="1">
      <c r="A38" s="224"/>
      <c r="B38" s="235" t="s">
        <v>107</v>
      </c>
      <c r="C38" s="249"/>
      <c r="D38" s="249"/>
      <c r="E38" s="237"/>
      <c r="F38" s="237"/>
      <c r="G38" s="237"/>
      <c r="H38" s="237"/>
      <c r="I38" s="237"/>
      <c r="J38" s="237"/>
      <c r="K38" s="237"/>
      <c r="L38" s="237"/>
      <c r="M38" s="237"/>
      <c r="N38" s="237"/>
      <c r="O38" s="237"/>
      <c r="P38" s="237"/>
      <c r="Q38" s="237"/>
      <c r="R38" s="237"/>
      <c r="S38" s="237"/>
      <c r="T38" s="237"/>
      <c r="U38" s="237"/>
      <c r="V38" s="237"/>
      <c r="W38" s="237"/>
      <c r="X38" s="237"/>
      <c r="Y38" s="237">
        <v>0.09066</v>
      </c>
      <c r="Z38" s="237">
        <v>0.0651</v>
      </c>
      <c r="AA38" s="237">
        <v>0.062</v>
      </c>
      <c r="AB38" s="237">
        <v>0.073</v>
      </c>
      <c r="AC38" s="237">
        <v>0.076</v>
      </c>
      <c r="AD38" s="237">
        <v>0.081</v>
      </c>
      <c r="AE38" s="408"/>
      <c r="AF38" s="408"/>
      <c r="AG38" s="408"/>
      <c r="AH38" s="407"/>
      <c r="AI38" s="258">
        <f t="shared" si="2"/>
        <v>6.578947368421069</v>
      </c>
      <c r="AJ38" s="235" t="s">
        <v>107</v>
      </c>
    </row>
    <row r="39" spans="1:36" s="245" customFormat="1" ht="12.75" customHeight="1">
      <c r="A39" s="250"/>
      <c r="B39" s="231" t="s">
        <v>6</v>
      </c>
      <c r="C39" s="263"/>
      <c r="D39" s="263"/>
      <c r="E39" s="262"/>
      <c r="F39" s="233"/>
      <c r="G39" s="233"/>
      <c r="H39" s="233"/>
      <c r="I39" s="233"/>
      <c r="J39" s="252">
        <v>0.1</v>
      </c>
      <c r="K39" s="252">
        <v>0.1</v>
      </c>
      <c r="L39" s="252">
        <v>0.1</v>
      </c>
      <c r="M39" s="252">
        <v>0.1</v>
      </c>
      <c r="N39" s="252">
        <v>0.1</v>
      </c>
      <c r="O39" s="252">
        <v>0.1</v>
      </c>
      <c r="P39" s="233">
        <v>0.133</v>
      </c>
      <c r="Q39" s="233">
        <v>0.098</v>
      </c>
      <c r="R39" s="233">
        <v>0.092</v>
      </c>
      <c r="S39" s="233">
        <v>0.094</v>
      </c>
      <c r="T39" s="233">
        <v>0.094</v>
      </c>
      <c r="U39" s="233">
        <v>0.105</v>
      </c>
      <c r="V39" s="233">
        <v>0.109</v>
      </c>
      <c r="W39" s="233">
        <v>0.148</v>
      </c>
      <c r="X39" s="233">
        <v>0.154</v>
      </c>
      <c r="Y39" s="233">
        <f>0.155</f>
        <v>0.155</v>
      </c>
      <c r="Z39" s="233">
        <f>0.145</f>
        <v>0.145</v>
      </c>
      <c r="AA39" s="233">
        <f>0.099</f>
        <v>0.099</v>
      </c>
      <c r="AB39" s="233">
        <v>0.08</v>
      </c>
      <c r="AC39" s="233">
        <v>0.08</v>
      </c>
      <c r="AD39" s="233">
        <v>0.177</v>
      </c>
      <c r="AE39" s="408"/>
      <c r="AF39" s="408"/>
      <c r="AG39" s="408"/>
      <c r="AH39" s="407"/>
      <c r="AI39" s="232">
        <f t="shared" si="2"/>
        <v>121.25</v>
      </c>
      <c r="AJ39" s="231" t="s">
        <v>6</v>
      </c>
    </row>
    <row r="40" spans="1:36" s="245" customFormat="1" ht="12.75" customHeight="1">
      <c r="A40" s="250"/>
      <c r="B40" s="235" t="s">
        <v>108</v>
      </c>
      <c r="C40" s="340">
        <v>3.671</v>
      </c>
      <c r="D40" s="340">
        <v>3.352</v>
      </c>
      <c r="E40" s="339">
        <v>4.452</v>
      </c>
      <c r="F40" s="237">
        <v>2.675</v>
      </c>
      <c r="G40" s="237">
        <v>2.544</v>
      </c>
      <c r="H40" s="237">
        <v>3.076</v>
      </c>
      <c r="I40" s="237">
        <v>2.299</v>
      </c>
      <c r="J40" s="247">
        <v>2.326</v>
      </c>
      <c r="K40" s="247">
        <v>1.415</v>
      </c>
      <c r="L40" s="247">
        <v>1.304</v>
      </c>
      <c r="M40" s="247">
        <v>1.368</v>
      </c>
      <c r="N40" s="247">
        <v>0.789</v>
      </c>
      <c r="O40" s="247">
        <v>1.236</v>
      </c>
      <c r="P40" s="237">
        <v>1.047</v>
      </c>
      <c r="Q40" s="237">
        <v>0.954</v>
      </c>
      <c r="R40" s="237">
        <v>0.809</v>
      </c>
      <c r="S40" s="237">
        <v>0.821</v>
      </c>
      <c r="T40" s="237">
        <v>0.713</v>
      </c>
      <c r="U40" s="237">
        <v>0.684</v>
      </c>
      <c r="V40" s="237">
        <v>0.687</v>
      </c>
      <c r="W40" s="237">
        <v>0.583</v>
      </c>
      <c r="X40" s="237">
        <v>0.522</v>
      </c>
      <c r="Y40" s="237">
        <v>0.522</v>
      </c>
      <c r="Z40" s="237">
        <v>0.541</v>
      </c>
      <c r="AA40" s="237">
        <v>0.54</v>
      </c>
      <c r="AB40" s="237">
        <v>0.612</v>
      </c>
      <c r="AC40" s="237">
        <v>0.453</v>
      </c>
      <c r="AD40" s="237">
        <v>0.509</v>
      </c>
      <c r="AE40" s="408"/>
      <c r="AF40" s="408"/>
      <c r="AG40" s="408"/>
      <c r="AH40" s="407"/>
      <c r="AI40" s="258">
        <f t="shared" si="2"/>
        <v>12.362030905077262</v>
      </c>
      <c r="AJ40" s="235" t="s">
        <v>108</v>
      </c>
    </row>
    <row r="41" spans="1:36" ht="12.75" customHeight="1">
      <c r="A41" s="224"/>
      <c r="B41" s="239" t="s">
        <v>24</v>
      </c>
      <c r="C41" s="234">
        <v>5.561</v>
      </c>
      <c r="D41" s="234">
        <v>6.011</v>
      </c>
      <c r="E41" s="233">
        <v>6.41</v>
      </c>
      <c r="F41" s="233">
        <v>6.048</v>
      </c>
      <c r="G41" s="233">
        <v>6.259</v>
      </c>
      <c r="H41" s="233">
        <v>7.147</v>
      </c>
      <c r="I41" s="233">
        <v>6.335</v>
      </c>
      <c r="J41" s="233">
        <v>5.797</v>
      </c>
      <c r="K41" s="233">
        <v>5.229</v>
      </c>
      <c r="L41" s="233">
        <v>5.84</v>
      </c>
      <c r="M41" s="233">
        <v>6.16</v>
      </c>
      <c r="N41" s="233">
        <v>6.146</v>
      </c>
      <c r="O41" s="233">
        <v>5.832</v>
      </c>
      <c r="P41" s="233">
        <v>5.568</v>
      </c>
      <c r="Q41" s="233">
        <v>5.204</v>
      </c>
      <c r="R41" s="233">
        <v>5.878</v>
      </c>
      <c r="S41" s="233">
        <v>5.237</v>
      </c>
      <c r="T41" s="233">
        <v>5.036</v>
      </c>
      <c r="U41" s="233">
        <v>5.277</v>
      </c>
      <c r="V41" s="233">
        <v>5.553</v>
      </c>
      <c r="W41" s="233">
        <v>5.097</v>
      </c>
      <c r="X41" s="233">
        <v>5.374</v>
      </c>
      <c r="Y41" s="233">
        <v>5.491</v>
      </c>
      <c r="Z41" s="233">
        <f>5.882</f>
        <v>5.882</v>
      </c>
      <c r="AA41" s="233">
        <v>4.598</v>
      </c>
      <c r="AB41" s="233">
        <v>3.775</v>
      </c>
      <c r="AC41" s="233">
        <v>4.393</v>
      </c>
      <c r="AD41" s="233">
        <v>4.828</v>
      </c>
      <c r="AE41" s="408"/>
      <c r="AF41" s="408"/>
      <c r="AG41" s="408"/>
      <c r="AH41" s="407"/>
      <c r="AI41" s="240">
        <f t="shared" si="2"/>
        <v>9.902117004325078</v>
      </c>
      <c r="AJ41" s="239" t="s">
        <v>24</v>
      </c>
    </row>
    <row r="42" spans="1:36" s="245" customFormat="1" ht="12.75" customHeight="1">
      <c r="A42" s="250"/>
      <c r="B42" s="235" t="s">
        <v>10</v>
      </c>
      <c r="C42" s="371" t="s">
        <v>43</v>
      </c>
      <c r="D42" s="371" t="s">
        <v>43</v>
      </c>
      <c r="E42" s="370" t="s">
        <v>43</v>
      </c>
      <c r="F42" s="370" t="s">
        <v>43</v>
      </c>
      <c r="G42" s="370" t="s">
        <v>43</v>
      </c>
      <c r="H42" s="370" t="s">
        <v>43</v>
      </c>
      <c r="I42" s="370" t="s">
        <v>43</v>
      </c>
      <c r="J42" s="370" t="s">
        <v>43</v>
      </c>
      <c r="K42" s="370" t="s">
        <v>43</v>
      </c>
      <c r="L42" s="370" t="s">
        <v>43</v>
      </c>
      <c r="M42" s="370" t="s">
        <v>43</v>
      </c>
      <c r="N42" s="370" t="s">
        <v>43</v>
      </c>
      <c r="O42" s="370" t="s">
        <v>43</v>
      </c>
      <c r="P42" s="370" t="s">
        <v>43</v>
      </c>
      <c r="Q42" s="370" t="s">
        <v>43</v>
      </c>
      <c r="R42" s="370" t="s">
        <v>43</v>
      </c>
      <c r="S42" s="370" t="s">
        <v>43</v>
      </c>
      <c r="T42" s="370" t="s">
        <v>43</v>
      </c>
      <c r="U42" s="370" t="s">
        <v>43</v>
      </c>
      <c r="V42" s="370" t="s">
        <v>43</v>
      </c>
      <c r="W42" s="370" t="s">
        <v>43</v>
      </c>
      <c r="X42" s="370" t="s">
        <v>43</v>
      </c>
      <c r="Y42" s="370" t="s">
        <v>43</v>
      </c>
      <c r="Z42" s="370" t="s">
        <v>43</v>
      </c>
      <c r="AA42" s="370" t="s">
        <v>43</v>
      </c>
      <c r="AB42" s="370" t="s">
        <v>43</v>
      </c>
      <c r="AC42" s="475" t="s">
        <v>43</v>
      </c>
      <c r="AD42" s="475" t="s">
        <v>43</v>
      </c>
      <c r="AE42" s="443" t="s">
        <v>43</v>
      </c>
      <c r="AF42" s="406" t="s">
        <v>43</v>
      </c>
      <c r="AG42" s="443" t="s">
        <v>43</v>
      </c>
      <c r="AH42" s="519" t="s">
        <v>43</v>
      </c>
      <c r="AI42" s="369" t="s">
        <v>43</v>
      </c>
      <c r="AJ42" s="235" t="s">
        <v>10</v>
      </c>
    </row>
    <row r="43" spans="1:36" ht="12.75" customHeight="1">
      <c r="A43" s="224"/>
      <c r="B43" s="231" t="s">
        <v>40</v>
      </c>
      <c r="C43" s="234">
        <v>1.86</v>
      </c>
      <c r="D43" s="234">
        <v>2.394</v>
      </c>
      <c r="E43" s="233">
        <v>2.104</v>
      </c>
      <c r="F43" s="233">
        <v>2.15</v>
      </c>
      <c r="G43" s="233">
        <v>2.256</v>
      </c>
      <c r="H43" s="233">
        <v>2.316</v>
      </c>
      <c r="I43" s="233">
        <v>2.398</v>
      </c>
      <c r="J43" s="233">
        <v>2.381</v>
      </c>
      <c r="K43" s="233">
        <v>2.449</v>
      </c>
      <c r="L43" s="233">
        <v>2.561</v>
      </c>
      <c r="M43" s="233">
        <v>2.59</v>
      </c>
      <c r="N43" s="233">
        <v>2.674</v>
      </c>
      <c r="O43" s="233">
        <v>2.635</v>
      </c>
      <c r="P43" s="233">
        <v>2.677</v>
      </c>
      <c r="Q43" s="233">
        <v>2.477</v>
      </c>
      <c r="R43" s="233">
        <v>2.381</v>
      </c>
      <c r="S43" s="233">
        <v>2.62</v>
      </c>
      <c r="T43" s="233">
        <v>2.723</v>
      </c>
      <c r="U43" s="233">
        <v>2.833</v>
      </c>
      <c r="V43" s="233">
        <v>2.958</v>
      </c>
      <c r="W43" s="233">
        <v>3.123</v>
      </c>
      <c r="X43" s="233">
        <v>3.08</v>
      </c>
      <c r="Y43" s="233">
        <v>3.186</v>
      </c>
      <c r="Z43" s="233">
        <v>3.076</v>
      </c>
      <c r="AA43" s="233">
        <v>3.092</v>
      </c>
      <c r="AB43" s="233">
        <v>3.26</v>
      </c>
      <c r="AC43" s="233">
        <v>3.44</v>
      </c>
      <c r="AD43" s="233">
        <v>3.555</v>
      </c>
      <c r="AE43" s="405">
        <v>74.14116177389131</v>
      </c>
      <c r="AF43" s="405">
        <v>74.57783236106846</v>
      </c>
      <c r="AG43" s="405">
        <v>74.4</v>
      </c>
      <c r="AH43" s="404">
        <v>44.872513309050156</v>
      </c>
      <c r="AI43" s="232">
        <f t="shared" si="2"/>
        <v>3.343023255813975</v>
      </c>
      <c r="AJ43" s="231" t="s">
        <v>40</v>
      </c>
    </row>
    <row r="44" spans="1:36" s="245" customFormat="1" ht="12.75" customHeight="1">
      <c r="A44" s="250"/>
      <c r="B44" s="226" t="s">
        <v>11</v>
      </c>
      <c r="C44" s="230">
        <v>9.339</v>
      </c>
      <c r="D44" s="230">
        <v>9.964</v>
      </c>
      <c r="E44" s="228">
        <v>12.68</v>
      </c>
      <c r="F44" s="228">
        <v>13.83</v>
      </c>
      <c r="G44" s="228">
        <v>13.21</v>
      </c>
      <c r="H44" s="228">
        <v>13.38</v>
      </c>
      <c r="I44" s="228">
        <v>13.84</v>
      </c>
      <c r="J44" s="228">
        <v>11.71</v>
      </c>
      <c r="K44" s="228">
        <v>11.89</v>
      </c>
      <c r="L44" s="228">
        <v>12.05</v>
      </c>
      <c r="M44" s="228">
        <v>12.15</v>
      </c>
      <c r="N44" s="228">
        <v>12.5</v>
      </c>
      <c r="O44" s="228">
        <v>12.62</v>
      </c>
      <c r="P44" s="228">
        <v>13.301</v>
      </c>
      <c r="Q44" s="228">
        <v>14.147</v>
      </c>
      <c r="R44" s="228">
        <v>14.509</v>
      </c>
      <c r="S44" s="228">
        <v>14.914</v>
      </c>
      <c r="T44" s="228">
        <v>16.144</v>
      </c>
      <c r="U44" s="228">
        <v>16.578</v>
      </c>
      <c r="V44" s="228">
        <v>17.434</v>
      </c>
      <c r="W44" s="228">
        <v>17.699</v>
      </c>
      <c r="X44" s="228">
        <v>18.497</v>
      </c>
      <c r="Y44" s="228">
        <v>19.093</v>
      </c>
      <c r="Z44" s="228">
        <v>19.387</v>
      </c>
      <c r="AA44" s="228">
        <v>19.18</v>
      </c>
      <c r="AB44" s="228">
        <v>19.368</v>
      </c>
      <c r="AC44" s="465">
        <v>19.934</v>
      </c>
      <c r="AD44" s="465">
        <v>20.311</v>
      </c>
      <c r="AE44" s="403"/>
      <c r="AF44" s="485"/>
      <c r="AG44" s="485"/>
      <c r="AH44" s="489"/>
      <c r="AI44" s="227">
        <f t="shared" si="2"/>
        <v>1.8912410956155128</v>
      </c>
      <c r="AJ44" s="226" t="s">
        <v>11</v>
      </c>
    </row>
    <row r="45" spans="2:36" ht="18.75" customHeight="1">
      <c r="B45" s="588" t="s">
        <v>148</v>
      </c>
      <c r="C45" s="588"/>
      <c r="D45" s="588"/>
      <c r="E45" s="588"/>
      <c r="F45" s="588"/>
      <c r="G45" s="588"/>
      <c r="H45" s="588"/>
      <c r="I45" s="588"/>
      <c r="J45" s="588"/>
      <c r="K45" s="588"/>
      <c r="L45" s="588"/>
      <c r="M45" s="588"/>
      <c r="N45" s="588"/>
      <c r="O45" s="588"/>
      <c r="P45" s="588"/>
      <c r="Q45" s="588"/>
      <c r="R45" s="588"/>
      <c r="S45" s="588"/>
      <c r="T45" s="588"/>
      <c r="U45" s="588"/>
      <c r="V45" s="588"/>
      <c r="W45" s="588"/>
      <c r="X45" s="588"/>
      <c r="Y45" s="588"/>
      <c r="Z45" s="588"/>
      <c r="AA45" s="588"/>
      <c r="AB45" s="588"/>
      <c r="AC45" s="588"/>
      <c r="AD45" s="588"/>
      <c r="AE45" s="588"/>
      <c r="AF45" s="588"/>
      <c r="AG45" s="588"/>
      <c r="AH45" s="588"/>
      <c r="AI45" s="588"/>
      <c r="AJ45" s="588"/>
    </row>
    <row r="46" spans="2:36" ht="15.75" customHeight="1">
      <c r="B46" s="402" t="s">
        <v>140</v>
      </c>
      <c r="C46" s="401"/>
      <c r="D46" s="401"/>
      <c r="E46" s="401"/>
      <c r="F46" s="401"/>
      <c r="G46" s="401"/>
      <c r="H46" s="401"/>
      <c r="I46" s="401"/>
      <c r="J46" s="401"/>
      <c r="K46" s="401"/>
      <c r="L46" s="401"/>
      <c r="M46" s="401"/>
      <c r="N46" s="401"/>
      <c r="O46" s="401"/>
      <c r="P46" s="401"/>
      <c r="Q46" s="401"/>
      <c r="R46" s="401"/>
      <c r="S46" s="401"/>
      <c r="T46" s="401"/>
      <c r="U46" s="401"/>
      <c r="V46" s="401"/>
      <c r="W46" s="401"/>
      <c r="X46" s="401"/>
      <c r="Y46" s="401"/>
      <c r="Z46" s="401"/>
      <c r="AA46" s="401"/>
      <c r="AB46" s="401"/>
      <c r="AC46" s="480"/>
      <c r="AD46" s="516"/>
      <c r="AE46" s="401"/>
      <c r="AF46" s="401"/>
      <c r="AG46" s="480"/>
      <c r="AH46" s="516"/>
      <c r="AI46" s="401"/>
      <c r="AJ46" s="401"/>
    </row>
    <row r="47" ht="11.25">
      <c r="B47" s="336" t="s">
        <v>129</v>
      </c>
    </row>
    <row r="50" spans="21:30" ht="20.25">
      <c r="U50" s="521"/>
      <c r="V50" s="521"/>
      <c r="W50" s="521"/>
      <c r="X50" s="522"/>
      <c r="Y50" s="522"/>
      <c r="Z50" s="522"/>
      <c r="AA50" s="522"/>
      <c r="AB50" s="522"/>
      <c r="AC50" s="522"/>
      <c r="AD50" s="225"/>
    </row>
    <row r="51" ht="11.25">
      <c r="AD51" s="225"/>
    </row>
    <row r="52" ht="11.25">
      <c r="AD52" s="225"/>
    </row>
    <row r="53" ht="11.25">
      <c r="AD53" s="225"/>
    </row>
    <row r="54" ht="11.25">
      <c r="AD54" s="225"/>
    </row>
    <row r="55" ht="11.25">
      <c r="AD55" s="225"/>
    </row>
    <row r="56" ht="11.25">
      <c r="AD56" s="225"/>
    </row>
    <row r="57" ht="11.25">
      <c r="AD57" s="225"/>
    </row>
    <row r="58" spans="30:31" ht="11.25">
      <c r="AD58" s="264"/>
      <c r="AE58" s="268"/>
    </row>
    <row r="59" spans="30:31" ht="11.25">
      <c r="AD59" s="264"/>
      <c r="AE59" s="268"/>
    </row>
    <row r="60" ht="11.25">
      <c r="AD60" s="225"/>
    </row>
    <row r="61" spans="30:31" ht="11.25">
      <c r="AD61" s="264"/>
      <c r="AE61" s="268"/>
    </row>
    <row r="62" ht="11.25">
      <c r="AD62" s="225"/>
    </row>
    <row r="63" ht="11.25">
      <c r="AD63" s="225"/>
    </row>
    <row r="64" ht="11.25">
      <c r="AD64" s="225"/>
    </row>
    <row r="65" ht="11.25">
      <c r="AD65" s="225"/>
    </row>
    <row r="66" ht="11.25">
      <c r="AD66" s="225"/>
    </row>
    <row r="67" ht="11.25">
      <c r="AD67" s="225"/>
    </row>
    <row r="68" ht="11.25">
      <c r="AD68" s="225"/>
    </row>
    <row r="69" ht="11.25">
      <c r="AD69" s="225"/>
    </row>
    <row r="70" spans="30:31" ht="11.25">
      <c r="AD70" s="264"/>
      <c r="AE70" s="268"/>
    </row>
    <row r="71" ht="11.25">
      <c r="AD71" s="225"/>
    </row>
    <row r="72" ht="11.25">
      <c r="AD72" s="225"/>
    </row>
    <row r="73" ht="11.25">
      <c r="AD73" s="225"/>
    </row>
    <row r="74" ht="11.25">
      <c r="AD74" s="225"/>
    </row>
    <row r="75" ht="11.25">
      <c r="AD75" s="225"/>
    </row>
    <row r="76" ht="11.25">
      <c r="AD76" s="225"/>
    </row>
    <row r="77" spans="30:31" ht="11.25">
      <c r="AD77" s="264"/>
      <c r="AE77" s="268"/>
    </row>
    <row r="78" ht="11.25">
      <c r="AD78" s="225"/>
    </row>
    <row r="79" ht="11.25">
      <c r="AD79" s="225"/>
    </row>
    <row r="80" ht="11.25">
      <c r="AD80" s="225"/>
    </row>
    <row r="81" ht="11.25">
      <c r="AD81" s="225"/>
    </row>
    <row r="82" ht="11.25">
      <c r="AD82" s="225"/>
    </row>
    <row r="83" ht="11.25">
      <c r="AD83" s="225"/>
    </row>
    <row r="84" ht="11.25">
      <c r="AD84" s="225"/>
    </row>
    <row r="85" ht="11.25">
      <c r="AD85" s="225"/>
    </row>
    <row r="86" ht="11.25">
      <c r="AD86" s="225"/>
    </row>
    <row r="87" ht="11.25">
      <c r="AD87" s="225"/>
    </row>
    <row r="88" ht="11.25">
      <c r="AD88" s="225"/>
    </row>
    <row r="89" ht="11.25">
      <c r="AD89" s="225"/>
    </row>
    <row r="90" ht="11.25">
      <c r="AD90" s="225"/>
    </row>
    <row r="91" ht="11.25">
      <c r="AD91" s="225"/>
    </row>
    <row r="92" ht="11.25">
      <c r="AD92" s="225"/>
    </row>
  </sheetData>
  <sheetProtection/>
  <mergeCells count="2">
    <mergeCell ref="B2:AJ2"/>
    <mergeCell ref="B45:AJ45"/>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34"/>
  <dimension ref="B1:R53"/>
  <sheetViews>
    <sheetView zoomScalePageLayoutView="0" workbookViewId="0" topLeftCell="A32">
      <selection activeCell="W28" sqref="W28"/>
    </sheetView>
  </sheetViews>
  <sheetFormatPr defaultColWidth="9.140625" defaultRowHeight="12.75"/>
  <cols>
    <col min="1" max="1" width="3.28125" style="0" customWidth="1"/>
    <col min="2" max="2" width="5.7109375" style="0" customWidth="1"/>
    <col min="3" max="3" width="4.140625" style="0" customWidth="1"/>
    <col min="4" max="4" width="5.28125" style="0" customWidth="1"/>
    <col min="5" max="11" width="5.7109375" style="0" customWidth="1"/>
    <col min="12" max="12" width="5.00390625" style="0" customWidth="1"/>
    <col min="13" max="15" width="5.7109375" style="0" customWidth="1"/>
    <col min="16" max="16" width="4.8515625" style="0" customWidth="1"/>
    <col min="17" max="17" width="6.8515625" style="0" customWidth="1"/>
    <col min="18" max="18" width="6.7109375" style="0" customWidth="1"/>
  </cols>
  <sheetData>
    <row r="1" spans="3:18" ht="14.25" customHeight="1">
      <c r="C1" s="593"/>
      <c r="D1" s="593"/>
      <c r="E1" s="90"/>
      <c r="F1" s="44"/>
      <c r="G1" s="44"/>
      <c r="H1" s="44"/>
      <c r="I1" s="44"/>
      <c r="J1" s="44"/>
      <c r="K1" s="44"/>
      <c r="L1" s="44"/>
      <c r="M1" s="44"/>
      <c r="N1" s="44"/>
      <c r="O1" s="44"/>
      <c r="P1" s="45"/>
      <c r="R1" s="64" t="s">
        <v>95</v>
      </c>
    </row>
    <row r="2" spans="3:18" s="19" customFormat="1" ht="30" customHeight="1">
      <c r="C2" s="594" t="s">
        <v>61</v>
      </c>
      <c r="D2" s="594"/>
      <c r="E2" s="594"/>
      <c r="F2" s="594"/>
      <c r="G2" s="594"/>
      <c r="H2" s="594"/>
      <c r="I2" s="594"/>
      <c r="J2" s="594"/>
      <c r="K2" s="594"/>
      <c r="L2" s="594"/>
      <c r="M2" s="594"/>
      <c r="N2" s="594"/>
      <c r="O2" s="594"/>
      <c r="P2" s="594"/>
      <c r="Q2" s="594"/>
      <c r="R2" s="594"/>
    </row>
    <row r="3" spans="3:17" ht="10.5" customHeight="1">
      <c r="C3" s="595" t="s">
        <v>111</v>
      </c>
      <c r="D3" s="596"/>
      <c r="E3" s="596"/>
      <c r="F3" s="596"/>
      <c r="G3" s="596"/>
      <c r="H3" s="596"/>
      <c r="I3" s="596"/>
      <c r="J3" s="596"/>
      <c r="K3" s="596"/>
      <c r="L3" s="596"/>
      <c r="M3" s="596"/>
      <c r="N3" s="596"/>
      <c r="O3" s="596"/>
      <c r="P3" s="596"/>
      <c r="Q3" s="596"/>
    </row>
    <row r="4" spans="3:18" ht="24.75" customHeight="1">
      <c r="C4" s="46"/>
      <c r="D4" s="60" t="s">
        <v>29</v>
      </c>
      <c r="E4" s="60" t="s">
        <v>14</v>
      </c>
      <c r="F4" s="60" t="s">
        <v>30</v>
      </c>
      <c r="G4" s="61" t="s">
        <v>31</v>
      </c>
      <c r="H4" s="60" t="s">
        <v>32</v>
      </c>
      <c r="I4" s="60" t="s">
        <v>34</v>
      </c>
      <c r="J4" s="60" t="s">
        <v>27</v>
      </c>
      <c r="K4" s="207" t="s">
        <v>20</v>
      </c>
      <c r="L4" s="60" t="s">
        <v>37</v>
      </c>
      <c r="M4" s="60" t="s">
        <v>23</v>
      </c>
      <c r="N4" s="60" t="s">
        <v>38</v>
      </c>
      <c r="O4" s="60" t="s">
        <v>39</v>
      </c>
      <c r="P4" s="61" t="s">
        <v>28</v>
      </c>
      <c r="Q4" s="206" t="s">
        <v>117</v>
      </c>
      <c r="R4" s="125" t="s">
        <v>79</v>
      </c>
    </row>
    <row r="5" spans="3:18" ht="15" customHeight="1">
      <c r="C5" s="62">
        <v>1990</v>
      </c>
      <c r="D5" s="138" t="s">
        <v>43</v>
      </c>
      <c r="E5" s="137" t="s">
        <v>43</v>
      </c>
      <c r="F5" s="137" t="s">
        <v>43</v>
      </c>
      <c r="G5" s="137" t="s">
        <v>43</v>
      </c>
      <c r="H5" s="123">
        <v>14.92</v>
      </c>
      <c r="I5" s="123">
        <v>0.3</v>
      </c>
      <c r="J5" s="137" t="s">
        <v>43</v>
      </c>
      <c r="K5" s="561" t="s">
        <v>43</v>
      </c>
      <c r="L5" s="137" t="s">
        <v>43</v>
      </c>
      <c r="M5" s="137" t="s">
        <v>43</v>
      </c>
      <c r="N5" s="137" t="s">
        <v>43</v>
      </c>
      <c r="O5" s="137">
        <v>0.006</v>
      </c>
      <c r="P5" s="137" t="s">
        <v>43</v>
      </c>
      <c r="Q5" s="128">
        <v>15.226</v>
      </c>
      <c r="R5" s="139"/>
    </row>
    <row r="6" spans="3:18" ht="15" customHeight="1">
      <c r="C6" s="63">
        <v>1991</v>
      </c>
      <c r="D6" s="131" t="s">
        <v>43</v>
      </c>
      <c r="E6" s="122" t="s">
        <v>43</v>
      </c>
      <c r="F6" s="43">
        <v>2</v>
      </c>
      <c r="G6" s="122" t="s">
        <v>43</v>
      </c>
      <c r="H6" s="43">
        <v>17.87</v>
      </c>
      <c r="I6" s="43">
        <v>0.4</v>
      </c>
      <c r="J6" s="122" t="s">
        <v>43</v>
      </c>
      <c r="K6" s="562" t="s">
        <v>43</v>
      </c>
      <c r="L6" s="122" t="s">
        <v>43</v>
      </c>
      <c r="M6" s="122" t="s">
        <v>43</v>
      </c>
      <c r="N6" s="122" t="s">
        <v>43</v>
      </c>
      <c r="O6" s="43">
        <v>0.094</v>
      </c>
      <c r="P6" s="122" t="s">
        <v>43</v>
      </c>
      <c r="Q6" s="129">
        <v>20.364</v>
      </c>
      <c r="R6" s="126">
        <v>0.3374491002233022</v>
      </c>
    </row>
    <row r="7" spans="3:18" ht="15" customHeight="1">
      <c r="C7" s="63">
        <v>1992</v>
      </c>
      <c r="D7" s="131" t="s">
        <v>43</v>
      </c>
      <c r="E7" s="122" t="s">
        <v>43</v>
      </c>
      <c r="F7" s="43">
        <v>5.2</v>
      </c>
      <c r="G7" s="43">
        <v>0.4</v>
      </c>
      <c r="H7" s="43">
        <v>18.96</v>
      </c>
      <c r="I7" s="43">
        <v>0.4</v>
      </c>
      <c r="J7" s="122" t="s">
        <v>43</v>
      </c>
      <c r="K7" s="562" t="s">
        <v>43</v>
      </c>
      <c r="L7" s="122" t="s">
        <v>43</v>
      </c>
      <c r="M7" s="122" t="s">
        <v>43</v>
      </c>
      <c r="N7" s="122" t="s">
        <v>43</v>
      </c>
      <c r="O7" s="43">
        <v>0.154</v>
      </c>
      <c r="P7" s="122" t="s">
        <v>43</v>
      </c>
      <c r="Q7" s="129">
        <v>25.114</v>
      </c>
      <c r="R7" s="126">
        <v>0.23325476330779815</v>
      </c>
    </row>
    <row r="8" spans="2:18" ht="15" customHeight="1">
      <c r="B8" s="2"/>
      <c r="C8" s="63">
        <v>1993</v>
      </c>
      <c r="D8" s="131" t="s">
        <v>43</v>
      </c>
      <c r="E8" s="122" t="s">
        <v>43</v>
      </c>
      <c r="F8" s="43">
        <v>7</v>
      </c>
      <c r="G8" s="43">
        <v>0.9</v>
      </c>
      <c r="H8" s="43">
        <v>18.93</v>
      </c>
      <c r="I8" s="43">
        <v>0.5</v>
      </c>
      <c r="J8" s="122" t="s">
        <v>43</v>
      </c>
      <c r="K8" s="562" t="s">
        <v>43</v>
      </c>
      <c r="L8" s="122" t="s">
        <v>43</v>
      </c>
      <c r="M8" s="122" t="s">
        <v>43</v>
      </c>
      <c r="N8" s="122" t="s">
        <v>43</v>
      </c>
      <c r="O8" s="43">
        <v>0.272</v>
      </c>
      <c r="P8" s="122" t="s">
        <v>43</v>
      </c>
      <c r="Q8" s="129">
        <v>27.601999999999997</v>
      </c>
      <c r="R8" s="126">
        <v>0.09906824878553788</v>
      </c>
    </row>
    <row r="9" spans="2:18" ht="15" customHeight="1">
      <c r="B9" s="2"/>
      <c r="C9" s="63">
        <v>1994</v>
      </c>
      <c r="D9" s="131" t="s">
        <v>43</v>
      </c>
      <c r="E9" s="122" t="s">
        <v>43</v>
      </c>
      <c r="F9" s="43">
        <v>8.2</v>
      </c>
      <c r="G9" s="43">
        <v>0.9</v>
      </c>
      <c r="H9" s="43">
        <v>20.51</v>
      </c>
      <c r="I9" s="43">
        <v>0.8</v>
      </c>
      <c r="J9" s="122" t="s">
        <v>43</v>
      </c>
      <c r="K9" s="562" t="s">
        <v>43</v>
      </c>
      <c r="L9" s="122" t="s">
        <v>43</v>
      </c>
      <c r="M9" s="122" t="s">
        <v>43</v>
      </c>
      <c r="N9" s="122" t="s">
        <v>43</v>
      </c>
      <c r="O9" s="43">
        <v>0.305</v>
      </c>
      <c r="P9" s="455" t="s">
        <v>43</v>
      </c>
      <c r="Q9" s="130">
        <v>30.715</v>
      </c>
      <c r="R9" s="126">
        <v>0.11278168248677645</v>
      </c>
    </row>
    <row r="10" spans="3:18" ht="15" customHeight="1">
      <c r="C10" s="63">
        <v>1995</v>
      </c>
      <c r="D10" s="131" t="s">
        <v>43</v>
      </c>
      <c r="E10" s="122" t="s">
        <v>43</v>
      </c>
      <c r="F10" s="43">
        <v>8.7</v>
      </c>
      <c r="G10" s="43">
        <v>1.294</v>
      </c>
      <c r="H10" s="43">
        <v>21.43</v>
      </c>
      <c r="I10" s="43">
        <v>1.1</v>
      </c>
      <c r="J10" s="122" t="s">
        <v>43</v>
      </c>
      <c r="K10" s="562" t="s">
        <v>43</v>
      </c>
      <c r="L10" s="122" t="s">
        <v>43</v>
      </c>
      <c r="M10" s="122" t="s">
        <v>43</v>
      </c>
      <c r="N10" s="122" t="s">
        <v>43</v>
      </c>
      <c r="O10" s="43">
        <v>0.415</v>
      </c>
      <c r="P10" s="455" t="s">
        <v>43</v>
      </c>
      <c r="Q10" s="130">
        <v>32.939</v>
      </c>
      <c r="R10" s="126">
        <v>0.07240761842747845</v>
      </c>
    </row>
    <row r="11" spans="3:18" ht="15" customHeight="1">
      <c r="C11" s="63">
        <v>1996</v>
      </c>
      <c r="D11" s="131">
        <v>0.32</v>
      </c>
      <c r="E11" s="122" t="s">
        <v>43</v>
      </c>
      <c r="F11" s="43">
        <v>8.85</v>
      </c>
      <c r="G11" s="43">
        <v>1.1</v>
      </c>
      <c r="H11" s="43">
        <v>24.79</v>
      </c>
      <c r="I11" s="43">
        <v>1.3</v>
      </c>
      <c r="J11" s="122">
        <v>0.031</v>
      </c>
      <c r="K11" s="562" t="s">
        <v>43</v>
      </c>
      <c r="L11" s="122" t="s">
        <v>43</v>
      </c>
      <c r="M11" s="122" t="s">
        <v>43</v>
      </c>
      <c r="N11" s="122">
        <v>0.024</v>
      </c>
      <c r="O11" s="43">
        <v>1.101</v>
      </c>
      <c r="P11" s="455" t="s">
        <v>43</v>
      </c>
      <c r="Q11" s="130">
        <v>37.516</v>
      </c>
      <c r="R11" s="126">
        <v>0.1389538237347825</v>
      </c>
    </row>
    <row r="12" spans="3:18" ht="15" customHeight="1">
      <c r="C12" s="63">
        <v>1997</v>
      </c>
      <c r="D12" s="124">
        <v>0.555</v>
      </c>
      <c r="E12" s="122" t="s">
        <v>43</v>
      </c>
      <c r="F12" s="43">
        <v>10.073</v>
      </c>
      <c r="G12" s="43">
        <v>1.3</v>
      </c>
      <c r="H12" s="43">
        <v>27.58</v>
      </c>
      <c r="I12" s="43">
        <v>2.4</v>
      </c>
      <c r="J12" s="122">
        <v>0.073</v>
      </c>
      <c r="K12" s="562" t="s">
        <v>43</v>
      </c>
      <c r="L12" s="122" t="s">
        <v>43</v>
      </c>
      <c r="M12" s="122" t="s">
        <v>43</v>
      </c>
      <c r="N12" s="122">
        <v>0.053</v>
      </c>
      <c r="O12" s="43">
        <v>1.328</v>
      </c>
      <c r="P12" s="455" t="s">
        <v>43</v>
      </c>
      <c r="Q12" s="130">
        <v>43.361999999999995</v>
      </c>
      <c r="R12" s="126">
        <v>0.15582684721185625</v>
      </c>
    </row>
    <row r="13" spans="3:18" ht="15" customHeight="1">
      <c r="C13" s="63">
        <v>1998</v>
      </c>
      <c r="D13" s="124">
        <v>0.788</v>
      </c>
      <c r="E13" s="122" t="s">
        <v>43</v>
      </c>
      <c r="F13" s="43">
        <v>10.155</v>
      </c>
      <c r="G13" s="43">
        <v>1.516</v>
      </c>
      <c r="H13" s="43">
        <v>29.98</v>
      </c>
      <c r="I13" s="43">
        <v>3.638</v>
      </c>
      <c r="J13" s="43">
        <v>0.09</v>
      </c>
      <c r="K13" s="455" t="s">
        <v>43</v>
      </c>
      <c r="L13" s="122" t="s">
        <v>43</v>
      </c>
      <c r="M13" s="122" t="s">
        <v>43</v>
      </c>
      <c r="N13" s="43">
        <v>0.056</v>
      </c>
      <c r="O13" s="43">
        <v>1.605</v>
      </c>
      <c r="P13" s="455" t="s">
        <v>43</v>
      </c>
      <c r="Q13" s="130">
        <v>47.827999999999996</v>
      </c>
      <c r="R13" s="126">
        <v>0.10299340436326743</v>
      </c>
    </row>
    <row r="14" spans="3:18" ht="15" customHeight="1">
      <c r="C14" s="63">
        <v>1999</v>
      </c>
      <c r="D14" s="124">
        <v>0.804</v>
      </c>
      <c r="E14" s="122" t="s">
        <v>43</v>
      </c>
      <c r="F14" s="43">
        <v>11.591</v>
      </c>
      <c r="G14" s="43">
        <v>1.674</v>
      </c>
      <c r="H14" s="43">
        <v>32.36</v>
      </c>
      <c r="I14" s="43">
        <v>4.464</v>
      </c>
      <c r="J14" s="43">
        <v>0.1</v>
      </c>
      <c r="K14" s="455" t="s">
        <v>43</v>
      </c>
      <c r="L14" s="122" t="s">
        <v>43</v>
      </c>
      <c r="M14" s="122" t="s">
        <v>43</v>
      </c>
      <c r="N14" s="43">
        <v>0.054</v>
      </c>
      <c r="O14" s="43">
        <v>1.812</v>
      </c>
      <c r="P14" s="455" t="s">
        <v>43</v>
      </c>
      <c r="Q14" s="130">
        <v>52.859</v>
      </c>
      <c r="R14" s="126">
        <v>0.10518942878648496</v>
      </c>
    </row>
    <row r="15" spans="3:18" ht="15" customHeight="1">
      <c r="C15" s="63">
        <v>2000</v>
      </c>
      <c r="D15" s="124">
        <v>0.865</v>
      </c>
      <c r="E15" s="122" t="s">
        <v>43</v>
      </c>
      <c r="F15" s="43">
        <v>13.925</v>
      </c>
      <c r="G15" s="43">
        <v>1.942</v>
      </c>
      <c r="H15" s="43">
        <v>34.747</v>
      </c>
      <c r="I15" s="43">
        <v>5.086</v>
      </c>
      <c r="J15" s="43">
        <v>0.113</v>
      </c>
      <c r="K15" s="455" t="s">
        <v>43</v>
      </c>
      <c r="L15" s="122" t="s">
        <v>43</v>
      </c>
      <c r="M15" s="122" t="s">
        <v>43</v>
      </c>
      <c r="N15" s="43">
        <v>0.071</v>
      </c>
      <c r="O15" s="43">
        <v>2.047</v>
      </c>
      <c r="P15" s="455" t="s">
        <v>43</v>
      </c>
      <c r="Q15" s="130">
        <v>58.79599999999999</v>
      </c>
      <c r="R15" s="126">
        <v>0.11231767532492087</v>
      </c>
    </row>
    <row r="16" spans="3:18" ht="15" customHeight="1">
      <c r="C16" s="63">
        <v>2001</v>
      </c>
      <c r="D16" s="124">
        <v>0.889</v>
      </c>
      <c r="E16" s="122" t="s">
        <v>43</v>
      </c>
      <c r="F16" s="43">
        <v>15.515</v>
      </c>
      <c r="G16" s="43">
        <v>2.077</v>
      </c>
      <c r="H16" s="43">
        <v>37.404</v>
      </c>
      <c r="I16" s="43">
        <v>6.763</v>
      </c>
      <c r="J16" s="43">
        <v>0.191</v>
      </c>
      <c r="K16" s="455" t="s">
        <v>43</v>
      </c>
      <c r="L16" s="122" t="s">
        <v>43</v>
      </c>
      <c r="M16" s="122" t="s">
        <v>43</v>
      </c>
      <c r="N16" s="43">
        <v>0.06</v>
      </c>
      <c r="O16" s="43">
        <v>2.227</v>
      </c>
      <c r="P16" s="455" t="s">
        <v>43</v>
      </c>
      <c r="Q16" s="130">
        <v>65.126</v>
      </c>
      <c r="R16" s="126">
        <v>0.10766038506020847</v>
      </c>
    </row>
    <row r="17" spans="3:18" ht="15" customHeight="1">
      <c r="C17" s="63">
        <v>2002</v>
      </c>
      <c r="D17" s="124">
        <v>0.909</v>
      </c>
      <c r="E17" s="122" t="s">
        <v>43</v>
      </c>
      <c r="F17" s="43">
        <v>15.255</v>
      </c>
      <c r="G17" s="43">
        <v>2.181</v>
      </c>
      <c r="H17" s="43">
        <v>39.856</v>
      </c>
      <c r="I17" s="43">
        <v>7.078</v>
      </c>
      <c r="J17" s="43">
        <v>0.201</v>
      </c>
      <c r="K17" s="455" t="s">
        <v>43</v>
      </c>
      <c r="L17" s="122" t="s">
        <v>43</v>
      </c>
      <c r="M17" s="122" t="s">
        <v>43</v>
      </c>
      <c r="N17" s="43">
        <v>0.135</v>
      </c>
      <c r="O17" s="43">
        <v>2.39</v>
      </c>
      <c r="P17" s="455" t="s">
        <v>43</v>
      </c>
      <c r="Q17" s="130">
        <v>68.005</v>
      </c>
      <c r="R17" s="126">
        <v>0.044206614869637395</v>
      </c>
    </row>
    <row r="18" spans="3:18" ht="15" customHeight="1">
      <c r="C18" s="63">
        <v>2003</v>
      </c>
      <c r="D18" s="124">
        <v>0.878</v>
      </c>
      <c r="E18" s="122" t="s">
        <v>43</v>
      </c>
      <c r="F18" s="43">
        <v>17.457</v>
      </c>
      <c r="G18" s="43">
        <v>2.027</v>
      </c>
      <c r="H18" s="43">
        <v>39.604</v>
      </c>
      <c r="I18" s="43">
        <v>7.431</v>
      </c>
      <c r="J18" s="43">
        <v>0.664</v>
      </c>
      <c r="K18" s="455" t="s">
        <v>43</v>
      </c>
      <c r="L18" s="122" t="s">
        <v>43</v>
      </c>
      <c r="M18" s="122" t="s">
        <v>43</v>
      </c>
      <c r="N18" s="43">
        <v>0.2</v>
      </c>
      <c r="O18" s="43">
        <v>2.4</v>
      </c>
      <c r="P18" s="455" t="s">
        <v>43</v>
      </c>
      <c r="Q18" s="130">
        <v>70.66100000000002</v>
      </c>
      <c r="R18" s="126">
        <v>0.039055951768252495</v>
      </c>
    </row>
    <row r="19" spans="3:18" ht="15" customHeight="1">
      <c r="C19" s="63">
        <v>2004</v>
      </c>
      <c r="D19" s="124">
        <v>0.94</v>
      </c>
      <c r="E19" s="43">
        <v>0.001</v>
      </c>
      <c r="F19" s="43">
        <v>19.604</v>
      </c>
      <c r="G19" s="43">
        <v>2.085</v>
      </c>
      <c r="H19" s="43">
        <v>41.439</v>
      </c>
      <c r="I19" s="43">
        <v>7.925</v>
      </c>
      <c r="J19" s="43">
        <v>0.657</v>
      </c>
      <c r="K19" s="455" t="s">
        <v>43</v>
      </c>
      <c r="L19" s="43">
        <v>0.436</v>
      </c>
      <c r="M19" s="43" t="s">
        <v>43</v>
      </c>
      <c r="N19" s="43">
        <v>0.162</v>
      </c>
      <c r="O19" s="43">
        <v>2.422</v>
      </c>
      <c r="P19" s="43">
        <v>0.44</v>
      </c>
      <c r="Q19" s="130">
        <v>76.111</v>
      </c>
      <c r="R19" s="126">
        <v>0.07712882636815199</v>
      </c>
    </row>
    <row r="20" spans="3:18" ht="15" customHeight="1">
      <c r="C20" s="63">
        <v>2005</v>
      </c>
      <c r="D20" s="124">
        <v>0.982</v>
      </c>
      <c r="E20" s="43">
        <v>0.006</v>
      </c>
      <c r="F20" s="43">
        <v>20.853</v>
      </c>
      <c r="G20" s="43">
        <v>2.324</v>
      </c>
      <c r="H20" s="43">
        <v>43.13</v>
      </c>
      <c r="I20" s="43">
        <v>8.55</v>
      </c>
      <c r="J20" s="43">
        <v>0.687</v>
      </c>
      <c r="K20" s="455" t="s">
        <v>43</v>
      </c>
      <c r="L20" s="43">
        <v>0.49</v>
      </c>
      <c r="M20" s="43" t="s">
        <v>43</v>
      </c>
      <c r="N20" s="43">
        <v>0.311</v>
      </c>
      <c r="O20" s="43">
        <v>2.33</v>
      </c>
      <c r="P20" s="50">
        <v>0.45</v>
      </c>
      <c r="Q20" s="130">
        <v>80.113</v>
      </c>
      <c r="R20" s="126">
        <v>0.05258109865853822</v>
      </c>
    </row>
    <row r="21" spans="3:18" ht="15" customHeight="1">
      <c r="C21" s="63">
        <v>2006</v>
      </c>
      <c r="D21" s="124">
        <v>1</v>
      </c>
      <c r="E21" s="43">
        <v>0.148</v>
      </c>
      <c r="F21" s="43">
        <v>21.635</v>
      </c>
      <c r="G21" s="43">
        <v>2.697</v>
      </c>
      <c r="H21" s="43">
        <v>44.853</v>
      </c>
      <c r="I21" s="43">
        <v>8.912</v>
      </c>
      <c r="J21" s="43">
        <v>0.733</v>
      </c>
      <c r="K21" s="455" t="s">
        <v>43</v>
      </c>
      <c r="L21" s="43">
        <v>0.508</v>
      </c>
      <c r="M21" s="43" t="s">
        <v>43</v>
      </c>
      <c r="N21" s="43">
        <v>0.435</v>
      </c>
      <c r="O21" s="43">
        <v>2.49</v>
      </c>
      <c r="P21" s="43">
        <v>0.904</v>
      </c>
      <c r="Q21" s="130">
        <v>84.315</v>
      </c>
      <c r="R21" s="126">
        <v>0.05245091308526706</v>
      </c>
    </row>
    <row r="22" spans="3:18" ht="15" customHeight="1">
      <c r="C22" s="63">
        <v>2007</v>
      </c>
      <c r="D22" s="124">
        <v>1.018</v>
      </c>
      <c r="E22" s="43">
        <v>0.329</v>
      </c>
      <c r="F22" s="43">
        <v>21.919</v>
      </c>
      <c r="G22" s="43">
        <v>2.592</v>
      </c>
      <c r="H22" s="43">
        <v>47.966</v>
      </c>
      <c r="I22" s="43">
        <v>8.818</v>
      </c>
      <c r="J22" s="43">
        <v>0.8</v>
      </c>
      <c r="K22" s="455" t="s">
        <v>43</v>
      </c>
      <c r="L22" s="43">
        <v>0.506</v>
      </c>
      <c r="M22" s="43" t="s">
        <v>43</v>
      </c>
      <c r="N22" s="43">
        <v>0.58</v>
      </c>
      <c r="O22" s="43">
        <v>2.775</v>
      </c>
      <c r="P22" s="43">
        <v>1.392</v>
      </c>
      <c r="Q22" s="130">
        <v>88.695</v>
      </c>
      <c r="R22" s="126">
        <v>0.051948051948051965</v>
      </c>
    </row>
    <row r="23" spans="3:18" ht="15" customHeight="1">
      <c r="C23" s="63">
        <v>2008</v>
      </c>
      <c r="D23" s="124">
        <v>1.079</v>
      </c>
      <c r="E23" s="43">
        <v>0.253</v>
      </c>
      <c r="F23" s="43">
        <v>23.333</v>
      </c>
      <c r="G23" s="43">
        <v>5.483</v>
      </c>
      <c r="H23" s="43">
        <v>52.564</v>
      </c>
      <c r="I23" s="43">
        <v>8.878</v>
      </c>
      <c r="J23" s="43">
        <v>0.867</v>
      </c>
      <c r="K23" s="455" t="s">
        <v>43</v>
      </c>
      <c r="L23" s="43">
        <v>0.525</v>
      </c>
      <c r="M23" s="43">
        <v>0.014</v>
      </c>
      <c r="N23" s="43">
        <v>0.622</v>
      </c>
      <c r="O23" s="43">
        <v>2.992</v>
      </c>
      <c r="P23" s="43">
        <v>0.993</v>
      </c>
      <c r="Q23" s="130">
        <v>97.60300000000001</v>
      </c>
      <c r="R23" s="126">
        <v>0.10043407181915565</v>
      </c>
    </row>
    <row r="24" spans="2:18" ht="15" customHeight="1" thickBot="1">
      <c r="B24" s="2"/>
      <c r="C24" s="63">
        <v>2009</v>
      </c>
      <c r="D24" s="43">
        <v>1.061</v>
      </c>
      <c r="E24" s="43">
        <v>0.235</v>
      </c>
      <c r="F24" s="43">
        <v>22.561</v>
      </c>
      <c r="G24" s="43">
        <v>11.505</v>
      </c>
      <c r="H24" s="43">
        <v>51.864</v>
      </c>
      <c r="I24" s="43">
        <v>10.746</v>
      </c>
      <c r="J24" s="43">
        <v>0.915</v>
      </c>
      <c r="K24" s="455" t="s">
        <v>43</v>
      </c>
      <c r="L24" s="43">
        <v>0.529</v>
      </c>
      <c r="M24" s="43">
        <v>0.016</v>
      </c>
      <c r="N24" s="43">
        <v>0.604</v>
      </c>
      <c r="O24" s="43">
        <v>3.05</v>
      </c>
      <c r="P24" s="43">
        <v>1.014</v>
      </c>
      <c r="Q24" s="129">
        <v>104.1</v>
      </c>
      <c r="R24" s="126">
        <v>0.06656557687775977</v>
      </c>
    </row>
    <row r="25" spans="2:18" ht="15" customHeight="1" thickBot="1" thickTop="1">
      <c r="B25" s="2"/>
      <c r="C25" s="63">
        <v>2010</v>
      </c>
      <c r="D25" s="43">
        <v>1.061</v>
      </c>
      <c r="E25" s="43">
        <v>0.271</v>
      </c>
      <c r="F25" s="43">
        <v>23.903134902</v>
      </c>
      <c r="G25" s="43">
        <v>11.715</v>
      </c>
      <c r="H25" s="43">
        <v>51.890184043438</v>
      </c>
      <c r="I25" s="43">
        <v>11.6062</v>
      </c>
      <c r="J25" s="184">
        <v>0.285</v>
      </c>
      <c r="K25" s="455" t="s">
        <v>43</v>
      </c>
      <c r="L25" s="43">
        <v>0.519259398</v>
      </c>
      <c r="M25" s="43">
        <v>0.0151</v>
      </c>
      <c r="N25" s="43">
        <v>0.651</v>
      </c>
      <c r="O25" s="50">
        <f>AVERAGE(O24,O26)</f>
        <v>2.9385</v>
      </c>
      <c r="P25" s="43">
        <v>1.014</v>
      </c>
      <c r="Q25" s="130">
        <f aca="true" t="shared" si="0" ref="Q25:Q30">SUM(D25:P25)</f>
        <v>105.869378343438</v>
      </c>
      <c r="R25" s="126">
        <f aca="true" t="shared" si="1" ref="R25:R30">Q25/Q24-1</f>
        <v>0.016996910119481345</v>
      </c>
    </row>
    <row r="26" spans="2:18" ht="15" customHeight="1" thickTop="1">
      <c r="B26" s="2"/>
      <c r="C26" s="63">
        <v>2011</v>
      </c>
      <c r="D26" s="43">
        <v>0.905</v>
      </c>
      <c r="E26" s="43">
        <v>0.285</v>
      </c>
      <c r="F26" s="43">
        <v>23.306</v>
      </c>
      <c r="G26" s="43">
        <v>11.231</v>
      </c>
      <c r="H26" s="43">
        <v>52.044</v>
      </c>
      <c r="I26" s="43">
        <v>12.283</v>
      </c>
      <c r="J26" s="43">
        <v>0.305</v>
      </c>
      <c r="K26" s="455" t="s">
        <v>43</v>
      </c>
      <c r="L26" s="43">
        <v>0.466</v>
      </c>
      <c r="M26" s="43">
        <v>0.013</v>
      </c>
      <c r="N26" s="43">
        <v>0.709</v>
      </c>
      <c r="O26" s="43">
        <v>2.827</v>
      </c>
      <c r="P26" s="458">
        <v>4.364</v>
      </c>
      <c r="Q26" s="129">
        <f t="shared" si="0"/>
        <v>108.73800000000001</v>
      </c>
      <c r="R26" s="126">
        <f t="shared" si="1"/>
        <v>0.027095858136205075</v>
      </c>
    </row>
    <row r="27" spans="2:18" ht="15" customHeight="1">
      <c r="B27" s="2"/>
      <c r="C27" s="63">
        <v>2012</v>
      </c>
      <c r="D27" s="50">
        <v>0.905</v>
      </c>
      <c r="E27" s="43">
        <v>0.271</v>
      </c>
      <c r="F27" s="43">
        <v>24.753</v>
      </c>
      <c r="G27" s="43">
        <v>11.177</v>
      </c>
      <c r="H27" s="43">
        <v>51.086</v>
      </c>
      <c r="I27" s="43">
        <v>12.794</v>
      </c>
      <c r="J27" s="43">
        <v>0.324</v>
      </c>
      <c r="K27" s="455" t="s">
        <v>43</v>
      </c>
      <c r="L27" s="43">
        <v>0.462</v>
      </c>
      <c r="M27" s="43">
        <v>0.012</v>
      </c>
      <c r="N27" s="43">
        <v>0.708</v>
      </c>
      <c r="O27" s="43">
        <v>2.948</v>
      </c>
      <c r="P27" s="50">
        <v>4.364</v>
      </c>
      <c r="Q27" s="130">
        <f t="shared" si="0"/>
        <v>109.804</v>
      </c>
      <c r="R27" s="454">
        <f t="shared" si="1"/>
        <v>0.009803380602916967</v>
      </c>
    </row>
    <row r="28" spans="2:18" ht="15" customHeight="1">
      <c r="B28" s="2"/>
      <c r="C28" s="63">
        <v>2013</v>
      </c>
      <c r="D28" s="496">
        <v>0.905</v>
      </c>
      <c r="E28" s="43">
        <v>0.246</v>
      </c>
      <c r="F28" s="43">
        <v>25.178</v>
      </c>
      <c r="G28" s="43">
        <v>12.744</v>
      </c>
      <c r="H28" s="43">
        <v>50.786</v>
      </c>
      <c r="I28" s="50">
        <v>12.794</v>
      </c>
      <c r="J28" s="43">
        <v>0.363</v>
      </c>
      <c r="K28" s="455" t="s">
        <v>43</v>
      </c>
      <c r="L28" s="43">
        <v>0.465</v>
      </c>
      <c r="M28" s="43">
        <v>0.011</v>
      </c>
      <c r="N28" s="43">
        <v>0.757</v>
      </c>
      <c r="O28" s="43">
        <v>3.055</v>
      </c>
      <c r="P28" s="50">
        <v>4.364</v>
      </c>
      <c r="Q28" s="130">
        <f t="shared" si="0"/>
        <v>111.66800000000002</v>
      </c>
      <c r="R28" s="454">
        <f t="shared" si="1"/>
        <v>0.016975702160212824</v>
      </c>
    </row>
    <row r="29" spans="2:18" ht="15" customHeight="1">
      <c r="B29" s="2"/>
      <c r="C29" s="546">
        <v>2014</v>
      </c>
      <c r="D29" s="496">
        <v>0.91</v>
      </c>
      <c r="E29" s="50">
        <v>0.246</v>
      </c>
      <c r="F29" s="43">
        <v>24.316</v>
      </c>
      <c r="G29" s="43">
        <v>12.788</v>
      </c>
      <c r="H29" s="43">
        <v>50.659</v>
      </c>
      <c r="I29" s="50">
        <v>12.794</v>
      </c>
      <c r="J29" s="43">
        <v>0.242</v>
      </c>
      <c r="K29" s="455" t="s">
        <v>43</v>
      </c>
      <c r="L29" s="43">
        <v>0.538</v>
      </c>
      <c r="M29" s="43">
        <v>0.008</v>
      </c>
      <c r="N29" s="43">
        <v>0.651</v>
      </c>
      <c r="O29" s="43">
        <v>3.228</v>
      </c>
      <c r="P29" s="547">
        <v>4.36</v>
      </c>
      <c r="Q29" s="130">
        <f t="shared" si="0"/>
        <v>110.73999999999998</v>
      </c>
      <c r="R29" s="126">
        <f t="shared" si="1"/>
        <v>-0.008310348533152156</v>
      </c>
    </row>
    <row r="30" spans="2:18" ht="15" customHeight="1">
      <c r="B30" s="2"/>
      <c r="C30" s="548">
        <v>2015</v>
      </c>
      <c r="D30" s="552">
        <v>0.91</v>
      </c>
      <c r="E30" s="560">
        <v>0.246</v>
      </c>
      <c r="F30" s="550">
        <v>25.28</v>
      </c>
      <c r="G30" s="550">
        <v>14.129</v>
      </c>
      <c r="H30" s="550">
        <v>49.98</v>
      </c>
      <c r="I30" s="549">
        <v>12.794</v>
      </c>
      <c r="J30" s="550">
        <v>0.996</v>
      </c>
      <c r="K30" s="559">
        <v>0.467</v>
      </c>
      <c r="L30" s="550">
        <v>0.569</v>
      </c>
      <c r="M30" s="550">
        <v>0.006</v>
      </c>
      <c r="N30" s="550">
        <v>0.571</v>
      </c>
      <c r="O30" s="550">
        <v>3.365</v>
      </c>
      <c r="P30" s="549">
        <v>4.36</v>
      </c>
      <c r="Q30" s="551">
        <f t="shared" si="0"/>
        <v>113.67299999999997</v>
      </c>
      <c r="R30" s="563">
        <f t="shared" si="1"/>
        <v>0.026485461441213554</v>
      </c>
    </row>
    <row r="31" spans="2:18" ht="14.25" customHeight="1">
      <c r="B31" s="2"/>
      <c r="C31" s="9" t="s">
        <v>78</v>
      </c>
      <c r="D31" s="58"/>
      <c r="E31" s="58"/>
      <c r="F31" s="58"/>
      <c r="G31" s="58"/>
      <c r="H31" s="58"/>
      <c r="I31" s="58"/>
      <c r="J31" s="58"/>
      <c r="K31" s="525"/>
      <c r="L31" s="58"/>
      <c r="M31" s="58"/>
      <c r="N31" s="58"/>
      <c r="O31" s="58"/>
      <c r="P31" s="58"/>
      <c r="Q31" s="58"/>
      <c r="R31" s="1"/>
    </row>
    <row r="32" spans="2:18" ht="26.25" customHeight="1">
      <c r="B32" s="2"/>
      <c r="C32" s="597" t="s">
        <v>102</v>
      </c>
      <c r="D32" s="598"/>
      <c r="E32" s="598"/>
      <c r="F32" s="598"/>
      <c r="G32" s="598"/>
      <c r="H32" s="598"/>
      <c r="I32" s="598"/>
      <c r="J32" s="598"/>
      <c r="K32" s="598"/>
      <c r="L32" s="598"/>
      <c r="M32" s="598"/>
      <c r="N32" s="598"/>
      <c r="O32" s="598"/>
      <c r="P32" s="598"/>
      <c r="Q32" s="598"/>
      <c r="R32" s="1"/>
    </row>
    <row r="33" spans="2:18" ht="15" customHeight="1">
      <c r="B33" s="2"/>
      <c r="C33" s="48"/>
      <c r="D33" s="26"/>
      <c r="E33" s="26"/>
      <c r="F33" s="26"/>
      <c r="G33" s="26"/>
      <c r="H33" s="26"/>
      <c r="I33" s="26"/>
      <c r="J33" s="47"/>
      <c r="K33" s="47"/>
      <c r="L33" s="47"/>
      <c r="M33" s="47"/>
      <c r="N33" s="26"/>
      <c r="O33" s="47"/>
      <c r="P33" s="26"/>
      <c r="Q33" s="49"/>
      <c r="R33" s="1"/>
    </row>
    <row r="34" spans="2:18" ht="15" customHeight="1">
      <c r="B34" s="2"/>
      <c r="C34" s="589" t="s">
        <v>51</v>
      </c>
      <c r="D34" s="589"/>
      <c r="E34" s="589"/>
      <c r="F34" s="589"/>
      <c r="G34" s="589"/>
      <c r="H34" s="589"/>
      <c r="I34" s="589"/>
      <c r="J34" s="589"/>
      <c r="K34" s="589"/>
      <c r="L34" s="589"/>
      <c r="M34" s="589"/>
      <c r="N34" s="589"/>
      <c r="O34" s="589"/>
      <c r="P34" s="589"/>
      <c r="Q34" s="589"/>
      <c r="R34" s="1"/>
    </row>
    <row r="35" spans="2:18" ht="24.75" customHeight="1">
      <c r="B35" s="2"/>
      <c r="C35" s="590" t="s">
        <v>42</v>
      </c>
      <c r="D35" s="590"/>
      <c r="E35" s="590"/>
      <c r="F35" s="590"/>
      <c r="G35" s="590"/>
      <c r="H35" s="590"/>
      <c r="I35" s="590"/>
      <c r="J35" s="590"/>
      <c r="K35" s="590"/>
      <c r="L35" s="590"/>
      <c r="M35" s="590"/>
      <c r="N35" s="590"/>
      <c r="O35" s="590"/>
      <c r="P35" s="590"/>
      <c r="Q35" s="590"/>
      <c r="R35" s="1"/>
    </row>
    <row r="36" spans="2:18" ht="15" customHeight="1">
      <c r="B36" s="2"/>
      <c r="C36" s="48"/>
      <c r="D36" s="60" t="s">
        <v>29</v>
      </c>
      <c r="E36" s="60" t="s">
        <v>14</v>
      </c>
      <c r="F36" s="60" t="s">
        <v>30</v>
      </c>
      <c r="G36" s="61" t="s">
        <v>31</v>
      </c>
      <c r="H36" s="60" t="s">
        <v>32</v>
      </c>
      <c r="I36" s="60" t="s">
        <v>34</v>
      </c>
      <c r="J36" s="60" t="s">
        <v>27</v>
      </c>
      <c r="K36" s="207" t="s">
        <v>20</v>
      </c>
      <c r="L36" s="60" t="s">
        <v>37</v>
      </c>
      <c r="M36" s="60" t="s">
        <v>23</v>
      </c>
      <c r="N36" s="60" t="s">
        <v>38</v>
      </c>
      <c r="O36" s="60" t="s">
        <v>39</v>
      </c>
      <c r="P36" s="127" t="s">
        <v>28</v>
      </c>
      <c r="Q36" s="207" t="s">
        <v>117</v>
      </c>
      <c r="R36" s="92"/>
    </row>
    <row r="37" spans="2:18" ht="15" customHeight="1">
      <c r="B37" s="2"/>
      <c r="C37" s="62">
        <v>2000</v>
      </c>
      <c r="D37" s="132">
        <v>11.184380656839927</v>
      </c>
      <c r="E37" s="132" t="s">
        <v>43</v>
      </c>
      <c r="F37" s="132">
        <v>18.467190069492336</v>
      </c>
      <c r="G37" s="132">
        <v>9.640587768069897</v>
      </c>
      <c r="H37" s="132">
        <v>49.73377608564967</v>
      </c>
      <c r="I37" s="132">
        <v>10.259824094246753</v>
      </c>
      <c r="J37" s="132">
        <v>0.7704895677076231</v>
      </c>
      <c r="K37" s="132" t="s">
        <v>43</v>
      </c>
      <c r="L37" s="132" t="s">
        <v>43</v>
      </c>
      <c r="M37" s="132" t="s">
        <v>43</v>
      </c>
      <c r="N37" s="132">
        <v>2.0851688693098382</v>
      </c>
      <c r="O37" s="132">
        <v>24.83319179910227</v>
      </c>
      <c r="P37" s="133" t="s">
        <v>43</v>
      </c>
      <c r="Q37" s="134">
        <v>15.860466522326448</v>
      </c>
      <c r="R37" s="1"/>
    </row>
    <row r="38" spans="2:18" ht="15" customHeight="1">
      <c r="B38" s="2"/>
      <c r="C38" s="63">
        <v>2001</v>
      </c>
      <c r="D38" s="132">
        <v>11.059965165464046</v>
      </c>
      <c r="E38" s="132" t="s">
        <v>43</v>
      </c>
      <c r="F38" s="132">
        <v>20.480766692187874</v>
      </c>
      <c r="G38" s="132">
        <v>9.971674108214508</v>
      </c>
      <c r="H38" s="132">
        <v>52.310360259565904</v>
      </c>
      <c r="I38" s="132">
        <v>13.505471683041776</v>
      </c>
      <c r="J38" s="132">
        <v>1.3271261812117845</v>
      </c>
      <c r="K38" s="132" t="s">
        <v>43</v>
      </c>
      <c r="L38" s="132" t="s">
        <v>43</v>
      </c>
      <c r="M38" s="132" t="s">
        <v>43</v>
      </c>
      <c r="N38" s="132">
        <v>1.8281535648994516</v>
      </c>
      <c r="O38" s="132">
        <v>25.503893724232707</v>
      </c>
      <c r="P38" s="135" t="s">
        <v>43</v>
      </c>
      <c r="Q38" s="136">
        <v>17.472266391117554</v>
      </c>
      <c r="R38" s="1"/>
    </row>
    <row r="39" spans="2:18" ht="15" customHeight="1">
      <c r="B39" s="2"/>
      <c r="C39" s="63">
        <v>2002</v>
      </c>
      <c r="D39" s="132">
        <v>11.004842615012107</v>
      </c>
      <c r="E39" s="132" t="s">
        <v>43</v>
      </c>
      <c r="F39" s="132">
        <v>21.54082943842754</v>
      </c>
      <c r="G39" s="132">
        <v>10.28240064117675</v>
      </c>
      <c r="H39" s="132">
        <v>54.200777871460815</v>
      </c>
      <c r="I39" s="132">
        <v>14.355833198117802</v>
      </c>
      <c r="J39" s="132">
        <v>1.406774916013438</v>
      </c>
      <c r="K39" s="132" t="s">
        <v>43</v>
      </c>
      <c r="L39" s="132" t="s">
        <v>43</v>
      </c>
      <c r="M39" s="132" t="s">
        <v>43</v>
      </c>
      <c r="N39" s="132">
        <v>4.06871609403255</v>
      </c>
      <c r="O39" s="132">
        <v>26.932612125309895</v>
      </c>
      <c r="P39" s="135" t="s">
        <v>43</v>
      </c>
      <c r="Q39" s="136">
        <v>18.602451216269678</v>
      </c>
      <c r="R39" s="1"/>
    </row>
    <row r="40" spans="2:18" ht="15" customHeight="1">
      <c r="B40" s="2"/>
      <c r="C40" s="63">
        <v>2003</v>
      </c>
      <c r="D40" s="132">
        <v>10.623109497882636</v>
      </c>
      <c r="E40" s="132" t="s">
        <v>43</v>
      </c>
      <c r="F40" s="132">
        <v>24.48627494985482</v>
      </c>
      <c r="G40" s="132">
        <v>9.594357930610121</v>
      </c>
      <c r="H40" s="132">
        <v>55.23031224287727</v>
      </c>
      <c r="I40" s="132">
        <v>15.259666919933466</v>
      </c>
      <c r="J40" s="132">
        <v>4.7949162333911035</v>
      </c>
      <c r="K40" s="132" t="s">
        <v>43</v>
      </c>
      <c r="L40" s="132" t="s">
        <v>43</v>
      </c>
      <c r="M40" s="132" t="s">
        <v>43</v>
      </c>
      <c r="N40" s="132">
        <v>5.991611743559018</v>
      </c>
      <c r="O40" s="132">
        <v>27.16776092370387</v>
      </c>
      <c r="P40" s="135" t="s">
        <v>43</v>
      </c>
      <c r="Q40" s="136">
        <v>19.525711130443526</v>
      </c>
      <c r="R40" s="1"/>
    </row>
    <row r="41" spans="2:18" ht="15" customHeight="1">
      <c r="B41" s="2"/>
      <c r="C41" s="63">
        <v>2004</v>
      </c>
      <c r="D41" s="132">
        <v>10.834485938220377</v>
      </c>
      <c r="E41" s="132">
        <v>0.015197568389057751</v>
      </c>
      <c r="F41" s="132">
        <v>27.016523572619654</v>
      </c>
      <c r="G41" s="132">
        <v>10.227607181399</v>
      </c>
      <c r="H41" s="132">
        <v>55.76563000284166</v>
      </c>
      <c r="I41" s="132">
        <v>16.090390433070066</v>
      </c>
      <c r="J41" s="132">
        <v>4.528223861051761</v>
      </c>
      <c r="K41" s="132" t="s">
        <v>43</v>
      </c>
      <c r="L41" s="132">
        <v>11.806119685892229</v>
      </c>
      <c r="M41" s="132" t="s">
        <v>43</v>
      </c>
      <c r="N41" s="132">
        <v>4.832935560859189</v>
      </c>
      <c r="O41" s="132">
        <v>27.974127974127978</v>
      </c>
      <c r="P41" s="135">
        <v>1.0150410630248223</v>
      </c>
      <c r="Q41" s="136">
        <v>20.69263015665488</v>
      </c>
      <c r="R41" s="1"/>
    </row>
    <row r="42" spans="2:18" ht="15" customHeight="1">
      <c r="B42" s="2"/>
      <c r="C42" s="63">
        <v>2005</v>
      </c>
      <c r="D42" s="132">
        <v>10.732240437158469</v>
      </c>
      <c r="E42" s="132">
        <v>0.08999550022498876</v>
      </c>
      <c r="F42" s="132">
        <v>27.82403330397887</v>
      </c>
      <c r="G42" s="132">
        <v>10.747317795042544</v>
      </c>
      <c r="H42" s="132">
        <v>56.59835800183765</v>
      </c>
      <c r="I42" s="132">
        <v>16.940756885278386</v>
      </c>
      <c r="J42" s="132">
        <v>4.53375569194219</v>
      </c>
      <c r="K42" s="132" t="s">
        <v>43</v>
      </c>
      <c r="L42" s="132">
        <v>12.864268836965081</v>
      </c>
      <c r="M42" s="132" t="s">
        <v>43</v>
      </c>
      <c r="N42" s="132">
        <v>8.941920644048302</v>
      </c>
      <c r="O42" s="132">
        <v>26.07430617726052</v>
      </c>
      <c r="P42" s="187">
        <v>1.0131712259371835</v>
      </c>
      <c r="Q42" s="136">
        <v>21.241905014251248</v>
      </c>
      <c r="R42" s="1"/>
    </row>
    <row r="43" spans="2:18" ht="15" customHeight="1">
      <c r="B43" s="2"/>
      <c r="C43" s="63">
        <v>2006</v>
      </c>
      <c r="D43" s="132">
        <v>10.40907671489539</v>
      </c>
      <c r="E43" s="132">
        <v>2.138110372724646</v>
      </c>
      <c r="F43" s="132">
        <v>27.8074110252818</v>
      </c>
      <c r="G43" s="132">
        <v>12.200859534042072</v>
      </c>
      <c r="H43" s="132">
        <v>56.384286934956386</v>
      </c>
      <c r="I43" s="132">
        <v>17.511937277711187</v>
      </c>
      <c r="J43" s="132">
        <v>4.613254452766065</v>
      </c>
      <c r="K43" s="132" t="s">
        <v>43</v>
      </c>
      <c r="L43" s="132">
        <v>13.106295149638802</v>
      </c>
      <c r="M43" s="132" t="s">
        <v>43</v>
      </c>
      <c r="N43" s="132">
        <v>12.428571428571429</v>
      </c>
      <c r="O43" s="132">
        <v>25.891650202765938</v>
      </c>
      <c r="P43" s="135">
        <v>1.9218912770797458</v>
      </c>
      <c r="Q43" s="136">
        <v>21.641656571607374</v>
      </c>
      <c r="R43" s="1"/>
    </row>
    <row r="44" spans="2:18" ht="15" customHeight="1">
      <c r="B44" s="2"/>
      <c r="C44" s="63">
        <v>2007</v>
      </c>
      <c r="D44" s="132">
        <v>10.249697946033026</v>
      </c>
      <c r="E44" s="132">
        <v>4.76949840533488</v>
      </c>
      <c r="F44" s="132">
        <v>27.711193709069764</v>
      </c>
      <c r="G44" s="132">
        <v>11.858901038568881</v>
      </c>
      <c r="H44" s="132">
        <v>58.80636456535145</v>
      </c>
      <c r="I44" s="132">
        <v>17.749954709233275</v>
      </c>
      <c r="J44" s="132">
        <v>4.90075961774075</v>
      </c>
      <c r="K44" s="132" t="s">
        <v>43</v>
      </c>
      <c r="L44" s="132">
        <v>12.691246551291698</v>
      </c>
      <c r="M44" s="132" t="s">
        <v>43</v>
      </c>
      <c r="N44" s="132">
        <v>15.352038115404977</v>
      </c>
      <c r="O44" s="132">
        <v>27.04414774388461</v>
      </c>
      <c r="P44" s="135">
        <v>2.7745111717924695</v>
      </c>
      <c r="Q44" s="136">
        <v>22.35736798047797</v>
      </c>
      <c r="R44" s="1"/>
    </row>
    <row r="45" spans="2:18" ht="15" customHeight="1">
      <c r="B45" s="2"/>
      <c r="C45" s="63">
        <v>2008</v>
      </c>
      <c r="D45" s="132">
        <v>10.372008074593866</v>
      </c>
      <c r="E45" s="132">
        <v>3.7187835315214675</v>
      </c>
      <c r="F45" s="132">
        <v>28.830376118222702</v>
      </c>
      <c r="G45" s="132">
        <v>22.87538070007092</v>
      </c>
      <c r="H45" s="132">
        <v>60.69666405498748</v>
      </c>
      <c r="I45" s="132">
        <v>17.92738580832761</v>
      </c>
      <c r="J45" s="132">
        <v>5.315431304027957</v>
      </c>
      <c r="K45" s="132" t="s">
        <v>43</v>
      </c>
      <c r="L45" s="132">
        <v>12.461428910515073</v>
      </c>
      <c r="M45" s="132">
        <v>1.6786570743405276</v>
      </c>
      <c r="N45" s="132">
        <v>15.350444225074039</v>
      </c>
      <c r="O45" s="132">
        <v>26.954954954954957</v>
      </c>
      <c r="P45" s="135">
        <v>1.873514207011056</v>
      </c>
      <c r="Q45" s="136">
        <v>23.774461440459092</v>
      </c>
      <c r="R45" s="1"/>
    </row>
    <row r="46" spans="3:18" ht="15.75" customHeight="1" thickBot="1">
      <c r="C46" s="63">
        <v>2009</v>
      </c>
      <c r="D46" s="178">
        <v>10.175505898149035</v>
      </c>
      <c r="E46" s="178">
        <v>3.6136056095460694</v>
      </c>
      <c r="F46" s="178">
        <v>27.370553695346246</v>
      </c>
      <c r="G46" s="178">
        <v>49.72619258580524</v>
      </c>
      <c r="H46" s="178">
        <v>60.306976744186045</v>
      </c>
      <c r="I46" s="178">
        <v>22.29090607368072</v>
      </c>
      <c r="J46" s="178">
        <v>5.560619872379217</v>
      </c>
      <c r="K46" s="178" t="s">
        <v>43</v>
      </c>
      <c r="L46" s="178">
        <v>12.740847784200385</v>
      </c>
      <c r="M46" s="178">
        <v>1.9047619047619049</v>
      </c>
      <c r="N46" s="178">
        <v>15.583075335397318</v>
      </c>
      <c r="O46" s="178">
        <v>26.991150442477874</v>
      </c>
      <c r="P46" s="135">
        <v>1.9217284184592058</v>
      </c>
      <c r="Q46" s="136">
        <v>25.711232968469293</v>
      </c>
      <c r="R46" s="179"/>
    </row>
    <row r="47" spans="3:18" ht="15.75" customHeight="1" thickBot="1" thickTop="1">
      <c r="C47" s="63">
        <v>2010</v>
      </c>
      <c r="D47" s="178">
        <v>10.043544112078758</v>
      </c>
      <c r="E47" s="178">
        <v>4.111854582972977</v>
      </c>
      <c r="F47" s="178">
        <v>28.787512075921622</v>
      </c>
      <c r="G47" s="178">
        <v>52.33391854403152</v>
      </c>
      <c r="H47" s="178">
        <v>60.44138193928639</v>
      </c>
      <c r="I47" s="178">
        <v>24.545204610341546</v>
      </c>
      <c r="J47" s="185">
        <v>1.6863905325443789</v>
      </c>
      <c r="K47" s="178" t="s">
        <v>43</v>
      </c>
      <c r="L47" s="178">
        <v>12.630975383118463</v>
      </c>
      <c r="M47" s="178">
        <v>1.857318573185732</v>
      </c>
      <c r="N47" s="178">
        <v>16.443546350088408</v>
      </c>
      <c r="O47" s="186">
        <v>26.342447333034514</v>
      </c>
      <c r="P47" s="135">
        <v>1.8161953036843328</v>
      </c>
      <c r="Q47" s="188">
        <v>26.123908726301014</v>
      </c>
      <c r="R47" s="179"/>
    </row>
    <row r="48" spans="3:18" ht="15.75" customHeight="1" thickTop="1">
      <c r="C48" s="63">
        <v>2011</v>
      </c>
      <c r="D48" s="178">
        <v>8.48251944887056</v>
      </c>
      <c r="E48" s="178">
        <v>4.244861483467381</v>
      </c>
      <c r="F48" s="178">
        <v>27.38660399529965</v>
      </c>
      <c r="G48" s="178">
        <v>49.269576661548584</v>
      </c>
      <c r="H48" s="178">
        <v>58.47539156328152</v>
      </c>
      <c r="I48" s="178">
        <v>26.220514462589385</v>
      </c>
      <c r="J48" s="178">
        <v>1.7449510841581326</v>
      </c>
      <c r="K48" s="178" t="s">
        <v>43</v>
      </c>
      <c r="L48" s="178">
        <v>11.247888003861938</v>
      </c>
      <c r="M48" s="178">
        <v>1.6817593790426906</v>
      </c>
      <c r="N48" s="178">
        <v>18.26378155589902</v>
      </c>
      <c r="O48" s="178">
        <v>24.844010897266898</v>
      </c>
      <c r="P48" s="459">
        <f>P26/rail_pkm!Z36*100</f>
        <v>7.464677910437549</v>
      </c>
      <c r="Q48" s="136">
        <v>26.19359725738223</v>
      </c>
      <c r="R48" s="1"/>
    </row>
    <row r="49" spans="3:18" ht="15.75" customHeight="1">
      <c r="C49" s="63">
        <v>2012</v>
      </c>
      <c r="D49" s="186">
        <v>8.335635995210463</v>
      </c>
      <c r="E49" s="178">
        <v>3.7303673930100345</v>
      </c>
      <c r="F49" s="178">
        <v>28.001131221719454</v>
      </c>
      <c r="G49" s="178">
        <v>49.72904190284662</v>
      </c>
      <c r="H49" s="178">
        <v>57.36662161215512</v>
      </c>
      <c r="I49" s="178">
        <v>28.68802834271364</v>
      </c>
      <c r="J49" s="178">
        <v>1.8231950931292553</v>
      </c>
      <c r="K49" s="178" t="s">
        <v>43</v>
      </c>
      <c r="L49" s="178">
        <v>12.148303970549566</v>
      </c>
      <c r="M49" s="178">
        <v>1.6179048132668195</v>
      </c>
      <c r="N49" s="178">
        <v>17.546468401486987</v>
      </c>
      <c r="O49" s="178">
        <v>25</v>
      </c>
      <c r="P49" s="186">
        <v>7.15832294468867</v>
      </c>
      <c r="Q49" s="188">
        <v>26.08970700112472</v>
      </c>
      <c r="R49" s="1"/>
    </row>
    <row r="50" spans="3:18" ht="15.75" customHeight="1">
      <c r="C50" s="63">
        <v>2013</v>
      </c>
      <c r="D50" s="186">
        <v>8.31343009369833</v>
      </c>
      <c r="E50" s="178">
        <v>3.2747603833865817</v>
      </c>
      <c r="F50" s="178">
        <v>28.28988764044944</v>
      </c>
      <c r="G50" s="178">
        <v>53.647653125657754</v>
      </c>
      <c r="H50" s="178">
        <v>58.11014450301558</v>
      </c>
      <c r="I50" s="186">
        <v>26.25002564681262</v>
      </c>
      <c r="J50" s="178">
        <v>1.9061121613106489</v>
      </c>
      <c r="K50" s="178" t="s">
        <v>43</v>
      </c>
      <c r="L50" s="178">
        <v>12.743217319813649</v>
      </c>
      <c r="M50" s="178">
        <v>1.6200294550810013</v>
      </c>
      <c r="N50" s="178">
        <v>18.677522822600544</v>
      </c>
      <c r="O50" s="178">
        <v>25.76319784111992</v>
      </c>
      <c r="P50" s="186">
        <v>7.041435394346199</v>
      </c>
      <c r="Q50" s="188">
        <v>26.177244962934587</v>
      </c>
      <c r="R50" s="1"/>
    </row>
    <row r="51" spans="3:18" ht="15.75" customHeight="1">
      <c r="C51" s="546">
        <v>2014</v>
      </c>
      <c r="D51" s="553">
        <v>8.292327319117915</v>
      </c>
      <c r="E51" s="186">
        <v>3.2182103610675035</v>
      </c>
      <c r="F51" s="178">
        <v>27.168715083798883</v>
      </c>
      <c r="G51" s="178">
        <v>50.85500676051857</v>
      </c>
      <c r="H51" s="178">
        <v>58.414778881794525</v>
      </c>
      <c r="I51" s="186">
        <v>25.61002462117421</v>
      </c>
      <c r="J51" s="178">
        <v>1.2096975756060986</v>
      </c>
      <c r="K51" s="178" t="s">
        <v>43</v>
      </c>
      <c r="L51" s="178">
        <v>13.966770508826585</v>
      </c>
      <c r="M51" s="178">
        <v>1.2903225806451613</v>
      </c>
      <c r="N51" s="178">
        <v>16.804336602994322</v>
      </c>
      <c r="O51" s="178">
        <v>26.631466050655888</v>
      </c>
      <c r="P51" s="187">
        <v>6.737648931402698</v>
      </c>
      <c r="Q51" s="187">
        <v>25.530632891903032</v>
      </c>
      <c r="R51" s="1"/>
    </row>
    <row r="52" spans="3:18" ht="15.75" customHeight="1">
      <c r="C52" s="548">
        <v>2015</v>
      </c>
      <c r="D52" s="557">
        <v>8.80673570115165</v>
      </c>
      <c r="E52" s="554">
        <v>3.0276923076923077</v>
      </c>
      <c r="F52" s="555">
        <v>27.701731834779892</v>
      </c>
      <c r="G52" s="555">
        <v>53.8309140092201</v>
      </c>
      <c r="H52" s="555">
        <v>56.08092406797288</v>
      </c>
      <c r="I52" s="554">
        <v>24.506292259658665</v>
      </c>
      <c r="J52" s="555">
        <v>5.683958226331108</v>
      </c>
      <c r="K52" s="558">
        <v>2.7088167053364276</v>
      </c>
      <c r="L52" s="555">
        <v>14.379580490270405</v>
      </c>
      <c r="M52" s="555">
        <v>0.9554140127388535</v>
      </c>
      <c r="N52" s="555">
        <v>13.879436071949442</v>
      </c>
      <c r="O52" s="555">
        <v>26.41079978023703</v>
      </c>
      <c r="P52" s="556">
        <v>6.566363951264327</v>
      </c>
      <c r="Q52" s="556">
        <v>25.72380690442334</v>
      </c>
      <c r="R52" s="1"/>
    </row>
    <row r="53" spans="3:18" ht="15.75" customHeight="1">
      <c r="C53" s="591" t="s">
        <v>104</v>
      </c>
      <c r="D53" s="592"/>
      <c r="E53" s="592"/>
      <c r="F53" s="592"/>
      <c r="G53" s="592"/>
      <c r="H53" s="592"/>
      <c r="I53" s="592"/>
      <c r="J53" s="592"/>
      <c r="K53" s="592"/>
      <c r="L53" s="592"/>
      <c r="M53" s="592"/>
      <c r="N53" s="592"/>
      <c r="O53" s="592"/>
      <c r="P53" s="592"/>
      <c r="Q53" s="592"/>
      <c r="R53" s="1"/>
    </row>
    <row r="54" ht="13.5" customHeight="1"/>
  </sheetData>
  <sheetProtection/>
  <mergeCells count="7">
    <mergeCell ref="C34:Q34"/>
    <mergeCell ref="C35:Q35"/>
    <mergeCell ref="C53:Q53"/>
    <mergeCell ref="C1:D1"/>
    <mergeCell ref="C2:R2"/>
    <mergeCell ref="C3:Q3"/>
    <mergeCell ref="C32:Q32"/>
  </mergeCells>
  <printOptions horizontalCentered="1"/>
  <pageMargins left="0.6692913385826772" right="0.4724409448818898"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BORMANS Yves (MOVE)</cp:lastModifiedBy>
  <cp:lastPrinted>2012-03-29T14:37:27Z</cp:lastPrinted>
  <dcterms:created xsi:type="dcterms:W3CDTF">2003-09-05T14:33:05Z</dcterms:created>
  <dcterms:modified xsi:type="dcterms:W3CDTF">2017-09-07T07:23:31Z</dcterms:modified>
  <cp:category/>
  <cp:version/>
  <cp:contentType/>
  <cp:contentStatus/>
</cp:coreProperties>
</file>