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80" windowHeight="12435" tabRatio="882" activeTab="0"/>
  </bookViews>
  <sheets>
    <sheet name="T2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" sheetId="10" r:id="rId10"/>
  </sheets>
  <definedNames>
    <definedName name="A" localSheetId="0">'T2.3'!$A$65500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'bus_coach'!$B$1:$Y$47</definedName>
    <definedName name="_xlnm.Print_Area" localSheetId="4">'cars'!$B$1:$Y$46</definedName>
    <definedName name="_xlnm.Print_Area" localSheetId="8">'hs_rail'!$B$1:$P$39</definedName>
    <definedName name="_xlnm.Print_Area" localSheetId="1">'passeng_graph'!$B$1:$N$32</definedName>
    <definedName name="_xlnm.Print_Area" localSheetId="2">'perf_mode_pkm'!$B$1:$J$48</definedName>
    <definedName name="_xlnm.Print_Area" localSheetId="7">'rail_pkm'!$B$1:$Y$45</definedName>
    <definedName name="_xlnm.Print_Area" localSheetId="3">'split_mode_pkm'!$B$1:$G$49</definedName>
    <definedName name="_xlnm.Print_Area" localSheetId="0">'T2.3'!$B$1:$E$25</definedName>
    <definedName name="_xlnm.Print_Area" localSheetId="6">'tram_metro'!$B$1:$Y$46</definedName>
    <definedName name="_xlnm.Print_Area" localSheetId="9">'USA'!$B$1:$I$62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<sst xmlns="http://schemas.openxmlformats.org/spreadsheetml/2006/main" count="999" uniqueCount="135">
  <si>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</si>
  <si>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</si>
  <si>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</si>
  <si>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</si>
  <si>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</si>
  <si>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</si>
  <si>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</si>
  <si>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</si>
  <si>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</si>
  <si>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</si>
  <si>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</si>
  <si>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</si>
  <si>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</si>
  <si>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</si>
  <si>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</si>
  <si>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</si>
  <si>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</si>
  <si>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</si>
  <si>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</si>
  <si>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</si>
  <si>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</si>
  <si>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</si>
  <si>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</si>
  <si>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</si>
  <si>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</si>
  <si>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</si>
  <si>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</si>
  <si>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</si>
  <si>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</si>
  <si>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</si>
  <si>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</si>
  <si>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</si>
  <si>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</si>
  <si>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</si>
  <si>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</si>
  <si>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</si>
  <si>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</si>
  <si>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</si>
  <si>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</si>
  <si>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</si>
  <si>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</si>
  <si>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</si>
  <si>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</si>
  <si>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</si>
  <si>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</si>
  <si>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</si>
  <si>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</si>
  <si>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HR</t>
  </si>
  <si>
    <t>Passenger Cars</t>
  </si>
  <si>
    <t>Buses &amp; Coaches</t>
  </si>
  <si>
    <t>Railways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</si>
  <si>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</si>
  <si>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</si>
  <si>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</si>
  <si>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</si>
  <si>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</si>
  <si>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</si>
  <si>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</si>
  <si>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</si>
  <si>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</si>
  <si>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</si>
  <si>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</si>
  <si>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</si>
  <si>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</si>
  <si>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</si>
  <si>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</si>
  <si>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</si>
  <si>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</si>
  <si>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</si>
  <si>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</si>
  <si>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</si>
  <si>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</si>
  <si>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</si>
  <si>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</si>
  <si>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</si>
  <si>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</si>
  <si>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</si>
  <si>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</si>
  <si>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</si>
  <si>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</si>
  <si>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</si>
  <si>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</si>
  <si>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</si>
  <si>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</si>
  <si>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</si>
  <si>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</si>
  <si>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</si>
  <si>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</si>
  <si>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</si>
  <si>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t>change %</t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</si>
  <si>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</si>
  <si>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</si>
  <si>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Pass -enger Cars</t>
  </si>
  <si>
    <t>Rail -way</t>
  </si>
  <si>
    <t>Modal Split of Passenger Transport on Land by Country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</si>
  <si>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</si>
  <si>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 xml:space="preserve">FR: </t>
    </r>
    <r>
      <rPr>
        <sz val="8"/>
        <rFont val="Arial"/>
        <family val="0"/>
      </rPr>
      <t>data refer to the Paris Metro and RER (Réseau Express Régional) systems and to metros in other French cities</t>
    </r>
  </si>
  <si>
    <t>Data are not harmonised and therefore not fully comparable across countries.</t>
  </si>
  <si>
    <r>
      <t xml:space="preserve">Air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Sea</t>
    </r>
    <r>
      <rPr>
        <sz val="8"/>
        <rFont val="Arial"/>
        <family val="2"/>
      </rPr>
      <t>: only domestic and intra-EU-27 transport; provisional estimates</t>
    </r>
  </si>
  <si>
    <r>
      <t>P2W</t>
    </r>
    <r>
      <rPr>
        <sz val="8"/>
        <rFont val="Arial"/>
        <family val="2"/>
      </rPr>
      <t>: Powered two-wheelers</t>
    </r>
  </si>
  <si>
    <t>*: Passenger Cars (2008: 4109 billion pkm) and other 2-axle 4-tyre vehicles (2008: 3093 billion pkm)</t>
  </si>
  <si>
    <t>2000- 2008</t>
  </si>
  <si>
    <r>
      <t>Air:</t>
    </r>
    <r>
      <rPr>
        <sz val="8"/>
        <rFont val="Arial"/>
        <family val="2"/>
      </rPr>
      <t xml:space="preserve"> up until 2001: including General aviation.</t>
    </r>
  </si>
  <si>
    <r>
      <t>CS:</t>
    </r>
    <r>
      <rPr>
        <sz val="8"/>
        <rFont val="Arial"/>
        <family val="0"/>
      </rPr>
      <t xml:space="preserve"> 1970: 21.4, 1980: 33.8, 1990: 43.4, 1991: 43.1, 1992: 35.0 (included in EU27 and EU12 totals)</t>
    </r>
  </si>
  <si>
    <t>Directorate-General for Mobility and Transport</t>
  </si>
  <si>
    <t>TRANSPORT IN FIGURES</t>
  </si>
  <si>
    <t>Part 2 :  TRANSPORT</t>
  </si>
  <si>
    <t>Chapter 2.3  :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</si>
  <si>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</si>
  <si>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</si>
  <si>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</si>
  <si>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</si>
  <si>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</si>
  <si>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</si>
  <si>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</si>
  <si>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</si>
  <si>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</si>
  <si>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r>
      <t>Source</t>
    </r>
    <r>
      <rPr>
        <sz val="8"/>
        <rFont val="Arial"/>
        <family val="2"/>
      </rPr>
      <t xml:space="preserve">: tables 2.3.4, 2.3.5, 2.3.6, 2.3.7, estimates </t>
    </r>
  </si>
  <si>
    <t>1995 -2009</t>
  </si>
  <si>
    <t>2000 -2009</t>
  </si>
  <si>
    <t>2008 - 2009</t>
  </si>
  <si>
    <r>
      <t>Source :</t>
    </r>
    <r>
      <rPr>
        <sz val="8"/>
        <rFont val="Arial"/>
        <family val="2"/>
      </rPr>
      <t xml:space="preserve"> tables 2.3.4, 2.3.5, 2.3.6, 2.3.7,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</si>
  <si>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 xml:space="preserve">If </t>
    </r>
    <r>
      <rPr>
        <b/>
        <sz val="8"/>
        <rFont val="Arial"/>
        <family val="0"/>
      </rPr>
      <t>powered two-wheelers</t>
    </r>
    <r>
      <rPr>
        <sz val="8"/>
        <rFont val="Arial"/>
        <family val="0"/>
      </rPr>
      <t xml:space="preserve"> are included, they account for </t>
    </r>
    <r>
      <rPr>
        <b/>
        <sz val="8"/>
        <rFont val="Arial"/>
        <family val="0"/>
      </rPr>
      <t>2.6%</t>
    </r>
    <r>
      <rPr>
        <sz val="8"/>
        <rFont val="Arial"/>
        <family val="0"/>
      </rPr>
      <t xml:space="preserve"> of the total in EU27 (2.8% in EU15, 1.8% in EU12), while the share of the other modes becomes: </t>
    </r>
  </si>
  <si>
    <r>
      <t>Source:</t>
    </r>
    <r>
      <rPr>
        <sz val="8"/>
        <rFont val="Arial"/>
        <family val="0"/>
      </rPr>
      <t xml:space="preserve"> tables 2.3.4, 2.3.5, 2.3.6, 2.3.7</t>
    </r>
  </si>
  <si>
    <t>thousand mio pkm</t>
  </si>
  <si>
    <t>change 08/09</t>
  </si>
  <si>
    <t>Data are not harmonised and therefore not fully comparable. Many data for 2009 are provisional.</t>
  </si>
  <si>
    <r>
      <t>Source</t>
    </r>
    <r>
      <rPr>
        <sz val="8"/>
        <rFont val="Arial"/>
        <family val="0"/>
      </rPr>
      <t>: national statistics, International Transport Forum, estimates</t>
    </r>
    <r>
      <rPr>
        <i/>
        <sz val="8"/>
        <rFont val="Arial"/>
        <family val="0"/>
      </rPr>
      <t xml:space="preserve"> (in italics)</t>
    </r>
  </si>
  <si>
    <r>
      <t>BE:</t>
    </r>
    <r>
      <rPr>
        <sz val="8"/>
        <rFont val="Arial"/>
        <family val="0"/>
      </rPr>
      <t xml:space="preserve"> include pkm by vehicles registered as light goods vehicles but used as personal cars</t>
    </r>
  </si>
  <si>
    <r>
      <t>UK:</t>
    </r>
    <r>
      <rPr>
        <sz val="8"/>
        <rFont val="Arial"/>
        <family val="0"/>
      </rPr>
      <t xml:space="preserve"> data refer to Great Britain only; include pkm by vans</t>
    </r>
  </si>
  <si>
    <r>
      <t>Source</t>
    </r>
    <r>
      <rPr>
        <sz val="8"/>
        <rFont val="Arial"/>
        <family val="2"/>
      </rPr>
      <t>: Eurostat, International Transport Forum, Union Internationale des Chemins de Fer, national statistics</t>
    </r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</si>
  <si>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2.5.4.   </t>
    </r>
  </si>
  <si>
    <r>
      <t>Source</t>
    </r>
    <r>
      <rPr>
        <sz val="8"/>
        <rFont val="Arial"/>
        <family val="2"/>
      </rPr>
      <t>: table 2.3.7</t>
    </r>
  </si>
  <si>
    <r>
      <t>DE :</t>
    </r>
    <r>
      <rPr>
        <sz val="8"/>
        <rFont val="Arial"/>
        <family val="0"/>
      </rPr>
      <t xml:space="preserve"> incl.DE-E: 1970=24.5, 1980=56.0, 1990=90.3; revised series from 1994</t>
    </r>
  </si>
  <si>
    <r>
      <t>DE :</t>
    </r>
    <r>
      <rPr>
        <sz val="8"/>
        <rFont val="Arial"/>
        <family val="2"/>
      </rPr>
      <t xml:space="preserve"> includes D-E : 1970=19.1,   1980=24.4,   1990=16.5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</si>
</sst>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sz val="26"/>
      <color indexed="10"/>
      <name val="Arial"/>
      <family val="0"/>
    </font>
    <font>
      <sz val="26"/>
      <name val="Arial"/>
      <family val="0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50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4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1" fontId="3" fillId="5" borderId="9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 vertical="top"/>
    </xf>
    <xf numFmtId="49" fontId="3" fillId="0" borderId="8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2" fontId="2" fillId="0" borderId="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2" fontId="18" fillId="4" borderId="2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171" fontId="2" fillId="0" borderId="9" xfId="0" applyNumberFormat="1" applyFont="1" applyBorder="1" applyAlignment="1">
      <alignment horizontal="center" vertical="center"/>
    </xf>
    <xf numFmtId="171" fontId="18" fillId="0" borderId="12" xfId="0" applyNumberFormat="1" applyFont="1" applyBorder="1" applyAlignment="1">
      <alignment horizontal="center" vertical="center"/>
    </xf>
    <xf numFmtId="205" fontId="26" fillId="0" borderId="14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6" fillId="0" borderId="16" xfId="0" applyNumberFormat="1" applyFont="1" applyFill="1" applyBorder="1" applyAlignment="1">
      <alignment horizontal="right" vertical="center"/>
    </xf>
    <xf numFmtId="205" fontId="27" fillId="0" borderId="17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9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right" vertical="center"/>
    </xf>
    <xf numFmtId="170" fontId="2" fillId="0" borderId="18" xfId="0" applyNumberFormat="1" applyFont="1" applyFill="1" applyBorder="1" applyAlignment="1">
      <alignment horizontal="right" vertical="center"/>
    </xf>
    <xf numFmtId="170" fontId="2" fillId="0" borderId="18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horizontal="right" vertical="center"/>
    </xf>
    <xf numFmtId="170" fontId="2" fillId="0" borderId="18" xfId="0" applyNumberFormat="1" applyFont="1" applyBorder="1" applyAlignment="1">
      <alignment horizontal="right" vertical="center"/>
    </xf>
    <xf numFmtId="170" fontId="2" fillId="0" borderId="11" xfId="0" applyNumberFormat="1" applyFont="1" applyBorder="1" applyAlignment="1">
      <alignment vertical="center"/>
    </xf>
    <xf numFmtId="170" fontId="2" fillId="0" borderId="18" xfId="0" applyNumberFormat="1" applyFont="1" applyBorder="1" applyAlignment="1">
      <alignment vertical="center"/>
    </xf>
    <xf numFmtId="170" fontId="19" fillId="4" borderId="3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Border="1" applyAlignment="1">
      <alignment horizontal="right" vertical="center"/>
    </xf>
    <xf numFmtId="170" fontId="18" fillId="4" borderId="1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19" fillId="4" borderId="1" xfId="0" applyNumberFormat="1" applyFont="1" applyFill="1" applyBorder="1" applyAlignment="1">
      <alignment horizontal="right" vertical="center"/>
    </xf>
    <xf numFmtId="170" fontId="19" fillId="4" borderId="2" xfId="0" applyNumberFormat="1" applyFont="1" applyFill="1" applyBorder="1" applyAlignment="1">
      <alignment horizontal="right" vertical="center"/>
    </xf>
    <xf numFmtId="170" fontId="19" fillId="4" borderId="3" xfId="0" applyNumberFormat="1" applyFont="1" applyFill="1" applyBorder="1" applyAlignment="1">
      <alignment horizontal="right" vertical="center"/>
    </xf>
    <xf numFmtId="170" fontId="2" fillId="4" borderId="1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/>
    </xf>
    <xf numFmtId="0" fontId="2" fillId="0" borderId="0" xfId="0" applyFont="1" applyAlignment="1">
      <alignment/>
    </xf>
    <xf numFmtId="170" fontId="2" fillId="4" borderId="2" xfId="0" applyNumberFormat="1" applyFont="1" applyFill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4" borderId="3" xfId="0" applyNumberFormat="1" applyFont="1" applyFill="1" applyBorder="1" applyAlignment="1">
      <alignment horizontal="right" vertical="center"/>
    </xf>
    <xf numFmtId="170" fontId="3" fillId="4" borderId="1" xfId="0" applyNumberFormat="1" applyFont="1" applyFill="1" applyBorder="1" applyAlignment="1">
      <alignment horizontal="right" vertical="center"/>
    </xf>
    <xf numFmtId="170" fontId="3" fillId="4" borderId="2" xfId="0" applyNumberFormat="1" applyFont="1" applyFill="1" applyBorder="1" applyAlignment="1">
      <alignment horizontal="right" vertical="center"/>
    </xf>
    <xf numFmtId="170" fontId="3" fillId="4" borderId="3" xfId="0" applyNumberFormat="1" applyFont="1" applyFill="1" applyBorder="1" applyAlignment="1">
      <alignment vertical="center"/>
    </xf>
    <xf numFmtId="0" fontId="24" fillId="4" borderId="20" xfId="0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168" fontId="2" fillId="0" borderId="22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168" fontId="3" fillId="0" borderId="20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center" vertical="center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 wrapText="1"/>
    </xf>
    <xf numFmtId="170" fontId="2" fillId="0" borderId="24" xfId="0" applyNumberFormat="1" applyFont="1" applyFill="1" applyBorder="1" applyAlignment="1">
      <alignment horizontal="center" vertical="center"/>
    </xf>
    <xf numFmtId="170" fontId="2" fillId="0" borderId="25" xfId="0" applyNumberFormat="1" applyFont="1" applyFill="1" applyBorder="1" applyAlignment="1">
      <alignment horizontal="center" vertical="center"/>
    </xf>
    <xf numFmtId="170" fontId="3" fillId="0" borderId="26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 wrapText="1"/>
    </xf>
    <xf numFmtId="170" fontId="2" fillId="0" borderId="21" xfId="0" applyNumberFormat="1" applyFont="1" applyFill="1" applyBorder="1" applyAlignment="1">
      <alignment horizontal="center" vertical="center"/>
    </xf>
    <xf numFmtId="170" fontId="2" fillId="0" borderId="22" xfId="0" applyNumberFormat="1" applyFont="1" applyFill="1" applyBorder="1" applyAlignment="1">
      <alignment horizontal="center" vertical="center"/>
    </xf>
    <xf numFmtId="170" fontId="2" fillId="0" borderId="23" xfId="0" applyNumberFormat="1" applyFont="1" applyFill="1" applyBorder="1" applyAlignment="1">
      <alignment horizontal="center" vertical="center"/>
    </xf>
    <xf numFmtId="170" fontId="3" fillId="0" borderId="23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170" fontId="15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Fill="1" applyAlignment="1">
      <alignment horizontal="center"/>
    </xf>
    <xf numFmtId="2" fontId="2" fillId="0" borderId="2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18" fillId="0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170" fontId="18" fillId="0" borderId="3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6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0" fontId="24" fillId="5" borderId="5" xfId="0" applyFont="1" applyFill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 wrapText="1"/>
    </xf>
    <xf numFmtId="170" fontId="18" fillId="0" borderId="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/>
    </xf>
    <xf numFmtId="2" fontId="19" fillId="0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top"/>
    </xf>
    <xf numFmtId="0" fontId="2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0" fontId="18" fillId="0" borderId="14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170" fontId="18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3" fillId="5" borderId="11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0" fontId="19" fillId="4" borderId="8" xfId="0" applyNumberFormat="1" applyFont="1" applyFill="1" applyBorder="1" applyAlignment="1">
      <alignment horizontal="right"/>
    </xf>
    <xf numFmtId="170" fontId="19" fillId="4" borderId="8" xfId="0" applyNumberFormat="1" applyFont="1" applyFill="1" applyBorder="1" applyAlignment="1">
      <alignment horizontal="right" vertical="center"/>
    </xf>
    <xf numFmtId="170" fontId="3" fillId="4" borderId="8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19" fillId="4" borderId="0" xfId="0" applyNumberFormat="1" applyFont="1" applyFill="1" applyBorder="1" applyAlignment="1">
      <alignment horizontal="right"/>
    </xf>
    <xf numFmtId="170" fontId="19" fillId="4" borderId="0" xfId="0" applyNumberFormat="1" applyFont="1" applyFill="1" applyBorder="1" applyAlignment="1">
      <alignment horizontal="right" vertical="center"/>
    </xf>
    <xf numFmtId="170" fontId="3" fillId="4" borderId="0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horizontal="right"/>
    </xf>
    <xf numFmtId="170" fontId="19" fillId="4" borderId="9" xfId="0" applyNumberFormat="1" applyFont="1" applyFill="1" applyBorder="1" applyAlignment="1">
      <alignment horizontal="right" vertical="center"/>
    </xf>
    <xf numFmtId="170" fontId="3" fillId="4" borderId="9" xfId="0" applyNumberFormat="1" applyFont="1" applyFill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 horizontal="right" vertical="center"/>
    </xf>
    <xf numFmtId="170" fontId="2" fillId="7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/>
    </xf>
    <xf numFmtId="170" fontId="2" fillId="4" borderId="0" xfId="0" applyNumberFormat="1" applyFont="1" applyFill="1" applyBorder="1" applyAlignment="1">
      <alignment horizontal="right"/>
    </xf>
    <xf numFmtId="170" fontId="18" fillId="4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8" fillId="7" borderId="0" xfId="0" applyNumberFormat="1" applyFont="1" applyFill="1" applyBorder="1" applyAlignment="1">
      <alignment horizontal="right" vertical="center"/>
    </xf>
    <xf numFmtId="170" fontId="2" fillId="0" borderId="9" xfId="0" applyNumberFormat="1" applyFont="1" applyBorder="1" applyAlignment="1">
      <alignment horizontal="right" vertical="center"/>
    </xf>
    <xf numFmtId="170" fontId="18" fillId="4" borderId="8" xfId="0" applyNumberFormat="1" applyFont="1" applyFill="1" applyBorder="1" applyAlignment="1">
      <alignment horizontal="right" vertical="center"/>
    </xf>
    <xf numFmtId="170" fontId="18" fillId="4" borderId="9" xfId="0" applyNumberFormat="1" applyFont="1" applyFill="1" applyBorder="1" applyAlignment="1">
      <alignment horizontal="right" vertical="center"/>
    </xf>
    <xf numFmtId="170" fontId="2" fillId="4" borderId="9" xfId="0" applyNumberFormat="1" applyFont="1" applyFill="1" applyBorder="1" applyAlignment="1">
      <alignment horizontal="right" vertical="center"/>
    </xf>
    <xf numFmtId="170" fontId="2" fillId="0" borderId="8" xfId="0" applyNumberFormat="1" applyFont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18" fillId="0" borderId="9" xfId="0" applyNumberFormat="1" applyFont="1" applyBorder="1" applyAlignment="1">
      <alignment horizontal="right" vertical="center"/>
    </xf>
    <xf numFmtId="170" fontId="18" fillId="0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0" fontId="19" fillId="0" borderId="8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9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24" fillId="5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5" borderId="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2" fontId="19" fillId="4" borderId="1" xfId="0" applyNumberFormat="1" applyFont="1" applyFill="1" applyBorder="1" applyAlignment="1">
      <alignment vertical="center"/>
    </xf>
    <xf numFmtId="170" fontId="19" fillId="4" borderId="14" xfId="0" applyNumberFormat="1" applyFont="1" applyFill="1" applyBorder="1" applyAlignment="1">
      <alignment vertical="center"/>
    </xf>
    <xf numFmtId="170" fontId="19" fillId="4" borderId="8" xfId="0" applyNumberFormat="1" applyFont="1" applyFill="1" applyBorder="1" applyAlignment="1">
      <alignment vertical="center"/>
    </xf>
    <xf numFmtId="170" fontId="19" fillId="4" borderId="1" xfId="0" applyNumberFormat="1" applyFont="1" applyFill="1" applyBorder="1" applyAlignment="1">
      <alignment horizontal="right"/>
    </xf>
    <xf numFmtId="2" fontId="19" fillId="4" borderId="2" xfId="0" applyNumberFormat="1" applyFont="1" applyFill="1" applyBorder="1" applyAlignment="1">
      <alignment vertical="center"/>
    </xf>
    <xf numFmtId="170" fontId="19" fillId="4" borderId="6" xfId="0" applyNumberFormat="1" applyFont="1" applyFill="1" applyBorder="1" applyAlignment="1">
      <alignment vertical="center"/>
    </xf>
    <xf numFmtId="170" fontId="19" fillId="4" borderId="0" xfId="0" applyNumberFormat="1" applyFont="1" applyFill="1" applyBorder="1" applyAlignment="1">
      <alignment vertical="center"/>
    </xf>
    <xf numFmtId="170" fontId="19" fillId="4" borderId="2" xfId="0" applyNumberFormat="1" applyFont="1" applyFill="1" applyBorder="1" applyAlignment="1">
      <alignment horizontal="right"/>
    </xf>
    <xf numFmtId="2" fontId="19" fillId="4" borderId="3" xfId="0" applyNumberFormat="1" applyFont="1" applyFill="1" applyBorder="1" applyAlignment="1">
      <alignment vertical="center"/>
    </xf>
    <xf numFmtId="170" fontId="19" fillId="4" borderId="7" xfId="0" applyNumberFormat="1" applyFont="1" applyFill="1" applyBorder="1" applyAlignment="1">
      <alignment vertical="center"/>
    </xf>
    <xf numFmtId="170" fontId="19" fillId="4" borderId="9" xfId="0" applyNumberFormat="1" applyFont="1" applyFill="1" applyBorder="1" applyAlignment="1">
      <alignment vertical="center"/>
    </xf>
    <xf numFmtId="170" fontId="19" fillId="4" borderId="3" xfId="0" applyNumberFormat="1" applyFont="1" applyFill="1" applyBorder="1" applyAlignment="1">
      <alignment horizontal="right"/>
    </xf>
    <xf numFmtId="2" fontId="2" fillId="0" borderId="2" xfId="0" applyNumberFormat="1" applyFont="1" applyBorder="1" applyAlignment="1">
      <alignment horizontal="right" vertical="center"/>
    </xf>
    <xf numFmtId="170" fontId="2" fillId="0" borderId="2" xfId="0" applyNumberFormat="1" applyFont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 quotePrefix="1">
      <alignment horizontal="right" vertical="center"/>
    </xf>
    <xf numFmtId="170" fontId="2" fillId="0" borderId="0" xfId="0" applyNumberFormat="1" applyFont="1" applyFill="1" applyBorder="1" applyAlignment="1" quotePrefix="1">
      <alignment horizontal="right" vertical="center"/>
    </xf>
    <xf numFmtId="170" fontId="2" fillId="7" borderId="2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/>
    </xf>
    <xf numFmtId="170" fontId="2" fillId="4" borderId="2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2" fontId="18" fillId="0" borderId="2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0" fontId="18" fillId="0" borderId="2" xfId="0" applyNumberFormat="1" applyFont="1" applyFill="1" applyBorder="1" applyAlignment="1">
      <alignment horizontal="right" vertical="center"/>
    </xf>
    <xf numFmtId="2" fontId="18" fillId="4" borderId="2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/>
    </xf>
    <xf numFmtId="170" fontId="18" fillId="0" borderId="0" xfId="0" applyNumberFormat="1" applyFont="1" applyFill="1" applyBorder="1" applyAlignment="1">
      <alignment/>
    </xf>
    <xf numFmtId="2" fontId="18" fillId="0" borderId="2" xfId="0" applyNumberFormat="1" applyFont="1" applyFill="1" applyBorder="1" applyAlignment="1">
      <alignment horizontal="right" vertical="center"/>
    </xf>
    <xf numFmtId="170" fontId="2" fillId="4" borderId="13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170" fontId="2" fillId="4" borderId="0" xfId="0" applyNumberFormat="1" applyFont="1" applyFill="1" applyBorder="1" applyAlignment="1" quotePrefix="1">
      <alignment horizontal="right" vertical="center"/>
    </xf>
    <xf numFmtId="170" fontId="2" fillId="0" borderId="13" xfId="0" applyNumberFormat="1" applyFont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70" fontId="2" fillId="4" borderId="8" xfId="0" applyNumberFormat="1" applyFont="1" applyFill="1" applyBorder="1" applyAlignment="1">
      <alignment horizontal="right" vertical="center"/>
    </xf>
    <xf numFmtId="170" fontId="18" fillId="7" borderId="2" xfId="0" applyNumberFormat="1" applyFont="1" applyFill="1" applyBorder="1" applyAlignment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170" fontId="2" fillId="0" borderId="1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168" fontId="2" fillId="0" borderId="0" xfId="0" applyNumberFormat="1" applyFont="1" applyAlignment="1">
      <alignment/>
    </xf>
    <xf numFmtId="170" fontId="19" fillId="4" borderId="8" xfId="0" applyNumberFormat="1" applyFont="1" applyFill="1" applyBorder="1" applyAlignment="1">
      <alignment horizontal="right" vertical="center"/>
    </xf>
    <xf numFmtId="170" fontId="19" fillId="4" borderId="6" xfId="0" applyNumberFormat="1" applyFont="1" applyFill="1" applyBorder="1" applyAlignment="1">
      <alignment horizontal="right" vertical="center"/>
    </xf>
    <xf numFmtId="170" fontId="19" fillId="4" borderId="0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170" fontId="2" fillId="0" borderId="27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/>
    </xf>
    <xf numFmtId="170" fontId="2" fillId="4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 quotePrefix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70" fontId="2" fillId="4" borderId="13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 quotePrefix="1">
      <alignment horizontal="right" vertical="center"/>
    </xf>
    <xf numFmtId="170" fontId="2" fillId="0" borderId="28" xfId="0" applyNumberFormat="1" applyFont="1" applyBorder="1" applyAlignment="1">
      <alignment horizontal="right" vertical="center"/>
    </xf>
    <xf numFmtId="170" fontId="2" fillId="4" borderId="8" xfId="0" applyNumberFormat="1" applyFont="1" applyFill="1" applyBorder="1" applyAlignment="1">
      <alignment horizontal="right" vertical="center"/>
    </xf>
    <xf numFmtId="170" fontId="2" fillId="4" borderId="9" xfId="0" applyNumberFormat="1" applyFont="1" applyFill="1" applyBorder="1" applyAlignment="1">
      <alignment horizontal="right" vertical="center"/>
    </xf>
    <xf numFmtId="170" fontId="18" fillId="4" borderId="9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2" fillId="0" borderId="9" xfId="0" applyNumberFormat="1" applyFont="1" applyFill="1" applyBorder="1" applyAlignment="1">
      <alignment horizontal="right" vertical="center"/>
    </xf>
    <xf numFmtId="170" fontId="2" fillId="0" borderId="28" xfId="0" applyNumberFormat="1" applyFont="1" applyFill="1" applyBorder="1" applyAlignment="1">
      <alignment horizontal="right" vertical="center"/>
    </xf>
    <xf numFmtId="170" fontId="18" fillId="0" borderId="9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vertical="center"/>
    </xf>
    <xf numFmtId="170" fontId="2" fillId="4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18" fillId="4" borderId="8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3" fillId="4" borderId="8" xfId="0" applyNumberFormat="1" applyFont="1" applyFill="1" applyBorder="1" applyAlignment="1">
      <alignment horizontal="right" vertical="center"/>
    </xf>
    <xf numFmtId="170" fontId="3" fillId="4" borderId="0" xfId="0" applyNumberFormat="1" applyFont="1" applyFill="1" applyBorder="1" applyAlignment="1">
      <alignment horizontal="right" vertical="center"/>
    </xf>
    <xf numFmtId="170" fontId="3" fillId="4" borderId="9" xfId="0" applyNumberFormat="1" applyFont="1" applyFill="1" applyBorder="1" applyAlignment="1">
      <alignment vertical="center"/>
    </xf>
    <xf numFmtId="170" fontId="2" fillId="4" borderId="6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2" fillId="4" borderId="6" xfId="0" applyNumberFormat="1" applyFont="1" applyFill="1" applyBorder="1" applyAlignment="1">
      <alignment horizontal="center" vertical="center"/>
    </xf>
    <xf numFmtId="170" fontId="2" fillId="0" borderId="7" xfId="0" applyNumberFormat="1" applyFont="1" applyBorder="1" applyAlignment="1">
      <alignment horizontal="right" vertical="center"/>
    </xf>
    <xf numFmtId="170" fontId="2" fillId="0" borderId="9" xfId="0" applyNumberFormat="1" applyFont="1" applyBorder="1" applyAlignment="1">
      <alignment horizontal="right" vertical="center"/>
    </xf>
    <xf numFmtId="2" fontId="2" fillId="0" borderId="14" xfId="0" applyNumberFormat="1" applyFont="1" applyFill="1" applyBorder="1" applyAlignment="1" quotePrefix="1">
      <alignment horizontal="right" vertical="center"/>
    </xf>
    <xf numFmtId="2" fontId="2" fillId="0" borderId="8" xfId="0" applyNumberFormat="1" applyFont="1" applyFill="1" applyBorder="1" applyAlignment="1" quotePrefix="1">
      <alignment horizontal="right" vertical="center"/>
    </xf>
    <xf numFmtId="0" fontId="0" fillId="0" borderId="1" xfId="0" applyBorder="1" applyAlignment="1">
      <alignment vertical="center"/>
    </xf>
    <xf numFmtId="2" fontId="2" fillId="0" borderId="6" xfId="0" applyNumberFormat="1" applyFont="1" applyFill="1" applyBorder="1" applyAlignment="1" quotePrefix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right" vertical="center"/>
    </xf>
    <xf numFmtId="170" fontId="2" fillId="0" borderId="0" xfId="0" applyNumberFormat="1" applyFont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 wrapText="1"/>
    </xf>
    <xf numFmtId="49" fontId="3" fillId="0" borderId="8" xfId="0" applyNumberFormat="1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 quotePrefix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1995 - 2009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05"/>
          <c:w val="0.948"/>
          <c:h val="0.792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56321613"/>
        <c:axId val="37132470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passeng_graph!$C$39:$Q$39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passeng_graph!$C$42:$Q$42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passeng_graph!$C$40:$Q$40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passeng_graph!$C$38:$Q$38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passeng_graph!$C$41:$Q$41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passeng_graph!$C$43:$Q$43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65756775"/>
        <c:axId val="54940064"/>
      </c:lineChart>
      <c:catAx>
        <c:axId val="563216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132470"/>
        <c:crosses val="autoZero"/>
        <c:auto val="0"/>
        <c:lblOffset val="100"/>
        <c:tickLblSkip val="1"/>
        <c:noMultiLvlLbl val="0"/>
      </c:catAx>
      <c:valAx>
        <c:axId val="3713247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21613"/>
        <c:crossesAt val="1"/>
        <c:crossBetween val="midCat"/>
        <c:dispUnits/>
      </c:valAx>
      <c:catAx>
        <c:axId val="65756775"/>
        <c:scaling>
          <c:orientation val="minMax"/>
        </c:scaling>
        <c:axPos val="b"/>
        <c:delete val="1"/>
        <c:majorTickMark val="in"/>
        <c:minorTickMark val="none"/>
        <c:tickLblPos val="nextTo"/>
        <c:crossAx val="54940064"/>
        <c:crosses val="autoZero"/>
        <c:auto val="0"/>
        <c:lblOffset val="100"/>
        <c:tickLblSkip val="1"/>
        <c:noMultiLvlLbl val="0"/>
      </c:catAx>
      <c:valAx>
        <c:axId val="5494006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5677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125"/>
          <c:w val="0.94"/>
          <c:h val="0.07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400050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85725" y="200025"/>
        <a:ext cx="5953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65" t="s">
        <v>58</v>
      </c>
      <c r="C1" s="465"/>
      <c r="D1" s="465"/>
      <c r="E1" s="465"/>
    </row>
    <row r="2" spans="2:5" ht="19.5" customHeight="1">
      <c r="B2" s="466" t="s">
        <v>59</v>
      </c>
      <c r="C2" s="466"/>
      <c r="D2" s="466"/>
      <c r="E2" s="466"/>
    </row>
    <row r="3" spans="2:5" ht="19.5" customHeight="1">
      <c r="B3" s="467" t="s">
        <v>104</v>
      </c>
      <c r="C3" s="467"/>
      <c r="D3" s="467"/>
      <c r="E3" s="467"/>
    </row>
    <row r="4" spans="2:5" ht="19.5" customHeight="1">
      <c r="B4" s="468" t="s">
        <v>61</v>
      </c>
      <c r="C4" s="468"/>
      <c r="D4" s="468"/>
      <c r="E4" s="468"/>
    </row>
    <row r="5" spans="2:5" ht="19.5" customHeight="1">
      <c r="B5" s="78"/>
      <c r="C5" s="78"/>
      <c r="D5" s="78"/>
      <c r="E5" s="78"/>
    </row>
    <row r="6" ht="19.5" customHeight="1"/>
    <row r="7" spans="2:5" ht="19.5" customHeight="1">
      <c r="B7" s="465" t="s">
        <v>105</v>
      </c>
      <c r="C7" s="465"/>
      <c r="D7" s="465"/>
      <c r="E7" s="465"/>
    </row>
    <row r="8" spans="2:5" ht="19.5" customHeight="1">
      <c r="B8" s="463">
        <v>2011</v>
      </c>
      <c r="C8" s="464"/>
      <c r="D8" s="464"/>
      <c r="E8" s="464"/>
    </row>
    <row r="9" spans="2:5" ht="19.5" customHeight="1">
      <c r="B9" s="79"/>
      <c r="C9" s="79"/>
      <c r="D9" s="79"/>
      <c r="E9" s="79"/>
    </row>
    <row r="10" spans="2:5" ht="19.5" customHeight="1">
      <c r="B10" s="469" t="s">
        <v>106</v>
      </c>
      <c r="C10" s="469"/>
      <c r="D10" s="469"/>
      <c r="E10" s="469"/>
    </row>
    <row r="11" spans="2:5" ht="19.5" customHeight="1">
      <c r="B11" s="7"/>
      <c r="E11" s="7"/>
    </row>
    <row r="12" spans="2:5" ht="19.5" customHeight="1">
      <c r="B12" s="470" t="s">
        <v>107</v>
      </c>
      <c r="C12" s="470"/>
      <c r="D12" s="470"/>
      <c r="E12" s="470"/>
    </row>
    <row r="13" spans="2:5" ht="19.5" customHeight="1">
      <c r="B13" s="470" t="s">
        <v>65</v>
      </c>
      <c r="C13" s="470"/>
      <c r="D13" s="470"/>
      <c r="E13" s="470"/>
    </row>
    <row r="14" spans="2:5" ht="19.5" customHeight="1">
      <c r="B14" s="470" t="s">
        <v>66</v>
      </c>
      <c r="C14" s="470"/>
      <c r="D14" s="470"/>
      <c r="E14" s="470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0" t="s">
        <v>108</v>
      </c>
      <c r="C17" s="81"/>
      <c r="D17" s="82" t="s">
        <v>60</v>
      </c>
      <c r="E17" s="7"/>
    </row>
    <row r="18" spans="2:5" ht="15" customHeight="1">
      <c r="B18" s="80" t="s">
        <v>109</v>
      </c>
      <c r="C18" s="81"/>
      <c r="D18" s="82" t="s">
        <v>62</v>
      </c>
      <c r="E18" s="7"/>
    </row>
    <row r="19" spans="2:5" ht="15" customHeight="1">
      <c r="B19" s="80" t="s">
        <v>110</v>
      </c>
      <c r="C19" s="81"/>
      <c r="D19" s="82" t="s">
        <v>63</v>
      </c>
      <c r="E19" s="7"/>
    </row>
    <row r="20" spans="2:5" ht="15" customHeight="1">
      <c r="B20" s="80" t="s">
        <v>111</v>
      </c>
      <c r="C20" s="81"/>
      <c r="D20" s="84" t="s">
        <v>48</v>
      </c>
      <c r="E20" s="7"/>
    </row>
    <row r="21" spans="2:5" ht="15" customHeight="1">
      <c r="B21" s="80" t="s">
        <v>112</v>
      </c>
      <c r="C21" s="81"/>
      <c r="D21" s="84" t="s">
        <v>49</v>
      </c>
      <c r="E21" s="7"/>
    </row>
    <row r="22" spans="2:4" ht="15" customHeight="1">
      <c r="B22" s="80" t="s">
        <v>113</v>
      </c>
      <c r="C22" s="83"/>
      <c r="D22" s="84" t="s">
        <v>1</v>
      </c>
    </row>
    <row r="23" spans="2:5" ht="15" customHeight="1">
      <c r="B23" s="80" t="s">
        <v>114</v>
      </c>
      <c r="C23" s="83"/>
      <c r="D23" s="84" t="s">
        <v>50</v>
      </c>
      <c r="E23"/>
    </row>
    <row r="24" spans="2:5" ht="15" customHeight="1">
      <c r="B24" s="80" t="s">
        <v>115</v>
      </c>
      <c r="C24" s="83"/>
      <c r="D24" s="82" t="s">
        <v>83</v>
      </c>
      <c r="E24" s="7"/>
    </row>
    <row r="25" spans="2:5" ht="15" customHeight="1">
      <c r="B25" s="80" t="s">
        <v>116</v>
      </c>
      <c r="C25" s="99"/>
      <c r="D25" s="82" t="s">
        <v>84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5">
      <selection activeCell="A5" sqref="A1:IV16384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2:9" ht="14.25" customHeight="1">
      <c r="B1" s="100"/>
      <c r="C1" s="100"/>
      <c r="D1" s="100"/>
      <c r="E1" s="100"/>
      <c r="F1" s="100"/>
      <c r="G1" s="100"/>
      <c r="H1" s="101"/>
      <c r="I1" s="94" t="s">
        <v>116</v>
      </c>
    </row>
    <row r="2" spans="2:9" s="23" customFormat="1" ht="30" customHeight="1">
      <c r="B2" s="491" t="s">
        <v>68</v>
      </c>
      <c r="C2" s="491"/>
      <c r="D2" s="491"/>
      <c r="E2" s="491"/>
      <c r="F2" s="491"/>
      <c r="G2" s="491"/>
      <c r="H2" s="491"/>
      <c r="I2" s="491"/>
    </row>
    <row r="3" spans="2:9" ht="15" customHeight="1">
      <c r="B3" s="492" t="s">
        <v>69</v>
      </c>
      <c r="C3" s="492"/>
      <c r="D3" s="492"/>
      <c r="E3" s="492"/>
      <c r="F3" s="492"/>
      <c r="G3" s="492"/>
      <c r="H3" s="492"/>
      <c r="I3" s="492"/>
    </row>
    <row r="4" spans="2:9" ht="12" customHeight="1">
      <c r="B4" s="493" t="s">
        <v>6</v>
      </c>
      <c r="C4" s="493"/>
      <c r="D4" s="493"/>
      <c r="E4" s="493"/>
      <c r="F4" s="493"/>
      <c r="G4" s="493"/>
      <c r="H4" s="493"/>
      <c r="I4" s="493"/>
    </row>
    <row r="5" spans="2:9" ht="12.75" customHeight="1">
      <c r="B5" s="40"/>
      <c r="C5" s="471" t="s">
        <v>70</v>
      </c>
      <c r="D5" s="471" t="s">
        <v>71</v>
      </c>
      <c r="E5" s="494" t="s">
        <v>72</v>
      </c>
      <c r="F5" s="494" t="s">
        <v>73</v>
      </c>
      <c r="G5" s="471" t="s">
        <v>74</v>
      </c>
      <c r="H5" s="494" t="s">
        <v>52</v>
      </c>
      <c r="I5" s="494" t="s">
        <v>53</v>
      </c>
    </row>
    <row r="6" spans="2:9" ht="22.5" customHeight="1">
      <c r="B6" s="40"/>
      <c r="C6" s="472"/>
      <c r="D6" s="472"/>
      <c r="E6" s="495"/>
      <c r="F6" s="495"/>
      <c r="G6" s="472"/>
      <c r="H6" s="495"/>
      <c r="I6" s="495"/>
    </row>
    <row r="7" spans="2:9" ht="15" customHeight="1">
      <c r="B7" s="229">
        <v>1990</v>
      </c>
      <c r="C7" s="230">
        <f>3671.543+1608.947</f>
        <v>5280.49</v>
      </c>
      <c r="D7" s="231">
        <v>19.995</v>
      </c>
      <c r="E7" s="231">
        <f>18.467+9.748</f>
        <v>28.214999999999996</v>
      </c>
      <c r="F7" s="231">
        <f>195.371+0.311</f>
        <v>195.68200000000002</v>
      </c>
      <c r="G7" s="231">
        <f>0.919+11.397</f>
        <v>12.316</v>
      </c>
      <c r="H7" s="232">
        <v>556.629</v>
      </c>
      <c r="I7" s="233">
        <f aca="true" t="shared" si="0" ref="I7:I21">SUM(C7:H7)</f>
        <v>6093.326999999999</v>
      </c>
    </row>
    <row r="8" spans="2:9" ht="12.75" customHeight="1">
      <c r="B8" s="104">
        <v>1995</v>
      </c>
      <c r="C8" s="140">
        <f>3680.388+2021.571</f>
        <v>5701.959</v>
      </c>
      <c r="D8" s="142">
        <v>17.344</v>
      </c>
      <c r="E8" s="142">
        <f>16.993+8.924</f>
        <v>25.916999999999998</v>
      </c>
      <c r="F8" s="142">
        <f>219.038+0.301</f>
        <v>219.339</v>
      </c>
      <c r="G8" s="142">
        <f>1.384+13.267</f>
        <v>14.651</v>
      </c>
      <c r="H8" s="143">
        <v>649.995</v>
      </c>
      <c r="I8" s="138">
        <f t="shared" si="0"/>
        <v>6629.205</v>
      </c>
    </row>
    <row r="9" spans="2:9" ht="12.75" customHeight="1">
      <c r="B9" s="104">
        <v>1996</v>
      </c>
      <c r="C9" s="140">
        <f>3761.146+2089.41</f>
        <v>5850.5560000000005</v>
      </c>
      <c r="D9" s="142">
        <v>17.561</v>
      </c>
      <c r="E9" s="142">
        <f>18.556+8.127</f>
        <v>26.683</v>
      </c>
      <c r="F9" s="142">
        <f>223.918+0.296</f>
        <v>224.214</v>
      </c>
      <c r="G9" s="142">
        <f>1.54+13.44</f>
        <v>14.98</v>
      </c>
      <c r="H9" s="143">
        <v>699.505</v>
      </c>
      <c r="I9" s="138">
        <f t="shared" si="0"/>
        <v>6833.499</v>
      </c>
    </row>
    <row r="10" spans="2:9" ht="12.75" customHeight="1">
      <c r="B10" s="104">
        <v>1997</v>
      </c>
      <c r="C10" s="140">
        <f>3844.827+2176.919</f>
        <v>6021.746</v>
      </c>
      <c r="D10" s="142">
        <v>17.846</v>
      </c>
      <c r="E10" s="142">
        <f>19.402+8.314</f>
        <v>27.716</v>
      </c>
      <c r="F10" s="142">
        <f>233.451+0.304</f>
        <v>233.755</v>
      </c>
      <c r="G10" s="142">
        <f>1.666+12.936</f>
        <v>14.602</v>
      </c>
      <c r="H10" s="143">
        <v>725.19</v>
      </c>
      <c r="I10" s="138">
        <f t="shared" si="0"/>
        <v>7040.855</v>
      </c>
    </row>
    <row r="11" spans="2:9" ht="12.75" customHeight="1">
      <c r="B11" s="104">
        <v>1998</v>
      </c>
      <c r="C11" s="140">
        <f>3965.147+2221.791</f>
        <v>6186.938</v>
      </c>
      <c r="D11" s="142">
        <v>18.203</v>
      </c>
      <c r="E11" s="142">
        <f>19.77+8.536</f>
        <v>28.305999999999997</v>
      </c>
      <c r="F11" s="142">
        <f>239.081+0.292</f>
        <v>239.373</v>
      </c>
      <c r="G11" s="142">
        <f>1.815+14.008</f>
        <v>15.822999999999999</v>
      </c>
      <c r="H11" s="143">
        <v>745.548</v>
      </c>
      <c r="I11" s="138">
        <f t="shared" si="0"/>
        <v>7234.191</v>
      </c>
    </row>
    <row r="12" spans="2:9" ht="12.75" customHeight="1">
      <c r="B12" s="105">
        <v>1999</v>
      </c>
      <c r="C12" s="140">
        <f>4015.104+2305.586</f>
        <v>6320.69</v>
      </c>
      <c r="D12" s="142">
        <v>18.736</v>
      </c>
      <c r="E12" s="142">
        <f>20.764+8.578</f>
        <v>29.342</v>
      </c>
      <c r="F12" s="142">
        <f>261.43+0.3</f>
        <v>261.73</v>
      </c>
      <c r="G12" s="142">
        <f>1.941+14.108</f>
        <v>16.049</v>
      </c>
      <c r="H12" s="143">
        <v>785.934</v>
      </c>
      <c r="I12" s="138">
        <f t="shared" si="0"/>
        <v>7432.481</v>
      </c>
    </row>
    <row r="13" spans="2:9" ht="12.75" customHeight="1">
      <c r="B13" s="105">
        <v>2000</v>
      </c>
      <c r="C13" s="140">
        <f>4094.907+2361.976</f>
        <v>6456.883</v>
      </c>
      <c r="D13" s="142">
        <v>18.533</v>
      </c>
      <c r="E13" s="142">
        <f>22.279+8.848</f>
        <v>31.127000000000002</v>
      </c>
      <c r="F13" s="142">
        <f>258.974+0.309</f>
        <v>259.283</v>
      </c>
      <c r="G13" s="142">
        <f>2.156+15.128</f>
        <v>17.284</v>
      </c>
      <c r="H13" s="143">
        <v>855.091</v>
      </c>
      <c r="I13" s="138">
        <f t="shared" si="0"/>
        <v>7638.201000000001</v>
      </c>
    </row>
    <row r="14" spans="2:9" ht="12.75" customHeight="1">
      <c r="B14" s="105">
        <v>2001</v>
      </c>
      <c r="C14" s="140">
        <f>4114.257+2701.852</f>
        <v>6816.1089999999995</v>
      </c>
      <c r="D14" s="142">
        <v>18.926</v>
      </c>
      <c r="E14" s="142">
        <f>22.817+8.946</f>
        <v>31.762999999999998</v>
      </c>
      <c r="F14" s="142">
        <f>241.469+0.301</f>
        <v>241.76999999999998</v>
      </c>
      <c r="G14" s="142">
        <f>2.297+15.359</f>
        <v>17.656</v>
      </c>
      <c r="H14" s="145">
        <v>808.544</v>
      </c>
      <c r="I14" s="138">
        <f t="shared" si="0"/>
        <v>7934.767999999999</v>
      </c>
    </row>
    <row r="15" spans="2:9" ht="12.75" customHeight="1">
      <c r="B15" s="105">
        <v>2002</v>
      </c>
      <c r="C15" s="140">
        <f>4217.107+2695.316</f>
        <v>6912.423</v>
      </c>
      <c r="D15" s="142">
        <v>19.523</v>
      </c>
      <c r="E15" s="142">
        <f>21.989+8.8</f>
        <v>30.789</v>
      </c>
      <c r="F15" s="142">
        <f>233.554+0.302</f>
        <v>233.856</v>
      </c>
      <c r="G15" s="142">
        <f>2.304+15.288</f>
        <v>17.592</v>
      </c>
      <c r="H15" s="143">
        <v>777.971</v>
      </c>
      <c r="I15" s="138">
        <f t="shared" si="0"/>
        <v>7992.153999999999</v>
      </c>
    </row>
    <row r="16" spans="2:9" ht="12.75" customHeight="1">
      <c r="B16" s="105">
        <v>2003</v>
      </c>
      <c r="C16" s="140">
        <f>4251.702+2745.707</f>
        <v>6997.409</v>
      </c>
      <c r="D16" s="142">
        <v>19.574</v>
      </c>
      <c r="E16" s="142">
        <f>21.897+9.141</f>
        <v>31.037999999999997</v>
      </c>
      <c r="F16" s="142">
        <f>231.425+0.283</f>
        <v>231.708</v>
      </c>
      <c r="G16" s="142">
        <f>2.375+15.378</f>
        <v>17.753</v>
      </c>
      <c r="H16" s="143">
        <v>813.082</v>
      </c>
      <c r="I16" s="138">
        <f t="shared" si="0"/>
        <v>8110.5639999999985</v>
      </c>
    </row>
    <row r="17" spans="2:9" ht="12.75" customHeight="1">
      <c r="B17" s="105">
        <v>2004</v>
      </c>
      <c r="C17" s="140">
        <f>4322.42+2865.873</f>
        <v>7188.293</v>
      </c>
      <c r="D17" s="142">
        <v>20.688</v>
      </c>
      <c r="E17" s="142">
        <f>23.101+8.869</f>
        <v>31.97</v>
      </c>
      <c r="F17" s="142">
        <f>232.048+0.279</f>
        <v>232.327</v>
      </c>
      <c r="G17" s="142">
        <f>2.537+15.635</f>
        <v>18.172</v>
      </c>
      <c r="H17" s="143">
        <v>897.84</v>
      </c>
      <c r="I17" s="138">
        <f t="shared" si="0"/>
        <v>8389.289999999999</v>
      </c>
    </row>
    <row r="18" spans="2:9" ht="12.75" customHeight="1">
      <c r="B18" s="105">
        <v>2005</v>
      </c>
      <c r="C18" s="140">
        <f>4344.11+2904.621</f>
        <v>7248.731</v>
      </c>
      <c r="D18" s="142">
        <v>21.367</v>
      </c>
      <c r="E18" s="142">
        <f>23.203+8.66</f>
        <v>31.863</v>
      </c>
      <c r="F18" s="142">
        <f>238.17+0.278</f>
        <v>238.44799999999998</v>
      </c>
      <c r="G18" s="142">
        <f>2.735+15.241</f>
        <v>17.976</v>
      </c>
      <c r="H18" s="143">
        <v>939.467</v>
      </c>
      <c r="I18" s="138">
        <f t="shared" si="0"/>
        <v>8497.852</v>
      </c>
    </row>
    <row r="19" spans="2:9" ht="12.75" customHeight="1">
      <c r="B19" s="105">
        <v>2006</v>
      </c>
      <c r="C19" s="140">
        <f>4298.629+3020.24</f>
        <v>7318.869</v>
      </c>
      <c r="D19" s="142">
        <v>24.628</v>
      </c>
      <c r="E19" s="142">
        <f>23.692+8.706</f>
        <v>32.397999999999996</v>
      </c>
      <c r="F19" s="142">
        <f>231.449+0.264</f>
        <v>231.71300000000002</v>
      </c>
      <c r="G19" s="142">
        <f>3.003+16.671</f>
        <v>19.674</v>
      </c>
      <c r="H19" s="143">
        <v>947.026</v>
      </c>
      <c r="I19" s="138">
        <f t="shared" si="0"/>
        <v>8574.307999999999</v>
      </c>
    </row>
    <row r="20" spans="2:9" ht="12.75" customHeight="1">
      <c r="B20" s="105">
        <v>2007</v>
      </c>
      <c r="C20" s="140">
        <f>4252.689+3103.329</f>
        <v>7356.018</v>
      </c>
      <c r="D20" s="142">
        <v>27.839</v>
      </c>
      <c r="E20" s="142">
        <f>25.972+9.309</f>
        <v>35.281</v>
      </c>
      <c r="F20" s="142">
        <f>238.158+0.25</f>
        <v>238.408</v>
      </c>
      <c r="G20" s="142">
        <f>3.107+17.923</f>
        <v>21.029999999999998</v>
      </c>
      <c r="H20" s="143">
        <v>977.75</v>
      </c>
      <c r="I20" s="138">
        <f t="shared" si="0"/>
        <v>8656.326000000001</v>
      </c>
    </row>
    <row r="21" spans="2:9" ht="12.75" customHeight="1">
      <c r="B21" s="106">
        <v>2008</v>
      </c>
      <c r="C21" s="141">
        <f>4108.725+3093.096</f>
        <v>7201.821</v>
      </c>
      <c r="D21" s="144">
        <v>29.603</v>
      </c>
      <c r="E21" s="144">
        <f>27.117+9.943</f>
        <v>37.06</v>
      </c>
      <c r="F21" s="144">
        <f>242.732+0.259</f>
        <v>242.99099999999999</v>
      </c>
      <c r="G21" s="144">
        <f>3.349+17.754</f>
        <v>21.103</v>
      </c>
      <c r="H21" s="145">
        <v>939.061</v>
      </c>
      <c r="I21" s="139">
        <f t="shared" si="0"/>
        <v>8471.639000000001</v>
      </c>
    </row>
    <row r="22" spans="2:9" ht="15" customHeight="1">
      <c r="B22" s="52" t="s">
        <v>90</v>
      </c>
      <c r="C22" s="107"/>
      <c r="D22" s="107"/>
      <c r="E22" s="107"/>
      <c r="F22" s="107"/>
      <c r="G22" s="108"/>
      <c r="H22" s="108"/>
      <c r="I22" s="108"/>
    </row>
    <row r="23" spans="2:9" ht="12.75" customHeight="1">
      <c r="B23" s="496" t="s">
        <v>55</v>
      </c>
      <c r="C23" s="496"/>
      <c r="D23" s="109"/>
      <c r="E23" s="12"/>
      <c r="F23" s="12"/>
      <c r="G23" s="12"/>
      <c r="H23" s="12"/>
      <c r="I23" s="12"/>
    </row>
    <row r="24" spans="2:9" ht="12.75" customHeight="1">
      <c r="B24" s="497" t="s">
        <v>100</v>
      </c>
      <c r="C24" s="497"/>
      <c r="D24" s="497"/>
      <c r="E24" s="497"/>
      <c r="F24" s="497"/>
      <c r="G24" s="497"/>
      <c r="H24" s="497"/>
      <c r="I24" s="497"/>
    </row>
    <row r="25" spans="2:9" ht="12.75" customHeight="1">
      <c r="B25" s="498" t="s">
        <v>102</v>
      </c>
      <c r="C25" s="497"/>
      <c r="D25" s="497"/>
      <c r="E25" s="497"/>
      <c r="F25" s="497"/>
      <c r="G25" s="497"/>
      <c r="H25" s="497"/>
      <c r="I25" s="497"/>
    </row>
    <row r="26" spans="2:9" ht="15" customHeight="1">
      <c r="B26" s="110"/>
      <c r="C26" s="108"/>
      <c r="D26" s="108"/>
      <c r="E26" s="111"/>
      <c r="F26" s="111"/>
      <c r="G26" s="111"/>
      <c r="H26" s="111"/>
      <c r="I26" s="111"/>
    </row>
    <row r="27" spans="2:9" ht="15" customHeight="1">
      <c r="B27" s="499" t="s">
        <v>75</v>
      </c>
      <c r="C27" s="499"/>
      <c r="D27" s="499"/>
      <c r="E27" s="499"/>
      <c r="F27" s="499"/>
      <c r="G27" s="499"/>
      <c r="H27" s="499"/>
      <c r="I27" s="499"/>
    </row>
    <row r="28" spans="2:9" ht="12" customHeight="1">
      <c r="B28" s="500" t="s">
        <v>76</v>
      </c>
      <c r="C28" s="500"/>
      <c r="D28" s="500"/>
      <c r="E28" s="500"/>
      <c r="F28" s="500"/>
      <c r="G28" s="500"/>
      <c r="H28" s="500"/>
      <c r="I28" s="500"/>
    </row>
    <row r="29" spans="2:9" ht="12.75" customHeight="1">
      <c r="B29" s="40"/>
      <c r="C29" s="471" t="s">
        <v>70</v>
      </c>
      <c r="D29" s="471" t="s">
        <v>71</v>
      </c>
      <c r="E29" s="494" t="s">
        <v>72</v>
      </c>
      <c r="F29" s="494" t="s">
        <v>73</v>
      </c>
      <c r="G29" s="471" t="s">
        <v>74</v>
      </c>
      <c r="H29" s="494" t="s">
        <v>52</v>
      </c>
      <c r="I29" s="494" t="s">
        <v>53</v>
      </c>
    </row>
    <row r="30" spans="2:9" ht="23.25" customHeight="1">
      <c r="B30" s="40"/>
      <c r="C30" s="472"/>
      <c r="D30" s="472"/>
      <c r="E30" s="495"/>
      <c r="F30" s="495"/>
      <c r="G30" s="472"/>
      <c r="H30" s="495"/>
      <c r="I30" s="495"/>
    </row>
    <row r="31" spans="2:9" ht="9.75" customHeight="1">
      <c r="B31" s="102">
        <v>2000</v>
      </c>
      <c r="C31" s="95">
        <f aca="true" t="shared" si="1" ref="C31:I39">100*(C13/C12-1)</f>
        <v>2.154717285612806</v>
      </c>
      <c r="D31" s="96">
        <f t="shared" si="1"/>
        <v>-1.0834756618274932</v>
      </c>
      <c r="E31" s="96">
        <f t="shared" si="1"/>
        <v>6.083429895712644</v>
      </c>
      <c r="F31" s="96">
        <f t="shared" si="1"/>
        <v>-0.9349329461659006</v>
      </c>
      <c r="G31" s="96">
        <f t="shared" si="1"/>
        <v>7.695183500529623</v>
      </c>
      <c r="H31" s="97">
        <f t="shared" si="1"/>
        <v>8.799339384732052</v>
      </c>
      <c r="I31" s="98">
        <f t="shared" si="1"/>
        <v>2.767851004260913</v>
      </c>
    </row>
    <row r="32" spans="2:9" ht="9.75" customHeight="1">
      <c r="B32" s="104">
        <v>2001</v>
      </c>
      <c r="C32" s="95">
        <f t="shared" si="1"/>
        <v>5.563458405549548</v>
      </c>
      <c r="D32" s="96">
        <f t="shared" si="1"/>
        <v>2.120541736362158</v>
      </c>
      <c r="E32" s="96">
        <f t="shared" si="1"/>
        <v>2.0432422013043183</v>
      </c>
      <c r="F32" s="96">
        <f t="shared" si="1"/>
        <v>-6.754395776043953</v>
      </c>
      <c r="G32" s="96">
        <f t="shared" si="1"/>
        <v>2.152279564915527</v>
      </c>
      <c r="H32" s="97">
        <f t="shared" si="1"/>
        <v>-5.443514199073551</v>
      </c>
      <c r="I32" s="98">
        <f t="shared" si="1"/>
        <v>3.8826812753421702</v>
      </c>
    </row>
    <row r="33" spans="2:9" ht="9.75" customHeight="1">
      <c r="B33" s="104">
        <v>2002</v>
      </c>
      <c r="C33" s="95">
        <f t="shared" si="1"/>
        <v>1.4130349147879029</v>
      </c>
      <c r="D33" s="96">
        <f t="shared" si="1"/>
        <v>3.1543907851632635</v>
      </c>
      <c r="E33" s="96">
        <f t="shared" si="1"/>
        <v>-3.0664609766079876</v>
      </c>
      <c r="F33" s="96">
        <f t="shared" si="1"/>
        <v>-3.27335897754063</v>
      </c>
      <c r="G33" s="96">
        <f t="shared" si="1"/>
        <v>-0.3624830086089714</v>
      </c>
      <c r="H33" s="279">
        <f t="shared" si="1"/>
        <v>-3.7812413424624935</v>
      </c>
      <c r="I33" s="98">
        <f t="shared" si="1"/>
        <v>0.7232221534391403</v>
      </c>
    </row>
    <row r="34" spans="2:9" ht="9.75" customHeight="1">
      <c r="B34" s="104">
        <v>2003</v>
      </c>
      <c r="C34" s="95">
        <f t="shared" si="1"/>
        <v>1.229467583219379</v>
      </c>
      <c r="D34" s="96">
        <f t="shared" si="1"/>
        <v>0.261230343697183</v>
      </c>
      <c r="E34" s="96">
        <f t="shared" si="1"/>
        <v>0.8087303907239551</v>
      </c>
      <c r="F34" s="96">
        <f t="shared" si="1"/>
        <v>-0.9185139573070544</v>
      </c>
      <c r="G34" s="96">
        <f t="shared" si="1"/>
        <v>0.9151887221464428</v>
      </c>
      <c r="H34" s="97">
        <f t="shared" si="1"/>
        <v>4.513150233106367</v>
      </c>
      <c r="I34" s="98">
        <f t="shared" si="1"/>
        <v>1.4815780576800774</v>
      </c>
    </row>
    <row r="35" spans="2:9" ht="9.75" customHeight="1">
      <c r="B35" s="104">
        <v>2004</v>
      </c>
      <c r="C35" s="95">
        <f t="shared" si="1"/>
        <v>2.7279240073004196</v>
      </c>
      <c r="D35" s="96">
        <f t="shared" si="1"/>
        <v>5.691223050985994</v>
      </c>
      <c r="E35" s="96">
        <f t="shared" si="1"/>
        <v>3.0027707970874395</v>
      </c>
      <c r="F35" s="96">
        <f t="shared" si="1"/>
        <v>0.2671465810416551</v>
      </c>
      <c r="G35" s="96">
        <f t="shared" si="1"/>
        <v>2.3601644792429433</v>
      </c>
      <c r="H35" s="97">
        <f t="shared" si="1"/>
        <v>10.424286849296882</v>
      </c>
      <c r="I35" s="98">
        <f t="shared" si="1"/>
        <v>3.436579749571056</v>
      </c>
    </row>
    <row r="36" spans="2:9" ht="9.75" customHeight="1">
      <c r="B36" s="104">
        <v>2005</v>
      </c>
      <c r="C36" s="95">
        <f t="shared" si="1"/>
        <v>0.8407837577015798</v>
      </c>
      <c r="D36" s="96">
        <f t="shared" si="1"/>
        <v>3.282095901005433</v>
      </c>
      <c r="E36" s="96">
        <f t="shared" si="1"/>
        <v>-0.33468877072254655</v>
      </c>
      <c r="F36" s="96">
        <f t="shared" si="1"/>
        <v>2.6346485772208883</v>
      </c>
      <c r="G36" s="96">
        <f t="shared" si="1"/>
        <v>-1.078582434514641</v>
      </c>
      <c r="H36" s="97">
        <f t="shared" si="1"/>
        <v>4.636349460928435</v>
      </c>
      <c r="I36" s="98">
        <f t="shared" si="1"/>
        <v>1.2940546816238463</v>
      </c>
    </row>
    <row r="37" spans="1:9" ht="9.75" customHeight="1">
      <c r="A37" s="112"/>
      <c r="B37" s="104">
        <v>2006</v>
      </c>
      <c r="C37" s="95">
        <f t="shared" si="1"/>
        <v>0.9675900512793101</v>
      </c>
      <c r="D37" s="96">
        <f t="shared" si="1"/>
        <v>15.261852389198282</v>
      </c>
      <c r="E37" s="96">
        <f t="shared" si="1"/>
        <v>1.6790634905689883</v>
      </c>
      <c r="F37" s="96">
        <f t="shared" si="1"/>
        <v>-2.824515198282207</v>
      </c>
      <c r="G37" s="96">
        <f t="shared" si="1"/>
        <v>9.445927903871842</v>
      </c>
      <c r="H37" s="97">
        <f t="shared" si="1"/>
        <v>0.8046051644176933</v>
      </c>
      <c r="I37" s="98">
        <f t="shared" si="1"/>
        <v>0.899709714878516</v>
      </c>
    </row>
    <row r="38" spans="1:9" ht="9.75" customHeight="1">
      <c r="A38" s="112"/>
      <c r="B38" s="104">
        <v>2007</v>
      </c>
      <c r="C38" s="95">
        <f t="shared" si="1"/>
        <v>0.5075784250271553</v>
      </c>
      <c r="D38" s="96">
        <f t="shared" si="1"/>
        <v>13.038005522169872</v>
      </c>
      <c r="E38" s="96">
        <f t="shared" si="1"/>
        <v>8.898697450459924</v>
      </c>
      <c r="F38" s="96">
        <f t="shared" si="1"/>
        <v>2.8893501875164374</v>
      </c>
      <c r="G38" s="96">
        <f t="shared" si="1"/>
        <v>6.892345227203411</v>
      </c>
      <c r="H38" s="97">
        <f t="shared" si="1"/>
        <v>3.244261509187707</v>
      </c>
      <c r="I38" s="98">
        <f t="shared" si="1"/>
        <v>0.9565553278468863</v>
      </c>
    </row>
    <row r="39" spans="1:9" ht="9.75" customHeight="1">
      <c r="A39" s="112"/>
      <c r="B39" s="115">
        <v>2008</v>
      </c>
      <c r="C39" s="95">
        <f t="shared" si="1"/>
        <v>-2.0962020484452393</v>
      </c>
      <c r="D39" s="96">
        <f t="shared" si="1"/>
        <v>6.336434498365606</v>
      </c>
      <c r="E39" s="96">
        <f t="shared" si="1"/>
        <v>5.042374082367296</v>
      </c>
      <c r="F39" s="96">
        <f t="shared" si="1"/>
        <v>1.9223348209791657</v>
      </c>
      <c r="G39" s="96">
        <f t="shared" si="1"/>
        <v>0.3471231573942246</v>
      </c>
      <c r="H39" s="97">
        <f t="shared" si="1"/>
        <v>-3.956941958578364</v>
      </c>
      <c r="I39" s="98">
        <f t="shared" si="1"/>
        <v>-2.1335494989444648</v>
      </c>
    </row>
    <row r="40" spans="1:9" ht="19.5" customHeight="1">
      <c r="A40" s="112"/>
      <c r="B40" s="241" t="s">
        <v>78</v>
      </c>
      <c r="C40" s="242">
        <f aca="true" t="shared" si="2" ref="C40:I40">100*(POWER((C8/C7),1/5)-1)</f>
        <v>1.5476723660431846</v>
      </c>
      <c r="D40" s="243">
        <f t="shared" si="2"/>
        <v>-2.8046313614381257</v>
      </c>
      <c r="E40" s="243">
        <f t="shared" si="2"/>
        <v>-1.6847393762911111</v>
      </c>
      <c r="F40" s="243">
        <f t="shared" si="2"/>
        <v>2.30880126163846</v>
      </c>
      <c r="G40" s="243">
        <f t="shared" si="2"/>
        <v>3.5331714521563695</v>
      </c>
      <c r="H40" s="244">
        <f t="shared" si="2"/>
        <v>3.149906197988339</v>
      </c>
      <c r="I40" s="245">
        <f t="shared" si="2"/>
        <v>1.7001030059540012</v>
      </c>
    </row>
    <row r="41" spans="1:9" ht="19.5" customHeight="1">
      <c r="A41" s="112"/>
      <c r="B41" s="113" t="s">
        <v>77</v>
      </c>
      <c r="C41" s="95">
        <f aca="true" t="shared" si="3" ref="C41:I41">100*(POWER((C13/C8),1/5)-1)</f>
        <v>2.517915093821954</v>
      </c>
      <c r="D41" s="96">
        <f t="shared" si="3"/>
        <v>1.334958080597315</v>
      </c>
      <c r="E41" s="96">
        <f t="shared" si="3"/>
        <v>3.73146402288691</v>
      </c>
      <c r="F41" s="96">
        <f t="shared" si="3"/>
        <v>3.4026423307693676</v>
      </c>
      <c r="G41" s="96">
        <f t="shared" si="3"/>
        <v>3.3606895234648215</v>
      </c>
      <c r="H41" s="97">
        <f t="shared" si="3"/>
        <v>5.638071417110169</v>
      </c>
      <c r="I41" s="98">
        <f t="shared" si="3"/>
        <v>2.8740710778194067</v>
      </c>
    </row>
    <row r="42" spans="1:9" ht="19.5" customHeight="1">
      <c r="A42" s="112"/>
      <c r="B42" s="237" t="s">
        <v>101</v>
      </c>
      <c r="C42" s="238">
        <f aca="true" t="shared" si="4" ref="C42:I42">100*(POWER((C21/C13),1/8)-1)</f>
        <v>1.3741966762630842</v>
      </c>
      <c r="D42" s="239">
        <f t="shared" si="4"/>
        <v>6.028776488898302</v>
      </c>
      <c r="E42" s="239">
        <f t="shared" si="4"/>
        <v>2.2047355065501373</v>
      </c>
      <c r="F42" s="239">
        <f t="shared" si="4"/>
        <v>-0.8079152251150079</v>
      </c>
      <c r="G42" s="239">
        <f t="shared" si="4"/>
        <v>2.526821245673072</v>
      </c>
      <c r="H42" s="239">
        <f t="shared" si="4"/>
        <v>1.177788745346775</v>
      </c>
      <c r="I42" s="240">
        <f t="shared" si="4"/>
        <v>1.3029388829970179</v>
      </c>
    </row>
    <row r="43" spans="2:9" ht="15" customHeight="1">
      <c r="B43" s="110"/>
      <c r="C43" s="4"/>
      <c r="D43" s="4"/>
      <c r="E43" s="4"/>
      <c r="F43" s="4"/>
      <c r="G43" s="4"/>
      <c r="H43" s="4"/>
      <c r="I43" s="4"/>
    </row>
    <row r="44" spans="2:9" ht="15" customHeight="1">
      <c r="B44" s="499" t="s">
        <v>57</v>
      </c>
      <c r="C44" s="499"/>
      <c r="D44" s="499"/>
      <c r="E44" s="499"/>
      <c r="F44" s="499"/>
      <c r="G44" s="499"/>
      <c r="H44" s="499"/>
      <c r="I44" s="499"/>
    </row>
    <row r="45" spans="2:9" ht="9.75" customHeight="1">
      <c r="B45" s="501" t="s">
        <v>45</v>
      </c>
      <c r="C45" s="501"/>
      <c r="D45" s="501"/>
      <c r="E45" s="501"/>
      <c r="F45" s="501"/>
      <c r="G45" s="501"/>
      <c r="H45" s="501"/>
      <c r="I45" s="501"/>
    </row>
    <row r="46" spans="2:9" ht="12.75" customHeight="1">
      <c r="B46" s="40"/>
      <c r="C46" s="471" t="s">
        <v>70</v>
      </c>
      <c r="D46" s="471" t="s">
        <v>71</v>
      </c>
      <c r="E46" s="494" t="s">
        <v>72</v>
      </c>
      <c r="F46" s="494" t="s">
        <v>73</v>
      </c>
      <c r="G46" s="471" t="s">
        <v>74</v>
      </c>
      <c r="H46" s="494" t="s">
        <v>52</v>
      </c>
      <c r="I46" s="502"/>
    </row>
    <row r="47" spans="2:9" ht="23.25" customHeight="1">
      <c r="B47" s="40"/>
      <c r="C47" s="472"/>
      <c r="D47" s="472"/>
      <c r="E47" s="495"/>
      <c r="F47" s="495"/>
      <c r="G47" s="472"/>
      <c r="H47" s="495"/>
      <c r="I47" s="502"/>
    </row>
    <row r="48" spans="2:9" ht="9.75" customHeight="1">
      <c r="B48" s="229">
        <v>1990</v>
      </c>
      <c r="C48" s="234">
        <f aca="true" t="shared" si="5" ref="C48:H62">100*(C7/$I7)</f>
        <v>86.6602104236323</v>
      </c>
      <c r="D48" s="235">
        <f t="shared" si="5"/>
        <v>0.32814585529383217</v>
      </c>
      <c r="E48" s="235">
        <f t="shared" si="5"/>
        <v>0.463047527237583</v>
      </c>
      <c r="F48" s="235">
        <f t="shared" si="5"/>
        <v>3.211414716459498</v>
      </c>
      <c r="G48" s="235">
        <f t="shared" si="5"/>
        <v>0.2021227483770361</v>
      </c>
      <c r="H48" s="236">
        <f t="shared" si="5"/>
        <v>9.135058728999775</v>
      </c>
      <c r="I48" s="103"/>
    </row>
    <row r="49" spans="2:9" ht="9.75" customHeight="1">
      <c r="B49" s="104">
        <v>1995</v>
      </c>
      <c r="C49" s="146">
        <f t="shared" si="5"/>
        <v>86.0127119315212</v>
      </c>
      <c r="D49" s="147">
        <f t="shared" si="5"/>
        <v>0.26163016530639804</v>
      </c>
      <c r="E49" s="147">
        <f t="shared" si="5"/>
        <v>0.3909518562180533</v>
      </c>
      <c r="F49" s="147">
        <f t="shared" si="5"/>
        <v>3.3086772848327963</v>
      </c>
      <c r="G49" s="147">
        <f t="shared" si="5"/>
        <v>0.22100689298339699</v>
      </c>
      <c r="H49" s="148">
        <f t="shared" si="5"/>
        <v>9.805021869138155</v>
      </c>
      <c r="I49" s="103"/>
    </row>
    <row r="50" spans="2:9" ht="9.75" customHeight="1">
      <c r="B50" s="104">
        <v>1996</v>
      </c>
      <c r="C50" s="146">
        <f t="shared" si="5"/>
        <v>85.61581702141173</v>
      </c>
      <c r="D50" s="147">
        <f t="shared" si="5"/>
        <v>0.2569840136070848</v>
      </c>
      <c r="E50" s="147">
        <f t="shared" si="5"/>
        <v>0.3904734602287935</v>
      </c>
      <c r="F50" s="147">
        <f t="shared" si="5"/>
        <v>3.281100941113769</v>
      </c>
      <c r="G50" s="147">
        <f t="shared" si="5"/>
        <v>0.21921419758750238</v>
      </c>
      <c r="H50" s="148">
        <f t="shared" si="5"/>
        <v>10.236410366051125</v>
      </c>
      <c r="I50" s="103"/>
    </row>
    <row r="51" spans="2:9" ht="9.75" customHeight="1">
      <c r="B51" s="104">
        <v>1997</v>
      </c>
      <c r="C51" s="146">
        <f t="shared" si="5"/>
        <v>85.5257777642062</v>
      </c>
      <c r="D51" s="147">
        <f t="shared" si="5"/>
        <v>0.25346353532347987</v>
      </c>
      <c r="E51" s="147">
        <f t="shared" si="5"/>
        <v>0.3936453740348296</v>
      </c>
      <c r="F51" s="147">
        <f t="shared" si="5"/>
        <v>3.3199803148907345</v>
      </c>
      <c r="G51" s="147">
        <f t="shared" si="5"/>
        <v>0.20738958549778402</v>
      </c>
      <c r="H51" s="148">
        <f t="shared" si="5"/>
        <v>10.29974342604698</v>
      </c>
      <c r="I51" s="103"/>
    </row>
    <row r="52" spans="2:8" ht="9.75" customHeight="1">
      <c r="B52" s="104">
        <v>1998</v>
      </c>
      <c r="C52" s="146">
        <f t="shared" si="5"/>
        <v>85.52356441791488</v>
      </c>
      <c r="D52" s="147">
        <f t="shared" si="5"/>
        <v>0.2516245423987285</v>
      </c>
      <c r="E52" s="147">
        <f t="shared" si="5"/>
        <v>0.3912807942173492</v>
      </c>
      <c r="F52" s="147">
        <f t="shared" si="5"/>
        <v>3.3089118050656943</v>
      </c>
      <c r="G52" s="147">
        <f t="shared" si="5"/>
        <v>0.21872521751222768</v>
      </c>
      <c r="H52" s="148">
        <f t="shared" si="5"/>
        <v>10.30589322289113</v>
      </c>
    </row>
    <row r="53" spans="2:8" ht="9.75" customHeight="1">
      <c r="B53" s="105">
        <v>1999</v>
      </c>
      <c r="C53" s="146">
        <f t="shared" si="5"/>
        <v>85.04145520183637</v>
      </c>
      <c r="D53" s="147">
        <f t="shared" si="5"/>
        <v>0.2520827163903951</v>
      </c>
      <c r="E53" s="147">
        <f t="shared" si="5"/>
        <v>0.3947806930148896</v>
      </c>
      <c r="F53" s="147">
        <f t="shared" si="5"/>
        <v>3.5214351708399936</v>
      </c>
      <c r="G53" s="147">
        <f t="shared" si="5"/>
        <v>0.2159305889917512</v>
      </c>
      <c r="H53" s="148">
        <f t="shared" si="5"/>
        <v>10.574315628926598</v>
      </c>
    </row>
    <row r="54" spans="2:9" ht="9.75" customHeight="1">
      <c r="B54" s="104">
        <v>2000</v>
      </c>
      <c r="C54" s="146">
        <f t="shared" si="5"/>
        <v>84.53408073445566</v>
      </c>
      <c r="D54" s="147">
        <f t="shared" si="5"/>
        <v>0.24263566774427645</v>
      </c>
      <c r="E54" s="147">
        <f t="shared" si="5"/>
        <v>0.4075174245872817</v>
      </c>
      <c r="F54" s="147">
        <f t="shared" si="5"/>
        <v>3.394555864659754</v>
      </c>
      <c r="G54" s="147">
        <f t="shared" si="5"/>
        <v>0.22628364977564738</v>
      </c>
      <c r="H54" s="148">
        <f t="shared" si="5"/>
        <v>11.194926658777375</v>
      </c>
      <c r="I54" s="1"/>
    </row>
    <row r="55" spans="2:9" ht="9.75" customHeight="1">
      <c r="B55" s="104">
        <v>2001</v>
      </c>
      <c r="C55" s="146">
        <f t="shared" si="5"/>
        <v>85.90180582469456</v>
      </c>
      <c r="D55" s="147">
        <f t="shared" si="5"/>
        <v>0.238519891192786</v>
      </c>
      <c r="E55" s="147">
        <f t="shared" si="5"/>
        <v>0.40030155891136326</v>
      </c>
      <c r="F55" s="147">
        <f t="shared" si="5"/>
        <v>3.0469699933255767</v>
      </c>
      <c r="G55" s="147">
        <f t="shared" si="5"/>
        <v>0.22251438227305448</v>
      </c>
      <c r="H55" s="151">
        <f t="shared" si="5"/>
        <v>10.189888349602661</v>
      </c>
      <c r="I55" s="114"/>
    </row>
    <row r="56" spans="2:9" ht="9.75" customHeight="1">
      <c r="B56" s="104">
        <v>2002</v>
      </c>
      <c r="C56" s="146">
        <f t="shared" si="5"/>
        <v>86.49011267800897</v>
      </c>
      <c r="D56" s="147">
        <f t="shared" si="5"/>
        <v>0.2442770747410523</v>
      </c>
      <c r="E56" s="147">
        <f t="shared" si="5"/>
        <v>0.38524032444820266</v>
      </c>
      <c r="F56" s="147">
        <f t="shared" si="5"/>
        <v>2.9260697429003497</v>
      </c>
      <c r="G56" s="147">
        <f t="shared" si="5"/>
        <v>0.22011587864798404</v>
      </c>
      <c r="H56" s="148">
        <f t="shared" si="5"/>
        <v>9.734184301253455</v>
      </c>
      <c r="I56" s="114"/>
    </row>
    <row r="57" spans="2:9" ht="9.75" customHeight="1">
      <c r="B57" s="104">
        <v>2003</v>
      </c>
      <c r="C57" s="146">
        <f t="shared" si="5"/>
        <v>86.27524546998212</v>
      </c>
      <c r="D57" s="147">
        <f t="shared" si="5"/>
        <v>0.241339566520898</v>
      </c>
      <c r="E57" s="147">
        <f t="shared" si="5"/>
        <v>0.3826860869355078</v>
      </c>
      <c r="F57" s="147">
        <f t="shared" si="5"/>
        <v>2.8568666741301842</v>
      </c>
      <c r="G57" s="147">
        <f t="shared" si="5"/>
        <v>0.2188873671424084</v>
      </c>
      <c r="H57" s="148">
        <f t="shared" si="5"/>
        <v>10.02497483528889</v>
      </c>
      <c r="I57" s="114"/>
    </row>
    <row r="58" spans="2:9" ht="9.75" customHeight="1">
      <c r="B58" s="104">
        <v>2004</v>
      </c>
      <c r="C58" s="146">
        <f t="shared" si="5"/>
        <v>85.68416397573574</v>
      </c>
      <c r="D58" s="147">
        <f t="shared" si="5"/>
        <v>0.24660012945076404</v>
      </c>
      <c r="E58" s="147">
        <f t="shared" si="5"/>
        <v>0.3810811165187996</v>
      </c>
      <c r="F58" s="147">
        <f t="shared" si="5"/>
        <v>2.769328512901569</v>
      </c>
      <c r="G58" s="147">
        <f t="shared" si="5"/>
        <v>0.2166095104591688</v>
      </c>
      <c r="H58" s="148">
        <f t="shared" si="5"/>
        <v>10.702216754933971</v>
      </c>
      <c r="I58" s="114"/>
    </row>
    <row r="59" spans="2:9" ht="9.75" customHeight="1">
      <c r="B59" s="104">
        <v>2005</v>
      </c>
      <c r="C59" s="146">
        <f t="shared" si="5"/>
        <v>85.3007442351314</v>
      </c>
      <c r="D59" s="147">
        <f t="shared" si="5"/>
        <v>0.2514400109580633</v>
      </c>
      <c r="E59" s="147">
        <f t="shared" si="5"/>
        <v>0.3749535765038035</v>
      </c>
      <c r="F59" s="147">
        <f t="shared" si="5"/>
        <v>2.8059796758051325</v>
      </c>
      <c r="G59" s="147">
        <f t="shared" si="5"/>
        <v>0.2115358092845109</v>
      </c>
      <c r="H59" s="148">
        <f t="shared" si="5"/>
        <v>11.05534669231707</v>
      </c>
      <c r="I59" s="114"/>
    </row>
    <row r="60" spans="2:9" ht="9.75" customHeight="1">
      <c r="B60" s="104">
        <v>2006</v>
      </c>
      <c r="C60" s="146">
        <f t="shared" si="5"/>
        <v>85.35813035874149</v>
      </c>
      <c r="D60" s="147">
        <f t="shared" si="5"/>
        <v>0.2872301764760492</v>
      </c>
      <c r="E60" s="147">
        <f t="shared" si="5"/>
        <v>0.37784973434590874</v>
      </c>
      <c r="F60" s="147">
        <f t="shared" si="5"/>
        <v>2.702410503564836</v>
      </c>
      <c r="G60" s="147">
        <f t="shared" si="5"/>
        <v>0.22945291911603832</v>
      </c>
      <c r="H60" s="148">
        <f t="shared" si="5"/>
        <v>11.04492630775568</v>
      </c>
      <c r="I60" s="114"/>
    </row>
    <row r="61" spans="2:9" ht="9.75" customHeight="1">
      <c r="B61" s="104">
        <v>2007</v>
      </c>
      <c r="C61" s="146">
        <f t="shared" si="5"/>
        <v>84.97852322105244</v>
      </c>
      <c r="D61" s="147">
        <f t="shared" si="5"/>
        <v>0.3216029525690229</v>
      </c>
      <c r="E61" s="147">
        <f t="shared" si="5"/>
        <v>0.4075747609320628</v>
      </c>
      <c r="F61" s="147">
        <f t="shared" si="5"/>
        <v>2.754147660335343</v>
      </c>
      <c r="G61" s="147">
        <f t="shared" si="5"/>
        <v>0.24294371538225332</v>
      </c>
      <c r="H61" s="148">
        <f t="shared" si="5"/>
        <v>11.295207689728874</v>
      </c>
      <c r="I61" s="116"/>
    </row>
    <row r="62" spans="2:9" ht="9.75" customHeight="1">
      <c r="B62" s="115">
        <v>2008</v>
      </c>
      <c r="C62" s="149">
        <f t="shared" si="5"/>
        <v>85.01095242608898</v>
      </c>
      <c r="D62" s="150">
        <f t="shared" si="5"/>
        <v>0.3494365139968783</v>
      </c>
      <c r="E62" s="150">
        <f t="shared" si="5"/>
        <v>0.43745962263028443</v>
      </c>
      <c r="F62" s="150">
        <f t="shared" si="5"/>
        <v>2.8682879428644203</v>
      </c>
      <c r="G62" s="150">
        <f t="shared" si="5"/>
        <v>0.24910173816424425</v>
      </c>
      <c r="H62" s="151">
        <f t="shared" si="5"/>
        <v>11.084761756255194</v>
      </c>
      <c r="I62" s="116"/>
    </row>
  </sheetData>
  <mergeCells count="31">
    <mergeCell ref="B44:I44"/>
    <mergeCell ref="B45:I45"/>
    <mergeCell ref="C46:C47"/>
    <mergeCell ref="D46:D47"/>
    <mergeCell ref="E46:E47"/>
    <mergeCell ref="F46:F47"/>
    <mergeCell ref="G46:G47"/>
    <mergeCell ref="H46:H47"/>
    <mergeCell ref="I46:I47"/>
    <mergeCell ref="B28:I28"/>
    <mergeCell ref="C29:C30"/>
    <mergeCell ref="D29:D30"/>
    <mergeCell ref="E29:E30"/>
    <mergeCell ref="F29:F30"/>
    <mergeCell ref="G29:G30"/>
    <mergeCell ref="H29:H30"/>
    <mergeCell ref="I29:I30"/>
    <mergeCell ref="B23:C23"/>
    <mergeCell ref="B24:I24"/>
    <mergeCell ref="B25:I25"/>
    <mergeCell ref="B27:I27"/>
    <mergeCell ref="B2:I2"/>
    <mergeCell ref="B3:I3"/>
    <mergeCell ref="B4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Q44"/>
  <sheetViews>
    <sheetView workbookViewId="0" topLeftCell="A1">
      <selection activeCell="C37" sqref="C37:Q44"/>
    </sheetView>
  </sheetViews>
  <sheetFormatPr defaultColWidth="9.140625" defaultRowHeight="12.75"/>
  <cols>
    <col min="1" max="1" width="0.9921875" style="0" customWidth="1"/>
    <col min="2" max="2" width="9.7109375" style="0" customWidth="1"/>
    <col min="3" max="16" width="6.7109375" style="0" customWidth="1"/>
  </cols>
  <sheetData>
    <row r="1" spans="2:14" ht="14.25" customHeight="1">
      <c r="B1" s="23"/>
      <c r="N1" s="22" t="s">
        <v>108</v>
      </c>
    </row>
    <row r="2" spans="3:9" ht="12.75" customHeight="1">
      <c r="C2" s="45"/>
      <c r="D2" s="45"/>
      <c r="E2" s="45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46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28"/>
    </row>
    <row r="8" spans="3:7" s="27" customFormat="1" ht="12.75" customHeight="1">
      <c r="C8" s="47"/>
      <c r="D8" s="1"/>
      <c r="E8" s="1"/>
      <c r="F8" s="1"/>
      <c r="G8" s="1"/>
    </row>
    <row r="9" spans="3:7" s="27" customFormat="1" ht="12.75" customHeight="1">
      <c r="C9" s="47"/>
      <c r="D9" s="1"/>
      <c r="E9" s="1"/>
      <c r="F9" s="1"/>
      <c r="G9" s="1"/>
    </row>
    <row r="10" spans="3:7" s="28" customFormat="1" ht="12.75" customHeight="1">
      <c r="C10" s="48"/>
      <c r="D10" s="1"/>
      <c r="E10" s="1"/>
      <c r="F10" s="1"/>
      <c r="G10" s="1"/>
    </row>
    <row r="11" spans="3:7" s="28" customFormat="1" ht="12.75" customHeight="1">
      <c r="C11" s="48"/>
      <c r="D11" s="1"/>
      <c r="E11" s="1"/>
      <c r="F11" s="1"/>
      <c r="G11" s="1"/>
    </row>
    <row r="12" spans="3:7" s="28" customFormat="1" ht="12.75" customHeight="1">
      <c r="C12" s="48"/>
      <c r="D12" s="1"/>
      <c r="E12" s="1"/>
      <c r="F12" s="1"/>
      <c r="G12" s="1"/>
    </row>
    <row r="13" spans="3:7" s="28" customFormat="1" ht="12.75" customHeight="1">
      <c r="C13" s="48"/>
      <c r="D13" s="1"/>
      <c r="E13" s="1"/>
      <c r="F13" s="1"/>
      <c r="G13" s="1"/>
    </row>
    <row r="14" spans="3:7" s="28" customFormat="1" ht="12.75" customHeight="1">
      <c r="C14" s="48"/>
      <c r="D14" s="1"/>
      <c r="E14" s="1"/>
      <c r="F14" s="1"/>
      <c r="G14" s="1"/>
    </row>
    <row r="15" spans="3:7" s="28" customFormat="1" ht="12.75" customHeight="1">
      <c r="C15" s="48"/>
      <c r="D15" s="1"/>
      <c r="E15" s="1"/>
      <c r="F15" s="1"/>
      <c r="G15" s="1"/>
    </row>
    <row r="16" spans="3:7" s="29" customFormat="1" ht="12.75" customHeight="1">
      <c r="C16" s="32"/>
      <c r="D16" s="1"/>
      <c r="E16" s="1"/>
      <c r="F16" s="1"/>
      <c r="G16" s="1"/>
    </row>
    <row r="17" spans="3:7" s="37" customFormat="1" ht="12.75" customHeight="1">
      <c r="C17" s="49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1" customFormat="1" ht="12.75" customHeight="1">
      <c r="C19" s="50"/>
      <c r="D19" s="1"/>
      <c r="E19" s="1"/>
      <c r="F19" s="1"/>
      <c r="G19" s="1"/>
    </row>
    <row r="20" spans="3:7" s="51" customFormat="1" ht="12.75" customHeight="1">
      <c r="C20" s="50"/>
      <c r="D20" s="1"/>
      <c r="E20" s="1"/>
      <c r="F20" s="1"/>
      <c r="G20" s="1"/>
    </row>
    <row r="21" spans="3:7" s="51" customFormat="1" ht="12.75" customHeight="1">
      <c r="C21" s="50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27" customFormat="1" ht="12.75" customHeight="1">
      <c r="C25" s="47"/>
      <c r="D25" s="1"/>
      <c r="E25" s="1"/>
      <c r="F25" s="1"/>
      <c r="G25" s="1"/>
    </row>
    <row r="26" spans="3:7" s="27" customFormat="1" ht="12.75" customHeight="1">
      <c r="C26" s="47"/>
      <c r="D26" s="1"/>
      <c r="E26" s="1"/>
      <c r="F26" s="1"/>
      <c r="G26" s="1"/>
    </row>
    <row r="27" spans="3:7" s="29" customFormat="1" ht="12.75" customHeight="1">
      <c r="C27" s="32"/>
      <c r="D27" s="1"/>
      <c r="E27" s="1"/>
      <c r="F27" s="1"/>
      <c r="G27" s="1"/>
    </row>
    <row r="28" spans="3:7" s="28" customFormat="1" ht="12.75" customHeight="1">
      <c r="C28" s="48"/>
      <c r="D28" s="1"/>
      <c r="E28" s="1"/>
      <c r="F28" s="1"/>
      <c r="G28" s="1"/>
    </row>
    <row r="29" spans="3:7" s="28" customFormat="1" ht="12.75" customHeight="1">
      <c r="C29" s="48"/>
      <c r="D29" s="1"/>
      <c r="E29" s="1"/>
      <c r="F29" s="1"/>
      <c r="G29" s="1"/>
    </row>
    <row r="30" spans="3:7" s="28" customFormat="1" ht="12.75" customHeight="1">
      <c r="C30" s="48"/>
      <c r="D30" s="1"/>
      <c r="E30" s="1"/>
      <c r="F30" s="1"/>
      <c r="G30" s="1"/>
    </row>
    <row r="31" spans="3:7" s="28" customFormat="1" ht="12.75" customHeight="1">
      <c r="C31" s="48"/>
      <c r="D31" s="1"/>
      <c r="E31" s="1"/>
      <c r="F31" s="1"/>
      <c r="G31" s="1"/>
    </row>
    <row r="32" ht="15" customHeight="1">
      <c r="B32" s="52" t="s">
        <v>117</v>
      </c>
    </row>
    <row r="35" ht="21.75" customHeight="1"/>
    <row r="36" spans="2:17" ht="21.75" customHeight="1">
      <c r="B36" s="27"/>
      <c r="C36" s="192">
        <v>1995</v>
      </c>
      <c r="D36" s="193">
        <v>1996</v>
      </c>
      <c r="E36" s="193">
        <v>1997</v>
      </c>
      <c r="F36" s="193">
        <v>1998</v>
      </c>
      <c r="G36" s="193">
        <v>1999</v>
      </c>
      <c r="H36" s="193">
        <v>2000</v>
      </c>
      <c r="I36" s="193">
        <v>2001</v>
      </c>
      <c r="J36" s="193">
        <v>2002</v>
      </c>
      <c r="K36" s="193">
        <v>2003</v>
      </c>
      <c r="L36" s="193">
        <v>2004</v>
      </c>
      <c r="M36" s="193">
        <v>2005</v>
      </c>
      <c r="N36" s="193">
        <v>2006</v>
      </c>
      <c r="O36" s="193">
        <v>2007</v>
      </c>
      <c r="P36" s="193">
        <v>2008</v>
      </c>
      <c r="Q36" s="194">
        <v>2009</v>
      </c>
    </row>
    <row r="37" spans="2:17" ht="21.75" customHeight="1">
      <c r="B37" s="128" t="s">
        <v>48</v>
      </c>
      <c r="C37" s="202">
        <v>3892.597406374929</v>
      </c>
      <c r="D37" s="203">
        <v>3960.4127878292375</v>
      </c>
      <c r="E37" s="203">
        <v>4038.9910698066915</v>
      </c>
      <c r="F37" s="203">
        <v>4136.690979590566</v>
      </c>
      <c r="G37" s="203">
        <v>4240.040054602497</v>
      </c>
      <c r="H37" s="203">
        <v>4321.075405136558</v>
      </c>
      <c r="I37" s="203">
        <v>4404.724628750186</v>
      </c>
      <c r="J37" s="203">
        <v>4479.184345273357</v>
      </c>
      <c r="K37" s="203">
        <v>4510.2915994280165</v>
      </c>
      <c r="L37" s="203">
        <v>4571.52890300697</v>
      </c>
      <c r="M37" s="203">
        <v>4563.773838148571</v>
      </c>
      <c r="N37" s="204">
        <v>4677.785986369441</v>
      </c>
      <c r="O37" s="204">
        <v>4756.914780745059</v>
      </c>
      <c r="P37" s="204">
        <v>4762.634805062832</v>
      </c>
      <c r="Q37" s="204">
        <v>4780.826459678062</v>
      </c>
    </row>
    <row r="38" spans="2:17" ht="21.75" customHeight="1">
      <c r="B38" s="128" t="s">
        <v>10</v>
      </c>
      <c r="C38" s="202">
        <v>122.1681653617647</v>
      </c>
      <c r="D38" s="203">
        <v>123.49334560989746</v>
      </c>
      <c r="E38" s="203">
        <v>126.34619401836561</v>
      </c>
      <c r="F38" s="203">
        <v>128.7825898766679</v>
      </c>
      <c r="G38" s="203">
        <v>132.30279038182454</v>
      </c>
      <c r="H38" s="203">
        <v>134.44701889965415</v>
      </c>
      <c r="I38" s="203">
        <v>137.8543755826582</v>
      </c>
      <c r="J38" s="203">
        <v>138.3609138129516</v>
      </c>
      <c r="K38" s="203">
        <v>142.1403622441054</v>
      </c>
      <c r="L38" s="203">
        <v>144.63717358377852</v>
      </c>
      <c r="M38" s="203">
        <v>147.91936975510484</v>
      </c>
      <c r="N38" s="204">
        <v>151.43086498450248</v>
      </c>
      <c r="O38" s="204">
        <v>151.9909253589701</v>
      </c>
      <c r="P38" s="204">
        <v>154.06724878678864</v>
      </c>
      <c r="Q38" s="204">
        <v>156.5159578187416</v>
      </c>
    </row>
    <row r="39" spans="2:17" ht="21.75" customHeight="1">
      <c r="B39" s="128" t="s">
        <v>49</v>
      </c>
      <c r="C39" s="202">
        <v>499.8070757373568</v>
      </c>
      <c r="D39" s="203">
        <v>503.7474178044688</v>
      </c>
      <c r="E39" s="203">
        <v>504.5053122864313</v>
      </c>
      <c r="F39" s="203">
        <v>512.5018274436268</v>
      </c>
      <c r="G39" s="203">
        <v>515.1542043449392</v>
      </c>
      <c r="H39" s="203">
        <v>518.2480582145611</v>
      </c>
      <c r="I39" s="203">
        <v>519.781550690446</v>
      </c>
      <c r="J39" s="203">
        <v>518.8606334443668</v>
      </c>
      <c r="K39" s="203">
        <v>520.0866484234186</v>
      </c>
      <c r="L39" s="203">
        <v>515.9061343643575</v>
      </c>
      <c r="M39" s="203">
        <v>516.3539319486588</v>
      </c>
      <c r="N39" s="204">
        <v>514.124108977808</v>
      </c>
      <c r="O39" s="204">
        <v>527.2285524467155</v>
      </c>
      <c r="P39" s="204">
        <v>530.1689604840185</v>
      </c>
      <c r="Q39" s="204">
        <v>510.40560774564887</v>
      </c>
    </row>
    <row r="40" spans="2:17" ht="21.75" customHeight="1">
      <c r="B40" s="128" t="s">
        <v>50</v>
      </c>
      <c r="C40" s="202">
        <v>350.52470000000005</v>
      </c>
      <c r="D40" s="203">
        <v>348.9918000000001</v>
      </c>
      <c r="E40" s="203">
        <v>350.5315999999999</v>
      </c>
      <c r="F40" s="203">
        <v>350.6032000000001</v>
      </c>
      <c r="G40" s="203">
        <v>358.59970000000004</v>
      </c>
      <c r="H40" s="203">
        <v>370.70788502490825</v>
      </c>
      <c r="I40" s="203">
        <v>372.73928030944154</v>
      </c>
      <c r="J40" s="203">
        <v>365.57010261380464</v>
      </c>
      <c r="K40" s="203">
        <v>361.88694756335343</v>
      </c>
      <c r="L40" s="203">
        <v>367.8169446019999</v>
      </c>
      <c r="M40" s="203">
        <v>377.14602313800003</v>
      </c>
      <c r="N40" s="204">
        <v>389.59586906399994</v>
      </c>
      <c r="O40" s="204">
        <v>396.71485515400013</v>
      </c>
      <c r="P40" s="204">
        <v>410.53716503500016</v>
      </c>
      <c r="Q40" s="204">
        <v>404.88139999999987</v>
      </c>
    </row>
    <row r="41" spans="2:17" ht="21.75" customHeight="1">
      <c r="B41" s="128" t="s">
        <v>1</v>
      </c>
      <c r="C41" s="202">
        <v>71.08849000000001</v>
      </c>
      <c r="D41" s="203">
        <v>71.9473</v>
      </c>
      <c r="E41" s="203">
        <v>72.5027</v>
      </c>
      <c r="F41" s="203">
        <v>73.54226399999999</v>
      </c>
      <c r="G41" s="203">
        <v>75.08774199999999</v>
      </c>
      <c r="H41" s="203">
        <v>77.1524</v>
      </c>
      <c r="I41" s="203">
        <v>77.82326278</v>
      </c>
      <c r="J41" s="203">
        <v>78.50671163</v>
      </c>
      <c r="K41" s="203">
        <v>79.32802059999999</v>
      </c>
      <c r="L41" s="203">
        <v>81.95488177</v>
      </c>
      <c r="M41" s="203">
        <v>82.41954154</v>
      </c>
      <c r="N41" s="204">
        <v>84.17843599999999</v>
      </c>
      <c r="O41" s="204">
        <v>86.03662800000001</v>
      </c>
      <c r="P41" s="204">
        <v>89.15814540000001</v>
      </c>
      <c r="Q41" s="204">
        <v>88.76082103234592</v>
      </c>
    </row>
    <row r="42" spans="2:17" ht="21.75" customHeight="1">
      <c r="B42" s="128" t="s">
        <v>52</v>
      </c>
      <c r="C42" s="205">
        <v>346</v>
      </c>
      <c r="D42" s="206">
        <v>366</v>
      </c>
      <c r="E42" s="206">
        <v>390</v>
      </c>
      <c r="F42" s="206">
        <v>409</v>
      </c>
      <c r="G42" s="206">
        <v>425</v>
      </c>
      <c r="H42" s="206">
        <v>457</v>
      </c>
      <c r="I42" s="206">
        <v>453</v>
      </c>
      <c r="J42" s="206">
        <v>445</v>
      </c>
      <c r="K42" s="206">
        <v>463</v>
      </c>
      <c r="L42" s="206">
        <v>493</v>
      </c>
      <c r="M42" s="203">
        <v>527</v>
      </c>
      <c r="N42" s="204">
        <v>549</v>
      </c>
      <c r="O42" s="204">
        <v>572</v>
      </c>
      <c r="P42" s="204">
        <v>561</v>
      </c>
      <c r="Q42" s="204">
        <v>522</v>
      </c>
    </row>
    <row r="43" spans="2:17" ht="21.75" customHeight="1">
      <c r="B43" s="128" t="s">
        <v>51</v>
      </c>
      <c r="C43" s="205">
        <v>44.4</v>
      </c>
      <c r="D43" s="206">
        <v>44</v>
      </c>
      <c r="E43" s="206">
        <v>43.6</v>
      </c>
      <c r="F43" s="206">
        <v>43.1</v>
      </c>
      <c r="G43" s="206">
        <v>42.6</v>
      </c>
      <c r="H43" s="206">
        <v>41.7</v>
      </c>
      <c r="I43" s="206">
        <v>42</v>
      </c>
      <c r="J43" s="206">
        <v>41.5</v>
      </c>
      <c r="K43" s="206">
        <v>41.2</v>
      </c>
      <c r="L43" s="206">
        <v>40.5</v>
      </c>
      <c r="M43" s="203">
        <v>39.5</v>
      </c>
      <c r="N43" s="204">
        <v>40</v>
      </c>
      <c r="O43" s="204">
        <v>41</v>
      </c>
      <c r="P43" s="204">
        <v>40.9</v>
      </c>
      <c r="Q43" s="204">
        <v>39.9593</v>
      </c>
    </row>
    <row r="44" spans="2:17" ht="21.75" customHeight="1">
      <c r="B44" s="129" t="s">
        <v>53</v>
      </c>
      <c r="C44" s="207">
        <v>5326.58583747405</v>
      </c>
      <c r="D44" s="208">
        <v>5418.5926512436035</v>
      </c>
      <c r="E44" s="208">
        <v>5526.476876111488</v>
      </c>
      <c r="F44" s="208">
        <v>5654.220860910861</v>
      </c>
      <c r="G44" s="208">
        <v>5788.78449132926</v>
      </c>
      <c r="H44" s="208">
        <v>5920.330767275681</v>
      </c>
      <c r="I44" s="208">
        <v>6007.923098112732</v>
      </c>
      <c r="J44" s="208">
        <v>6066.98270677448</v>
      </c>
      <c r="K44" s="208">
        <v>6117.933578258894</v>
      </c>
      <c r="L44" s="208">
        <v>6215.344037327106</v>
      </c>
      <c r="M44" s="208">
        <v>6254.112704530334</v>
      </c>
      <c r="N44" s="208">
        <v>6406.1152653957515</v>
      </c>
      <c r="O44" s="208">
        <v>6531.885741704745</v>
      </c>
      <c r="P44" s="208">
        <v>6548.4663247686385</v>
      </c>
      <c r="Q44" s="208">
        <v>6503.349546274799</v>
      </c>
    </row>
  </sheetData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Q51"/>
  <sheetViews>
    <sheetView workbookViewId="0" topLeftCell="A1">
      <selection activeCell="M23" sqref="M23"/>
    </sheetView>
  </sheetViews>
  <sheetFormatPr defaultColWidth="9.140625" defaultRowHeight="12.75"/>
  <cols>
    <col min="1" max="1" width="3.00390625" style="286" customWidth="1"/>
    <col min="2" max="2" width="4.8515625" style="286" customWidth="1"/>
    <col min="3" max="10" width="6.7109375" style="286" customWidth="1"/>
    <col min="12" max="12" width="6.8515625" style="0" customWidth="1"/>
    <col min="13" max="17" width="6.7109375" style="0" customWidth="1"/>
  </cols>
  <sheetData>
    <row r="1" spans="1:10" ht="14.25" customHeight="1">
      <c r="A1" s="285"/>
      <c r="B1" s="53"/>
      <c r="C1" s="41"/>
      <c r="D1" s="41"/>
      <c r="E1" s="41"/>
      <c r="F1" s="41"/>
      <c r="G1" s="41"/>
      <c r="H1" s="41"/>
      <c r="I1" s="41"/>
      <c r="J1" s="42" t="s">
        <v>109</v>
      </c>
    </row>
    <row r="2" spans="1:11" s="23" customFormat="1" ht="30" customHeight="1">
      <c r="A2" s="286"/>
      <c r="B2" s="474" t="s">
        <v>91</v>
      </c>
      <c r="C2" s="474"/>
      <c r="D2" s="474"/>
      <c r="E2" s="474"/>
      <c r="F2" s="474"/>
      <c r="G2" s="474"/>
      <c r="H2" s="474"/>
      <c r="I2" s="474"/>
      <c r="J2" s="474"/>
      <c r="K2"/>
    </row>
    <row r="3" spans="2:10" ht="15" customHeight="1">
      <c r="B3" s="474" t="s">
        <v>0</v>
      </c>
      <c r="C3" s="474"/>
      <c r="D3" s="474"/>
      <c r="E3" s="474"/>
      <c r="F3" s="474"/>
      <c r="G3" s="474"/>
      <c r="H3" s="474"/>
      <c r="I3" s="474"/>
      <c r="J3" s="474"/>
    </row>
    <row r="4" spans="1:11" s="29" customFormat="1" ht="13.5" customHeight="1">
      <c r="A4" s="287"/>
      <c r="B4" s="475" t="s">
        <v>2</v>
      </c>
      <c r="C4" s="475"/>
      <c r="D4" s="475"/>
      <c r="E4" s="475"/>
      <c r="F4" s="475"/>
      <c r="G4" s="475"/>
      <c r="H4" s="475"/>
      <c r="I4" s="475"/>
      <c r="J4" s="475"/>
      <c r="K4"/>
    </row>
    <row r="5" spans="2:12" s="27" customFormat="1" ht="19.5" customHeight="1">
      <c r="B5" s="40"/>
      <c r="C5" s="471" t="s">
        <v>92</v>
      </c>
      <c r="D5" s="471" t="s">
        <v>11</v>
      </c>
      <c r="E5" s="471" t="s">
        <v>3</v>
      </c>
      <c r="F5" s="471" t="s">
        <v>93</v>
      </c>
      <c r="G5" s="471" t="s">
        <v>1</v>
      </c>
      <c r="H5" s="471" t="s">
        <v>52</v>
      </c>
      <c r="I5" s="471" t="s">
        <v>51</v>
      </c>
      <c r="J5" s="471" t="s">
        <v>53</v>
      </c>
      <c r="K5" s="37"/>
      <c r="L5" s="37"/>
    </row>
    <row r="6" spans="2:12" s="27" customFormat="1" ht="19.5" customHeight="1">
      <c r="B6" s="40"/>
      <c r="C6" s="472"/>
      <c r="D6" s="472"/>
      <c r="E6" s="472"/>
      <c r="F6" s="472"/>
      <c r="G6" s="472"/>
      <c r="H6" s="472"/>
      <c r="I6" s="472"/>
      <c r="J6" s="472"/>
      <c r="K6" s="37"/>
      <c r="L6" s="37"/>
    </row>
    <row r="7" spans="2:17" s="27" customFormat="1" ht="12.75" customHeight="1">
      <c r="B7" s="196">
        <v>1995</v>
      </c>
      <c r="C7" s="170">
        <v>3892.597406374929</v>
      </c>
      <c r="D7" s="171">
        <v>122.1681653617647</v>
      </c>
      <c r="E7" s="171">
        <v>499.8070757373568</v>
      </c>
      <c r="F7" s="172">
        <v>350.52470000000005</v>
      </c>
      <c r="G7" s="171">
        <v>71.08849000000001</v>
      </c>
      <c r="H7" s="171">
        <v>346</v>
      </c>
      <c r="I7" s="173">
        <v>44.4</v>
      </c>
      <c r="J7" s="174">
        <f aca="true" t="shared" si="0" ref="J7:J21">SUM(C7:I7)</f>
        <v>5326.58583747405</v>
      </c>
      <c r="K7" s="37"/>
      <c r="L7" s="37"/>
      <c r="Q7" s="6"/>
    </row>
    <row r="8" spans="1:17" s="27" customFormat="1" ht="12.75" customHeight="1">
      <c r="A8" s="287"/>
      <c r="B8" s="87">
        <v>1996</v>
      </c>
      <c r="C8" s="170">
        <v>3960.4127878292375</v>
      </c>
      <c r="D8" s="171">
        <v>123.49334560989746</v>
      </c>
      <c r="E8" s="171">
        <v>503.7474178044688</v>
      </c>
      <c r="F8" s="172">
        <v>348.9918000000001</v>
      </c>
      <c r="G8" s="171">
        <v>71.9473</v>
      </c>
      <c r="H8" s="171">
        <v>366</v>
      </c>
      <c r="I8" s="173">
        <v>44</v>
      </c>
      <c r="J8" s="175">
        <f t="shared" si="0"/>
        <v>5418.5926512436035</v>
      </c>
      <c r="K8" s="37"/>
      <c r="L8" s="37"/>
      <c r="Q8" s="248"/>
    </row>
    <row r="9" spans="1:17" s="27" customFormat="1" ht="12.75" customHeight="1">
      <c r="A9" s="287"/>
      <c r="B9" s="87">
        <v>1997</v>
      </c>
      <c r="C9" s="170">
        <v>4038.9910698066915</v>
      </c>
      <c r="D9" s="171">
        <v>126.34619401836561</v>
      </c>
      <c r="E9" s="171">
        <v>504.5053122864313</v>
      </c>
      <c r="F9" s="172">
        <v>350.5315999999999</v>
      </c>
      <c r="G9" s="171">
        <v>72.5027</v>
      </c>
      <c r="H9" s="171">
        <v>390</v>
      </c>
      <c r="I9" s="173">
        <v>43.6</v>
      </c>
      <c r="J9" s="175">
        <f t="shared" si="0"/>
        <v>5526.476876111488</v>
      </c>
      <c r="K9" s="37"/>
      <c r="L9" s="37"/>
      <c r="Q9" s="248"/>
    </row>
    <row r="10" spans="1:17" s="27" customFormat="1" ht="12.75" customHeight="1">
      <c r="A10" s="287"/>
      <c r="B10" s="87">
        <v>1998</v>
      </c>
      <c r="C10" s="170">
        <v>4136.690979590566</v>
      </c>
      <c r="D10" s="171">
        <v>128.7825898766679</v>
      </c>
      <c r="E10" s="171">
        <v>512.5018274436268</v>
      </c>
      <c r="F10" s="172">
        <v>350.6032000000001</v>
      </c>
      <c r="G10" s="171">
        <v>73.54226399999999</v>
      </c>
      <c r="H10" s="171">
        <v>409</v>
      </c>
      <c r="I10" s="173">
        <v>43.1</v>
      </c>
      <c r="J10" s="175">
        <f t="shared" si="0"/>
        <v>5654.220860910861</v>
      </c>
      <c r="K10" s="37"/>
      <c r="L10" s="37"/>
      <c r="Q10" s="248"/>
    </row>
    <row r="11" spans="1:17" s="29" customFormat="1" ht="12.75" customHeight="1">
      <c r="A11" s="287"/>
      <c r="B11" s="87">
        <v>1999</v>
      </c>
      <c r="C11" s="170">
        <v>4240.040054602497</v>
      </c>
      <c r="D11" s="171">
        <v>132.30279038182454</v>
      </c>
      <c r="E11" s="171">
        <v>515.1542043449392</v>
      </c>
      <c r="F11" s="172">
        <v>358.59970000000004</v>
      </c>
      <c r="G11" s="171">
        <v>75.08774199999999</v>
      </c>
      <c r="H11" s="171">
        <v>425</v>
      </c>
      <c r="I11" s="173">
        <v>42.6</v>
      </c>
      <c r="J11" s="175">
        <f t="shared" si="0"/>
        <v>5788.78449132926</v>
      </c>
      <c r="K11" s="37"/>
      <c r="L11" s="37"/>
      <c r="Q11" s="248"/>
    </row>
    <row r="12" spans="1:17" s="29" customFormat="1" ht="12.75" customHeight="1">
      <c r="A12" s="287"/>
      <c r="B12" s="87">
        <v>2000</v>
      </c>
      <c r="C12" s="170">
        <v>4321.075405136558</v>
      </c>
      <c r="D12" s="171">
        <v>134.44701889965415</v>
      </c>
      <c r="E12" s="171">
        <v>518.2480582145611</v>
      </c>
      <c r="F12" s="172">
        <v>370.70788502490825</v>
      </c>
      <c r="G12" s="171">
        <v>77.1524</v>
      </c>
      <c r="H12" s="171">
        <v>457</v>
      </c>
      <c r="I12" s="173">
        <v>41.7</v>
      </c>
      <c r="J12" s="175">
        <f t="shared" si="0"/>
        <v>5920.330767275681</v>
      </c>
      <c r="K12" s="37"/>
      <c r="L12" s="37"/>
      <c r="Q12" s="248"/>
    </row>
    <row r="13" spans="1:16" s="29" customFormat="1" ht="15.75" customHeight="1">
      <c r="A13" s="287"/>
      <c r="B13" s="87">
        <v>2001</v>
      </c>
      <c r="C13" s="170">
        <v>4404.724628750186</v>
      </c>
      <c r="D13" s="171">
        <v>137.8543755826582</v>
      </c>
      <c r="E13" s="171">
        <v>519.781550690446</v>
      </c>
      <c r="F13" s="172">
        <v>372.73928030944154</v>
      </c>
      <c r="G13" s="171">
        <v>77.82326278</v>
      </c>
      <c r="H13" s="171">
        <v>453</v>
      </c>
      <c r="I13" s="173">
        <v>42</v>
      </c>
      <c r="J13" s="175">
        <f t="shared" si="0"/>
        <v>6007.923098112732</v>
      </c>
      <c r="K13" s="37"/>
      <c r="L13" s="37"/>
      <c r="M13" s="284"/>
      <c r="N13" s="248"/>
      <c r="O13" s="248"/>
      <c r="P13" s="248"/>
    </row>
    <row r="14" spans="1:12" s="29" customFormat="1" ht="12.75" customHeight="1">
      <c r="A14" s="287"/>
      <c r="B14" s="87">
        <v>2002</v>
      </c>
      <c r="C14" s="170">
        <v>4479.184345273357</v>
      </c>
      <c r="D14" s="171">
        <v>138.3609138129516</v>
      </c>
      <c r="E14" s="171">
        <v>518.8606334443668</v>
      </c>
      <c r="F14" s="172">
        <v>365.57010261380464</v>
      </c>
      <c r="G14" s="171">
        <v>78.50671163</v>
      </c>
      <c r="H14" s="171">
        <v>445</v>
      </c>
      <c r="I14" s="173">
        <v>41.5</v>
      </c>
      <c r="J14" s="175">
        <f t="shared" si="0"/>
        <v>6066.98270677448</v>
      </c>
      <c r="K14" s="37"/>
      <c r="L14" s="37"/>
    </row>
    <row r="15" spans="1:12" s="29" customFormat="1" ht="12.75" customHeight="1">
      <c r="A15" s="288"/>
      <c r="B15" s="87">
        <v>2003</v>
      </c>
      <c r="C15" s="170">
        <v>4510.2915994280165</v>
      </c>
      <c r="D15" s="171">
        <v>142.1403622441054</v>
      </c>
      <c r="E15" s="171">
        <v>520.0866484234186</v>
      </c>
      <c r="F15" s="172">
        <v>361.88694756335343</v>
      </c>
      <c r="G15" s="171">
        <v>79.32802059999999</v>
      </c>
      <c r="H15" s="171">
        <v>463</v>
      </c>
      <c r="I15" s="173">
        <v>41.2</v>
      </c>
      <c r="J15" s="175">
        <f t="shared" si="0"/>
        <v>6117.933578258894</v>
      </c>
      <c r="K15" s="37"/>
      <c r="L15" s="37"/>
    </row>
    <row r="16" spans="1:12" s="29" customFormat="1" ht="12.75" customHeight="1">
      <c r="A16" s="288"/>
      <c r="B16" s="87">
        <v>2004</v>
      </c>
      <c r="C16" s="170">
        <v>4571.52890300697</v>
      </c>
      <c r="D16" s="171">
        <v>144.63717358377852</v>
      </c>
      <c r="E16" s="171">
        <v>515.9061343643575</v>
      </c>
      <c r="F16" s="172">
        <v>367.8169446019999</v>
      </c>
      <c r="G16" s="171">
        <v>81.95488177</v>
      </c>
      <c r="H16" s="171">
        <v>493</v>
      </c>
      <c r="I16" s="173">
        <v>40.5</v>
      </c>
      <c r="J16" s="175">
        <f t="shared" si="0"/>
        <v>6215.344037327106</v>
      </c>
      <c r="K16" s="37"/>
      <c r="L16" s="37"/>
    </row>
    <row r="17" spans="1:12" s="29" customFormat="1" ht="12.75" customHeight="1">
      <c r="A17" s="287"/>
      <c r="B17" s="87">
        <v>2005</v>
      </c>
      <c r="C17" s="170">
        <v>4563.773838148571</v>
      </c>
      <c r="D17" s="171">
        <v>147.91936975510484</v>
      </c>
      <c r="E17" s="171">
        <v>516.3539319486588</v>
      </c>
      <c r="F17" s="172">
        <v>377.14602313800003</v>
      </c>
      <c r="G17" s="171">
        <v>82.41954154</v>
      </c>
      <c r="H17" s="171">
        <v>527</v>
      </c>
      <c r="I17" s="173">
        <v>39.5</v>
      </c>
      <c r="J17" s="175">
        <f t="shared" si="0"/>
        <v>6254.112704530334</v>
      </c>
      <c r="K17" s="37"/>
      <c r="L17" s="37"/>
    </row>
    <row r="18" spans="1:12" s="28" customFormat="1" ht="12.75" customHeight="1">
      <c r="A18" s="37"/>
      <c r="B18" s="87">
        <v>2006</v>
      </c>
      <c r="C18" s="170">
        <v>4677.785986369441</v>
      </c>
      <c r="D18" s="171">
        <v>151.43086498450248</v>
      </c>
      <c r="E18" s="171">
        <v>514.124108977808</v>
      </c>
      <c r="F18" s="172">
        <v>389.59586906399994</v>
      </c>
      <c r="G18" s="171">
        <v>84.17843599999999</v>
      </c>
      <c r="H18" s="171">
        <v>549</v>
      </c>
      <c r="I18" s="173">
        <v>40</v>
      </c>
      <c r="J18" s="175">
        <f t="shared" si="0"/>
        <v>6406.1152653957515</v>
      </c>
      <c r="K18" s="37"/>
      <c r="L18" s="37"/>
    </row>
    <row r="19" spans="1:12" s="28" customFormat="1" ht="12.75" customHeight="1">
      <c r="A19" s="287"/>
      <c r="B19" s="87">
        <v>2007</v>
      </c>
      <c r="C19" s="170">
        <v>4756.914780745059</v>
      </c>
      <c r="D19" s="171">
        <v>151.9909253589701</v>
      </c>
      <c r="E19" s="171">
        <v>527.2285524467155</v>
      </c>
      <c r="F19" s="172">
        <v>396.71485515400013</v>
      </c>
      <c r="G19" s="171">
        <v>86.03662800000001</v>
      </c>
      <c r="H19" s="171">
        <v>572</v>
      </c>
      <c r="I19" s="173">
        <v>41</v>
      </c>
      <c r="J19" s="175">
        <f t="shared" si="0"/>
        <v>6531.885741704745</v>
      </c>
      <c r="K19" s="37"/>
      <c r="L19" s="37"/>
    </row>
    <row r="20" spans="1:12" s="28" customFormat="1" ht="12.75" customHeight="1">
      <c r="A20" s="287"/>
      <c r="B20" s="87">
        <v>2008</v>
      </c>
      <c r="C20" s="170">
        <v>4762.634805062832</v>
      </c>
      <c r="D20" s="171">
        <v>154.06724878678864</v>
      </c>
      <c r="E20" s="171">
        <v>530.1689604840185</v>
      </c>
      <c r="F20" s="172">
        <v>410.53716503500016</v>
      </c>
      <c r="G20" s="171">
        <v>89.15814540000001</v>
      </c>
      <c r="H20" s="171">
        <v>561</v>
      </c>
      <c r="I20" s="173">
        <v>40.9</v>
      </c>
      <c r="J20" s="175">
        <f t="shared" si="0"/>
        <v>6548.4663247686385</v>
      </c>
      <c r="K20" s="37"/>
      <c r="L20" s="37"/>
    </row>
    <row r="21" spans="1:12" s="28" customFormat="1" ht="12.75" customHeight="1">
      <c r="A21" s="287"/>
      <c r="B21" s="87">
        <v>2009</v>
      </c>
      <c r="C21" s="176">
        <v>4780.826459678062</v>
      </c>
      <c r="D21" s="177">
        <v>156.5159578187416</v>
      </c>
      <c r="E21" s="177">
        <v>510.40560774564887</v>
      </c>
      <c r="F21" s="178">
        <v>404.88139999999987</v>
      </c>
      <c r="G21" s="177">
        <v>88.76082103234592</v>
      </c>
      <c r="H21" s="177">
        <v>522</v>
      </c>
      <c r="I21" s="179">
        <v>39.9593</v>
      </c>
      <c r="J21" s="175">
        <f t="shared" si="0"/>
        <v>6503.349546274799</v>
      </c>
      <c r="K21" s="37"/>
      <c r="L21" s="37"/>
    </row>
    <row r="22" spans="1:12" ht="22.5" customHeight="1">
      <c r="A22" s="51"/>
      <c r="B22" s="198" t="s">
        <v>118</v>
      </c>
      <c r="C22" s="180">
        <f>C21/C7-1</f>
        <v>0.22818415586684493</v>
      </c>
      <c r="D22" s="181">
        <f aca="true" t="shared" si="1" ref="D22:J22">D21/D7-1</f>
        <v>0.2811517415790452</v>
      </c>
      <c r="E22" s="181">
        <f t="shared" si="1"/>
        <v>0.02120524602949292</v>
      </c>
      <c r="F22" s="181">
        <f t="shared" si="1"/>
        <v>0.15507238148980607</v>
      </c>
      <c r="G22" s="181">
        <f t="shared" si="1"/>
        <v>0.2485962359356051</v>
      </c>
      <c r="H22" s="181">
        <f t="shared" si="1"/>
        <v>0.5086705202312138</v>
      </c>
      <c r="I22" s="181">
        <f t="shared" si="1"/>
        <v>-0.10001576576576576</v>
      </c>
      <c r="J22" s="182">
        <f t="shared" si="1"/>
        <v>0.22092269695944444</v>
      </c>
      <c r="K22" s="37"/>
      <c r="L22" s="37"/>
    </row>
    <row r="23" spans="1:10" s="37" customFormat="1" ht="22.5" customHeight="1">
      <c r="A23" s="51"/>
      <c r="B23" s="199" t="s">
        <v>56</v>
      </c>
      <c r="C23" s="183">
        <f>(POWER((C21/C7),1/14)-1)</f>
        <v>0.01478949688454212</v>
      </c>
      <c r="D23" s="184">
        <f aca="true" t="shared" si="2" ref="D23:J23">(POWER((D21/D7),1/14)-1)</f>
        <v>0.017854626722695555</v>
      </c>
      <c r="E23" s="184">
        <f t="shared" si="2"/>
        <v>0.001499948334203749</v>
      </c>
      <c r="F23" s="184">
        <f t="shared" si="2"/>
        <v>0.010350558094659457</v>
      </c>
      <c r="G23" s="184">
        <f t="shared" si="2"/>
        <v>0.015984979336620464</v>
      </c>
      <c r="H23" s="184">
        <f t="shared" si="2"/>
        <v>0.029809142605444316</v>
      </c>
      <c r="I23" s="184">
        <f t="shared" si="2"/>
        <v>-0.007498745439343701</v>
      </c>
      <c r="J23" s="185">
        <f t="shared" si="2"/>
        <v>0.01435975926465094</v>
      </c>
    </row>
    <row r="24" spans="1:10" ht="22.5" customHeight="1">
      <c r="A24" s="51"/>
      <c r="B24" s="198" t="s">
        <v>119</v>
      </c>
      <c r="C24" s="180">
        <f>C21/C12-1</f>
        <v>0.10639736904266628</v>
      </c>
      <c r="D24" s="181">
        <f aca="true" t="shared" si="3" ref="D24:I24">D21/D12-1</f>
        <v>0.1641459892506716</v>
      </c>
      <c r="E24" s="181">
        <f t="shared" si="3"/>
        <v>-0.015132619108946699</v>
      </c>
      <c r="F24" s="181">
        <f t="shared" si="3"/>
        <v>0.09218448367451226</v>
      </c>
      <c r="G24" s="181">
        <f t="shared" si="3"/>
        <v>0.15046091932779682</v>
      </c>
      <c r="H24" s="181">
        <f t="shared" si="3"/>
        <v>0.1422319474835887</v>
      </c>
      <c r="I24" s="181">
        <f t="shared" si="3"/>
        <v>-0.041743405275779466</v>
      </c>
      <c r="J24" s="182">
        <f>J21/J12-1</f>
        <v>0.09847739964491908</v>
      </c>
    </row>
    <row r="25" spans="1:12" s="37" customFormat="1" ht="22.5" customHeight="1">
      <c r="A25" s="51"/>
      <c r="B25" s="199" t="s">
        <v>56</v>
      </c>
      <c r="C25" s="183">
        <f>(POWER((C21/C12),1/9)-1)</f>
        <v>0.011297689304351044</v>
      </c>
      <c r="D25" s="184">
        <f aca="true" t="shared" si="4" ref="D25:I25">(POWER((D21/D12),1/9)-1)</f>
        <v>0.017030929493003777</v>
      </c>
      <c r="E25" s="184">
        <f t="shared" si="4"/>
        <v>-0.0016928195135373914</v>
      </c>
      <c r="F25" s="184">
        <f t="shared" si="4"/>
        <v>0.009845911170207833</v>
      </c>
      <c r="G25" s="184">
        <f t="shared" si="4"/>
        <v>0.015695530006918812</v>
      </c>
      <c r="H25" s="184">
        <f t="shared" si="4"/>
        <v>0.014885726967916568</v>
      </c>
      <c r="I25" s="184">
        <f t="shared" si="4"/>
        <v>-0.0047265382285472946</v>
      </c>
      <c r="J25" s="185">
        <f>(POWER((J21/J12),1/9)-1)</f>
        <v>0.010490761607111931</v>
      </c>
      <c r="K25"/>
      <c r="L25" s="38"/>
    </row>
    <row r="26" spans="1:10" ht="22.5" customHeight="1">
      <c r="A26" s="289"/>
      <c r="B26" s="200" t="s">
        <v>120</v>
      </c>
      <c r="C26" s="186">
        <f>C21/C20-1</f>
        <v>0.003819661880413605</v>
      </c>
      <c r="D26" s="187">
        <f aca="true" t="shared" si="5" ref="D26:I26">D21/D20-1</f>
        <v>0.015893767502408673</v>
      </c>
      <c r="E26" s="187">
        <f t="shared" si="5"/>
        <v>-0.03727746098211149</v>
      </c>
      <c r="F26" s="187">
        <f t="shared" si="5"/>
        <v>-0.01377649946629822</v>
      </c>
      <c r="G26" s="187">
        <f t="shared" si="5"/>
        <v>-0.004456400095263713</v>
      </c>
      <c r="H26" s="187">
        <f t="shared" si="5"/>
        <v>-0.06951871657754005</v>
      </c>
      <c r="I26" s="187">
        <f t="shared" si="5"/>
        <v>-0.02300000000000002</v>
      </c>
      <c r="J26" s="188">
        <f>J21/J20-1</f>
        <v>-0.006889670994136732</v>
      </c>
    </row>
    <row r="27" spans="1:11" s="51" customFormat="1" ht="12.75">
      <c r="A27" s="27"/>
      <c r="B27" s="286"/>
      <c r="C27" s="286"/>
      <c r="D27" s="286"/>
      <c r="E27" s="286"/>
      <c r="F27" s="286"/>
      <c r="G27" s="286"/>
      <c r="H27" s="286"/>
      <c r="I27" s="286"/>
      <c r="J27" s="286"/>
      <c r="K27"/>
    </row>
    <row r="28" spans="1:10" ht="12" customHeight="1">
      <c r="A28" s="27"/>
      <c r="B28" s="473" t="s">
        <v>57</v>
      </c>
      <c r="C28" s="473"/>
      <c r="D28" s="473"/>
      <c r="E28" s="473"/>
      <c r="F28" s="473"/>
      <c r="G28" s="473"/>
      <c r="H28" s="473"/>
      <c r="I28" s="473"/>
      <c r="J28" s="473"/>
    </row>
    <row r="29" spans="1:11" s="27" customFormat="1" ht="19.5" customHeight="1">
      <c r="A29" s="286"/>
      <c r="B29" s="476" t="s">
        <v>45</v>
      </c>
      <c r="C29" s="476"/>
      <c r="D29" s="476"/>
      <c r="E29" s="476"/>
      <c r="F29" s="476"/>
      <c r="G29" s="476"/>
      <c r="H29" s="476"/>
      <c r="I29" s="476"/>
      <c r="J29" s="476"/>
      <c r="K29"/>
    </row>
    <row r="30" spans="1:11" s="27" customFormat="1" ht="19.5" customHeight="1">
      <c r="A30" s="286"/>
      <c r="B30" s="40"/>
      <c r="C30" s="471" t="s">
        <v>92</v>
      </c>
      <c r="D30" s="471" t="s">
        <v>11</v>
      </c>
      <c r="E30" s="471" t="s">
        <v>3</v>
      </c>
      <c r="F30" s="471" t="s">
        <v>93</v>
      </c>
      <c r="G30" s="471" t="s">
        <v>1</v>
      </c>
      <c r="H30" s="471" t="s">
        <v>52</v>
      </c>
      <c r="I30" s="471" t="s">
        <v>51</v>
      </c>
      <c r="J30" s="39"/>
      <c r="K30"/>
    </row>
    <row r="31" spans="1:11" s="27" customFormat="1" ht="12.75" customHeight="1">
      <c r="A31" s="286"/>
      <c r="B31" s="40"/>
      <c r="C31" s="472"/>
      <c r="D31" s="472"/>
      <c r="E31" s="472"/>
      <c r="F31" s="472"/>
      <c r="G31" s="472"/>
      <c r="H31" s="472"/>
      <c r="I31" s="472"/>
      <c r="J31" s="39"/>
      <c r="K31"/>
    </row>
    <row r="32" spans="1:12" s="27" customFormat="1" ht="12.75" customHeight="1">
      <c r="A32" s="286"/>
      <c r="B32" s="196">
        <v>1995</v>
      </c>
      <c r="C32" s="290">
        <f aca="true" t="shared" si="6" ref="C32:I46">C7/$J7*100</f>
        <v>73.0786572327324</v>
      </c>
      <c r="D32" s="291">
        <f t="shared" si="6"/>
        <v>2.2935548039473392</v>
      </c>
      <c r="E32" s="291">
        <f t="shared" si="6"/>
        <v>9.383253945164489</v>
      </c>
      <c r="F32" s="291">
        <f t="shared" si="6"/>
        <v>6.580663687684499</v>
      </c>
      <c r="G32" s="291">
        <f t="shared" si="6"/>
        <v>1.3345976610359345</v>
      </c>
      <c r="H32" s="291">
        <f t="shared" si="6"/>
        <v>6.495718093300804</v>
      </c>
      <c r="I32" s="292">
        <f t="shared" si="6"/>
        <v>0.833554576134554</v>
      </c>
      <c r="J32" s="39"/>
      <c r="K32"/>
      <c r="L32" s="86"/>
    </row>
    <row r="33" spans="1:12" s="27" customFormat="1" ht="12.75" customHeight="1">
      <c r="A33" s="286"/>
      <c r="B33" s="87">
        <v>1996</v>
      </c>
      <c r="C33" s="293">
        <f t="shared" si="6"/>
        <v>73.08932489915617</v>
      </c>
      <c r="D33" s="294">
        <f t="shared" si="6"/>
        <v>2.2790667901849924</v>
      </c>
      <c r="E33" s="294">
        <f t="shared" si="6"/>
        <v>9.296646753633627</v>
      </c>
      <c r="F33" s="294">
        <f t="shared" si="6"/>
        <v>6.44063546500223</v>
      </c>
      <c r="G33" s="294">
        <f t="shared" si="6"/>
        <v>1.3277857301837888</v>
      </c>
      <c r="H33" s="294">
        <f t="shared" si="6"/>
        <v>6.754521396178406</v>
      </c>
      <c r="I33" s="295">
        <f t="shared" si="6"/>
        <v>0.8120189656607921</v>
      </c>
      <c r="J33" s="288"/>
      <c r="K33"/>
      <c r="L33" s="86"/>
    </row>
    <row r="34" spans="1:12" s="27" customFormat="1" ht="12.75" customHeight="1">
      <c r="A34" s="287"/>
      <c r="B34" s="87">
        <v>1997</v>
      </c>
      <c r="C34" s="293">
        <f t="shared" si="6"/>
        <v>73.08437473547498</v>
      </c>
      <c r="D34" s="294">
        <f t="shared" si="6"/>
        <v>2.286197822784788</v>
      </c>
      <c r="E34" s="294">
        <f t="shared" si="6"/>
        <v>9.128877648383627</v>
      </c>
      <c r="F34" s="294">
        <f t="shared" si="6"/>
        <v>6.342767876496376</v>
      </c>
      <c r="G34" s="294">
        <f t="shared" si="6"/>
        <v>1.3119153780122932</v>
      </c>
      <c r="H34" s="294">
        <f t="shared" si="6"/>
        <v>7.056937154406586</v>
      </c>
      <c r="I34" s="295">
        <f t="shared" si="6"/>
        <v>0.7889293844413515</v>
      </c>
      <c r="J34" s="288"/>
      <c r="K34"/>
      <c r="L34" s="86"/>
    </row>
    <row r="35" spans="1:12" ht="12.75" customHeight="1">
      <c r="A35" s="287"/>
      <c r="B35" s="87">
        <v>1998</v>
      </c>
      <c r="C35" s="293">
        <f t="shared" si="6"/>
        <v>73.16111417204473</v>
      </c>
      <c r="D35" s="294">
        <f t="shared" si="6"/>
        <v>2.277636354231869</v>
      </c>
      <c r="E35" s="294">
        <f t="shared" si="6"/>
        <v>9.064057454612161</v>
      </c>
      <c r="F35" s="294">
        <f t="shared" si="6"/>
        <v>6.2007340821051695</v>
      </c>
      <c r="G35" s="294">
        <f t="shared" si="6"/>
        <v>1.3006613255668398</v>
      </c>
      <c r="H35" s="294">
        <f t="shared" si="6"/>
        <v>7.233534204995886</v>
      </c>
      <c r="I35" s="295">
        <f t="shared" si="6"/>
        <v>0.7622624064433318</v>
      </c>
      <c r="J35" s="288"/>
      <c r="L35" s="86"/>
    </row>
    <row r="36" spans="1:12" ht="12.75" customHeight="1">
      <c r="A36" s="288"/>
      <c r="B36" s="87">
        <v>1999</v>
      </c>
      <c r="C36" s="293">
        <f t="shared" si="6"/>
        <v>73.24577484191106</v>
      </c>
      <c r="D36" s="294">
        <f t="shared" si="6"/>
        <v>2.285502087355203</v>
      </c>
      <c r="E36" s="294">
        <f t="shared" si="6"/>
        <v>8.899177454551362</v>
      </c>
      <c r="F36" s="294">
        <f t="shared" si="6"/>
        <v>6.1947322540185965</v>
      </c>
      <c r="G36" s="294">
        <f t="shared" si="6"/>
        <v>1.2971245019134894</v>
      </c>
      <c r="H36" s="294">
        <f t="shared" si="6"/>
        <v>7.341783074436211</v>
      </c>
      <c r="I36" s="295">
        <f t="shared" si="6"/>
        <v>0.7359057858140768</v>
      </c>
      <c r="J36" s="288"/>
      <c r="L36" s="86"/>
    </row>
    <row r="37" spans="1:12" ht="12.75" customHeight="1">
      <c r="A37" s="288"/>
      <c r="B37" s="87">
        <v>2000</v>
      </c>
      <c r="C37" s="293">
        <f t="shared" si="6"/>
        <v>72.98706060514519</v>
      </c>
      <c r="D37" s="294">
        <f t="shared" si="6"/>
        <v>2.270937624681429</v>
      </c>
      <c r="E37" s="294">
        <f t="shared" si="6"/>
        <v>8.753701078310524</v>
      </c>
      <c r="F37" s="294">
        <f t="shared" si="6"/>
        <v>6.261607663443007</v>
      </c>
      <c r="G37" s="294">
        <f t="shared" si="6"/>
        <v>1.3031771877756537</v>
      </c>
      <c r="H37" s="294">
        <f t="shared" si="6"/>
        <v>7.719163302936445</v>
      </c>
      <c r="I37" s="295">
        <f t="shared" si="6"/>
        <v>0.7043525377077675</v>
      </c>
      <c r="J37" s="288"/>
      <c r="L37" s="86"/>
    </row>
    <row r="38" spans="1:12" ht="12.75" customHeight="1">
      <c r="A38" s="287"/>
      <c r="B38" s="87">
        <v>2001</v>
      </c>
      <c r="C38" s="293">
        <f t="shared" si="6"/>
        <v>73.31526314199729</v>
      </c>
      <c r="D38" s="294">
        <f t="shared" si="6"/>
        <v>2.2945429448982524</v>
      </c>
      <c r="E38" s="294">
        <f t="shared" si="6"/>
        <v>8.651601263899748</v>
      </c>
      <c r="F38" s="294">
        <f t="shared" si="6"/>
        <v>6.204128685111334</v>
      </c>
      <c r="G38" s="294">
        <f t="shared" si="6"/>
        <v>1.2953438569219802</v>
      </c>
      <c r="H38" s="294">
        <f t="shared" si="6"/>
        <v>7.540043249593205</v>
      </c>
      <c r="I38" s="295">
        <f t="shared" si="6"/>
        <v>0.699076857578178</v>
      </c>
      <c r="J38" s="296"/>
      <c r="L38" s="86"/>
    </row>
    <row r="39" spans="1:12" ht="12.75" customHeight="1">
      <c r="A39" s="287"/>
      <c r="B39" s="87">
        <v>2002</v>
      </c>
      <c r="C39" s="293">
        <f t="shared" si="6"/>
        <v>73.82886290860588</v>
      </c>
      <c r="D39" s="294">
        <f t="shared" si="6"/>
        <v>2.280555599053477</v>
      </c>
      <c r="E39" s="294">
        <f t="shared" si="6"/>
        <v>8.552202281127316</v>
      </c>
      <c r="F39" s="294">
        <f t="shared" si="6"/>
        <v>6.025566913279707</v>
      </c>
      <c r="G39" s="294">
        <f t="shared" si="6"/>
        <v>1.2939992649449663</v>
      </c>
      <c r="H39" s="294">
        <f t="shared" si="6"/>
        <v>7.334782733155092</v>
      </c>
      <c r="I39" s="295">
        <f t="shared" si="6"/>
        <v>0.6840302998335648</v>
      </c>
      <c r="J39" s="296"/>
      <c r="L39" s="86"/>
    </row>
    <row r="40" spans="1:12" s="29" customFormat="1" ht="12.75" customHeight="1">
      <c r="A40" s="287"/>
      <c r="B40" s="87">
        <v>2003</v>
      </c>
      <c r="C40" s="293">
        <f t="shared" si="6"/>
        <v>73.72246759030037</v>
      </c>
      <c r="D40" s="294">
        <f t="shared" si="6"/>
        <v>2.32333941560309</v>
      </c>
      <c r="E40" s="294">
        <f t="shared" si="6"/>
        <v>8.501018224055814</v>
      </c>
      <c r="F40" s="294">
        <f t="shared" si="6"/>
        <v>5.9151826827505865</v>
      </c>
      <c r="G40" s="294">
        <f t="shared" si="6"/>
        <v>1.2966473006818093</v>
      </c>
      <c r="H40" s="294">
        <f t="shared" si="6"/>
        <v>7.567914788178616</v>
      </c>
      <c r="I40" s="295">
        <f t="shared" si="6"/>
        <v>0.6734299984297171</v>
      </c>
      <c r="J40" s="297"/>
      <c r="K40"/>
      <c r="L40" s="86"/>
    </row>
    <row r="41" spans="1:12" s="29" customFormat="1" ht="12.75" customHeight="1">
      <c r="A41" s="286"/>
      <c r="B41" s="87">
        <v>2004</v>
      </c>
      <c r="C41" s="293">
        <f t="shared" si="6"/>
        <v>73.55230660687522</v>
      </c>
      <c r="D41" s="294">
        <f t="shared" si="6"/>
        <v>2.3270984311590803</v>
      </c>
      <c r="E41" s="294">
        <f t="shared" si="6"/>
        <v>8.300524174784405</v>
      </c>
      <c r="F41" s="294">
        <f t="shared" si="6"/>
        <v>5.917885516763425</v>
      </c>
      <c r="G41" s="294">
        <f t="shared" si="6"/>
        <v>1.3185896271840891</v>
      </c>
      <c r="H41" s="294">
        <f t="shared" si="6"/>
        <v>7.931982478189791</v>
      </c>
      <c r="I41" s="295">
        <f t="shared" si="6"/>
        <v>0.6516131650439889</v>
      </c>
      <c r="J41" s="297"/>
      <c r="K41"/>
      <c r="L41" s="86"/>
    </row>
    <row r="42" spans="1:12" s="28" customFormat="1" ht="12.75" customHeight="1">
      <c r="A42" s="286"/>
      <c r="B42" s="87">
        <v>2005</v>
      </c>
      <c r="C42" s="293">
        <f t="shared" si="6"/>
        <v>72.97236320737679</v>
      </c>
      <c r="D42" s="294">
        <f t="shared" si="6"/>
        <v>2.36515356763487</v>
      </c>
      <c r="E42" s="294">
        <f t="shared" si="6"/>
        <v>8.256230041627234</v>
      </c>
      <c r="F42" s="294">
        <f t="shared" si="6"/>
        <v>6.030368190595674</v>
      </c>
      <c r="G42" s="294">
        <f t="shared" si="6"/>
        <v>1.317845479188394</v>
      </c>
      <c r="H42" s="294">
        <f t="shared" si="6"/>
        <v>8.426455116778651</v>
      </c>
      <c r="I42" s="295">
        <f t="shared" si="6"/>
        <v>0.6315843967983998</v>
      </c>
      <c r="J42" s="31"/>
      <c r="K42"/>
      <c r="L42" s="86"/>
    </row>
    <row r="43" spans="1:12" s="28" customFormat="1" ht="12.75" customHeight="1">
      <c r="A43" s="286"/>
      <c r="B43" s="87">
        <v>2006</v>
      </c>
      <c r="C43" s="293">
        <f t="shared" si="6"/>
        <v>73.0206340750327</v>
      </c>
      <c r="D43" s="294">
        <f t="shared" si="6"/>
        <v>2.3638485839069197</v>
      </c>
      <c r="E43" s="294">
        <f t="shared" si="6"/>
        <v>8.025520735709817</v>
      </c>
      <c r="F43" s="294">
        <f t="shared" si="6"/>
        <v>6.081624399868363</v>
      </c>
      <c r="G43" s="294">
        <f t="shared" si="6"/>
        <v>1.3140324910279255</v>
      </c>
      <c r="H43" s="294">
        <f t="shared" si="6"/>
        <v>8.569936338260444</v>
      </c>
      <c r="I43" s="295">
        <f t="shared" si="6"/>
        <v>0.6244033761938393</v>
      </c>
      <c r="J43" s="31"/>
      <c r="K43"/>
      <c r="L43" s="86"/>
    </row>
    <row r="44" spans="1:12" s="28" customFormat="1" ht="12.75" customHeight="1">
      <c r="A44" s="286"/>
      <c r="B44" s="87">
        <v>2007</v>
      </c>
      <c r="C44" s="293">
        <f t="shared" si="6"/>
        <v>72.82605619343796</v>
      </c>
      <c r="D44" s="294">
        <f t="shared" si="6"/>
        <v>2.326907287868484</v>
      </c>
      <c r="E44" s="294">
        <f t="shared" si="6"/>
        <v>8.071613210875228</v>
      </c>
      <c r="F44" s="294">
        <f t="shared" si="6"/>
        <v>6.0735118592332</v>
      </c>
      <c r="G44" s="294">
        <f t="shared" si="6"/>
        <v>1.3171790108126642</v>
      </c>
      <c r="H44" s="294">
        <f t="shared" si="6"/>
        <v>8.75704233997692</v>
      </c>
      <c r="I44" s="295">
        <f t="shared" si="6"/>
        <v>0.6276900977955485</v>
      </c>
      <c r="J44" s="31"/>
      <c r="K44"/>
      <c r="L44" s="86"/>
    </row>
    <row r="45" spans="2:12" ht="15" customHeight="1">
      <c r="B45" s="87">
        <v>2008</v>
      </c>
      <c r="C45" s="293">
        <f t="shared" si="6"/>
        <v>72.7290111739423</v>
      </c>
      <c r="D45" s="294">
        <f t="shared" si="6"/>
        <v>2.352722624594575</v>
      </c>
      <c r="E45" s="294">
        <f t="shared" si="6"/>
        <v>8.09607829055683</v>
      </c>
      <c r="F45" s="294">
        <f t="shared" si="6"/>
        <v>6.269210906410285</v>
      </c>
      <c r="G45" s="294">
        <f t="shared" si="6"/>
        <v>1.3615118560321837</v>
      </c>
      <c r="H45" s="294">
        <f t="shared" si="6"/>
        <v>8.566891424303392</v>
      </c>
      <c r="I45" s="295">
        <f t="shared" si="6"/>
        <v>0.6245737241604434</v>
      </c>
      <c r="J45" s="189"/>
      <c r="L45" s="28"/>
    </row>
    <row r="46" spans="2:12" ht="15" customHeight="1">
      <c r="B46" s="197">
        <v>2009</v>
      </c>
      <c r="C46" s="298">
        <f t="shared" si="6"/>
        <v>73.51329381359456</v>
      </c>
      <c r="D46" s="299">
        <f t="shared" si="6"/>
        <v>2.406697605673002</v>
      </c>
      <c r="E46" s="299">
        <f t="shared" si="6"/>
        <v>7.848349594525727</v>
      </c>
      <c r="F46" s="299">
        <f t="shared" si="6"/>
        <v>6.225736401204531</v>
      </c>
      <c r="G46" s="299">
        <f t="shared" si="6"/>
        <v>1.364847766535773</v>
      </c>
      <c r="H46" s="299">
        <f t="shared" si="6"/>
        <v>8.02663298790403</v>
      </c>
      <c r="I46" s="300">
        <f t="shared" si="6"/>
        <v>0.6144418305623629</v>
      </c>
      <c r="J46" s="189"/>
      <c r="L46" s="28"/>
    </row>
    <row r="47" spans="2:12" ht="15" customHeight="1">
      <c r="B47" s="52" t="s">
        <v>121</v>
      </c>
      <c r="C47" s="190"/>
      <c r="D47" s="191"/>
      <c r="E47" s="191"/>
      <c r="F47" s="191"/>
      <c r="G47" s="191"/>
      <c r="H47" s="191"/>
      <c r="I47" s="191"/>
      <c r="J47" s="288"/>
      <c r="L47" s="28"/>
    </row>
    <row r="48" spans="2:12" ht="12.75" customHeight="1">
      <c r="B48" s="249" t="s">
        <v>7</v>
      </c>
      <c r="C48" s="191"/>
      <c r="D48" s="189"/>
      <c r="E48" s="189"/>
      <c r="F48" s="189"/>
      <c r="G48" s="189"/>
      <c r="H48" s="189"/>
      <c r="I48" s="189"/>
      <c r="J48" s="288"/>
      <c r="L48" s="28"/>
    </row>
    <row r="49" spans="2:10" ht="12.75" customHeight="1">
      <c r="B49" s="250" t="s">
        <v>98</v>
      </c>
      <c r="C49" s="189"/>
      <c r="D49" s="288"/>
      <c r="E49" s="288"/>
      <c r="F49" s="288"/>
      <c r="G49" s="288"/>
      <c r="H49" s="288"/>
      <c r="I49" s="288"/>
      <c r="J49" s="288"/>
    </row>
    <row r="50" spans="2:3" ht="12.75" customHeight="1">
      <c r="B50" s="54" t="s">
        <v>99</v>
      </c>
      <c r="C50" s="288"/>
    </row>
    <row r="51" ht="11.25" customHeight="1">
      <c r="B51" s="12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mergeCells count="20">
    <mergeCell ref="D5:D6"/>
    <mergeCell ref="C5:C6"/>
    <mergeCell ref="B29:J29"/>
    <mergeCell ref="C30:C31"/>
    <mergeCell ref="D30:D31"/>
    <mergeCell ref="E30:E31"/>
    <mergeCell ref="F30:F31"/>
    <mergeCell ref="G30:G31"/>
    <mergeCell ref="H30:H31"/>
    <mergeCell ref="I30:I31"/>
    <mergeCell ref="F5:F6"/>
    <mergeCell ref="B28:J28"/>
    <mergeCell ref="B2:J2"/>
    <mergeCell ref="B3:J3"/>
    <mergeCell ref="B4:J4"/>
    <mergeCell ref="H5:H6"/>
    <mergeCell ref="J5:J6"/>
    <mergeCell ref="E5:E6"/>
    <mergeCell ref="G5:G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J50"/>
  <sheetViews>
    <sheetView workbookViewId="0" topLeftCell="A1">
      <selection activeCell="J12" sqref="J12"/>
    </sheetView>
  </sheetViews>
  <sheetFormatPr defaultColWidth="9.140625" defaultRowHeight="12.75"/>
  <cols>
    <col min="1" max="1" width="3.140625" style="286" customWidth="1"/>
    <col min="2" max="2" width="4.00390625" style="286" customWidth="1"/>
    <col min="3" max="6" width="10.7109375" style="286" customWidth="1"/>
    <col min="7" max="7" width="4.00390625" style="286" customWidth="1"/>
    <col min="8" max="11" width="9.140625" style="286" customWidth="1"/>
    <col min="12" max="25" width="6.7109375" style="286" customWidth="1"/>
    <col min="26" max="16384" width="9.140625" style="286" customWidth="1"/>
  </cols>
  <sheetData>
    <row r="1" spans="2:7" ht="15.75">
      <c r="B1" s="53"/>
      <c r="C1" s="41"/>
      <c r="D1" s="41"/>
      <c r="E1" s="41"/>
      <c r="G1" s="33" t="s">
        <v>110</v>
      </c>
    </row>
    <row r="2" spans="2:7" ht="12.75">
      <c r="B2" s="474" t="s">
        <v>94</v>
      </c>
      <c r="C2" s="474"/>
      <c r="D2" s="474"/>
      <c r="E2" s="474"/>
      <c r="F2" s="474"/>
      <c r="G2" s="474"/>
    </row>
    <row r="3" spans="2:7" ht="19.5" customHeight="1">
      <c r="B3" s="474"/>
      <c r="C3" s="474"/>
      <c r="D3" s="474"/>
      <c r="E3" s="474"/>
      <c r="F3" s="474"/>
      <c r="G3" s="474"/>
    </row>
    <row r="4" spans="2:7" ht="12.75">
      <c r="B4" s="477">
        <v>2009</v>
      </c>
      <c r="C4" s="477"/>
      <c r="D4" s="477"/>
      <c r="E4" s="477"/>
      <c r="F4" s="477"/>
      <c r="G4" s="477"/>
    </row>
    <row r="5" spans="2:6" ht="12.75">
      <c r="B5" s="478" t="s">
        <v>4</v>
      </c>
      <c r="C5" s="478"/>
      <c r="D5" s="478"/>
      <c r="E5" s="478"/>
      <c r="F5" s="478"/>
    </row>
    <row r="6" spans="2:7" ht="28.5" customHeight="1">
      <c r="B6" s="301"/>
      <c r="C6" s="302" t="s">
        <v>48</v>
      </c>
      <c r="D6" s="303" t="s">
        <v>5</v>
      </c>
      <c r="E6" s="303" t="s">
        <v>50</v>
      </c>
      <c r="F6" s="304" t="s">
        <v>1</v>
      </c>
      <c r="G6" s="305"/>
    </row>
    <row r="7" spans="2:9" ht="12.75">
      <c r="B7" s="119" t="s">
        <v>67</v>
      </c>
      <c r="C7" s="306">
        <v>82.64356702129876</v>
      </c>
      <c r="D7" s="307">
        <v>8.823106299201406</v>
      </c>
      <c r="E7" s="308">
        <v>6.998966266353558</v>
      </c>
      <c r="F7" s="307">
        <v>1.5343604131462563</v>
      </c>
      <c r="G7" s="119" t="s">
        <v>67</v>
      </c>
      <c r="H7" s="309"/>
      <c r="I7" s="310"/>
    </row>
    <row r="8" spans="2:9" ht="12.75">
      <c r="B8" s="120" t="s">
        <v>31</v>
      </c>
      <c r="C8" s="311">
        <v>83.18161687324984</v>
      </c>
      <c r="D8" s="312">
        <v>8.29668978580309</v>
      </c>
      <c r="E8" s="313">
        <v>7.216502262165059</v>
      </c>
      <c r="F8" s="312">
        <v>1.3051910787820171</v>
      </c>
      <c r="G8" s="120" t="s">
        <v>31</v>
      </c>
      <c r="H8" s="309"/>
      <c r="I8" s="310"/>
    </row>
    <row r="9" spans="2:9" ht="12.75">
      <c r="B9" s="121" t="s">
        <v>79</v>
      </c>
      <c r="C9" s="314">
        <v>79.34151160383388</v>
      </c>
      <c r="D9" s="315">
        <v>12.053766977959501</v>
      </c>
      <c r="E9" s="316">
        <v>5.6639302824976925</v>
      </c>
      <c r="F9" s="315">
        <v>2.940791135708924</v>
      </c>
      <c r="G9" s="121" t="s">
        <v>79</v>
      </c>
      <c r="H9" s="309"/>
      <c r="I9" s="310"/>
    </row>
    <row r="10" spans="2:9" ht="12.75">
      <c r="B10" s="18" t="s">
        <v>32</v>
      </c>
      <c r="C10" s="317">
        <v>78.73853172780913</v>
      </c>
      <c r="D10" s="318">
        <v>13.188463166601242</v>
      </c>
      <c r="E10" s="317">
        <v>7.365288194231034</v>
      </c>
      <c r="F10" s="317">
        <v>0.7077169113585896</v>
      </c>
      <c r="G10" s="18" t="s">
        <v>32</v>
      </c>
      <c r="H10" s="309"/>
      <c r="I10" s="310"/>
    </row>
    <row r="11" spans="2:9" ht="12.75">
      <c r="B11" s="120" t="s">
        <v>14</v>
      </c>
      <c r="C11" s="319">
        <v>77.70672842924995</v>
      </c>
      <c r="D11" s="319">
        <v>17.540237987345385</v>
      </c>
      <c r="E11" s="319">
        <v>3.5983418089052246</v>
      </c>
      <c r="F11" s="319">
        <v>1.1546917744994378</v>
      </c>
      <c r="G11" s="120" t="s">
        <v>14</v>
      </c>
      <c r="H11" s="309"/>
      <c r="I11" s="310"/>
    </row>
    <row r="12" spans="2:10" s="323" customFormat="1" ht="15.75" customHeight="1">
      <c r="B12" s="19" t="s">
        <v>16</v>
      </c>
      <c r="C12" s="320">
        <v>69.61544424745695</v>
      </c>
      <c r="D12" s="321">
        <v>15.467744715765022</v>
      </c>
      <c r="E12" s="321">
        <v>6.262597275280979</v>
      </c>
      <c r="F12" s="321">
        <v>8.654213761497045</v>
      </c>
      <c r="G12" s="19" t="s">
        <v>16</v>
      </c>
      <c r="H12" s="309"/>
      <c r="I12" s="310"/>
      <c r="J12" s="322"/>
    </row>
    <row r="13" spans="2:9" ht="12.75">
      <c r="B13" s="120" t="s">
        <v>27</v>
      </c>
      <c r="C13" s="324">
        <v>79.28211204277554</v>
      </c>
      <c r="D13" s="319">
        <v>11.01288127354478</v>
      </c>
      <c r="E13" s="319">
        <v>9.378417790740064</v>
      </c>
      <c r="F13" s="319">
        <v>0.3265888929396038</v>
      </c>
      <c r="G13" s="120" t="s">
        <v>27</v>
      </c>
      <c r="H13" s="309"/>
      <c r="I13" s="310"/>
    </row>
    <row r="14" spans="2:9" ht="12.75">
      <c r="B14" s="19" t="s">
        <v>33</v>
      </c>
      <c r="C14" s="318">
        <v>84.60789121669457</v>
      </c>
      <c r="D14" s="318">
        <v>5.953714428557526</v>
      </c>
      <c r="E14" s="318">
        <v>7.86450173742632</v>
      </c>
      <c r="F14" s="318">
        <v>1.5738926173215966</v>
      </c>
      <c r="G14" s="19" t="s">
        <v>33</v>
      </c>
      <c r="H14" s="309"/>
      <c r="I14" s="310"/>
    </row>
    <row r="15" spans="2:9" ht="12.75">
      <c r="B15" s="120" t="s">
        <v>17</v>
      </c>
      <c r="C15" s="325">
        <v>78.71241482192252</v>
      </c>
      <c r="D15" s="325">
        <v>18.853497454965254</v>
      </c>
      <c r="E15" s="325">
        <v>1.8673583363943715</v>
      </c>
      <c r="F15" s="325">
        <v>0.5667293867178422</v>
      </c>
      <c r="G15" s="120" t="s">
        <v>17</v>
      </c>
      <c r="H15" s="309"/>
      <c r="I15" s="310"/>
    </row>
    <row r="16" spans="2:9" ht="12.75">
      <c r="B16" s="19" t="s">
        <v>36</v>
      </c>
      <c r="C16" s="318">
        <v>84.38439785197367</v>
      </c>
      <c r="D16" s="317">
        <v>12.427164755068707</v>
      </c>
      <c r="E16" s="317">
        <v>2.9403507574507604</v>
      </c>
      <c r="F16" s="317">
        <v>0.24808663550683774</v>
      </c>
      <c r="G16" s="19" t="s">
        <v>36</v>
      </c>
      <c r="H16" s="309"/>
      <c r="I16" s="310"/>
    </row>
    <row r="17" spans="2:9" ht="12.75">
      <c r="B17" s="120" t="s">
        <v>28</v>
      </c>
      <c r="C17" s="325">
        <v>80.8433611305693</v>
      </c>
      <c r="D17" s="325">
        <v>16.694627328583643</v>
      </c>
      <c r="E17" s="325">
        <v>1.1284552086734945</v>
      </c>
      <c r="F17" s="325">
        <v>1.3335563321735568</v>
      </c>
      <c r="G17" s="120" t="s">
        <v>28</v>
      </c>
      <c r="H17" s="309"/>
      <c r="I17" s="310"/>
    </row>
    <row r="18" spans="2:9" ht="12.75">
      <c r="B18" s="19" t="s">
        <v>34</v>
      </c>
      <c r="C18" s="326">
        <v>80.18149120884802</v>
      </c>
      <c r="D18" s="326">
        <v>13.091457899776337</v>
      </c>
      <c r="E18" s="326">
        <v>5.292281271115532</v>
      </c>
      <c r="F18" s="317">
        <v>1.4347696202601135</v>
      </c>
      <c r="G18" s="19" t="s">
        <v>34</v>
      </c>
      <c r="H18" s="309"/>
      <c r="I18" s="310"/>
    </row>
    <row r="19" spans="2:9" ht="12.75">
      <c r="B19" s="120" t="s">
        <v>35</v>
      </c>
      <c r="C19" s="319">
        <v>83.02300625261006</v>
      </c>
      <c r="D19" s="319">
        <v>5.604622280583174</v>
      </c>
      <c r="E19" s="319">
        <v>9.863487294217022</v>
      </c>
      <c r="F19" s="319">
        <v>1.5088841725897575</v>
      </c>
      <c r="G19" s="120" t="s">
        <v>35</v>
      </c>
      <c r="H19" s="309"/>
      <c r="I19" s="310"/>
    </row>
    <row r="20" spans="2:9" ht="12.75">
      <c r="B20" s="19" t="s">
        <v>37</v>
      </c>
      <c r="C20" s="327">
        <v>81.80774211884096</v>
      </c>
      <c r="D20" s="318">
        <v>11.822633919339353</v>
      </c>
      <c r="E20" s="318">
        <v>5.569464068476866</v>
      </c>
      <c r="F20" s="318">
        <v>0.8001598933428222</v>
      </c>
      <c r="G20" s="19" t="s">
        <v>37</v>
      </c>
      <c r="H20" s="309"/>
      <c r="I20" s="310"/>
    </row>
    <row r="21" spans="2:9" ht="12.75">
      <c r="B21" s="120" t="s">
        <v>15</v>
      </c>
      <c r="C21" s="325">
        <v>82.38127895500782</v>
      </c>
      <c r="D21" s="325">
        <v>17.61872104499219</v>
      </c>
      <c r="E21" s="319">
        <v>0</v>
      </c>
      <c r="F21" s="325" t="s">
        <v>46</v>
      </c>
      <c r="G21" s="120" t="s">
        <v>15</v>
      </c>
      <c r="H21" s="309"/>
      <c r="I21" s="310"/>
    </row>
    <row r="22" spans="2:9" ht="12.75">
      <c r="B22" s="19" t="s">
        <v>19</v>
      </c>
      <c r="C22" s="318">
        <v>85.44647060027425</v>
      </c>
      <c r="D22" s="318">
        <v>9.828902396594422</v>
      </c>
      <c r="E22" s="318">
        <v>3.8681156750782835</v>
      </c>
      <c r="F22" s="318">
        <v>0.8565113280530483</v>
      </c>
      <c r="G22" s="19" t="s">
        <v>19</v>
      </c>
      <c r="H22" s="309"/>
      <c r="I22" s="310"/>
    </row>
    <row r="23" spans="2:9" ht="12.75">
      <c r="B23" s="120" t="s">
        <v>20</v>
      </c>
      <c r="C23" s="319">
        <v>92.00825790382962</v>
      </c>
      <c r="D23" s="319">
        <v>7.080718713236887</v>
      </c>
      <c r="E23" s="319">
        <v>0.9110233829334952</v>
      </c>
      <c r="F23" s="319" t="s">
        <v>46</v>
      </c>
      <c r="G23" s="120" t="s">
        <v>20</v>
      </c>
      <c r="H23" s="309"/>
      <c r="I23" s="310"/>
    </row>
    <row r="24" spans="2:9" ht="12.75">
      <c r="B24" s="19" t="s">
        <v>38</v>
      </c>
      <c r="C24" s="318">
        <v>84.39485381759287</v>
      </c>
      <c r="D24" s="318">
        <v>11.410595985204383</v>
      </c>
      <c r="E24" s="318">
        <v>4.194550197202751</v>
      </c>
      <c r="F24" s="318" t="s">
        <v>46</v>
      </c>
      <c r="G24" s="19" t="s">
        <v>38</v>
      </c>
      <c r="H24" s="309"/>
      <c r="I24" s="310"/>
    </row>
    <row r="25" spans="2:9" ht="12.75">
      <c r="B25" s="120" t="s">
        <v>18</v>
      </c>
      <c r="C25" s="325">
        <v>60.47440112728981</v>
      </c>
      <c r="D25" s="325">
        <v>24.423144668858612</v>
      </c>
      <c r="E25" s="325">
        <v>11.786636918741191</v>
      </c>
      <c r="F25" s="325">
        <v>3.315817285110381</v>
      </c>
      <c r="G25" s="120" t="s">
        <v>18</v>
      </c>
      <c r="H25" s="309"/>
      <c r="I25" s="310"/>
    </row>
    <row r="26" spans="2:9" ht="12.75">
      <c r="B26" s="19" t="s">
        <v>21</v>
      </c>
      <c r="C26" s="318">
        <v>81.94008581017061</v>
      </c>
      <c r="D26" s="318">
        <v>18.05991418982938</v>
      </c>
      <c r="E26" s="318" t="s">
        <v>46</v>
      </c>
      <c r="F26" s="321" t="s">
        <v>46</v>
      </c>
      <c r="G26" s="19" t="s">
        <v>21</v>
      </c>
      <c r="H26" s="309"/>
      <c r="I26" s="310"/>
    </row>
    <row r="27" spans="2:9" ht="12.75">
      <c r="B27" s="120" t="s">
        <v>29</v>
      </c>
      <c r="C27" s="325">
        <v>82.95156708413546</v>
      </c>
      <c r="D27" s="325">
        <v>6.85213742116865</v>
      </c>
      <c r="E27" s="325">
        <v>9.31178117718904</v>
      </c>
      <c r="F27" s="325">
        <v>0.8845143175068442</v>
      </c>
      <c r="G27" s="120" t="s">
        <v>29</v>
      </c>
      <c r="H27" s="309"/>
      <c r="I27" s="310"/>
    </row>
    <row r="28" spans="2:9" ht="12.75">
      <c r="B28" s="19" t="s">
        <v>39</v>
      </c>
      <c r="C28" s="320">
        <v>74.86706922346875</v>
      </c>
      <c r="D28" s="321">
        <v>9.988975966778703</v>
      </c>
      <c r="E28" s="321">
        <v>11.037916872158512</v>
      </c>
      <c r="F28" s="321">
        <v>4.106037937594025</v>
      </c>
      <c r="G28" s="19" t="s">
        <v>39</v>
      </c>
      <c r="H28" s="309"/>
      <c r="I28" s="310"/>
    </row>
    <row r="29" spans="2:9" ht="12.75">
      <c r="B29" s="120" t="s">
        <v>22</v>
      </c>
      <c r="C29" s="319">
        <v>85.75597750706288</v>
      </c>
      <c r="D29" s="319">
        <v>7.3369818666490145</v>
      </c>
      <c r="E29" s="319">
        <v>5.607288241152205</v>
      </c>
      <c r="F29" s="325">
        <v>1.2997523851358872</v>
      </c>
      <c r="G29" s="120" t="s">
        <v>22</v>
      </c>
      <c r="H29" s="309"/>
      <c r="I29" s="310"/>
    </row>
    <row r="30" spans="2:9" ht="12.75">
      <c r="B30" s="19" t="s">
        <v>40</v>
      </c>
      <c r="C30" s="318">
        <v>84.57258402354192</v>
      </c>
      <c r="D30" s="318">
        <v>10.272241013587541</v>
      </c>
      <c r="E30" s="318">
        <v>4.083085684485419</v>
      </c>
      <c r="F30" s="318">
        <v>1.0720892783851281</v>
      </c>
      <c r="G30" s="19" t="s">
        <v>40</v>
      </c>
      <c r="H30" s="309"/>
      <c r="I30" s="310"/>
    </row>
    <row r="31" spans="2:9" ht="12.75">
      <c r="B31" s="120" t="s">
        <v>23</v>
      </c>
      <c r="C31" s="325">
        <v>74.39889633425305</v>
      </c>
      <c r="D31" s="325">
        <v>12.618249901458414</v>
      </c>
      <c r="E31" s="325">
        <v>6.038628301143082</v>
      </c>
      <c r="F31" s="325">
        <v>6.944225463145447</v>
      </c>
      <c r="G31" s="120" t="s">
        <v>23</v>
      </c>
      <c r="H31" s="309"/>
      <c r="I31" s="310"/>
    </row>
    <row r="32" spans="2:9" ht="12.75">
      <c r="B32" s="19" t="s">
        <v>25</v>
      </c>
      <c r="C32" s="318">
        <v>86.62051942816332</v>
      </c>
      <c r="D32" s="318">
        <v>10.45734256703117</v>
      </c>
      <c r="E32" s="317">
        <v>2.9221380048055097</v>
      </c>
      <c r="F32" s="326" t="s">
        <v>46</v>
      </c>
      <c r="G32" s="19" t="s">
        <v>25</v>
      </c>
      <c r="H32" s="309"/>
      <c r="I32" s="310"/>
    </row>
    <row r="33" spans="2:9" ht="12.75">
      <c r="B33" s="120" t="s">
        <v>24</v>
      </c>
      <c r="C33" s="319">
        <v>76.91635855483419</v>
      </c>
      <c r="D33" s="319">
        <v>15.640845730588953</v>
      </c>
      <c r="E33" s="319">
        <v>6.591167137325685</v>
      </c>
      <c r="F33" s="319">
        <v>0.8516285772511573</v>
      </c>
      <c r="G33" s="120" t="s">
        <v>24</v>
      </c>
      <c r="H33" s="309"/>
      <c r="I33" s="310"/>
    </row>
    <row r="34" spans="2:9" ht="12.75">
      <c r="B34" s="19" t="s">
        <v>41</v>
      </c>
      <c r="C34" s="326">
        <v>84.33624374000365</v>
      </c>
      <c r="D34" s="326">
        <v>9.884894727182148</v>
      </c>
      <c r="E34" s="326">
        <v>5.081412727129709</v>
      </c>
      <c r="F34" s="326">
        <v>0.6974488056844699</v>
      </c>
      <c r="G34" s="19" t="s">
        <v>41</v>
      </c>
      <c r="H34" s="309"/>
      <c r="I34" s="310"/>
    </row>
    <row r="35" spans="2:9" ht="12.75">
      <c r="B35" s="120" t="s">
        <v>42</v>
      </c>
      <c r="C35" s="319">
        <v>81.67625308134758</v>
      </c>
      <c r="D35" s="319">
        <v>7.23089564502876</v>
      </c>
      <c r="E35" s="319">
        <v>9.285127362366476</v>
      </c>
      <c r="F35" s="319">
        <v>1.80772391125719</v>
      </c>
      <c r="G35" s="120" t="s">
        <v>42</v>
      </c>
      <c r="H35" s="309"/>
      <c r="I35" s="310"/>
    </row>
    <row r="36" spans="2:9" ht="12.75">
      <c r="B36" s="19" t="s">
        <v>30</v>
      </c>
      <c r="C36" s="328">
        <v>87.07485431623363</v>
      </c>
      <c r="D36" s="326">
        <v>4.92866872177217</v>
      </c>
      <c r="E36" s="328">
        <v>6.754836496215807</v>
      </c>
      <c r="F36" s="326">
        <v>1.2416404657783973</v>
      </c>
      <c r="G36" s="19" t="s">
        <v>30</v>
      </c>
      <c r="H36" s="309"/>
      <c r="I36" s="310"/>
    </row>
    <row r="37" spans="2:9" ht="12.75">
      <c r="B37" s="119" t="s">
        <v>47</v>
      </c>
      <c r="C37" s="325">
        <v>82.07813004948943</v>
      </c>
      <c r="D37" s="329">
        <v>10.52926428349345</v>
      </c>
      <c r="E37" s="325">
        <v>5.619901814955712</v>
      </c>
      <c r="F37" s="329">
        <v>1.7727038520613982</v>
      </c>
      <c r="G37" s="119" t="s">
        <v>47</v>
      </c>
      <c r="H37" s="309"/>
      <c r="I37" s="310"/>
    </row>
    <row r="38" spans="2:9" ht="12.75">
      <c r="B38" s="19" t="s">
        <v>8</v>
      </c>
      <c r="C38" s="327">
        <v>79.1777693186144</v>
      </c>
      <c r="D38" s="318">
        <v>18.46973734297678</v>
      </c>
      <c r="E38" s="318">
        <v>2.3524933384088316</v>
      </c>
      <c r="F38" s="321" t="s">
        <v>46</v>
      </c>
      <c r="G38" s="19" t="s">
        <v>8</v>
      </c>
      <c r="H38" s="309"/>
      <c r="I38" s="310"/>
    </row>
    <row r="39" spans="2:9" ht="12.75">
      <c r="B39" s="121" t="s">
        <v>26</v>
      </c>
      <c r="C39" s="330">
        <v>52.542430893870886</v>
      </c>
      <c r="D39" s="330">
        <v>45.16379962096534</v>
      </c>
      <c r="E39" s="330">
        <v>2.2937694851637866</v>
      </c>
      <c r="F39" s="331" t="s">
        <v>46</v>
      </c>
      <c r="G39" s="121" t="s">
        <v>26</v>
      </c>
      <c r="H39" s="309"/>
      <c r="I39" s="310"/>
    </row>
    <row r="40" spans="2:9" ht="12.75">
      <c r="B40" s="18" t="s">
        <v>12</v>
      </c>
      <c r="C40" s="332">
        <v>88.59369465108041</v>
      </c>
      <c r="D40" s="333">
        <v>11.40630534891959</v>
      </c>
      <c r="E40" s="333" t="s">
        <v>46</v>
      </c>
      <c r="F40" s="333" t="s">
        <v>46</v>
      </c>
      <c r="G40" s="18" t="s">
        <v>12</v>
      </c>
      <c r="H40" s="309"/>
      <c r="I40" s="310"/>
    </row>
    <row r="41" spans="2:9" ht="12.75">
      <c r="B41" s="120" t="s">
        <v>43</v>
      </c>
      <c r="C41" s="319">
        <v>87.93158061450744</v>
      </c>
      <c r="D41" s="319">
        <v>6.638309425765872</v>
      </c>
      <c r="E41" s="319">
        <v>4.543191999637993</v>
      </c>
      <c r="F41" s="319">
        <v>0.8869179600886918</v>
      </c>
      <c r="G41" s="120" t="s">
        <v>43</v>
      </c>
      <c r="H41" s="309"/>
      <c r="I41" s="310"/>
    </row>
    <row r="42" spans="2:9" ht="12.75">
      <c r="B42" s="20" t="s">
        <v>13</v>
      </c>
      <c r="C42" s="334">
        <v>76.15502596622147</v>
      </c>
      <c r="D42" s="335">
        <v>5.650680323972337</v>
      </c>
      <c r="E42" s="335">
        <v>16.669506955718397</v>
      </c>
      <c r="F42" s="335">
        <v>1.5247867540877738</v>
      </c>
      <c r="G42" s="20" t="s">
        <v>13</v>
      </c>
      <c r="H42" s="309"/>
      <c r="I42" s="310"/>
    </row>
    <row r="44" spans="2:7" ht="12.75">
      <c r="B44" s="336" t="s">
        <v>7</v>
      </c>
      <c r="C44" s="337"/>
      <c r="D44" s="35"/>
      <c r="E44" s="35"/>
      <c r="F44" s="35"/>
      <c r="G44" s="135"/>
    </row>
    <row r="45" spans="2:6" ht="35.25" customHeight="1">
      <c r="B45" s="479" t="s">
        <v>122</v>
      </c>
      <c r="C45" s="479"/>
      <c r="D45" s="479"/>
      <c r="E45" s="479"/>
      <c r="F45" s="479"/>
    </row>
    <row r="46" spans="2:8" ht="12.75">
      <c r="B46" s="201" t="s">
        <v>67</v>
      </c>
      <c r="C46" s="338">
        <v>80.4664609040889</v>
      </c>
      <c r="D46" s="338">
        <v>8.590676366792586</v>
      </c>
      <c r="E46" s="338">
        <v>6.814590242643245</v>
      </c>
      <c r="F46" s="338">
        <v>1.4939402623485</v>
      </c>
      <c r="G46" s="201" t="s">
        <v>67</v>
      </c>
      <c r="H46" s="309"/>
    </row>
    <row r="47" spans="2:8" ht="15" customHeight="1">
      <c r="B47" s="120" t="s">
        <v>31</v>
      </c>
      <c r="C47" s="339">
        <v>80.89201133339017</v>
      </c>
      <c r="D47" s="339">
        <v>8.06832025404684</v>
      </c>
      <c r="E47" s="339">
        <v>7.01786530151256</v>
      </c>
      <c r="F47" s="339">
        <v>1.2692651995206374</v>
      </c>
      <c r="G47" s="120" t="s">
        <v>31</v>
      </c>
      <c r="H47" s="309"/>
    </row>
    <row r="48" spans="2:8" ht="12.75">
      <c r="B48" s="121" t="s">
        <v>79</v>
      </c>
      <c r="C48" s="340">
        <v>77.83199671237668</v>
      </c>
      <c r="D48" s="340">
        <v>11.824437584259044</v>
      </c>
      <c r="E48" s="340">
        <v>5.556170965429267</v>
      </c>
      <c r="F48" s="340">
        <v>2.884841004153787</v>
      </c>
      <c r="G48" s="121" t="s">
        <v>79</v>
      </c>
      <c r="H48" s="309"/>
    </row>
    <row r="49" spans="3:5" ht="12.75">
      <c r="C49" s="341"/>
      <c r="D49" s="341"/>
      <c r="E49" s="341"/>
    </row>
    <row r="50" ht="12.75">
      <c r="B50" s="336" t="s">
        <v>123</v>
      </c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/>
  <dimension ref="A1:AC49"/>
  <sheetViews>
    <sheetView workbookViewId="0" topLeftCell="A1">
      <selection activeCell="O50" sqref="O50"/>
    </sheetView>
  </sheetViews>
  <sheetFormatPr defaultColWidth="9.140625" defaultRowHeight="12.75"/>
  <cols>
    <col min="1" max="1" width="2.7109375" style="44" customWidth="1"/>
    <col min="2" max="2" width="4.00390625" style="3" customWidth="1"/>
    <col min="3" max="4" width="7.7109375" style="3" hidden="1" customWidth="1"/>
    <col min="5" max="5" width="6.7109375" style="3" customWidth="1"/>
    <col min="6" max="9" width="7.7109375" style="3" hidden="1" customWidth="1"/>
    <col min="10" max="10" width="6.7109375" style="3" customWidth="1"/>
    <col min="11" max="14" width="7.7109375" style="3" hidden="1" customWidth="1"/>
    <col min="15" max="15" width="6.7109375" style="3" customWidth="1"/>
    <col min="16" max="24" width="7.7109375" style="3" customWidth="1"/>
    <col min="25" max="25" width="7.28125" style="3" customWidth="1"/>
    <col min="26" max="26" width="4.00390625" style="3" customWidth="1"/>
    <col min="27" max="27" width="2.7109375" style="3" customWidth="1"/>
    <col min="28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T1" s="42"/>
      <c r="U1" s="42"/>
      <c r="V1" s="42"/>
      <c r="W1" s="42"/>
      <c r="X1" s="42"/>
      <c r="Z1" s="42" t="s">
        <v>111</v>
      </c>
    </row>
    <row r="2" spans="1:26" s="70" customFormat="1" ht="30" customHeight="1">
      <c r="A2" s="118"/>
      <c r="B2" s="480" t="s">
        <v>48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</row>
    <row r="3" spans="3:25" ht="12" customHeight="1"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X3" s="343" t="s">
        <v>124</v>
      </c>
      <c r="Y3" s="344"/>
    </row>
    <row r="4" spans="2:26" ht="19.5" customHeight="1">
      <c r="B4" s="345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346" t="s">
        <v>125</v>
      </c>
      <c r="Z4" s="347"/>
    </row>
    <row r="5" spans="2:26" ht="9.75" customHeight="1">
      <c r="B5" s="348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342"/>
      <c r="X5" s="342"/>
      <c r="Y5" s="349" t="s">
        <v>45</v>
      </c>
      <c r="Z5" s="350"/>
    </row>
    <row r="6" spans="2:28" ht="12.75" customHeight="1">
      <c r="B6" s="119" t="s">
        <v>67</v>
      </c>
      <c r="C6" s="351"/>
      <c r="D6" s="351"/>
      <c r="E6" s="352"/>
      <c r="F6" s="353"/>
      <c r="G6" s="353"/>
      <c r="H6" s="353"/>
      <c r="I6" s="353" t="s">
        <v>44</v>
      </c>
      <c r="J6" s="353">
        <v>3892.597406374929</v>
      </c>
      <c r="K6" s="353">
        <v>3960.4127878292375</v>
      </c>
      <c r="L6" s="353">
        <v>4038.9910698066915</v>
      </c>
      <c r="M6" s="353">
        <v>4136.690979590566</v>
      </c>
      <c r="N6" s="353">
        <v>4240.040054602497</v>
      </c>
      <c r="O6" s="353">
        <v>4321.075405136558</v>
      </c>
      <c r="P6" s="353">
        <v>4404.724628750186</v>
      </c>
      <c r="Q6" s="353">
        <v>4479.184345273357</v>
      </c>
      <c r="R6" s="353">
        <v>4510.2915994280165</v>
      </c>
      <c r="S6" s="353">
        <v>4571.52890300697</v>
      </c>
      <c r="T6" s="353">
        <v>4563.773838148571</v>
      </c>
      <c r="U6" s="353">
        <v>4677.785986369441</v>
      </c>
      <c r="V6" s="353">
        <v>4756.914780745059</v>
      </c>
      <c r="W6" s="353">
        <v>4762.634805062832</v>
      </c>
      <c r="X6" s="306">
        <v>4780.826459678062</v>
      </c>
      <c r="Y6" s="354">
        <f>(X6/W6-1)*100</f>
        <v>0.3819661880413605</v>
      </c>
      <c r="Z6" s="119" t="s">
        <v>67</v>
      </c>
      <c r="AB6" s="93"/>
    </row>
    <row r="7" spans="1:28" ht="12.75" customHeight="1">
      <c r="A7" s="17"/>
      <c r="B7" s="120" t="s">
        <v>31</v>
      </c>
      <c r="C7" s="355">
        <f aca="true" t="shared" si="0" ref="C7:H7">SUM(C9,C12:C13,C15:C19,C23,C26:C27,C29,C33:C35)</f>
        <v>1557.1409999999998</v>
      </c>
      <c r="D7" s="355">
        <f t="shared" si="0"/>
        <v>2238.496</v>
      </c>
      <c r="E7" s="356">
        <f t="shared" si="0"/>
        <v>3128.695643999515</v>
      </c>
      <c r="F7" s="357">
        <f t="shared" si="0"/>
        <v>3190.5164509918072</v>
      </c>
      <c r="G7" s="357">
        <f t="shared" si="0"/>
        <v>3313.0157308752623</v>
      </c>
      <c r="H7" s="357">
        <f t="shared" si="0"/>
        <v>3341.4046700088625</v>
      </c>
      <c r="I7" s="357">
        <v>3484.2329339754483</v>
      </c>
      <c r="J7" s="357">
        <v>3548.9389108749288</v>
      </c>
      <c r="K7" s="357">
        <v>3595.8057878292384</v>
      </c>
      <c r="L7" s="357">
        <v>3655.2720698066914</v>
      </c>
      <c r="M7" s="357">
        <v>3736.180524490565</v>
      </c>
      <c r="N7" s="357">
        <v>3824.495054602496</v>
      </c>
      <c r="O7" s="357">
        <v>3889.219289436559</v>
      </c>
      <c r="P7" s="357">
        <v>3961.5084757501863</v>
      </c>
      <c r="Q7" s="357">
        <v>4019.119705673357</v>
      </c>
      <c r="R7" s="357">
        <v>4035.2032879280164</v>
      </c>
      <c r="S7" s="357">
        <v>4080.96550300697</v>
      </c>
      <c r="T7" s="357">
        <v>4043.16733814857</v>
      </c>
      <c r="U7" s="357">
        <v>4120.530386369441</v>
      </c>
      <c r="V7" s="357">
        <v>4173.99058074506</v>
      </c>
      <c r="W7" s="357">
        <v>4136.3778050628325</v>
      </c>
      <c r="X7" s="311">
        <v>4137.733459678063</v>
      </c>
      <c r="Y7" s="358">
        <f aca="true" t="shared" si="1" ref="Y7:Y41">(X7/W7-1)*100</f>
        <v>0.03277395535705718</v>
      </c>
      <c r="Z7" s="120" t="s">
        <v>31</v>
      </c>
      <c r="AB7" s="93"/>
    </row>
    <row r="8" spans="1:28" ht="12.75" customHeight="1">
      <c r="A8" s="17"/>
      <c r="B8" s="121" t="s">
        <v>79</v>
      </c>
      <c r="C8" s="359"/>
      <c r="D8" s="359"/>
      <c r="E8" s="360"/>
      <c r="F8" s="361"/>
      <c r="G8" s="361"/>
      <c r="H8" s="361"/>
      <c r="I8" s="361"/>
      <c r="J8" s="361">
        <v>343.6584955000003</v>
      </c>
      <c r="K8" s="361">
        <v>364.60699999999906</v>
      </c>
      <c r="L8" s="361">
        <v>383.71900000000005</v>
      </c>
      <c r="M8" s="361">
        <v>400.51045510000085</v>
      </c>
      <c r="N8" s="361">
        <v>415.5450000000005</v>
      </c>
      <c r="O8" s="361">
        <v>431.85611569999946</v>
      </c>
      <c r="P8" s="361">
        <v>443.2161529999994</v>
      </c>
      <c r="Q8" s="361">
        <v>460.0646396000002</v>
      </c>
      <c r="R8" s="361">
        <v>475.08831150000015</v>
      </c>
      <c r="S8" s="361">
        <v>490.5634</v>
      </c>
      <c r="T8" s="361">
        <v>520.6065000000008</v>
      </c>
      <c r="U8" s="361">
        <v>557.2556000000004</v>
      </c>
      <c r="V8" s="361">
        <v>582.9241999999995</v>
      </c>
      <c r="W8" s="361">
        <v>626.2569999999996</v>
      </c>
      <c r="X8" s="314">
        <v>643.0929999999989</v>
      </c>
      <c r="Y8" s="362">
        <f t="shared" si="1"/>
        <v>2.6883531840760755</v>
      </c>
      <c r="Z8" s="121" t="s">
        <v>79</v>
      </c>
      <c r="AB8" s="93"/>
    </row>
    <row r="9" spans="1:28" ht="12.75" customHeight="1">
      <c r="A9" s="17"/>
      <c r="B9" s="19" t="s">
        <v>32</v>
      </c>
      <c r="C9" s="363">
        <v>41.107</v>
      </c>
      <c r="D9" s="363">
        <v>64.577</v>
      </c>
      <c r="E9" s="326">
        <v>90.18263176795936</v>
      </c>
      <c r="F9" s="326">
        <v>94.00793986193496</v>
      </c>
      <c r="G9" s="326">
        <v>95.70025664420331</v>
      </c>
      <c r="H9" s="326">
        <v>96.4181066409498</v>
      </c>
      <c r="I9" s="326">
        <v>99.12303147084089</v>
      </c>
      <c r="J9" s="326">
        <v>98.19528144003041</v>
      </c>
      <c r="K9" s="326">
        <v>98.19093290931077</v>
      </c>
      <c r="L9" s="326">
        <v>100.37196033105715</v>
      </c>
      <c r="M9" s="326">
        <v>102.95319955582954</v>
      </c>
      <c r="N9" s="326">
        <v>105.27636835766117</v>
      </c>
      <c r="O9" s="326">
        <v>105.52737419566617</v>
      </c>
      <c r="P9" s="326">
        <v>106.88974468298134</v>
      </c>
      <c r="Q9" s="326">
        <v>108.0700808477054</v>
      </c>
      <c r="R9" s="326">
        <v>106.96765538073197</v>
      </c>
      <c r="S9" s="326">
        <v>108.63499383734003</v>
      </c>
      <c r="T9" s="326">
        <v>108.87610759814541</v>
      </c>
      <c r="U9" s="326">
        <v>109.79844495665847</v>
      </c>
      <c r="V9" s="326">
        <v>112.07827363192347</v>
      </c>
      <c r="W9" s="326">
        <v>110.39313129523909</v>
      </c>
      <c r="X9" s="326">
        <v>111.46972781987417</v>
      </c>
      <c r="Y9" s="364">
        <f t="shared" si="1"/>
        <v>0.9752386874105401</v>
      </c>
      <c r="Z9" s="19" t="s">
        <v>32</v>
      </c>
      <c r="AB9" s="93"/>
    </row>
    <row r="10" spans="1:28" ht="12.75" customHeight="1">
      <c r="A10" s="17"/>
      <c r="B10" s="120" t="s">
        <v>14</v>
      </c>
      <c r="C10" s="365" t="s">
        <v>44</v>
      </c>
      <c r="D10" s="365" t="s">
        <v>44</v>
      </c>
      <c r="E10" s="319"/>
      <c r="F10" s="319"/>
      <c r="G10" s="319"/>
      <c r="H10" s="319"/>
      <c r="I10" s="319"/>
      <c r="J10" s="325">
        <v>25</v>
      </c>
      <c r="K10" s="325">
        <v>24.5</v>
      </c>
      <c r="L10" s="325">
        <v>23.9</v>
      </c>
      <c r="M10" s="325">
        <v>24.6</v>
      </c>
      <c r="N10" s="325">
        <v>25.4</v>
      </c>
      <c r="O10" s="325">
        <v>26.9</v>
      </c>
      <c r="P10" s="325">
        <v>27.9</v>
      </c>
      <c r="Q10" s="325">
        <v>29.3</v>
      </c>
      <c r="R10" s="325">
        <v>30.7</v>
      </c>
      <c r="S10" s="325">
        <v>32.8</v>
      </c>
      <c r="T10" s="325">
        <v>35.1</v>
      </c>
      <c r="U10" s="325">
        <v>37.6</v>
      </c>
      <c r="V10" s="325">
        <v>40.4</v>
      </c>
      <c r="W10" s="325">
        <v>43.2</v>
      </c>
      <c r="X10" s="325">
        <v>46.3</v>
      </c>
      <c r="Y10" s="366">
        <f t="shared" si="1"/>
        <v>7.175925925925908</v>
      </c>
      <c r="Z10" s="120" t="s">
        <v>14</v>
      </c>
      <c r="AB10" s="93"/>
    </row>
    <row r="11" spans="1:28" s="255" customFormat="1" ht="12.75" customHeight="1">
      <c r="A11" s="251"/>
      <c r="B11" s="19" t="s">
        <v>16</v>
      </c>
      <c r="C11" s="367"/>
      <c r="D11" s="367"/>
      <c r="E11" s="368"/>
      <c r="F11" s="321"/>
      <c r="G11" s="321"/>
      <c r="H11" s="321">
        <v>49</v>
      </c>
      <c r="I11" s="321">
        <v>51.7</v>
      </c>
      <c r="J11" s="321">
        <v>54.5</v>
      </c>
      <c r="K11" s="321">
        <v>57.9</v>
      </c>
      <c r="L11" s="321">
        <v>59</v>
      </c>
      <c r="M11" s="318">
        <v>59.726</v>
      </c>
      <c r="N11" s="321">
        <v>62.38</v>
      </c>
      <c r="O11" s="321">
        <v>63.94</v>
      </c>
      <c r="P11" s="321">
        <v>63.47</v>
      </c>
      <c r="Q11" s="321">
        <v>65.29</v>
      </c>
      <c r="R11" s="321">
        <v>67.36</v>
      </c>
      <c r="S11" s="321">
        <v>67.57</v>
      </c>
      <c r="T11" s="321">
        <v>68.64</v>
      </c>
      <c r="U11" s="321">
        <v>69.63</v>
      </c>
      <c r="V11" s="321">
        <v>71.54</v>
      </c>
      <c r="W11" s="321">
        <v>72.38</v>
      </c>
      <c r="X11" s="320">
        <v>72.29</v>
      </c>
      <c r="Y11" s="369">
        <f t="shared" si="1"/>
        <v>-0.12434374136500725</v>
      </c>
      <c r="Z11" s="19" t="s">
        <v>16</v>
      </c>
      <c r="AB11" s="256"/>
    </row>
    <row r="12" spans="1:28" ht="12.75" customHeight="1">
      <c r="A12" s="17"/>
      <c r="B12" s="120" t="s">
        <v>27</v>
      </c>
      <c r="C12" s="365">
        <v>33.3</v>
      </c>
      <c r="D12" s="365">
        <v>38.485</v>
      </c>
      <c r="E12" s="370">
        <v>47.190999999999995</v>
      </c>
      <c r="F12" s="370">
        <v>47.865</v>
      </c>
      <c r="G12" s="370">
        <v>48.126</v>
      </c>
      <c r="H12" s="370">
        <v>47.621</v>
      </c>
      <c r="I12" s="370">
        <v>47.77</v>
      </c>
      <c r="J12" s="370">
        <v>48.388999999999996</v>
      </c>
      <c r="K12" s="370">
        <v>49.042</v>
      </c>
      <c r="L12" s="370">
        <v>49.91</v>
      </c>
      <c r="M12" s="370">
        <v>50.327999999999996</v>
      </c>
      <c r="N12" s="370">
        <v>51.307</v>
      </c>
      <c r="O12" s="370">
        <v>50.616</v>
      </c>
      <c r="P12" s="370">
        <v>49.62</v>
      </c>
      <c r="Q12" s="370">
        <v>49.454</v>
      </c>
      <c r="R12" s="370">
        <v>49.695</v>
      </c>
      <c r="S12" s="370">
        <v>50.557</v>
      </c>
      <c r="T12" s="370">
        <v>50.179</v>
      </c>
      <c r="U12" s="370">
        <v>50.307</v>
      </c>
      <c r="V12" s="370">
        <v>51.694</v>
      </c>
      <c r="W12" s="370">
        <v>52.207</v>
      </c>
      <c r="X12" s="370">
        <v>52.193</v>
      </c>
      <c r="Y12" s="371">
        <f t="shared" si="1"/>
        <v>-0.02681632731243999</v>
      </c>
      <c r="Z12" s="120" t="s">
        <v>27</v>
      </c>
      <c r="AB12" s="93"/>
    </row>
    <row r="13" spans="1:28" s="255" customFormat="1" ht="12.75" customHeight="1">
      <c r="A13" s="251"/>
      <c r="B13" s="19" t="s">
        <v>33</v>
      </c>
      <c r="C13" s="372">
        <v>394.6</v>
      </c>
      <c r="D13" s="372">
        <v>513.7</v>
      </c>
      <c r="E13" s="321">
        <v>683.1</v>
      </c>
      <c r="F13" s="321">
        <v>700</v>
      </c>
      <c r="G13" s="321">
        <v>719.5</v>
      </c>
      <c r="H13" s="373">
        <v>729.8</v>
      </c>
      <c r="I13" s="321">
        <v>807.0219025046072</v>
      </c>
      <c r="J13" s="321">
        <v>815.2976294348988</v>
      </c>
      <c r="K13" s="321">
        <v>816.0723829598729</v>
      </c>
      <c r="L13" s="321">
        <v>817.0706670210186</v>
      </c>
      <c r="M13" s="321">
        <v>828.068802348269</v>
      </c>
      <c r="N13" s="321">
        <v>848.4200042686394</v>
      </c>
      <c r="O13" s="321">
        <v>831.2665448417845</v>
      </c>
      <c r="P13" s="321">
        <v>852.6294387699498</v>
      </c>
      <c r="Q13" s="321">
        <v>862.987</v>
      </c>
      <c r="R13" s="321">
        <v>857.736</v>
      </c>
      <c r="S13" s="321">
        <v>868.65</v>
      </c>
      <c r="T13" s="321">
        <v>856.875</v>
      </c>
      <c r="U13" s="321">
        <v>863.328</v>
      </c>
      <c r="V13" s="321">
        <v>866.5310000000001</v>
      </c>
      <c r="W13" s="321">
        <v>871.328</v>
      </c>
      <c r="X13" s="321">
        <v>886.777</v>
      </c>
      <c r="Y13" s="374">
        <f t="shared" si="1"/>
        <v>1.7730406919093777</v>
      </c>
      <c r="Z13" s="19" t="s">
        <v>33</v>
      </c>
      <c r="AB13" s="256"/>
    </row>
    <row r="14" spans="1:29" ht="25.5" customHeight="1">
      <c r="A14" s="17"/>
      <c r="B14" s="120" t="s">
        <v>17</v>
      </c>
      <c r="C14" s="365" t="s">
        <v>44</v>
      </c>
      <c r="D14" s="365" t="s">
        <v>44</v>
      </c>
      <c r="E14" s="319" t="s">
        <v>44</v>
      </c>
      <c r="F14" s="319" t="s">
        <v>44</v>
      </c>
      <c r="G14" s="319" t="s">
        <v>44</v>
      </c>
      <c r="H14" s="319" t="s">
        <v>44</v>
      </c>
      <c r="I14" s="319" t="s">
        <v>44</v>
      </c>
      <c r="J14" s="325">
        <v>5.1434955</v>
      </c>
      <c r="K14" s="325">
        <v>5.5</v>
      </c>
      <c r="L14" s="325">
        <v>5.8</v>
      </c>
      <c r="M14" s="325">
        <v>6.1924551</v>
      </c>
      <c r="N14" s="325">
        <v>6.4</v>
      </c>
      <c r="O14" s="325">
        <v>6.6821157</v>
      </c>
      <c r="P14" s="325">
        <v>6.809152999999999</v>
      </c>
      <c r="Q14" s="325">
        <v>7.059639600000001</v>
      </c>
      <c r="R14" s="325">
        <v>7.6633115</v>
      </c>
      <c r="S14" s="319">
        <v>7.813</v>
      </c>
      <c r="T14" s="319">
        <v>9.929</v>
      </c>
      <c r="U14" s="319">
        <v>9.946</v>
      </c>
      <c r="V14" s="325">
        <v>10</v>
      </c>
      <c r="W14" s="325">
        <v>10.5</v>
      </c>
      <c r="X14" s="325">
        <v>10.5</v>
      </c>
      <c r="Y14" s="366">
        <f t="shared" si="1"/>
        <v>0</v>
      </c>
      <c r="Z14" s="120" t="s">
        <v>17</v>
      </c>
      <c r="AB14" s="93"/>
      <c r="AC14" s="322"/>
    </row>
    <row r="15" spans="1:28" ht="12.75" customHeight="1">
      <c r="A15" s="17"/>
      <c r="B15" s="19" t="s">
        <v>36</v>
      </c>
      <c r="C15" s="375">
        <v>10</v>
      </c>
      <c r="D15" s="375">
        <v>19</v>
      </c>
      <c r="E15" s="376">
        <v>28.507</v>
      </c>
      <c r="F15" s="376">
        <v>29.038</v>
      </c>
      <c r="G15" s="376">
        <v>29.52</v>
      </c>
      <c r="H15" s="376">
        <v>29.836</v>
      </c>
      <c r="I15" s="376">
        <v>30.56</v>
      </c>
      <c r="J15" s="376">
        <v>31.558</v>
      </c>
      <c r="K15" s="376">
        <v>32.8</v>
      </c>
      <c r="L15" s="376">
        <v>34.361</v>
      </c>
      <c r="M15" s="376">
        <v>35.756</v>
      </c>
      <c r="N15" s="376">
        <v>36.838</v>
      </c>
      <c r="O15" s="376">
        <v>38.375</v>
      </c>
      <c r="P15" s="376">
        <v>39.816</v>
      </c>
      <c r="Q15" s="376">
        <v>40.279</v>
      </c>
      <c r="R15" s="376">
        <v>41.29</v>
      </c>
      <c r="S15" s="317">
        <v>42.209</v>
      </c>
      <c r="T15" s="317">
        <v>43.39</v>
      </c>
      <c r="U15" s="317">
        <v>45.14</v>
      </c>
      <c r="V15" s="317">
        <v>47.468</v>
      </c>
      <c r="W15" s="317">
        <v>49.03</v>
      </c>
      <c r="X15" s="318">
        <v>48.3</v>
      </c>
      <c r="Y15" s="377">
        <f t="shared" si="1"/>
        <v>-1.488884356516429</v>
      </c>
      <c r="Z15" s="19" t="s">
        <v>36</v>
      </c>
      <c r="AB15" s="93"/>
    </row>
    <row r="16" spans="1:28" ht="12.75" customHeight="1">
      <c r="A16" s="17"/>
      <c r="B16" s="120" t="s">
        <v>28</v>
      </c>
      <c r="C16" s="378">
        <v>4.5</v>
      </c>
      <c r="D16" s="378">
        <v>17.5</v>
      </c>
      <c r="E16" s="325">
        <v>35</v>
      </c>
      <c r="F16" s="325">
        <v>36</v>
      </c>
      <c r="G16" s="325">
        <v>37</v>
      </c>
      <c r="H16" s="325">
        <v>39</v>
      </c>
      <c r="I16" s="325">
        <v>42</v>
      </c>
      <c r="J16" s="325">
        <v>44</v>
      </c>
      <c r="K16" s="325">
        <v>47</v>
      </c>
      <c r="L16" s="325">
        <v>50</v>
      </c>
      <c r="M16" s="325">
        <v>53</v>
      </c>
      <c r="N16" s="325">
        <v>58</v>
      </c>
      <c r="O16" s="325">
        <v>63</v>
      </c>
      <c r="P16" s="325">
        <v>68</v>
      </c>
      <c r="Q16" s="325">
        <v>72</v>
      </c>
      <c r="R16" s="325">
        <v>76</v>
      </c>
      <c r="S16" s="325">
        <v>80</v>
      </c>
      <c r="T16" s="325">
        <v>85</v>
      </c>
      <c r="U16" s="325">
        <v>90</v>
      </c>
      <c r="V16" s="325">
        <v>95</v>
      </c>
      <c r="W16" s="325">
        <v>100</v>
      </c>
      <c r="X16" s="325">
        <v>101.3</v>
      </c>
      <c r="Y16" s="366">
        <f t="shared" si="1"/>
        <v>1.29999999999999</v>
      </c>
      <c r="Z16" s="120" t="s">
        <v>28</v>
      </c>
      <c r="AB16" s="93"/>
    </row>
    <row r="17" spans="1:28" ht="12.75" customHeight="1">
      <c r="A17" s="17"/>
      <c r="B17" s="19" t="s">
        <v>34</v>
      </c>
      <c r="C17" s="363">
        <v>64.3</v>
      </c>
      <c r="D17" s="363">
        <v>130.9</v>
      </c>
      <c r="E17" s="379">
        <v>174.4</v>
      </c>
      <c r="F17" s="326">
        <v>207.542</v>
      </c>
      <c r="G17" s="317">
        <v>218.27</v>
      </c>
      <c r="H17" s="317">
        <v>229</v>
      </c>
      <c r="I17" s="317">
        <v>239.7</v>
      </c>
      <c r="J17" s="326">
        <v>250.374</v>
      </c>
      <c r="K17" s="317">
        <v>259</v>
      </c>
      <c r="L17" s="317">
        <v>267.6</v>
      </c>
      <c r="M17" s="326">
        <v>276.173</v>
      </c>
      <c r="N17" s="326">
        <v>293.54</v>
      </c>
      <c r="O17" s="326">
        <v>302.611</v>
      </c>
      <c r="P17" s="326">
        <v>307.955</v>
      </c>
      <c r="Q17" s="317">
        <v>315</v>
      </c>
      <c r="R17" s="326">
        <v>321.928</v>
      </c>
      <c r="S17" s="326">
        <v>330.192</v>
      </c>
      <c r="T17" s="326">
        <v>337.797</v>
      </c>
      <c r="U17" s="326">
        <v>340.937</v>
      </c>
      <c r="V17" s="326">
        <v>343.293</v>
      </c>
      <c r="W17" s="326">
        <v>342.611</v>
      </c>
      <c r="X17" s="326">
        <v>350.536</v>
      </c>
      <c r="Y17" s="364">
        <f t="shared" si="1"/>
        <v>2.313118959986693</v>
      </c>
      <c r="Z17" s="19" t="s">
        <v>34</v>
      </c>
      <c r="AB17" s="93"/>
    </row>
    <row r="18" spans="1:28" ht="12.75" customHeight="1">
      <c r="A18" s="17"/>
      <c r="B18" s="120" t="s">
        <v>35</v>
      </c>
      <c r="C18" s="365">
        <v>304.7</v>
      </c>
      <c r="D18" s="365">
        <v>452.5</v>
      </c>
      <c r="E18" s="319">
        <v>585.592</v>
      </c>
      <c r="F18" s="319">
        <v>591.448</v>
      </c>
      <c r="G18" s="319">
        <v>606.234</v>
      </c>
      <c r="H18" s="319">
        <v>611.084</v>
      </c>
      <c r="I18" s="319">
        <v>623.305</v>
      </c>
      <c r="J18" s="319">
        <v>640.134</v>
      </c>
      <c r="K18" s="319">
        <v>649.096</v>
      </c>
      <c r="L18" s="319">
        <v>659.482</v>
      </c>
      <c r="M18" s="319">
        <v>678.607</v>
      </c>
      <c r="N18" s="319">
        <v>699.644</v>
      </c>
      <c r="O18" s="319">
        <v>699.6437002590993</v>
      </c>
      <c r="P18" s="319">
        <v>727.5898922972551</v>
      </c>
      <c r="Q18" s="319">
        <v>733.4537248256521</v>
      </c>
      <c r="R18" s="319">
        <v>738.5776325472841</v>
      </c>
      <c r="S18" s="319">
        <v>736.9445091696297</v>
      </c>
      <c r="T18" s="319">
        <v>727.3642305504245</v>
      </c>
      <c r="U18" s="319">
        <v>723.7939414127826</v>
      </c>
      <c r="V18" s="319">
        <v>727.8163071131357</v>
      </c>
      <c r="W18" s="319">
        <v>720.1726737675934</v>
      </c>
      <c r="X18" s="319">
        <v>723.8797318581883</v>
      </c>
      <c r="Y18" s="380">
        <f t="shared" si="1"/>
        <v>0.514745730520616</v>
      </c>
      <c r="Z18" s="120" t="s">
        <v>35</v>
      </c>
      <c r="AB18" s="93"/>
    </row>
    <row r="19" spans="1:28" s="255" customFormat="1" ht="12.75" customHeight="1">
      <c r="A19" s="251"/>
      <c r="B19" s="19" t="s">
        <v>37</v>
      </c>
      <c r="C19" s="372">
        <v>211.934</v>
      </c>
      <c r="D19" s="372">
        <v>324.034</v>
      </c>
      <c r="E19" s="381">
        <v>522.593</v>
      </c>
      <c r="F19" s="318">
        <v>538.27</v>
      </c>
      <c r="G19" s="318">
        <v>602.21</v>
      </c>
      <c r="H19" s="318">
        <v>603.09</v>
      </c>
      <c r="I19" s="321">
        <v>600.3</v>
      </c>
      <c r="J19" s="321">
        <v>614.713</v>
      </c>
      <c r="K19" s="321">
        <v>627.383</v>
      </c>
      <c r="L19" s="321">
        <v>638.837</v>
      </c>
      <c r="M19" s="321">
        <v>662.545</v>
      </c>
      <c r="N19" s="373">
        <v>663.319</v>
      </c>
      <c r="O19" s="321">
        <v>726.529</v>
      </c>
      <c r="P19" s="321">
        <v>717.683</v>
      </c>
      <c r="Q19" s="321">
        <v>711.733</v>
      </c>
      <c r="R19" s="321">
        <v>710.988</v>
      </c>
      <c r="S19" s="321">
        <v>716.06</v>
      </c>
      <c r="T19" s="321">
        <v>688.986</v>
      </c>
      <c r="U19" s="321">
        <v>744.86</v>
      </c>
      <c r="V19" s="321">
        <v>768.347</v>
      </c>
      <c r="W19" s="321">
        <v>736.783</v>
      </c>
      <c r="X19" s="320">
        <v>708.109</v>
      </c>
      <c r="Y19" s="369">
        <f t="shared" si="1"/>
        <v>-3.8917836052134724</v>
      </c>
      <c r="Z19" s="19" t="s">
        <v>37</v>
      </c>
      <c r="AB19" s="256"/>
    </row>
    <row r="20" spans="1:28" ht="12.75" customHeight="1">
      <c r="A20" s="17"/>
      <c r="B20" s="120" t="s">
        <v>15</v>
      </c>
      <c r="C20" s="365" t="s">
        <v>44</v>
      </c>
      <c r="D20" s="365" t="s">
        <v>44</v>
      </c>
      <c r="E20" s="319" t="s">
        <v>44</v>
      </c>
      <c r="F20" s="319" t="s">
        <v>44</v>
      </c>
      <c r="G20" s="319" t="s">
        <v>44</v>
      </c>
      <c r="H20" s="319" t="s">
        <v>44</v>
      </c>
      <c r="I20" s="319" t="s">
        <v>44</v>
      </c>
      <c r="J20" s="382">
        <v>3.4</v>
      </c>
      <c r="K20" s="382">
        <v>3.5</v>
      </c>
      <c r="L20" s="382">
        <v>3.6</v>
      </c>
      <c r="M20" s="382">
        <v>3.7</v>
      </c>
      <c r="N20" s="382">
        <v>3.8</v>
      </c>
      <c r="O20" s="382">
        <v>3.9</v>
      </c>
      <c r="P20" s="382">
        <v>4</v>
      </c>
      <c r="Q20" s="382">
        <v>4.1</v>
      </c>
      <c r="R20" s="382">
        <v>4.15</v>
      </c>
      <c r="S20" s="325">
        <v>4.6</v>
      </c>
      <c r="T20" s="325">
        <v>4.8</v>
      </c>
      <c r="U20" s="325">
        <v>5</v>
      </c>
      <c r="V20" s="325">
        <v>5.3</v>
      </c>
      <c r="W20" s="325">
        <v>5.75</v>
      </c>
      <c r="X20" s="325">
        <v>6</v>
      </c>
      <c r="Y20" s="366">
        <f t="shared" si="1"/>
        <v>4.347826086956519</v>
      </c>
      <c r="Z20" s="120" t="s">
        <v>15</v>
      </c>
      <c r="AB20" s="93"/>
    </row>
    <row r="21" spans="1:28" s="255" customFormat="1" ht="12.75" customHeight="1">
      <c r="A21" s="251"/>
      <c r="B21" s="19" t="s">
        <v>19</v>
      </c>
      <c r="C21" s="372" t="s">
        <v>44</v>
      </c>
      <c r="D21" s="372" t="s">
        <v>44</v>
      </c>
      <c r="E21" s="321" t="s">
        <v>44</v>
      </c>
      <c r="F21" s="321" t="s">
        <v>44</v>
      </c>
      <c r="G21" s="321" t="s">
        <v>44</v>
      </c>
      <c r="H21" s="321" t="s">
        <v>44</v>
      </c>
      <c r="I21" s="321" t="s">
        <v>44</v>
      </c>
      <c r="J21" s="383">
        <v>7.5</v>
      </c>
      <c r="K21" s="383">
        <v>8</v>
      </c>
      <c r="L21" s="383">
        <v>9</v>
      </c>
      <c r="M21" s="383">
        <v>10</v>
      </c>
      <c r="N21" s="383">
        <v>11</v>
      </c>
      <c r="O21" s="383">
        <v>11.5</v>
      </c>
      <c r="P21" s="383">
        <v>12</v>
      </c>
      <c r="Q21" s="383">
        <v>12.5</v>
      </c>
      <c r="R21" s="383">
        <v>13</v>
      </c>
      <c r="S21" s="318">
        <v>11.5064</v>
      </c>
      <c r="T21" s="318">
        <v>12.1115</v>
      </c>
      <c r="U21" s="318">
        <v>14.0196</v>
      </c>
      <c r="V21" s="318">
        <v>15.9572</v>
      </c>
      <c r="W21" s="318">
        <v>17</v>
      </c>
      <c r="X21" s="318">
        <v>16.7</v>
      </c>
      <c r="Y21" s="377">
        <f t="shared" si="1"/>
        <v>-1.764705882352946</v>
      </c>
      <c r="Z21" s="19" t="s">
        <v>19</v>
      </c>
      <c r="AB21" s="256"/>
    </row>
    <row r="22" spans="1:28" ht="12.75" customHeight="1">
      <c r="A22" s="17"/>
      <c r="B22" s="120" t="s">
        <v>20</v>
      </c>
      <c r="C22" s="365" t="s">
        <v>44</v>
      </c>
      <c r="D22" s="365" t="s">
        <v>44</v>
      </c>
      <c r="E22" s="319" t="s">
        <v>44</v>
      </c>
      <c r="F22" s="319" t="s">
        <v>44</v>
      </c>
      <c r="G22" s="319" t="s">
        <v>44</v>
      </c>
      <c r="H22" s="319" t="s">
        <v>44</v>
      </c>
      <c r="I22" s="319" t="s">
        <v>44</v>
      </c>
      <c r="J22" s="325">
        <v>16</v>
      </c>
      <c r="K22" s="325">
        <v>18</v>
      </c>
      <c r="L22" s="325">
        <v>20</v>
      </c>
      <c r="M22" s="325">
        <v>22</v>
      </c>
      <c r="N22" s="325">
        <v>25</v>
      </c>
      <c r="O22" s="325">
        <v>26</v>
      </c>
      <c r="P22" s="325">
        <v>26</v>
      </c>
      <c r="Q22" s="325">
        <v>26</v>
      </c>
      <c r="R22" s="325">
        <v>29</v>
      </c>
      <c r="S22" s="325">
        <v>31</v>
      </c>
      <c r="T22" s="319">
        <v>34.793</v>
      </c>
      <c r="U22" s="319">
        <v>39.472</v>
      </c>
      <c r="V22" s="319">
        <v>39.119</v>
      </c>
      <c r="W22" s="319">
        <v>37.991</v>
      </c>
      <c r="X22" s="319">
        <v>36.055</v>
      </c>
      <c r="Y22" s="380">
        <f t="shared" si="1"/>
        <v>-5.095943776157508</v>
      </c>
      <c r="Z22" s="120" t="s">
        <v>20</v>
      </c>
      <c r="AB22" s="93"/>
    </row>
    <row r="23" spans="1:28" s="255" customFormat="1" ht="12.75" customHeight="1">
      <c r="A23" s="251"/>
      <c r="B23" s="19" t="s">
        <v>38</v>
      </c>
      <c r="C23" s="384">
        <v>2.1</v>
      </c>
      <c r="D23" s="384">
        <v>2.7</v>
      </c>
      <c r="E23" s="318">
        <v>4</v>
      </c>
      <c r="F23" s="318">
        <v>4.15</v>
      </c>
      <c r="G23" s="318">
        <v>4.3</v>
      </c>
      <c r="H23" s="318">
        <v>4.5</v>
      </c>
      <c r="I23" s="318">
        <v>4.6</v>
      </c>
      <c r="J23" s="318">
        <v>4.7</v>
      </c>
      <c r="K23" s="318">
        <v>4.8</v>
      </c>
      <c r="L23" s="318">
        <v>4.9</v>
      </c>
      <c r="M23" s="318">
        <v>5</v>
      </c>
      <c r="N23" s="318">
        <v>5</v>
      </c>
      <c r="O23" s="318">
        <v>5.6</v>
      </c>
      <c r="P23" s="318">
        <v>5.8</v>
      </c>
      <c r="Q23" s="318">
        <v>5.9</v>
      </c>
      <c r="R23" s="318">
        <v>6</v>
      </c>
      <c r="S23" s="318">
        <v>6.1</v>
      </c>
      <c r="T23" s="318">
        <v>6.3</v>
      </c>
      <c r="U23" s="318">
        <v>6.5</v>
      </c>
      <c r="V23" s="318">
        <v>6.6</v>
      </c>
      <c r="W23" s="318">
        <v>6.7</v>
      </c>
      <c r="X23" s="318">
        <v>6.7</v>
      </c>
      <c r="Y23" s="377">
        <f t="shared" si="1"/>
        <v>0</v>
      </c>
      <c r="Z23" s="19" t="s">
        <v>38</v>
      </c>
      <c r="AB23" s="256"/>
    </row>
    <row r="24" spans="1:28" ht="12.75" customHeight="1">
      <c r="A24" s="17"/>
      <c r="B24" s="120" t="s">
        <v>18</v>
      </c>
      <c r="C24" s="365" t="s">
        <v>44</v>
      </c>
      <c r="D24" s="365" t="s">
        <v>44</v>
      </c>
      <c r="E24" s="319">
        <v>47</v>
      </c>
      <c r="F24" s="319">
        <v>46.8</v>
      </c>
      <c r="G24" s="319">
        <v>44.6</v>
      </c>
      <c r="H24" s="319">
        <v>44</v>
      </c>
      <c r="I24" s="319">
        <v>44.9</v>
      </c>
      <c r="J24" s="319">
        <v>45.4</v>
      </c>
      <c r="K24" s="319">
        <v>45.6</v>
      </c>
      <c r="L24" s="319">
        <v>46.1</v>
      </c>
      <c r="M24" s="319">
        <v>46.15</v>
      </c>
      <c r="N24" s="319">
        <v>46.17</v>
      </c>
      <c r="O24" s="319">
        <v>46.18</v>
      </c>
      <c r="P24" s="319">
        <v>46.18</v>
      </c>
      <c r="Q24" s="319">
        <v>46.3</v>
      </c>
      <c r="R24" s="319">
        <v>46.36</v>
      </c>
      <c r="S24" s="319">
        <v>46.45</v>
      </c>
      <c r="T24" s="319">
        <v>46.6</v>
      </c>
      <c r="U24" s="385">
        <v>46.85</v>
      </c>
      <c r="V24" s="319">
        <v>41.419</v>
      </c>
      <c r="W24" s="319">
        <v>42.013</v>
      </c>
      <c r="X24" s="325">
        <v>41.2</v>
      </c>
      <c r="Y24" s="366">
        <f t="shared" si="1"/>
        <v>-1.935115321448111</v>
      </c>
      <c r="Z24" s="120" t="s">
        <v>18</v>
      </c>
      <c r="AB24" s="93"/>
    </row>
    <row r="25" spans="1:28" s="255" customFormat="1" ht="12.75" customHeight="1">
      <c r="A25" s="251"/>
      <c r="B25" s="19" t="s">
        <v>21</v>
      </c>
      <c r="C25" s="372" t="s">
        <v>44</v>
      </c>
      <c r="D25" s="372" t="s">
        <v>44</v>
      </c>
      <c r="E25" s="321" t="s">
        <v>44</v>
      </c>
      <c r="F25" s="321" t="s">
        <v>44</v>
      </c>
      <c r="G25" s="321" t="s">
        <v>44</v>
      </c>
      <c r="H25" s="321" t="s">
        <v>44</v>
      </c>
      <c r="I25" s="321" t="s">
        <v>44</v>
      </c>
      <c r="J25" s="318">
        <v>1.7</v>
      </c>
      <c r="K25" s="318">
        <v>1.72</v>
      </c>
      <c r="L25" s="318">
        <v>1.74</v>
      </c>
      <c r="M25" s="318">
        <v>1.76</v>
      </c>
      <c r="N25" s="318">
        <v>1.78</v>
      </c>
      <c r="O25" s="318">
        <v>1.8</v>
      </c>
      <c r="P25" s="318">
        <v>1.8</v>
      </c>
      <c r="Q25" s="318">
        <v>1.85</v>
      </c>
      <c r="R25" s="318">
        <v>1.9</v>
      </c>
      <c r="S25" s="318">
        <v>1.95</v>
      </c>
      <c r="T25" s="318">
        <v>2</v>
      </c>
      <c r="U25" s="318">
        <v>2.05</v>
      </c>
      <c r="V25" s="318">
        <v>2.1</v>
      </c>
      <c r="W25" s="318">
        <v>2.15</v>
      </c>
      <c r="X25" s="318">
        <v>2.2</v>
      </c>
      <c r="Y25" s="377">
        <f t="shared" si="1"/>
        <v>2.3255813953488413</v>
      </c>
      <c r="Z25" s="19" t="s">
        <v>21</v>
      </c>
      <c r="AB25" s="256"/>
    </row>
    <row r="26" spans="1:28" ht="12.75" customHeight="1">
      <c r="A26" s="17"/>
      <c r="B26" s="120" t="s">
        <v>29</v>
      </c>
      <c r="C26" s="365">
        <v>67.1</v>
      </c>
      <c r="D26" s="386">
        <v>108.1</v>
      </c>
      <c r="E26" s="319">
        <v>137.3</v>
      </c>
      <c r="F26" s="319">
        <v>124.5</v>
      </c>
      <c r="G26" s="319">
        <v>129.1</v>
      </c>
      <c r="H26" s="319">
        <v>126.1</v>
      </c>
      <c r="I26" s="319">
        <v>128.8</v>
      </c>
      <c r="J26" s="319">
        <v>131.4</v>
      </c>
      <c r="K26" s="319">
        <v>132.7</v>
      </c>
      <c r="L26" s="319">
        <v>136.5</v>
      </c>
      <c r="M26" s="319">
        <v>137.1</v>
      </c>
      <c r="N26" s="319">
        <v>141.3</v>
      </c>
      <c r="O26" s="319">
        <v>141.1</v>
      </c>
      <c r="P26" s="319">
        <v>141.6</v>
      </c>
      <c r="Q26" s="319">
        <v>144.2</v>
      </c>
      <c r="R26" s="319">
        <v>146.1</v>
      </c>
      <c r="S26" s="319">
        <v>151.6</v>
      </c>
      <c r="T26" s="319">
        <v>148.8</v>
      </c>
      <c r="U26" s="319">
        <v>148</v>
      </c>
      <c r="V26" s="319">
        <v>148.8</v>
      </c>
      <c r="W26" s="319">
        <v>147</v>
      </c>
      <c r="X26" s="325">
        <v>146.3</v>
      </c>
      <c r="Y26" s="366">
        <f t="shared" si="1"/>
        <v>-0.4761904761904634</v>
      </c>
      <c r="Z26" s="120" t="s">
        <v>29</v>
      </c>
      <c r="AB26" s="93"/>
    </row>
    <row r="27" spans="1:28" s="255" customFormat="1" ht="12.75" customHeight="1">
      <c r="A27" s="251"/>
      <c r="B27" s="19" t="s">
        <v>39</v>
      </c>
      <c r="C27" s="372">
        <v>32.9</v>
      </c>
      <c r="D27" s="372">
        <v>47.8</v>
      </c>
      <c r="E27" s="321">
        <v>55.677</v>
      </c>
      <c r="F27" s="321">
        <v>57.391</v>
      </c>
      <c r="G27" s="321">
        <v>58.959</v>
      </c>
      <c r="H27" s="321">
        <v>59.785</v>
      </c>
      <c r="I27" s="321">
        <v>61.803</v>
      </c>
      <c r="J27" s="321">
        <v>62.156</v>
      </c>
      <c r="K27" s="321">
        <v>63.073</v>
      </c>
      <c r="L27" s="321">
        <v>63.864</v>
      </c>
      <c r="M27" s="321">
        <v>64.861</v>
      </c>
      <c r="N27" s="321">
        <v>66.11</v>
      </c>
      <c r="O27" s="321">
        <v>66.668</v>
      </c>
      <c r="P27" s="321">
        <v>67.104</v>
      </c>
      <c r="Q27" s="321">
        <v>67.96</v>
      </c>
      <c r="R27" s="321">
        <v>68.941</v>
      </c>
      <c r="S27" s="321">
        <v>69.608</v>
      </c>
      <c r="T27" s="321">
        <v>70.557</v>
      </c>
      <c r="U27" s="321">
        <v>70.893</v>
      </c>
      <c r="V27" s="321">
        <v>72.023</v>
      </c>
      <c r="W27" s="321">
        <v>73.281</v>
      </c>
      <c r="X27" s="320">
        <v>72.259</v>
      </c>
      <c r="Y27" s="369">
        <f t="shared" si="1"/>
        <v>-1.3946316234767608</v>
      </c>
      <c r="Z27" s="19" t="s">
        <v>39</v>
      </c>
      <c r="AB27" s="256"/>
    </row>
    <row r="28" spans="1:28" ht="12.75" customHeight="1">
      <c r="A28" s="17"/>
      <c r="B28" s="120" t="s">
        <v>22</v>
      </c>
      <c r="C28" s="365" t="s">
        <v>44</v>
      </c>
      <c r="D28" s="365" t="s">
        <v>44</v>
      </c>
      <c r="E28" s="319" t="s">
        <v>44</v>
      </c>
      <c r="F28" s="319"/>
      <c r="G28" s="319"/>
      <c r="H28" s="319"/>
      <c r="I28" s="319"/>
      <c r="J28" s="319">
        <v>110.7</v>
      </c>
      <c r="K28" s="319">
        <v>121.6</v>
      </c>
      <c r="L28" s="319">
        <v>132</v>
      </c>
      <c r="M28" s="319">
        <v>141.1</v>
      </c>
      <c r="N28" s="319">
        <v>143</v>
      </c>
      <c r="O28" s="319">
        <v>149.7</v>
      </c>
      <c r="P28" s="319">
        <v>157.7</v>
      </c>
      <c r="Q28" s="319">
        <v>167.4</v>
      </c>
      <c r="R28" s="319">
        <v>172.4</v>
      </c>
      <c r="S28" s="319">
        <v>181.5</v>
      </c>
      <c r="T28" s="319">
        <v>197.3</v>
      </c>
      <c r="U28" s="319">
        <v>219.24</v>
      </c>
      <c r="V28" s="319">
        <v>239.26</v>
      </c>
      <c r="W28" s="319">
        <v>273.5</v>
      </c>
      <c r="X28" s="319">
        <v>285.028</v>
      </c>
      <c r="Y28" s="380">
        <f t="shared" si="1"/>
        <v>4.214990859232182</v>
      </c>
      <c r="Z28" s="120" t="s">
        <v>22</v>
      </c>
      <c r="AB28" s="93"/>
    </row>
    <row r="29" spans="1:28" s="255" customFormat="1" ht="12.75" customHeight="1">
      <c r="A29" s="251"/>
      <c r="B29" s="19" t="s">
        <v>40</v>
      </c>
      <c r="C29" s="384">
        <v>13.8</v>
      </c>
      <c r="D29" s="384">
        <v>29</v>
      </c>
      <c r="E29" s="318">
        <v>40</v>
      </c>
      <c r="F29" s="318">
        <v>41</v>
      </c>
      <c r="G29" s="318">
        <v>43</v>
      </c>
      <c r="H29" s="318">
        <v>46</v>
      </c>
      <c r="I29" s="318">
        <v>49</v>
      </c>
      <c r="J29" s="318">
        <v>52.5</v>
      </c>
      <c r="K29" s="318">
        <v>56</v>
      </c>
      <c r="L29" s="318">
        <v>60</v>
      </c>
      <c r="M29" s="318">
        <v>64</v>
      </c>
      <c r="N29" s="318">
        <v>68</v>
      </c>
      <c r="O29" s="318">
        <v>71</v>
      </c>
      <c r="P29" s="318">
        <v>73.2</v>
      </c>
      <c r="Q29" s="318">
        <v>77.7</v>
      </c>
      <c r="R29" s="318">
        <v>81.5</v>
      </c>
      <c r="S29" s="318">
        <v>83</v>
      </c>
      <c r="T29" s="318">
        <v>85</v>
      </c>
      <c r="U29" s="318">
        <v>86</v>
      </c>
      <c r="V29" s="318">
        <v>86.6</v>
      </c>
      <c r="W29" s="318">
        <v>87</v>
      </c>
      <c r="X29" s="318">
        <v>86</v>
      </c>
      <c r="Y29" s="377">
        <f t="shared" si="1"/>
        <v>-1.1494252873563204</v>
      </c>
      <c r="Z29" s="19" t="s">
        <v>40</v>
      </c>
      <c r="AB29" s="256"/>
    </row>
    <row r="30" spans="1:28" ht="12.75" customHeight="1">
      <c r="A30" s="17"/>
      <c r="B30" s="120" t="s">
        <v>23</v>
      </c>
      <c r="C30" s="378"/>
      <c r="D30" s="378"/>
      <c r="E30" s="325"/>
      <c r="F30" s="325"/>
      <c r="G30" s="325"/>
      <c r="H30" s="325"/>
      <c r="I30" s="325"/>
      <c r="J30" s="325">
        <v>40</v>
      </c>
      <c r="K30" s="325">
        <v>42.5</v>
      </c>
      <c r="L30" s="325">
        <v>45</v>
      </c>
      <c r="M30" s="325">
        <v>47</v>
      </c>
      <c r="N30" s="325">
        <v>49</v>
      </c>
      <c r="O30" s="325">
        <v>51</v>
      </c>
      <c r="P30" s="325">
        <v>52.5</v>
      </c>
      <c r="Q30" s="325">
        <v>54</v>
      </c>
      <c r="R30" s="325">
        <v>56</v>
      </c>
      <c r="S30" s="325">
        <v>58</v>
      </c>
      <c r="T30" s="325">
        <v>61</v>
      </c>
      <c r="U30" s="325">
        <v>64.1</v>
      </c>
      <c r="V30" s="325">
        <v>67.5</v>
      </c>
      <c r="W30" s="325">
        <v>70.5</v>
      </c>
      <c r="X30" s="325">
        <v>75.5</v>
      </c>
      <c r="Y30" s="366">
        <f t="shared" si="1"/>
        <v>7.092198581560294</v>
      </c>
      <c r="Z30" s="120" t="s">
        <v>23</v>
      </c>
      <c r="AB30" s="93"/>
    </row>
    <row r="31" spans="1:28" ht="12.75" customHeight="1">
      <c r="A31" s="17"/>
      <c r="B31" s="19" t="s">
        <v>25</v>
      </c>
      <c r="C31" s="363" t="s">
        <v>44</v>
      </c>
      <c r="D31" s="363" t="s">
        <v>44</v>
      </c>
      <c r="E31" s="387">
        <v>13.32</v>
      </c>
      <c r="F31" s="387">
        <v>12.606</v>
      </c>
      <c r="G31" s="387">
        <v>13.386</v>
      </c>
      <c r="H31" s="387">
        <v>13.979</v>
      </c>
      <c r="I31" s="387">
        <v>15.178</v>
      </c>
      <c r="J31" s="387">
        <v>16.338</v>
      </c>
      <c r="K31" s="387">
        <v>17.794</v>
      </c>
      <c r="L31" s="387">
        <v>19.011</v>
      </c>
      <c r="M31" s="387">
        <v>18.98</v>
      </c>
      <c r="N31" s="387">
        <v>20.074</v>
      </c>
      <c r="O31" s="387">
        <v>20.325</v>
      </c>
      <c r="P31" s="387">
        <v>20.801</v>
      </c>
      <c r="Q31" s="387">
        <v>21.287</v>
      </c>
      <c r="R31" s="387">
        <v>21.331</v>
      </c>
      <c r="S31" s="326">
        <v>22.042</v>
      </c>
      <c r="T31" s="326">
        <v>22.509</v>
      </c>
      <c r="U31" s="326">
        <v>23.006</v>
      </c>
      <c r="V31" s="326">
        <v>24.335</v>
      </c>
      <c r="W31" s="326">
        <v>24.878</v>
      </c>
      <c r="X31" s="318">
        <v>24.9</v>
      </c>
      <c r="Y31" s="377">
        <f t="shared" si="1"/>
        <v>0.08843154594420088</v>
      </c>
      <c r="Z31" s="19" t="s">
        <v>25</v>
      </c>
      <c r="AB31" s="93"/>
    </row>
    <row r="32" spans="1:28" ht="12.75" customHeight="1">
      <c r="A32" s="17"/>
      <c r="B32" s="120" t="s">
        <v>24</v>
      </c>
      <c r="C32" s="388"/>
      <c r="D32" s="388"/>
      <c r="E32" s="389"/>
      <c r="F32" s="319"/>
      <c r="G32" s="319"/>
      <c r="H32" s="319">
        <v>17.554</v>
      </c>
      <c r="I32" s="319">
        <v>17.293</v>
      </c>
      <c r="J32" s="319">
        <v>17.977</v>
      </c>
      <c r="K32" s="319">
        <v>17.993</v>
      </c>
      <c r="L32" s="319">
        <v>18.568</v>
      </c>
      <c r="M32" s="319">
        <v>19.302</v>
      </c>
      <c r="N32" s="319">
        <v>21.541</v>
      </c>
      <c r="O32" s="319">
        <v>23.929</v>
      </c>
      <c r="P32" s="319">
        <v>24.056</v>
      </c>
      <c r="Q32" s="319">
        <v>24.978</v>
      </c>
      <c r="R32" s="319">
        <v>25.224</v>
      </c>
      <c r="S32" s="319">
        <v>25.332</v>
      </c>
      <c r="T32" s="319">
        <v>25.824</v>
      </c>
      <c r="U32" s="319">
        <v>26.342</v>
      </c>
      <c r="V32" s="319">
        <v>25.994</v>
      </c>
      <c r="W32" s="319">
        <v>26.395</v>
      </c>
      <c r="X32" s="319">
        <v>26.42</v>
      </c>
      <c r="Y32" s="380">
        <f t="shared" si="1"/>
        <v>0.09471490812653638</v>
      </c>
      <c r="Z32" s="120" t="s">
        <v>24</v>
      </c>
      <c r="AB32" s="93"/>
    </row>
    <row r="33" spans="1:28" ht="12.75" customHeight="1">
      <c r="A33" s="17"/>
      <c r="B33" s="19" t="s">
        <v>41</v>
      </c>
      <c r="C33" s="363">
        <v>23.7</v>
      </c>
      <c r="D33" s="363">
        <v>34.8</v>
      </c>
      <c r="E33" s="326">
        <v>51.2</v>
      </c>
      <c r="F33" s="326">
        <v>50.6</v>
      </c>
      <c r="G33" s="326">
        <v>50.5</v>
      </c>
      <c r="H33" s="326">
        <v>49.7</v>
      </c>
      <c r="I33" s="326">
        <v>49.6</v>
      </c>
      <c r="J33" s="326">
        <v>50</v>
      </c>
      <c r="K33" s="326">
        <v>50.4</v>
      </c>
      <c r="L33" s="326">
        <v>51.9</v>
      </c>
      <c r="M33" s="326">
        <v>53.3</v>
      </c>
      <c r="N33" s="326">
        <v>54.9</v>
      </c>
      <c r="O33" s="326">
        <v>55.7</v>
      </c>
      <c r="P33" s="326">
        <v>57</v>
      </c>
      <c r="Q33" s="326">
        <v>58.3</v>
      </c>
      <c r="R33" s="326">
        <v>59.59</v>
      </c>
      <c r="S33" s="326">
        <v>60.94</v>
      </c>
      <c r="T33" s="326">
        <v>61.91</v>
      </c>
      <c r="U33" s="326">
        <v>62.455</v>
      </c>
      <c r="V33" s="326">
        <v>63.785</v>
      </c>
      <c r="W33" s="326">
        <v>63.4</v>
      </c>
      <c r="X33" s="326">
        <v>64.33</v>
      </c>
      <c r="Y33" s="364">
        <f t="shared" si="1"/>
        <v>1.4668769716088326</v>
      </c>
      <c r="Z33" s="19" t="s">
        <v>41</v>
      </c>
      <c r="AB33" s="93"/>
    </row>
    <row r="34" spans="1:28" ht="12.75" customHeight="1">
      <c r="A34" s="17"/>
      <c r="B34" s="120" t="s">
        <v>42</v>
      </c>
      <c r="C34" s="365">
        <v>56.1</v>
      </c>
      <c r="D34" s="386">
        <v>67.4</v>
      </c>
      <c r="E34" s="319">
        <v>85.945</v>
      </c>
      <c r="F34" s="319">
        <v>86.494</v>
      </c>
      <c r="G34" s="319">
        <v>87.552</v>
      </c>
      <c r="H34" s="319">
        <v>85.683</v>
      </c>
      <c r="I34" s="319">
        <v>86.65</v>
      </c>
      <c r="J34" s="319">
        <v>87.622</v>
      </c>
      <c r="K34" s="319">
        <v>87.983</v>
      </c>
      <c r="L34" s="319">
        <v>88.107</v>
      </c>
      <c r="M34" s="319">
        <v>88.811</v>
      </c>
      <c r="N34" s="319">
        <v>90.754</v>
      </c>
      <c r="O34" s="319">
        <v>91.868</v>
      </c>
      <c r="P34" s="319">
        <v>92.78</v>
      </c>
      <c r="Q34" s="319">
        <v>95.42</v>
      </c>
      <c r="R34" s="319">
        <v>96.32</v>
      </c>
      <c r="S34" s="319">
        <v>96.98</v>
      </c>
      <c r="T34" s="319">
        <v>97.31</v>
      </c>
      <c r="U34" s="319">
        <v>96.988</v>
      </c>
      <c r="V34" s="319">
        <v>99.315</v>
      </c>
      <c r="W34" s="319">
        <v>98.422</v>
      </c>
      <c r="X34" s="319">
        <v>99.4</v>
      </c>
      <c r="Y34" s="380">
        <f t="shared" si="1"/>
        <v>0.9936802747353424</v>
      </c>
      <c r="Z34" s="120" t="s">
        <v>42</v>
      </c>
      <c r="AB34" s="93"/>
    </row>
    <row r="35" spans="1:28" ht="12.75" customHeight="1">
      <c r="A35" s="17"/>
      <c r="B35" s="20" t="s">
        <v>30</v>
      </c>
      <c r="C35" s="363">
        <v>297</v>
      </c>
      <c r="D35" s="363">
        <v>388</v>
      </c>
      <c r="E35" s="326">
        <v>588.0080122315558</v>
      </c>
      <c r="F35" s="326">
        <v>582.210511129872</v>
      </c>
      <c r="G35" s="326">
        <v>583.0444742310589</v>
      </c>
      <c r="H35" s="390">
        <v>583.7875633679132</v>
      </c>
      <c r="I35" s="326">
        <v>614</v>
      </c>
      <c r="J35" s="328">
        <v>617.9</v>
      </c>
      <c r="K35" s="328">
        <v>622.2654719600544</v>
      </c>
      <c r="L35" s="326">
        <v>632.3684424546157</v>
      </c>
      <c r="M35" s="326">
        <v>635.6775225864668</v>
      </c>
      <c r="N35" s="326">
        <v>642.0866819761951</v>
      </c>
      <c r="O35" s="326">
        <v>639.714670140009</v>
      </c>
      <c r="P35" s="326">
        <v>653.8414</v>
      </c>
      <c r="Q35" s="326">
        <v>676.6629</v>
      </c>
      <c r="R35" s="326">
        <v>673.57</v>
      </c>
      <c r="S35" s="326">
        <v>679.49</v>
      </c>
      <c r="T35" s="326">
        <v>674.823</v>
      </c>
      <c r="U35" s="326">
        <v>681.53</v>
      </c>
      <c r="V35" s="326">
        <v>684.64</v>
      </c>
      <c r="W35" s="326">
        <v>678.05</v>
      </c>
      <c r="X35" s="328">
        <v>680.18</v>
      </c>
      <c r="Y35" s="391">
        <f t="shared" si="1"/>
        <v>0.3141361256544517</v>
      </c>
      <c r="Z35" s="20" t="s">
        <v>30</v>
      </c>
      <c r="AB35" s="93"/>
    </row>
    <row r="36" spans="1:28" ht="12.75" customHeight="1">
      <c r="A36" s="17"/>
      <c r="B36" s="120" t="s">
        <v>47</v>
      </c>
      <c r="C36" s="392"/>
      <c r="D36" s="392"/>
      <c r="E36" s="393"/>
      <c r="F36" s="393"/>
      <c r="G36" s="393"/>
      <c r="H36" s="393"/>
      <c r="I36" s="393"/>
      <c r="J36" s="329">
        <v>12.5</v>
      </c>
      <c r="K36" s="329">
        <v>14.75</v>
      </c>
      <c r="L36" s="329">
        <v>16.5</v>
      </c>
      <c r="M36" s="329">
        <v>17.5</v>
      </c>
      <c r="N36" s="329">
        <v>19</v>
      </c>
      <c r="O36" s="329">
        <v>20</v>
      </c>
      <c r="P36" s="329">
        <v>21</v>
      </c>
      <c r="Q36" s="329">
        <v>22</v>
      </c>
      <c r="R36" s="329">
        <v>22.5</v>
      </c>
      <c r="S36" s="329">
        <v>23.5</v>
      </c>
      <c r="T36" s="329">
        <v>24</v>
      </c>
      <c r="U36" s="329">
        <v>25</v>
      </c>
      <c r="V36" s="329">
        <v>26</v>
      </c>
      <c r="W36" s="329">
        <v>27</v>
      </c>
      <c r="X36" s="325">
        <v>26.8</v>
      </c>
      <c r="Y36" s="366">
        <f t="shared" si="1"/>
        <v>-0.7407407407407418</v>
      </c>
      <c r="Z36" s="120" t="s">
        <v>47</v>
      </c>
      <c r="AB36" s="93"/>
    </row>
    <row r="37" spans="1:28" s="255" customFormat="1" ht="12.75" customHeight="1">
      <c r="A37" s="251"/>
      <c r="B37" s="19" t="s">
        <v>8</v>
      </c>
      <c r="C37" s="372"/>
      <c r="D37" s="372"/>
      <c r="E37" s="321"/>
      <c r="F37" s="321"/>
      <c r="G37" s="321"/>
      <c r="H37" s="383"/>
      <c r="I37" s="383"/>
      <c r="J37" s="318">
        <v>3.7</v>
      </c>
      <c r="K37" s="318">
        <v>3.8</v>
      </c>
      <c r="L37" s="318">
        <v>3.9</v>
      </c>
      <c r="M37" s="318">
        <v>4</v>
      </c>
      <c r="N37" s="318">
        <v>4.1</v>
      </c>
      <c r="O37" s="318">
        <v>4.2</v>
      </c>
      <c r="P37" s="318">
        <v>4</v>
      </c>
      <c r="Q37" s="318">
        <v>4.1</v>
      </c>
      <c r="R37" s="318">
        <v>4.25</v>
      </c>
      <c r="S37" s="318">
        <v>4.4</v>
      </c>
      <c r="T37" s="318">
        <v>4.5</v>
      </c>
      <c r="U37" s="318">
        <v>4.6</v>
      </c>
      <c r="V37" s="318">
        <v>4.7</v>
      </c>
      <c r="W37" s="318">
        <v>5</v>
      </c>
      <c r="X37" s="327">
        <v>5.2</v>
      </c>
      <c r="Y37" s="394">
        <f t="shared" si="1"/>
        <v>4.0000000000000036</v>
      </c>
      <c r="Z37" s="19" t="s">
        <v>8</v>
      </c>
      <c r="AB37" s="256"/>
    </row>
    <row r="38" spans="1:28" ht="12.75" customHeight="1">
      <c r="A38" s="17"/>
      <c r="B38" s="121" t="s">
        <v>26</v>
      </c>
      <c r="C38" s="395" t="s">
        <v>44</v>
      </c>
      <c r="D38" s="395" t="s">
        <v>44</v>
      </c>
      <c r="E38" s="331">
        <v>34.325</v>
      </c>
      <c r="F38" s="331">
        <v>33.58</v>
      </c>
      <c r="G38" s="331">
        <v>36.889</v>
      </c>
      <c r="H38" s="331">
        <v>41.848</v>
      </c>
      <c r="I38" s="331">
        <v>45.736</v>
      </c>
      <c r="J38" s="331">
        <v>52.652</v>
      </c>
      <c r="K38" s="331">
        <v>57.486</v>
      </c>
      <c r="L38" s="330">
        <v>62.5</v>
      </c>
      <c r="M38" s="330">
        <v>67.5</v>
      </c>
      <c r="N38" s="330">
        <v>72.5</v>
      </c>
      <c r="O38" s="330">
        <v>79</v>
      </c>
      <c r="P38" s="330">
        <v>81</v>
      </c>
      <c r="Q38" s="330">
        <v>82</v>
      </c>
      <c r="R38" s="330">
        <v>84</v>
      </c>
      <c r="S38" s="330">
        <v>95</v>
      </c>
      <c r="T38" s="330">
        <v>100</v>
      </c>
      <c r="U38" s="330">
        <v>108</v>
      </c>
      <c r="V38" s="330">
        <v>114</v>
      </c>
      <c r="W38" s="330">
        <v>120</v>
      </c>
      <c r="X38" s="330">
        <v>123.1</v>
      </c>
      <c r="Y38" s="396">
        <f t="shared" si="1"/>
        <v>2.5833333333333375</v>
      </c>
      <c r="Z38" s="121" t="s">
        <v>26</v>
      </c>
      <c r="AB38" s="93"/>
    </row>
    <row r="39" spans="1:28" ht="12.75" customHeight="1">
      <c r="A39" s="17"/>
      <c r="B39" s="19" t="s">
        <v>12</v>
      </c>
      <c r="C39" s="397" t="s">
        <v>44</v>
      </c>
      <c r="D39" s="397" t="s">
        <v>44</v>
      </c>
      <c r="E39" s="332" t="s">
        <v>44</v>
      </c>
      <c r="F39" s="332"/>
      <c r="G39" s="332"/>
      <c r="H39" s="332"/>
      <c r="I39" s="332"/>
      <c r="J39" s="332">
        <v>3.026</v>
      </c>
      <c r="K39" s="332">
        <v>3.168</v>
      </c>
      <c r="L39" s="332">
        <v>3.36</v>
      </c>
      <c r="M39" s="332">
        <v>3.561</v>
      </c>
      <c r="N39" s="332">
        <v>3.712</v>
      </c>
      <c r="O39" s="332">
        <v>3.765</v>
      </c>
      <c r="P39" s="332">
        <v>3.95</v>
      </c>
      <c r="Q39" s="332">
        <v>4.06</v>
      </c>
      <c r="R39" s="332">
        <v>4.174</v>
      </c>
      <c r="S39" s="332">
        <v>4.301</v>
      </c>
      <c r="T39" s="332">
        <v>4.558</v>
      </c>
      <c r="U39" s="326">
        <v>4.833</v>
      </c>
      <c r="V39" s="326">
        <v>5.077</v>
      </c>
      <c r="W39" s="326">
        <v>4.948</v>
      </c>
      <c r="X39" s="332">
        <v>5.002</v>
      </c>
      <c r="Y39" s="398">
        <f t="shared" si="1"/>
        <v>1.091350040420358</v>
      </c>
      <c r="Z39" s="19" t="s">
        <v>12</v>
      </c>
      <c r="AB39" s="93"/>
    </row>
    <row r="40" spans="1:28" ht="12.75" customHeight="1">
      <c r="A40" s="17"/>
      <c r="B40" s="120" t="s">
        <v>43</v>
      </c>
      <c r="C40" s="365">
        <v>18.21</v>
      </c>
      <c r="D40" s="365">
        <v>31.061</v>
      </c>
      <c r="E40" s="319">
        <v>43.497</v>
      </c>
      <c r="F40" s="319">
        <v>43.012</v>
      </c>
      <c r="G40" s="319">
        <v>43.172000000000004</v>
      </c>
      <c r="H40" s="319">
        <v>43.943</v>
      </c>
      <c r="I40" s="319">
        <v>44.532999999999994</v>
      </c>
      <c r="J40" s="319">
        <v>44.73</v>
      </c>
      <c r="K40" s="319">
        <v>46.429</v>
      </c>
      <c r="L40" s="319">
        <v>47.658</v>
      </c>
      <c r="M40" s="319">
        <v>49.266</v>
      </c>
      <c r="N40" s="319">
        <v>50.330999999999996</v>
      </c>
      <c r="O40" s="319">
        <v>51.172999999999995</v>
      </c>
      <c r="P40" s="319">
        <v>52.357</v>
      </c>
      <c r="Q40" s="319">
        <v>53.487</v>
      </c>
      <c r="R40" s="319">
        <v>54.002</v>
      </c>
      <c r="S40" s="319">
        <v>54.342</v>
      </c>
      <c r="T40" s="319">
        <v>54.026999999999994</v>
      </c>
      <c r="U40" s="319">
        <v>54.938</v>
      </c>
      <c r="V40" s="319">
        <v>56.674</v>
      </c>
      <c r="W40" s="319">
        <v>57.74300000000001</v>
      </c>
      <c r="X40" s="319">
        <v>58.296</v>
      </c>
      <c r="Y40" s="380">
        <f t="shared" si="1"/>
        <v>0.9576918414353042</v>
      </c>
      <c r="Z40" s="120" t="s">
        <v>43</v>
      </c>
      <c r="AB40" s="93"/>
    </row>
    <row r="41" spans="1:28" ht="12.75" customHeight="1">
      <c r="A41" s="17"/>
      <c r="B41" s="20" t="s">
        <v>13</v>
      </c>
      <c r="C41" s="399">
        <v>41.836</v>
      </c>
      <c r="D41" s="399">
        <v>61.817</v>
      </c>
      <c r="E41" s="328">
        <v>73.271</v>
      </c>
      <c r="F41" s="328">
        <v>74.744</v>
      </c>
      <c r="G41" s="328">
        <v>73.372</v>
      </c>
      <c r="H41" s="328">
        <v>71.417</v>
      </c>
      <c r="I41" s="328">
        <v>73.44</v>
      </c>
      <c r="J41" s="328">
        <v>73.492</v>
      </c>
      <c r="K41" s="328">
        <v>74.498</v>
      </c>
      <c r="L41" s="328">
        <v>74.875</v>
      </c>
      <c r="M41" s="328">
        <v>75.821</v>
      </c>
      <c r="N41" s="328">
        <v>77.009</v>
      </c>
      <c r="O41" s="328">
        <v>78.625</v>
      </c>
      <c r="P41" s="328">
        <v>78.871</v>
      </c>
      <c r="Q41" s="328">
        <v>79.592</v>
      </c>
      <c r="R41" s="328">
        <v>80.179</v>
      </c>
      <c r="S41" s="328">
        <v>80.848</v>
      </c>
      <c r="T41" s="328">
        <v>81.422</v>
      </c>
      <c r="U41" s="328">
        <v>81.888</v>
      </c>
      <c r="V41" s="328">
        <v>82.489</v>
      </c>
      <c r="W41" s="328">
        <v>83.573</v>
      </c>
      <c r="X41" s="328">
        <v>84.906</v>
      </c>
      <c r="Y41" s="391">
        <f t="shared" si="1"/>
        <v>1.5950127433501438</v>
      </c>
      <c r="Z41" s="20" t="s">
        <v>13</v>
      </c>
      <c r="AB41" s="93"/>
    </row>
    <row r="42" spans="1:26" ht="15" customHeight="1">
      <c r="A42" s="17"/>
      <c r="B42" s="50" t="s">
        <v>127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1"/>
      <c r="U42" s="401"/>
      <c r="V42" s="401"/>
      <c r="W42" s="401"/>
      <c r="X42" s="401"/>
      <c r="Z42" s="401"/>
    </row>
    <row r="43" spans="2:25" ht="12.75" customHeight="1">
      <c r="B43" s="337" t="s">
        <v>7</v>
      </c>
      <c r="C43" s="402"/>
      <c r="D43" s="58"/>
      <c r="E43" s="403"/>
      <c r="F43" s="403"/>
      <c r="G43" s="403"/>
      <c r="H43" s="34"/>
      <c r="I43" s="403"/>
      <c r="J43" s="58"/>
      <c r="K43" s="34"/>
      <c r="L43" s="403"/>
      <c r="M43" s="403"/>
      <c r="N43" s="58"/>
      <c r="O43" s="58"/>
      <c r="P43" s="403"/>
      <c r="Q43" s="403"/>
      <c r="R43" s="404"/>
      <c r="S43" s="404"/>
      <c r="T43" s="404"/>
      <c r="U43" s="404"/>
      <c r="V43" s="404"/>
      <c r="W43" s="404"/>
      <c r="X43" s="404"/>
      <c r="Y43" s="35"/>
    </row>
    <row r="44" ht="12.75" customHeight="1">
      <c r="B44" s="70" t="s">
        <v>126</v>
      </c>
    </row>
    <row r="45" ht="12.75" customHeight="1">
      <c r="B45" s="133" t="s">
        <v>128</v>
      </c>
    </row>
    <row r="46" spans="2:17" ht="12.75" customHeight="1">
      <c r="B46" s="460" t="s">
        <v>133</v>
      </c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</row>
    <row r="47" ht="12.75" customHeight="1">
      <c r="B47" s="405" t="s">
        <v>129</v>
      </c>
    </row>
    <row r="49" spans="10:25" ht="11.25"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</row>
  </sheetData>
  <mergeCells count="1">
    <mergeCell ref="B2:Z2"/>
  </mergeCells>
  <printOptions horizontalCentered="1"/>
  <pageMargins left="0.4724409448818898" right="0.2755905511811024" top="0.5118110236220472" bottom="0.27559055118110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/>
  <dimension ref="A1:AB49"/>
  <sheetViews>
    <sheetView workbookViewId="0" topLeftCell="A1">
      <selection activeCell="X50" sqref="X50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9.140625" style="3" customWidth="1"/>
    <col min="29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2"/>
      <c r="T1" s="42"/>
      <c r="U1" s="42"/>
      <c r="V1" s="42"/>
      <c r="W1" s="42"/>
      <c r="X1" s="42"/>
      <c r="Z1" s="42" t="s">
        <v>112</v>
      </c>
    </row>
    <row r="2" spans="2:28" s="70" customFormat="1" ht="30" customHeight="1">
      <c r="B2" s="480" t="s">
        <v>49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B2"/>
    </row>
    <row r="3" spans="3:26" ht="10.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X3" s="24" t="s">
        <v>124</v>
      </c>
      <c r="Y3" s="6"/>
      <c r="Z3" s="24"/>
    </row>
    <row r="4" spans="2:26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</row>
    <row r="5" spans="2:26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</row>
    <row r="6" spans="2:26" ht="12.75" customHeight="1">
      <c r="B6" s="119" t="s">
        <v>67</v>
      </c>
      <c r="C6" s="163"/>
      <c r="D6" s="163"/>
      <c r="E6" s="407">
        <f>47.4+SUM(E9:E35)</f>
        <v>556.3269452096605</v>
      </c>
      <c r="F6" s="407"/>
      <c r="G6" s="407"/>
      <c r="H6" s="407"/>
      <c r="I6" s="407"/>
      <c r="J6" s="407">
        <f>SUM(J9:J35)</f>
        <v>499.8070757373568</v>
      </c>
      <c r="K6" s="407">
        <f>SUM(K9:K35)</f>
        <v>503.7474178044688</v>
      </c>
      <c r="L6" s="407">
        <f aca="true" t="shared" si="0" ref="L6:T6">SUM(L9:L35)</f>
        <v>504.5053122864313</v>
      </c>
      <c r="M6" s="407">
        <f t="shared" si="0"/>
        <v>512.5018274436268</v>
      </c>
      <c r="N6" s="407">
        <f t="shared" si="0"/>
        <v>515.1542043449392</v>
      </c>
      <c r="O6" s="407">
        <f t="shared" si="0"/>
        <v>518.2480582145611</v>
      </c>
      <c r="P6" s="407">
        <f t="shared" si="0"/>
        <v>519.781550690446</v>
      </c>
      <c r="Q6" s="407">
        <f t="shared" si="0"/>
        <v>518.8606334443668</v>
      </c>
      <c r="R6" s="407">
        <f t="shared" si="0"/>
        <v>520.0866484234186</v>
      </c>
      <c r="S6" s="407">
        <f t="shared" si="0"/>
        <v>515.9061343643575</v>
      </c>
      <c r="T6" s="407">
        <f t="shared" si="0"/>
        <v>516.3539319486588</v>
      </c>
      <c r="U6" s="407">
        <f>SUM(U9:U35)</f>
        <v>514.124108977808</v>
      </c>
      <c r="V6" s="407">
        <f>SUM(V9:V35)</f>
        <v>527.2285524467155</v>
      </c>
      <c r="W6" s="407">
        <f>SUM(W9:W35)</f>
        <v>530.1689604840185</v>
      </c>
      <c r="X6" s="407">
        <f>SUM(X9:X35)</f>
        <v>510.40560774564887</v>
      </c>
      <c r="Y6" s="217">
        <f>(X6/W6-1)*100</f>
        <v>-3.7277460982111488</v>
      </c>
      <c r="Z6" s="119" t="s">
        <v>67</v>
      </c>
    </row>
    <row r="7" spans="1:26" ht="12.75" customHeight="1">
      <c r="A7" s="17"/>
      <c r="B7" s="120" t="s">
        <v>31</v>
      </c>
      <c r="C7" s="164">
        <f aca="true" t="shared" si="1" ref="C7:J7">SUM(C9,C12:C13,C15:C19,C23,C26:C27,C29,C33:C35)</f>
        <v>273.351</v>
      </c>
      <c r="D7" s="164">
        <f t="shared" si="1"/>
        <v>351.629</v>
      </c>
      <c r="E7" s="408">
        <f t="shared" si="1"/>
        <v>368.6949452096605</v>
      </c>
      <c r="F7" s="409">
        <f t="shared" si="1"/>
        <v>369.62272785232574</v>
      </c>
      <c r="G7" s="409">
        <f t="shared" si="1"/>
        <v>369.9581703292595</v>
      </c>
      <c r="H7" s="409">
        <f t="shared" si="1"/>
        <v>370.00951418612107</v>
      </c>
      <c r="I7" s="409">
        <f t="shared" si="1"/>
        <v>369.9799145086418</v>
      </c>
      <c r="J7" s="409">
        <f t="shared" si="1"/>
        <v>378.6525757373568</v>
      </c>
      <c r="K7" s="409">
        <f>SUM(K9,K12:K13,K15:K19,K23,K26:K27,K29,K33:K35)</f>
        <v>385.6389178044688</v>
      </c>
      <c r="L7" s="409">
        <f aca="true" t="shared" si="2" ref="L7:T7">SUM(L9,L12:L13,L15:L19,L23,L26:L27,L29,L33:L35)</f>
        <v>387.25351228643126</v>
      </c>
      <c r="M7" s="409">
        <f t="shared" si="2"/>
        <v>395.1797274436268</v>
      </c>
      <c r="N7" s="409">
        <f t="shared" si="2"/>
        <v>397.1414043449393</v>
      </c>
      <c r="O7" s="409">
        <f t="shared" si="2"/>
        <v>402.89029471456115</v>
      </c>
      <c r="P7" s="409">
        <f t="shared" si="2"/>
        <v>404.318613470446</v>
      </c>
      <c r="Q7" s="409">
        <f t="shared" si="2"/>
        <v>403.68034507436676</v>
      </c>
      <c r="R7" s="409">
        <f t="shared" si="2"/>
        <v>407.23485402341873</v>
      </c>
      <c r="S7" s="409">
        <f t="shared" si="2"/>
        <v>405.33737113435757</v>
      </c>
      <c r="T7" s="409">
        <f t="shared" si="2"/>
        <v>405.4392494886587</v>
      </c>
      <c r="U7" s="409">
        <f>SUM(U9,U12:U13,U15:U19,U23,U26:U27,U29,U33:U35)</f>
        <v>404.4004349778079</v>
      </c>
      <c r="V7" s="409">
        <f>SUM(V9,V12:V13,V15:V19,V23,V26:V27,V29,V33:V35)</f>
        <v>418.24349044671555</v>
      </c>
      <c r="W7" s="409">
        <f>SUM(W9,W12:W13,W15:W19,W23,W26:W27,W29,W33:W35)</f>
        <v>421.07214488401854</v>
      </c>
      <c r="X7" s="409">
        <f>SUM(X9,X12:X13,X15:X19,X23,X26:X27,X29,X33:X35)</f>
        <v>412.7052613511604</v>
      </c>
      <c r="Y7" s="218">
        <f aca="true" t="shared" si="3" ref="Y7:Y41">(X7/W7-1)*100</f>
        <v>-1.987042751346746</v>
      </c>
      <c r="Z7" s="120" t="s">
        <v>31</v>
      </c>
    </row>
    <row r="8" spans="1:26" ht="12.75" customHeight="1">
      <c r="A8" s="17"/>
      <c r="B8" s="121" t="s">
        <v>79</v>
      </c>
      <c r="C8" s="165"/>
      <c r="D8" s="165"/>
      <c r="E8" s="410">
        <f>47.4+SUM(E10,E11,E14,E20,E21,E22,E24,E25,E28,E30,E31,E32)</f>
        <v>187.632</v>
      </c>
      <c r="F8" s="410"/>
      <c r="G8" s="410"/>
      <c r="H8" s="410"/>
      <c r="I8" s="410"/>
      <c r="J8" s="410">
        <f aca="true" t="shared" si="4" ref="J8:U8">SUM(J10,J11,J14,J20,J21,J22,J24,J25,J28,J30,J31,J32)</f>
        <v>121.15450000000001</v>
      </c>
      <c r="K8" s="410">
        <f t="shared" si="4"/>
        <v>118.1085</v>
      </c>
      <c r="L8" s="410">
        <f t="shared" si="4"/>
        <v>117.2518</v>
      </c>
      <c r="M8" s="410">
        <f t="shared" si="4"/>
        <v>117.3221</v>
      </c>
      <c r="N8" s="410">
        <f t="shared" si="4"/>
        <v>118.0128</v>
      </c>
      <c r="O8" s="410">
        <f t="shared" si="4"/>
        <v>115.35776349999999</v>
      </c>
      <c r="P8" s="410">
        <f t="shared" si="4"/>
        <v>115.46293722</v>
      </c>
      <c r="Q8" s="410">
        <f t="shared" si="4"/>
        <v>115.18028837</v>
      </c>
      <c r="R8" s="410">
        <f t="shared" si="4"/>
        <v>112.85179439999999</v>
      </c>
      <c r="S8" s="410">
        <f t="shared" si="4"/>
        <v>110.56876323</v>
      </c>
      <c r="T8" s="410">
        <f t="shared" si="4"/>
        <v>110.91468246000001</v>
      </c>
      <c r="U8" s="410">
        <f t="shared" si="4"/>
        <v>109.72367399999999</v>
      </c>
      <c r="V8" s="410">
        <f>SUM(V10,V11,V14,V20,V21,V22,V24,V25,V28,V30,V31,V32)</f>
        <v>108.985062</v>
      </c>
      <c r="W8" s="410">
        <f>SUM(W10,W11,W14,W20,W21,W22,W24,W25,W28,W30,W31,W32)</f>
        <v>109.0968156</v>
      </c>
      <c r="X8" s="410">
        <f>SUM(X10,X11,X14,X20,X21,X22,X24,X25,X28,X30,X31,X32)</f>
        <v>97.7003463944884</v>
      </c>
      <c r="Y8" s="219">
        <f t="shared" si="3"/>
        <v>-10.446197849895444</v>
      </c>
      <c r="Z8" s="121" t="s">
        <v>79</v>
      </c>
    </row>
    <row r="9" spans="1:28" s="255" customFormat="1" ht="12.75" customHeight="1">
      <c r="A9" s="251"/>
      <c r="B9" s="19" t="s">
        <v>32</v>
      </c>
      <c r="C9" s="257">
        <v>12.153</v>
      </c>
      <c r="D9" s="257">
        <v>14.422</v>
      </c>
      <c r="E9" s="411">
        <v>11.371379813302717</v>
      </c>
      <c r="F9" s="411">
        <v>11.928856672785459</v>
      </c>
      <c r="G9" s="411">
        <v>12.208590988011615</v>
      </c>
      <c r="H9" s="411">
        <v>12.449307712355173</v>
      </c>
      <c r="I9" s="411">
        <v>12.920557778575041</v>
      </c>
      <c r="J9" s="411">
        <v>13.1163927490109</v>
      </c>
      <c r="K9" s="411">
        <v>13.048036161999931</v>
      </c>
      <c r="L9" s="411">
        <v>13.062294037072977</v>
      </c>
      <c r="M9" s="411">
        <v>13.264206083397962</v>
      </c>
      <c r="N9" s="412">
        <v>13.441653719101833</v>
      </c>
      <c r="O9" s="413">
        <v>13.298261168538518</v>
      </c>
      <c r="P9" s="411">
        <v>13.785338279369089</v>
      </c>
      <c r="Q9" s="411">
        <v>14.959423828844177</v>
      </c>
      <c r="R9" s="411">
        <v>16.483572017775955</v>
      </c>
      <c r="S9" s="411">
        <v>17.1429920041393</v>
      </c>
      <c r="T9" s="411">
        <v>17.51504805548251</v>
      </c>
      <c r="U9" s="411">
        <v>18.078005341336816</v>
      </c>
      <c r="V9" s="411">
        <v>18.729636998103302</v>
      </c>
      <c r="W9" s="411">
        <v>18.352174912910026</v>
      </c>
      <c r="X9" s="411">
        <v>18.670838372062967</v>
      </c>
      <c r="Y9" s="254">
        <f t="shared" si="3"/>
        <v>1.7363798060183733</v>
      </c>
      <c r="Z9" s="19" t="s">
        <v>32</v>
      </c>
      <c r="AB9"/>
    </row>
    <row r="10" spans="1:26" ht="12.75" customHeight="1">
      <c r="A10" s="17"/>
      <c r="B10" s="120" t="s">
        <v>14</v>
      </c>
      <c r="C10" s="154">
        <v>12.235</v>
      </c>
      <c r="D10" s="154">
        <v>21.614</v>
      </c>
      <c r="E10" s="414">
        <v>25.955</v>
      </c>
      <c r="F10" s="414">
        <v>19.026</v>
      </c>
      <c r="G10" s="414">
        <v>16.957</v>
      </c>
      <c r="H10" s="415">
        <v>14.062</v>
      </c>
      <c r="I10" s="415">
        <v>12.817</v>
      </c>
      <c r="J10" s="416">
        <v>11.566</v>
      </c>
      <c r="K10" s="416">
        <v>10.577</v>
      </c>
      <c r="L10" s="416">
        <v>11.863</v>
      </c>
      <c r="M10" s="416">
        <v>12.764</v>
      </c>
      <c r="N10" s="417">
        <v>14.741</v>
      </c>
      <c r="O10" s="417">
        <v>14.587</v>
      </c>
      <c r="P10" s="417">
        <v>14.963</v>
      </c>
      <c r="Q10" s="417">
        <v>16.985</v>
      </c>
      <c r="R10" s="417">
        <v>14.4</v>
      </c>
      <c r="S10" s="417">
        <v>13.029</v>
      </c>
      <c r="T10" s="414">
        <v>13.688</v>
      </c>
      <c r="U10" s="414">
        <v>12.942</v>
      </c>
      <c r="V10" s="414">
        <v>13.571</v>
      </c>
      <c r="W10" s="414">
        <v>13.839</v>
      </c>
      <c r="X10" s="414">
        <v>10.451</v>
      </c>
      <c r="Y10" s="212">
        <f t="shared" si="3"/>
        <v>-24.481537683358624</v>
      </c>
      <c r="Z10" s="120" t="s">
        <v>14</v>
      </c>
    </row>
    <row r="11" spans="1:28" s="255" customFormat="1" ht="12.75" customHeight="1">
      <c r="A11" s="251"/>
      <c r="B11" s="19" t="s">
        <v>16</v>
      </c>
      <c r="C11" s="252"/>
      <c r="D11" s="252"/>
      <c r="E11" s="418"/>
      <c r="F11" s="411" t="s">
        <v>44</v>
      </c>
      <c r="G11" s="411" t="s">
        <v>44</v>
      </c>
      <c r="H11" s="411">
        <v>13.617</v>
      </c>
      <c r="I11" s="419">
        <v>11.523</v>
      </c>
      <c r="J11" s="411">
        <v>18.6005</v>
      </c>
      <c r="K11" s="411">
        <v>16.6025</v>
      </c>
      <c r="L11" s="411">
        <v>15.610800000000001</v>
      </c>
      <c r="M11" s="411">
        <v>15.373099999999999</v>
      </c>
      <c r="N11" s="419">
        <v>15.4438</v>
      </c>
      <c r="O11" s="411">
        <v>16.171300000000002</v>
      </c>
      <c r="P11" s="411">
        <v>17.5193</v>
      </c>
      <c r="Q11" s="411">
        <v>16.5305</v>
      </c>
      <c r="R11" s="411">
        <v>16.4248</v>
      </c>
      <c r="S11" s="411">
        <v>15.218</v>
      </c>
      <c r="T11" s="411">
        <v>15.6079</v>
      </c>
      <c r="U11" s="411">
        <v>16.0151</v>
      </c>
      <c r="V11" s="411">
        <v>16.1209</v>
      </c>
      <c r="W11" s="411">
        <v>16.1069</v>
      </c>
      <c r="X11" s="411">
        <v>16.062</v>
      </c>
      <c r="Y11" s="254">
        <f t="shared" si="3"/>
        <v>-0.27876251792708917</v>
      </c>
      <c r="Z11" s="19" t="s">
        <v>16</v>
      </c>
      <c r="AB11"/>
    </row>
    <row r="12" spans="1:26" ht="12.75" customHeight="1">
      <c r="A12" s="17"/>
      <c r="B12" s="120" t="s">
        <v>27</v>
      </c>
      <c r="C12" s="154">
        <v>4.6</v>
      </c>
      <c r="D12" s="154">
        <v>4.611</v>
      </c>
      <c r="E12" s="414">
        <v>6.443</v>
      </c>
      <c r="F12" s="414">
        <v>6.394</v>
      </c>
      <c r="G12" s="414">
        <v>6.421</v>
      </c>
      <c r="H12" s="414">
        <v>6.601</v>
      </c>
      <c r="I12" s="414">
        <v>6.745</v>
      </c>
      <c r="J12" s="414">
        <v>7.284</v>
      </c>
      <c r="K12" s="414">
        <v>7.717</v>
      </c>
      <c r="L12" s="414">
        <v>7.596</v>
      </c>
      <c r="M12" s="414">
        <v>7.543</v>
      </c>
      <c r="N12" s="414">
        <v>7.397</v>
      </c>
      <c r="O12" s="414">
        <v>7.418</v>
      </c>
      <c r="P12" s="414">
        <v>7.332</v>
      </c>
      <c r="Q12" s="414">
        <v>7.295</v>
      </c>
      <c r="R12" s="414">
        <v>7.272</v>
      </c>
      <c r="S12" s="414">
        <v>7.3</v>
      </c>
      <c r="T12" s="414">
        <v>7.25</v>
      </c>
      <c r="U12" s="414">
        <v>7.25</v>
      </c>
      <c r="V12" s="414">
        <v>7.25</v>
      </c>
      <c r="W12" s="414">
        <v>7.25</v>
      </c>
      <c r="X12" s="414">
        <v>7.25</v>
      </c>
      <c r="Y12" s="212">
        <f t="shared" si="3"/>
        <v>0</v>
      </c>
      <c r="Z12" s="120" t="s">
        <v>27</v>
      </c>
    </row>
    <row r="13" spans="1:28" s="255" customFormat="1" ht="12.75" customHeight="1">
      <c r="A13" s="251"/>
      <c r="B13" s="19" t="s">
        <v>33</v>
      </c>
      <c r="C13" s="257">
        <v>67.7</v>
      </c>
      <c r="D13" s="258">
        <v>90</v>
      </c>
      <c r="E13" s="411">
        <v>73.1</v>
      </c>
      <c r="F13" s="411">
        <v>70.3</v>
      </c>
      <c r="G13" s="411">
        <v>69.9</v>
      </c>
      <c r="H13" s="411">
        <v>70.2</v>
      </c>
      <c r="I13" s="411">
        <v>68.6</v>
      </c>
      <c r="J13" s="411">
        <v>68.5</v>
      </c>
      <c r="K13" s="411">
        <v>68.3</v>
      </c>
      <c r="L13" s="411">
        <v>68</v>
      </c>
      <c r="M13" s="411">
        <v>68.2</v>
      </c>
      <c r="N13" s="411">
        <v>68</v>
      </c>
      <c r="O13" s="411">
        <v>69</v>
      </c>
      <c r="P13" s="411">
        <v>68.7</v>
      </c>
      <c r="Q13" s="411">
        <v>67.5</v>
      </c>
      <c r="R13" s="411">
        <v>67.5</v>
      </c>
      <c r="S13" s="411">
        <v>67.806</v>
      </c>
      <c r="T13" s="411">
        <v>67.062</v>
      </c>
      <c r="U13" s="411">
        <v>66.184</v>
      </c>
      <c r="V13" s="411">
        <v>65.387</v>
      </c>
      <c r="W13" s="411">
        <v>63.589</v>
      </c>
      <c r="X13" s="411">
        <v>62.400999999999996</v>
      </c>
      <c r="Y13" s="254">
        <f t="shared" si="3"/>
        <v>-1.868247652895949</v>
      </c>
      <c r="Z13" s="19" t="s">
        <v>33</v>
      </c>
      <c r="AB13"/>
    </row>
    <row r="14" spans="1:26" ht="12.75" customHeight="1">
      <c r="A14" s="17"/>
      <c r="B14" s="120" t="s">
        <v>17</v>
      </c>
      <c r="C14" s="154">
        <v>2.61</v>
      </c>
      <c r="D14" s="154">
        <v>3.66</v>
      </c>
      <c r="E14" s="414">
        <v>4.45</v>
      </c>
      <c r="F14" s="414">
        <v>3.83</v>
      </c>
      <c r="G14" s="414">
        <v>2.97</v>
      </c>
      <c r="H14" s="414">
        <v>2.54</v>
      </c>
      <c r="I14" s="414">
        <v>2.35</v>
      </c>
      <c r="J14" s="414">
        <v>2.048</v>
      </c>
      <c r="K14" s="414">
        <v>2.091</v>
      </c>
      <c r="L14" s="414">
        <v>2.238</v>
      </c>
      <c r="M14" s="414">
        <v>2.265</v>
      </c>
      <c r="N14" s="414">
        <v>2.223</v>
      </c>
      <c r="O14" s="414">
        <v>2.63</v>
      </c>
      <c r="P14" s="414">
        <v>2.461</v>
      </c>
      <c r="Q14" s="414">
        <v>2.33</v>
      </c>
      <c r="R14" s="414">
        <v>2.297</v>
      </c>
      <c r="S14" s="414">
        <v>2.469</v>
      </c>
      <c r="T14" s="414">
        <v>2.716</v>
      </c>
      <c r="U14" s="414">
        <v>2.881</v>
      </c>
      <c r="V14" s="414">
        <v>2.677</v>
      </c>
      <c r="W14" s="414">
        <v>2.453</v>
      </c>
      <c r="X14" s="414">
        <v>2.515</v>
      </c>
      <c r="Y14" s="212">
        <f t="shared" si="3"/>
        <v>2.527517325723605</v>
      </c>
      <c r="Z14" s="120" t="s">
        <v>17</v>
      </c>
    </row>
    <row r="15" spans="1:26" ht="12.75" customHeight="1">
      <c r="A15" s="17"/>
      <c r="B15" s="19" t="s">
        <v>36</v>
      </c>
      <c r="C15" s="152">
        <v>3.3</v>
      </c>
      <c r="D15" s="152">
        <v>4.5</v>
      </c>
      <c r="E15" s="420">
        <v>3.86</v>
      </c>
      <c r="F15" s="420">
        <v>4.1</v>
      </c>
      <c r="G15" s="420">
        <v>4.3</v>
      </c>
      <c r="H15" s="420">
        <v>4.49</v>
      </c>
      <c r="I15" s="420">
        <v>5</v>
      </c>
      <c r="J15" s="420">
        <v>5.15</v>
      </c>
      <c r="K15" s="420">
        <v>5.3</v>
      </c>
      <c r="L15" s="421">
        <v>5.5</v>
      </c>
      <c r="M15" s="421">
        <v>5.7</v>
      </c>
      <c r="N15" s="421">
        <v>5.9</v>
      </c>
      <c r="O15" s="421">
        <v>6.11</v>
      </c>
      <c r="P15" s="421">
        <v>6.26</v>
      </c>
      <c r="Q15" s="421">
        <v>6.35</v>
      </c>
      <c r="R15" s="421">
        <v>6.5</v>
      </c>
      <c r="S15" s="421">
        <v>6.55</v>
      </c>
      <c r="T15" s="421">
        <v>6.7</v>
      </c>
      <c r="U15" s="421">
        <v>6.9</v>
      </c>
      <c r="V15" s="421">
        <v>7.3</v>
      </c>
      <c r="W15" s="421">
        <v>7.5</v>
      </c>
      <c r="X15" s="421">
        <v>7.113069156726579</v>
      </c>
      <c r="Y15" s="213">
        <f t="shared" si="3"/>
        <v>-5.159077910312282</v>
      </c>
      <c r="Z15" s="19" t="s">
        <v>36</v>
      </c>
    </row>
    <row r="16" spans="1:26" ht="12.75" customHeight="1">
      <c r="A16" s="17"/>
      <c r="B16" s="120" t="s">
        <v>28</v>
      </c>
      <c r="C16" s="154">
        <v>9.425</v>
      </c>
      <c r="D16" s="154">
        <v>15.621</v>
      </c>
      <c r="E16" s="414">
        <v>17.718</v>
      </c>
      <c r="F16" s="414">
        <v>17.968</v>
      </c>
      <c r="G16" s="414">
        <v>18.549</v>
      </c>
      <c r="H16" s="414">
        <v>18.922</v>
      </c>
      <c r="I16" s="414">
        <v>19.578</v>
      </c>
      <c r="J16" s="414">
        <v>20.221</v>
      </c>
      <c r="K16" s="414">
        <v>20.449</v>
      </c>
      <c r="L16" s="414">
        <v>20.695</v>
      </c>
      <c r="M16" s="414">
        <v>21.2</v>
      </c>
      <c r="N16" s="414">
        <v>21.5</v>
      </c>
      <c r="O16" s="414">
        <v>21.7</v>
      </c>
      <c r="P16" s="415">
        <v>21.8</v>
      </c>
      <c r="Q16" s="415">
        <v>22</v>
      </c>
      <c r="R16" s="415">
        <v>21.95</v>
      </c>
      <c r="S16" s="415">
        <v>21.6</v>
      </c>
      <c r="T16" s="415">
        <v>21.7</v>
      </c>
      <c r="U16" s="415">
        <v>21.8</v>
      </c>
      <c r="V16" s="415">
        <v>22</v>
      </c>
      <c r="W16" s="415">
        <v>22.1</v>
      </c>
      <c r="X16" s="415">
        <v>20.919043007800454</v>
      </c>
      <c r="Y16" s="211">
        <f t="shared" si="3"/>
        <v>-5.343696797283015</v>
      </c>
      <c r="Z16" s="120" t="s">
        <v>28</v>
      </c>
    </row>
    <row r="17" spans="1:26" ht="12.75" customHeight="1">
      <c r="A17" s="17"/>
      <c r="B17" s="19" t="s">
        <v>34</v>
      </c>
      <c r="C17" s="152">
        <v>20.911</v>
      </c>
      <c r="D17" s="152">
        <v>28.099</v>
      </c>
      <c r="E17" s="420">
        <v>33.36</v>
      </c>
      <c r="F17" s="420">
        <v>35.45</v>
      </c>
      <c r="G17" s="420">
        <v>35.52</v>
      </c>
      <c r="H17" s="420">
        <v>37.09</v>
      </c>
      <c r="I17" s="420">
        <v>38.13</v>
      </c>
      <c r="J17" s="420">
        <v>39.6</v>
      </c>
      <c r="K17" s="421">
        <v>44</v>
      </c>
      <c r="L17" s="420">
        <v>43.97</v>
      </c>
      <c r="M17" s="420">
        <v>49.4</v>
      </c>
      <c r="N17" s="420">
        <v>50</v>
      </c>
      <c r="O17" s="420">
        <v>50.278</v>
      </c>
      <c r="P17" s="420">
        <v>51.712</v>
      </c>
      <c r="Q17" s="420">
        <v>50.053</v>
      </c>
      <c r="R17" s="420">
        <v>49.209</v>
      </c>
      <c r="S17" s="420">
        <v>53.458</v>
      </c>
      <c r="T17" s="420">
        <v>53.176</v>
      </c>
      <c r="U17" s="420">
        <v>49.369</v>
      </c>
      <c r="V17" s="420">
        <v>59.163</v>
      </c>
      <c r="W17" s="420">
        <v>60.864</v>
      </c>
      <c r="X17" s="420">
        <v>57.233</v>
      </c>
      <c r="Y17" s="210">
        <f t="shared" si="3"/>
        <v>-5.965759726603581</v>
      </c>
      <c r="Z17" s="19" t="s">
        <v>34</v>
      </c>
    </row>
    <row r="18" spans="1:26" ht="12.75" customHeight="1">
      <c r="A18" s="17"/>
      <c r="B18" s="120" t="s">
        <v>35</v>
      </c>
      <c r="C18" s="154">
        <v>25.2</v>
      </c>
      <c r="D18" s="154">
        <v>38</v>
      </c>
      <c r="E18" s="414">
        <v>41.275</v>
      </c>
      <c r="F18" s="414">
        <v>42.897</v>
      </c>
      <c r="G18" s="414">
        <v>41.761</v>
      </c>
      <c r="H18" s="414">
        <v>41.985</v>
      </c>
      <c r="I18" s="414">
        <v>42.686</v>
      </c>
      <c r="J18" s="414">
        <v>41.591</v>
      </c>
      <c r="K18" s="414">
        <v>42.374</v>
      </c>
      <c r="L18" s="414">
        <v>41.976</v>
      </c>
      <c r="M18" s="414">
        <v>42.439</v>
      </c>
      <c r="N18" s="414">
        <v>41.641</v>
      </c>
      <c r="O18" s="414">
        <v>42.970516914481</v>
      </c>
      <c r="P18" s="414">
        <v>41.34958691225068</v>
      </c>
      <c r="Q18" s="414">
        <v>42.16899040284669</v>
      </c>
      <c r="R18" s="414">
        <v>42.72470724202924</v>
      </c>
      <c r="S18" s="414">
        <v>44.014775031710414</v>
      </c>
      <c r="T18" s="414">
        <v>44.0442014331761</v>
      </c>
      <c r="U18" s="414">
        <v>44.76652963647105</v>
      </c>
      <c r="V18" s="414">
        <v>47.02015344861222</v>
      </c>
      <c r="W18" s="414">
        <v>48.46096997110847</v>
      </c>
      <c r="X18" s="414">
        <v>48.866846152146294</v>
      </c>
      <c r="Y18" s="212">
        <f t="shared" si="3"/>
        <v>0.8375321032158434</v>
      </c>
      <c r="Z18" s="120" t="s">
        <v>35</v>
      </c>
    </row>
    <row r="19" spans="1:28" s="255" customFormat="1" ht="12.75" customHeight="1">
      <c r="A19" s="251"/>
      <c r="B19" s="19" t="s">
        <v>37</v>
      </c>
      <c r="C19" s="257">
        <v>32.004</v>
      </c>
      <c r="D19" s="257">
        <v>57.836</v>
      </c>
      <c r="E19" s="411">
        <v>83.955</v>
      </c>
      <c r="F19" s="411">
        <v>84.69</v>
      </c>
      <c r="G19" s="411">
        <v>84.7</v>
      </c>
      <c r="H19" s="411">
        <v>81.45</v>
      </c>
      <c r="I19" s="411">
        <v>79.28</v>
      </c>
      <c r="J19" s="411">
        <v>87.147</v>
      </c>
      <c r="K19" s="411">
        <v>88.736</v>
      </c>
      <c r="L19" s="411">
        <v>90</v>
      </c>
      <c r="M19" s="411">
        <v>90.6</v>
      </c>
      <c r="N19" s="411">
        <v>92.153</v>
      </c>
      <c r="O19" s="411">
        <v>93.55</v>
      </c>
      <c r="P19" s="411">
        <v>95.594</v>
      </c>
      <c r="Q19" s="411">
        <v>97.146</v>
      </c>
      <c r="R19" s="411">
        <v>98.319</v>
      </c>
      <c r="S19" s="411">
        <v>99.76</v>
      </c>
      <c r="T19" s="411">
        <v>101.223</v>
      </c>
      <c r="U19" s="411">
        <v>103.04899999999999</v>
      </c>
      <c r="V19" s="411">
        <v>102.92099999999999</v>
      </c>
      <c r="W19" s="411">
        <v>102.26</v>
      </c>
      <c r="X19" s="412">
        <v>102.334</v>
      </c>
      <c r="Y19" s="260">
        <f t="shared" si="3"/>
        <v>0.0723645609231438</v>
      </c>
      <c r="Z19" s="19" t="s">
        <v>37</v>
      </c>
      <c r="AB19"/>
    </row>
    <row r="20" spans="1:26" ht="12.75" customHeight="1">
      <c r="A20" s="17"/>
      <c r="B20" s="120" t="s">
        <v>15</v>
      </c>
      <c r="C20" s="154" t="s">
        <v>44</v>
      </c>
      <c r="D20" s="154" t="s">
        <v>44</v>
      </c>
      <c r="E20" s="415" t="s">
        <v>44</v>
      </c>
      <c r="F20" s="414" t="s">
        <v>44</v>
      </c>
      <c r="G20" s="414" t="s">
        <v>44</v>
      </c>
      <c r="H20" s="414" t="s">
        <v>44</v>
      </c>
      <c r="I20" s="414" t="s">
        <v>44</v>
      </c>
      <c r="J20" s="415">
        <v>1</v>
      </c>
      <c r="K20" s="415">
        <v>1.04</v>
      </c>
      <c r="L20" s="415">
        <v>1.05</v>
      </c>
      <c r="M20" s="415">
        <v>1.06</v>
      </c>
      <c r="N20" s="415">
        <v>1.08</v>
      </c>
      <c r="O20" s="415">
        <v>1.12</v>
      </c>
      <c r="P20" s="415">
        <v>1.16</v>
      </c>
      <c r="Q20" s="415">
        <v>1.2</v>
      </c>
      <c r="R20" s="415">
        <v>1.28</v>
      </c>
      <c r="S20" s="415">
        <v>1.24</v>
      </c>
      <c r="T20" s="415">
        <v>1.26</v>
      </c>
      <c r="U20" s="415">
        <v>1.28</v>
      </c>
      <c r="V20" s="415">
        <v>1.3</v>
      </c>
      <c r="W20" s="415">
        <v>1.33</v>
      </c>
      <c r="X20" s="415">
        <v>1.2832081221716343</v>
      </c>
      <c r="Y20" s="211">
        <f t="shared" si="3"/>
        <v>-3.5181863028846516</v>
      </c>
      <c r="Z20" s="120" t="s">
        <v>15</v>
      </c>
    </row>
    <row r="21" spans="1:28" s="255" customFormat="1" ht="12.75" customHeight="1">
      <c r="A21" s="251"/>
      <c r="B21" s="19" t="s">
        <v>19</v>
      </c>
      <c r="C21" s="257">
        <v>3.28</v>
      </c>
      <c r="D21" s="257">
        <v>4.55</v>
      </c>
      <c r="E21" s="411">
        <v>5.862</v>
      </c>
      <c r="F21" s="419">
        <v>5.331</v>
      </c>
      <c r="G21" s="411">
        <v>2.583</v>
      </c>
      <c r="H21" s="411">
        <v>1.722</v>
      </c>
      <c r="I21" s="411">
        <v>1.795</v>
      </c>
      <c r="J21" s="411">
        <v>1.835</v>
      </c>
      <c r="K21" s="411">
        <v>1.606</v>
      </c>
      <c r="L21" s="411">
        <v>1.72</v>
      </c>
      <c r="M21" s="411">
        <v>1.903</v>
      </c>
      <c r="N21" s="411">
        <v>2.368</v>
      </c>
      <c r="O21" s="411">
        <v>2.348</v>
      </c>
      <c r="P21" s="411">
        <v>2.305</v>
      </c>
      <c r="Q21" s="411">
        <v>2.361</v>
      </c>
      <c r="R21" s="411">
        <v>2.55</v>
      </c>
      <c r="S21" s="411">
        <v>2.655</v>
      </c>
      <c r="T21" s="411">
        <v>2.891</v>
      </c>
      <c r="U21" s="411">
        <v>2.78</v>
      </c>
      <c r="V21" s="411">
        <v>2.644</v>
      </c>
      <c r="W21" s="411">
        <v>2.517</v>
      </c>
      <c r="X21" s="411">
        <v>1.921</v>
      </c>
      <c r="Y21" s="254">
        <f t="shared" si="3"/>
        <v>-23.678982916170042</v>
      </c>
      <c r="Z21" s="19" t="s">
        <v>19</v>
      </c>
      <c r="AB21"/>
    </row>
    <row r="22" spans="1:26" ht="12.75" customHeight="1">
      <c r="A22" s="17"/>
      <c r="B22" s="120" t="s">
        <v>20</v>
      </c>
      <c r="C22" s="154" t="s">
        <v>44</v>
      </c>
      <c r="D22" s="154" t="s">
        <v>44</v>
      </c>
      <c r="E22" s="414">
        <v>7.889</v>
      </c>
      <c r="F22" s="414">
        <v>7.798</v>
      </c>
      <c r="G22" s="414">
        <v>6.392</v>
      </c>
      <c r="H22" s="414">
        <v>4.522</v>
      </c>
      <c r="I22" s="414">
        <v>4.627</v>
      </c>
      <c r="J22" s="414">
        <v>4.1690000000000005</v>
      </c>
      <c r="K22" s="414">
        <v>3.601</v>
      </c>
      <c r="L22" s="414">
        <v>3.1910000000000003</v>
      </c>
      <c r="M22" s="414">
        <v>2.964</v>
      </c>
      <c r="N22" s="414">
        <v>2.665</v>
      </c>
      <c r="O22" s="414">
        <v>2.755</v>
      </c>
      <c r="P22" s="414">
        <v>2.833</v>
      </c>
      <c r="Q22" s="414">
        <v>3.013</v>
      </c>
      <c r="R22" s="414">
        <v>2.987</v>
      </c>
      <c r="S22" s="414">
        <v>3.549</v>
      </c>
      <c r="T22" s="414">
        <v>3.691</v>
      </c>
      <c r="U22" s="414">
        <v>3.6959999999999997</v>
      </c>
      <c r="V22" s="414">
        <v>3.6201</v>
      </c>
      <c r="W22" s="414">
        <v>3.4212000000000002</v>
      </c>
      <c r="X22" s="414">
        <v>2.7746999999999997</v>
      </c>
      <c r="Y22" s="212">
        <f t="shared" si="3"/>
        <v>-18.896878288319908</v>
      </c>
      <c r="Z22" s="120" t="s">
        <v>20</v>
      </c>
    </row>
    <row r="23" spans="1:28" s="255" customFormat="1" ht="12.75" customHeight="1">
      <c r="A23" s="251"/>
      <c r="B23" s="19" t="s">
        <v>38</v>
      </c>
      <c r="C23" s="259">
        <v>0.4</v>
      </c>
      <c r="D23" s="259">
        <v>0.44</v>
      </c>
      <c r="E23" s="412">
        <v>0.48</v>
      </c>
      <c r="F23" s="412">
        <v>0.49</v>
      </c>
      <c r="G23" s="412">
        <v>0.51</v>
      </c>
      <c r="H23" s="412">
        <v>0.52</v>
      </c>
      <c r="I23" s="412">
        <v>0.53</v>
      </c>
      <c r="J23" s="412">
        <v>0.54</v>
      </c>
      <c r="K23" s="412">
        <v>0.55</v>
      </c>
      <c r="L23" s="412">
        <v>0.56</v>
      </c>
      <c r="M23" s="412">
        <v>0.57</v>
      </c>
      <c r="N23" s="412">
        <v>0.58</v>
      </c>
      <c r="O23" s="412">
        <v>0.62</v>
      </c>
      <c r="P23" s="412">
        <v>0.66</v>
      </c>
      <c r="Q23" s="412">
        <v>0.72</v>
      </c>
      <c r="R23" s="412">
        <v>0.74</v>
      </c>
      <c r="S23" s="412">
        <v>0.77</v>
      </c>
      <c r="T23" s="412">
        <v>0.8</v>
      </c>
      <c r="U23" s="412">
        <v>0.82</v>
      </c>
      <c r="V23" s="412">
        <v>0.86</v>
      </c>
      <c r="W23" s="412">
        <v>0.91</v>
      </c>
      <c r="X23" s="412">
        <v>0.905872688234131</v>
      </c>
      <c r="Y23" s="260">
        <f t="shared" si="3"/>
        <v>-0.4535507435020847</v>
      </c>
      <c r="Z23" s="19" t="s">
        <v>38</v>
      </c>
      <c r="AB23"/>
    </row>
    <row r="24" spans="1:26" ht="12.75" customHeight="1">
      <c r="A24" s="17"/>
      <c r="B24" s="120" t="s">
        <v>18</v>
      </c>
      <c r="C24" s="154" t="s">
        <v>44</v>
      </c>
      <c r="D24" s="154" t="s">
        <v>44</v>
      </c>
      <c r="E24" s="414">
        <v>19.261</v>
      </c>
      <c r="F24" s="414">
        <v>17.332</v>
      </c>
      <c r="G24" s="414">
        <v>15.971</v>
      </c>
      <c r="H24" s="414">
        <v>15.8</v>
      </c>
      <c r="I24" s="414">
        <v>16.392</v>
      </c>
      <c r="J24" s="414">
        <v>16.605</v>
      </c>
      <c r="K24" s="414">
        <v>16.564</v>
      </c>
      <c r="L24" s="414">
        <v>16.632</v>
      </c>
      <c r="M24" s="414">
        <v>17.172</v>
      </c>
      <c r="N24" s="414">
        <v>17.796</v>
      </c>
      <c r="O24" s="414">
        <v>18.732</v>
      </c>
      <c r="P24" s="414">
        <v>18.617</v>
      </c>
      <c r="Q24" s="414">
        <v>18.898</v>
      </c>
      <c r="R24" s="414">
        <v>18.707</v>
      </c>
      <c r="S24" s="414">
        <v>18.223</v>
      </c>
      <c r="T24" s="414">
        <v>17.845</v>
      </c>
      <c r="U24" s="414">
        <v>17.93</v>
      </c>
      <c r="V24" s="414">
        <v>17.145</v>
      </c>
      <c r="W24" s="414">
        <v>17.654</v>
      </c>
      <c r="X24" s="414">
        <v>16.638999999999996</v>
      </c>
      <c r="Y24" s="212">
        <f t="shared" si="3"/>
        <v>-5.74940523394134</v>
      </c>
      <c r="Z24" s="120" t="s">
        <v>18</v>
      </c>
    </row>
    <row r="25" spans="1:28" s="255" customFormat="1" ht="12.75" customHeight="1">
      <c r="A25" s="251"/>
      <c r="B25" s="19" t="s">
        <v>21</v>
      </c>
      <c r="C25" s="257" t="s">
        <v>44</v>
      </c>
      <c r="D25" s="257" t="s">
        <v>44</v>
      </c>
      <c r="E25" s="412" t="s">
        <v>44</v>
      </c>
      <c r="F25" s="411" t="s">
        <v>44</v>
      </c>
      <c r="G25" s="411" t="s">
        <v>44</v>
      </c>
      <c r="H25" s="411" t="s">
        <v>44</v>
      </c>
      <c r="I25" s="411" t="s">
        <v>44</v>
      </c>
      <c r="J25" s="412">
        <v>0.41</v>
      </c>
      <c r="K25" s="412">
        <v>0.42</v>
      </c>
      <c r="L25" s="412">
        <v>0.44</v>
      </c>
      <c r="M25" s="412">
        <v>0.45</v>
      </c>
      <c r="N25" s="412">
        <v>0.455</v>
      </c>
      <c r="O25" s="412">
        <v>0.46</v>
      </c>
      <c r="P25" s="412">
        <v>0.47</v>
      </c>
      <c r="Q25" s="412">
        <v>0.48</v>
      </c>
      <c r="R25" s="412">
        <v>0.49</v>
      </c>
      <c r="S25" s="412">
        <v>0.5</v>
      </c>
      <c r="T25" s="412">
        <v>0.49</v>
      </c>
      <c r="U25" s="412">
        <v>0.5</v>
      </c>
      <c r="V25" s="412">
        <v>0.505</v>
      </c>
      <c r="W25" s="412">
        <v>0.51</v>
      </c>
      <c r="X25" s="412">
        <v>0.4848885722388764</v>
      </c>
      <c r="Y25" s="260">
        <f t="shared" si="3"/>
        <v>-4.923809364926202</v>
      </c>
      <c r="Z25" s="19" t="s">
        <v>21</v>
      </c>
      <c r="AB25"/>
    </row>
    <row r="26" spans="1:26" ht="12.75" customHeight="1">
      <c r="A26" s="17"/>
      <c r="B26" s="87" t="s">
        <v>29</v>
      </c>
      <c r="C26" s="154">
        <v>9.5</v>
      </c>
      <c r="D26" s="155">
        <v>11.2</v>
      </c>
      <c r="E26" s="414">
        <v>13</v>
      </c>
      <c r="F26" s="416">
        <v>12.3</v>
      </c>
      <c r="G26" s="416">
        <v>13.2</v>
      </c>
      <c r="H26" s="416">
        <v>13.05</v>
      </c>
      <c r="I26" s="416">
        <v>12.15</v>
      </c>
      <c r="J26" s="416">
        <v>12</v>
      </c>
      <c r="K26" s="416">
        <v>11.85</v>
      </c>
      <c r="L26" s="416">
        <v>12</v>
      </c>
      <c r="M26" s="416">
        <v>11.7</v>
      </c>
      <c r="N26" s="416">
        <v>11.25</v>
      </c>
      <c r="O26" s="416">
        <v>11.25</v>
      </c>
      <c r="P26" s="415">
        <v>11.4</v>
      </c>
      <c r="Q26" s="416">
        <v>10.8</v>
      </c>
      <c r="R26" s="416">
        <v>11.25</v>
      </c>
      <c r="S26" s="416">
        <v>11.55</v>
      </c>
      <c r="T26" s="415">
        <v>11.75</v>
      </c>
      <c r="U26" s="415">
        <v>12</v>
      </c>
      <c r="V26" s="415">
        <v>12.25</v>
      </c>
      <c r="W26" s="415">
        <v>12.5</v>
      </c>
      <c r="X26" s="415">
        <v>12.0849760885192</v>
      </c>
      <c r="Y26" s="211">
        <f t="shared" si="3"/>
        <v>-3.320191291846397</v>
      </c>
      <c r="Z26" s="87" t="s">
        <v>29</v>
      </c>
    </row>
    <row r="27" spans="1:28" s="255" customFormat="1" ht="12.75" customHeight="1">
      <c r="A27" s="251"/>
      <c r="B27" s="19" t="s">
        <v>39</v>
      </c>
      <c r="C27" s="257">
        <v>9.1</v>
      </c>
      <c r="D27" s="257">
        <v>9.8</v>
      </c>
      <c r="E27" s="411">
        <v>7.969</v>
      </c>
      <c r="F27" s="411">
        <v>7.927</v>
      </c>
      <c r="G27" s="411">
        <v>8.089</v>
      </c>
      <c r="H27" s="411">
        <v>8.331</v>
      </c>
      <c r="I27" s="411">
        <v>8.479</v>
      </c>
      <c r="J27" s="411">
        <v>8.7</v>
      </c>
      <c r="K27" s="411">
        <v>8.699</v>
      </c>
      <c r="L27" s="411">
        <v>8.772</v>
      </c>
      <c r="M27" s="411">
        <v>8.936</v>
      </c>
      <c r="N27" s="411">
        <v>8.943</v>
      </c>
      <c r="O27" s="411">
        <v>9.223</v>
      </c>
      <c r="P27" s="411">
        <v>9.174</v>
      </c>
      <c r="Q27" s="411">
        <v>9.282</v>
      </c>
      <c r="R27" s="411">
        <v>9.453</v>
      </c>
      <c r="S27" s="411">
        <v>9.576</v>
      </c>
      <c r="T27" s="411">
        <v>9.319</v>
      </c>
      <c r="U27" s="411">
        <v>9.219</v>
      </c>
      <c r="V27" s="411">
        <v>9.79</v>
      </c>
      <c r="W27" s="411">
        <v>9.551</v>
      </c>
      <c r="X27" s="411">
        <v>9.641</v>
      </c>
      <c r="Y27" s="254">
        <f t="shared" si="3"/>
        <v>0.9423097057899676</v>
      </c>
      <c r="Z27" s="19" t="s">
        <v>39</v>
      </c>
      <c r="AB27"/>
    </row>
    <row r="28" spans="1:26" ht="12.75" customHeight="1">
      <c r="A28" s="17"/>
      <c r="B28" s="120" t="s">
        <v>22</v>
      </c>
      <c r="C28" s="154">
        <v>29.14</v>
      </c>
      <c r="D28" s="154">
        <v>49.223</v>
      </c>
      <c r="E28" s="414">
        <v>46.3</v>
      </c>
      <c r="F28" s="414">
        <v>41.72</v>
      </c>
      <c r="G28" s="414">
        <v>39.008</v>
      </c>
      <c r="H28" s="414">
        <v>37.811</v>
      </c>
      <c r="I28" s="414">
        <v>34.262</v>
      </c>
      <c r="J28" s="414">
        <v>34.024</v>
      </c>
      <c r="K28" s="414">
        <v>33.984</v>
      </c>
      <c r="L28" s="414">
        <v>33.128</v>
      </c>
      <c r="M28" s="414">
        <v>34.035</v>
      </c>
      <c r="N28" s="414">
        <v>33.25</v>
      </c>
      <c r="O28" s="414">
        <v>31.735</v>
      </c>
      <c r="P28" s="414">
        <v>30.996</v>
      </c>
      <c r="Q28" s="414">
        <v>29.295</v>
      </c>
      <c r="R28" s="414">
        <v>29.996</v>
      </c>
      <c r="S28" s="414">
        <v>30.118</v>
      </c>
      <c r="T28" s="414">
        <v>29.314</v>
      </c>
      <c r="U28" s="414">
        <v>28.148</v>
      </c>
      <c r="V28" s="414">
        <v>27.359</v>
      </c>
      <c r="W28" s="414">
        <v>26.791</v>
      </c>
      <c r="X28" s="414">
        <v>24.386</v>
      </c>
      <c r="Y28" s="212">
        <f t="shared" si="3"/>
        <v>-8.976895226008741</v>
      </c>
      <c r="Z28" s="120" t="s">
        <v>22</v>
      </c>
    </row>
    <row r="29" spans="1:28" s="255" customFormat="1" ht="12.75" customHeight="1">
      <c r="A29" s="251"/>
      <c r="B29" s="19" t="s">
        <v>40</v>
      </c>
      <c r="C29" s="257">
        <v>4.358</v>
      </c>
      <c r="D29" s="257">
        <v>7.6</v>
      </c>
      <c r="E29" s="411">
        <v>10.3</v>
      </c>
      <c r="F29" s="411">
        <v>10.7</v>
      </c>
      <c r="G29" s="411">
        <v>11.4</v>
      </c>
      <c r="H29" s="411">
        <v>11.8</v>
      </c>
      <c r="I29" s="411">
        <v>12.55</v>
      </c>
      <c r="J29" s="411">
        <v>11.3</v>
      </c>
      <c r="K29" s="411">
        <v>11.1</v>
      </c>
      <c r="L29" s="411">
        <v>11.6</v>
      </c>
      <c r="M29" s="411">
        <v>11.55</v>
      </c>
      <c r="N29" s="411">
        <v>11.48</v>
      </c>
      <c r="O29" s="411">
        <v>11.821</v>
      </c>
      <c r="P29" s="411">
        <v>11.159</v>
      </c>
      <c r="Q29" s="411">
        <v>9.936</v>
      </c>
      <c r="R29" s="411">
        <v>10.537</v>
      </c>
      <c r="S29" s="411">
        <v>10.809</v>
      </c>
      <c r="T29" s="412">
        <v>11.1</v>
      </c>
      <c r="U29" s="412">
        <v>10.557</v>
      </c>
      <c r="V29" s="412">
        <v>10.878</v>
      </c>
      <c r="W29" s="412">
        <v>10.937</v>
      </c>
      <c r="X29" s="412">
        <v>10.445615885670689</v>
      </c>
      <c r="Y29" s="260">
        <f t="shared" si="3"/>
        <v>-4.49286014747472</v>
      </c>
      <c r="Z29" s="19" t="s">
        <v>40</v>
      </c>
      <c r="AB29"/>
    </row>
    <row r="30" spans="1:26" ht="12.75" customHeight="1">
      <c r="A30" s="17"/>
      <c r="B30" s="120" t="s">
        <v>23</v>
      </c>
      <c r="C30" s="154">
        <v>7.858</v>
      </c>
      <c r="D30" s="154">
        <v>24.016</v>
      </c>
      <c r="E30" s="414">
        <v>24.007</v>
      </c>
      <c r="F30" s="414">
        <v>20.835</v>
      </c>
      <c r="G30" s="414">
        <v>25.649</v>
      </c>
      <c r="H30" s="422">
        <v>20.512</v>
      </c>
      <c r="I30" s="414">
        <v>14.058</v>
      </c>
      <c r="J30" s="414">
        <v>12.343</v>
      </c>
      <c r="K30" s="414">
        <v>12.842</v>
      </c>
      <c r="L30" s="414">
        <v>13.531</v>
      </c>
      <c r="M30" s="415">
        <v>13</v>
      </c>
      <c r="N30" s="415">
        <v>12.5</v>
      </c>
      <c r="O30" s="415">
        <v>12</v>
      </c>
      <c r="P30" s="415">
        <v>11.5</v>
      </c>
      <c r="Q30" s="415">
        <v>11.5</v>
      </c>
      <c r="R30" s="415">
        <v>11.5</v>
      </c>
      <c r="S30" s="415">
        <v>11.5</v>
      </c>
      <c r="T30" s="414">
        <v>11.812</v>
      </c>
      <c r="U30" s="414">
        <v>11.735</v>
      </c>
      <c r="V30" s="414">
        <v>12.156</v>
      </c>
      <c r="W30" s="414">
        <v>13.88</v>
      </c>
      <c r="X30" s="414">
        <v>12.805</v>
      </c>
      <c r="Y30" s="212">
        <f t="shared" si="3"/>
        <v>-7.7449567723343</v>
      </c>
      <c r="Z30" s="120" t="s">
        <v>23</v>
      </c>
    </row>
    <row r="31" spans="1:28" s="255" customFormat="1" ht="12.75" customHeight="1">
      <c r="A31" s="251"/>
      <c r="B31" s="19" t="s">
        <v>25</v>
      </c>
      <c r="C31" s="257">
        <v>2.642</v>
      </c>
      <c r="D31" s="257">
        <v>4.925</v>
      </c>
      <c r="E31" s="411">
        <v>6.508</v>
      </c>
      <c r="F31" s="411">
        <v>5.554</v>
      </c>
      <c r="G31" s="411">
        <v>4.17</v>
      </c>
      <c r="H31" s="411">
        <v>3.894</v>
      </c>
      <c r="I31" s="411">
        <v>4.053</v>
      </c>
      <c r="J31" s="411">
        <v>4.113</v>
      </c>
      <c r="K31" s="411">
        <v>4.301</v>
      </c>
      <c r="L31" s="411">
        <v>4.379</v>
      </c>
      <c r="M31" s="411">
        <v>3.876</v>
      </c>
      <c r="N31" s="411">
        <v>4.138</v>
      </c>
      <c r="O31" s="411">
        <v>3.502</v>
      </c>
      <c r="P31" s="411">
        <v>3.393</v>
      </c>
      <c r="Q31" s="411">
        <v>3.339</v>
      </c>
      <c r="R31" s="411">
        <v>3.446</v>
      </c>
      <c r="S31" s="411">
        <v>3.218</v>
      </c>
      <c r="T31" s="411">
        <v>3.062</v>
      </c>
      <c r="U31" s="411">
        <v>3.133</v>
      </c>
      <c r="V31" s="411">
        <v>3.235</v>
      </c>
      <c r="W31" s="411">
        <v>3.146</v>
      </c>
      <c r="X31" s="412">
        <v>3.0060756000779074</v>
      </c>
      <c r="Y31" s="260">
        <f t="shared" si="3"/>
        <v>-4.447692305215911</v>
      </c>
      <c r="Z31" s="19" t="s">
        <v>25</v>
      </c>
      <c r="AB31"/>
    </row>
    <row r="32" spans="1:26" ht="12.75" customHeight="1">
      <c r="A32" s="17"/>
      <c r="B32" s="120" t="s">
        <v>24</v>
      </c>
      <c r="C32" s="157"/>
      <c r="D32" s="157"/>
      <c r="E32" s="423"/>
      <c r="F32" s="414"/>
      <c r="G32" s="414"/>
      <c r="H32" s="414"/>
      <c r="I32" s="414"/>
      <c r="J32" s="414">
        <v>14.441</v>
      </c>
      <c r="K32" s="414">
        <v>14.48</v>
      </c>
      <c r="L32" s="414">
        <v>13.469</v>
      </c>
      <c r="M32" s="414">
        <v>12.46</v>
      </c>
      <c r="N32" s="414">
        <v>11.353</v>
      </c>
      <c r="O32" s="414">
        <v>9.3174635</v>
      </c>
      <c r="P32" s="414">
        <v>9.24563722</v>
      </c>
      <c r="Q32" s="414">
        <v>9.24878837</v>
      </c>
      <c r="R32" s="414">
        <v>8.7739944</v>
      </c>
      <c r="S32" s="414">
        <v>8.84976323</v>
      </c>
      <c r="T32" s="414">
        <v>8.53778246</v>
      </c>
      <c r="U32" s="414">
        <v>8.683574</v>
      </c>
      <c r="V32" s="414">
        <v>8.652062</v>
      </c>
      <c r="W32" s="414">
        <v>7.4487156</v>
      </c>
      <c r="X32" s="414">
        <v>5.3724741</v>
      </c>
      <c r="Y32" s="212">
        <f t="shared" si="3"/>
        <v>-27.87381894403379</v>
      </c>
      <c r="Z32" s="120" t="s">
        <v>24</v>
      </c>
    </row>
    <row r="33" spans="1:26" ht="12.75" customHeight="1">
      <c r="A33" s="17"/>
      <c r="B33" s="19" t="s">
        <v>41</v>
      </c>
      <c r="C33" s="152">
        <v>7.5</v>
      </c>
      <c r="D33" s="152">
        <v>8.5</v>
      </c>
      <c r="E33" s="420">
        <v>8.5</v>
      </c>
      <c r="F33" s="420">
        <v>8.1</v>
      </c>
      <c r="G33" s="420">
        <v>8</v>
      </c>
      <c r="H33" s="420">
        <v>8</v>
      </c>
      <c r="I33" s="420">
        <v>8</v>
      </c>
      <c r="J33" s="420">
        <v>8</v>
      </c>
      <c r="K33" s="420">
        <v>8</v>
      </c>
      <c r="L33" s="420">
        <v>8</v>
      </c>
      <c r="M33" s="420">
        <v>7.8</v>
      </c>
      <c r="N33" s="420">
        <v>7.6</v>
      </c>
      <c r="O33" s="420">
        <v>7.7</v>
      </c>
      <c r="P33" s="420">
        <v>7.7</v>
      </c>
      <c r="Q33" s="420">
        <v>7.7</v>
      </c>
      <c r="R33" s="420">
        <v>7.67</v>
      </c>
      <c r="S33" s="420">
        <v>7.605</v>
      </c>
      <c r="T33" s="420">
        <v>7.54</v>
      </c>
      <c r="U33" s="420">
        <v>7.54</v>
      </c>
      <c r="V33" s="420">
        <v>7.54</v>
      </c>
      <c r="W33" s="420">
        <v>7.54</v>
      </c>
      <c r="X33" s="420">
        <v>7.54</v>
      </c>
      <c r="Y33" s="210">
        <f t="shared" si="3"/>
        <v>0</v>
      </c>
      <c r="Z33" s="19" t="s">
        <v>41</v>
      </c>
    </row>
    <row r="34" spans="1:26" ht="12.75" customHeight="1">
      <c r="A34" s="17"/>
      <c r="B34" s="120" t="s">
        <v>42</v>
      </c>
      <c r="C34" s="154">
        <v>5.5</v>
      </c>
      <c r="D34" s="155">
        <v>7.3</v>
      </c>
      <c r="E34" s="414">
        <v>9.663565396357743</v>
      </c>
      <c r="F34" s="414">
        <v>9.677871179540276</v>
      </c>
      <c r="G34" s="414">
        <v>9.699579341247878</v>
      </c>
      <c r="H34" s="414">
        <v>9.421206473765904</v>
      </c>
      <c r="I34" s="414">
        <v>9.531356730066832</v>
      </c>
      <c r="J34" s="414">
        <v>9.70318298834586</v>
      </c>
      <c r="K34" s="414">
        <v>9.815881642468796</v>
      </c>
      <c r="L34" s="414">
        <v>9.822218249358277</v>
      </c>
      <c r="M34" s="414">
        <v>9.777521360228848</v>
      </c>
      <c r="N34" s="414">
        <v>9.755750625837438</v>
      </c>
      <c r="O34" s="414">
        <v>9.451516631541596</v>
      </c>
      <c r="P34" s="414">
        <v>9.192688278826282</v>
      </c>
      <c r="Q34" s="414">
        <v>9.269930842675889</v>
      </c>
      <c r="R34" s="414">
        <v>9.12657476361352</v>
      </c>
      <c r="S34" s="414">
        <v>8.895604098507814</v>
      </c>
      <c r="T34" s="414">
        <v>8.76</v>
      </c>
      <c r="U34" s="414">
        <v>8.8679</v>
      </c>
      <c r="V34" s="414">
        <v>8.6547</v>
      </c>
      <c r="W34" s="414">
        <v>8.758</v>
      </c>
      <c r="X34" s="414">
        <v>8.8</v>
      </c>
      <c r="Y34" s="212">
        <f t="shared" si="3"/>
        <v>0.4795615437314549</v>
      </c>
      <c r="Z34" s="120" t="s">
        <v>42</v>
      </c>
    </row>
    <row r="35" spans="1:26" ht="12.75" customHeight="1">
      <c r="A35" s="17"/>
      <c r="B35" s="20" t="s">
        <v>30</v>
      </c>
      <c r="C35" s="152">
        <v>61.7</v>
      </c>
      <c r="D35" s="152">
        <v>53.7</v>
      </c>
      <c r="E35" s="420">
        <v>47.7</v>
      </c>
      <c r="F35" s="420">
        <v>46.7</v>
      </c>
      <c r="G35" s="420">
        <v>45.7</v>
      </c>
      <c r="H35" s="420">
        <v>45.7</v>
      </c>
      <c r="I35" s="420">
        <v>45.8</v>
      </c>
      <c r="J35" s="420">
        <v>45.8</v>
      </c>
      <c r="K35" s="420">
        <v>45.7</v>
      </c>
      <c r="L35" s="420">
        <v>45.7</v>
      </c>
      <c r="M35" s="420">
        <v>46.5</v>
      </c>
      <c r="N35" s="420">
        <v>47.5</v>
      </c>
      <c r="O35" s="424">
        <v>48.5</v>
      </c>
      <c r="P35" s="420">
        <v>48.5</v>
      </c>
      <c r="Q35" s="420">
        <v>48.5</v>
      </c>
      <c r="R35" s="420">
        <v>48.5</v>
      </c>
      <c r="S35" s="420">
        <v>38.5</v>
      </c>
      <c r="T35" s="420">
        <v>37.5</v>
      </c>
      <c r="U35" s="420">
        <v>38</v>
      </c>
      <c r="V35" s="420">
        <v>38.5</v>
      </c>
      <c r="W35" s="420">
        <v>40.5</v>
      </c>
      <c r="X35" s="420">
        <v>38.5</v>
      </c>
      <c r="Y35" s="210">
        <f t="shared" si="3"/>
        <v>-4.938271604938271</v>
      </c>
      <c r="Z35" s="20" t="s">
        <v>30</v>
      </c>
    </row>
    <row r="36" spans="1:26" ht="12.75" customHeight="1">
      <c r="A36" s="17"/>
      <c r="B36" s="120" t="s">
        <v>47</v>
      </c>
      <c r="C36" s="159">
        <v>3.3</v>
      </c>
      <c r="D36" s="159">
        <v>7.1</v>
      </c>
      <c r="E36" s="425">
        <v>7</v>
      </c>
      <c r="F36" s="425" t="s">
        <v>44</v>
      </c>
      <c r="G36" s="425" t="s">
        <v>44</v>
      </c>
      <c r="H36" s="425" t="s">
        <v>44</v>
      </c>
      <c r="I36" s="425" t="s">
        <v>44</v>
      </c>
      <c r="J36" s="425">
        <v>4.051915</v>
      </c>
      <c r="K36" s="425">
        <v>4.266118</v>
      </c>
      <c r="L36" s="425">
        <v>4.459067</v>
      </c>
      <c r="M36" s="425">
        <v>3.963847</v>
      </c>
      <c r="N36" s="425">
        <v>3.354983</v>
      </c>
      <c r="O36" s="425">
        <v>3.331147</v>
      </c>
      <c r="P36" s="425">
        <v>3.477757</v>
      </c>
      <c r="Q36" s="425">
        <v>3.557693</v>
      </c>
      <c r="R36" s="425">
        <v>3.71685</v>
      </c>
      <c r="S36" s="425">
        <v>3.390253</v>
      </c>
      <c r="T36" s="425">
        <v>3.403469</v>
      </c>
      <c r="U36" s="425">
        <v>3.537056</v>
      </c>
      <c r="V36" s="425">
        <v>3.80798</v>
      </c>
      <c r="W36" s="425">
        <v>4.093489</v>
      </c>
      <c r="X36" s="425">
        <v>3.437996</v>
      </c>
      <c r="Y36" s="220">
        <f t="shared" si="3"/>
        <v>-16.013063672578575</v>
      </c>
      <c r="Z36" s="120" t="s">
        <v>47</v>
      </c>
    </row>
    <row r="37" spans="1:28" s="255" customFormat="1" ht="12.75" customHeight="1">
      <c r="A37" s="251"/>
      <c r="B37" s="19" t="s">
        <v>8</v>
      </c>
      <c r="C37" s="252"/>
      <c r="D37" s="252"/>
      <c r="E37" s="418"/>
      <c r="F37" s="411"/>
      <c r="G37" s="411"/>
      <c r="H37" s="411"/>
      <c r="I37" s="411"/>
      <c r="J37" s="412">
        <v>0.9</v>
      </c>
      <c r="K37" s="412">
        <v>0.9</v>
      </c>
      <c r="L37" s="412">
        <v>0.9</v>
      </c>
      <c r="M37" s="412">
        <v>0.9</v>
      </c>
      <c r="N37" s="412">
        <v>0.9</v>
      </c>
      <c r="O37" s="412">
        <v>0.9</v>
      </c>
      <c r="P37" s="412">
        <v>0.831</v>
      </c>
      <c r="Q37" s="412">
        <v>1</v>
      </c>
      <c r="R37" s="412">
        <v>1.344</v>
      </c>
      <c r="S37" s="412">
        <v>1.11</v>
      </c>
      <c r="T37" s="412">
        <v>1.086</v>
      </c>
      <c r="U37" s="412">
        <v>1.016</v>
      </c>
      <c r="V37" s="412">
        <v>1.027</v>
      </c>
      <c r="W37" s="412">
        <v>1.239</v>
      </c>
      <c r="X37" s="412">
        <v>1.213</v>
      </c>
      <c r="Y37" s="260">
        <f t="shared" si="3"/>
        <v>-2.098466505246166</v>
      </c>
      <c r="Z37" s="19" t="s">
        <v>8</v>
      </c>
      <c r="AB37"/>
    </row>
    <row r="38" spans="1:26" ht="12.75" customHeight="1">
      <c r="A38" s="17"/>
      <c r="B38" s="121" t="s">
        <v>26</v>
      </c>
      <c r="C38" s="158" t="s">
        <v>44</v>
      </c>
      <c r="D38" s="158" t="s">
        <v>44</v>
      </c>
      <c r="E38" s="426" t="s">
        <v>44</v>
      </c>
      <c r="F38" s="426" t="s">
        <v>44</v>
      </c>
      <c r="G38" s="426" t="s">
        <v>44</v>
      </c>
      <c r="H38" s="426">
        <v>86.914</v>
      </c>
      <c r="I38" s="426">
        <v>79.17</v>
      </c>
      <c r="J38" s="426">
        <v>85.674</v>
      </c>
      <c r="K38" s="426">
        <v>91.658</v>
      </c>
      <c r="L38" s="426">
        <v>95.36</v>
      </c>
      <c r="M38" s="426">
        <v>94.914</v>
      </c>
      <c r="N38" s="426">
        <v>91.263</v>
      </c>
      <c r="O38" s="426">
        <v>87.391</v>
      </c>
      <c r="P38" s="426">
        <v>76.8</v>
      </c>
      <c r="Q38" s="427">
        <v>80</v>
      </c>
      <c r="R38" s="427">
        <v>81</v>
      </c>
      <c r="S38" s="427">
        <v>85</v>
      </c>
      <c r="T38" s="427">
        <v>95</v>
      </c>
      <c r="U38" s="427">
        <v>100</v>
      </c>
      <c r="V38" s="427">
        <v>105</v>
      </c>
      <c r="W38" s="427">
        <v>110</v>
      </c>
      <c r="X38" s="427">
        <v>105.8128380959506</v>
      </c>
      <c r="Y38" s="215">
        <f t="shared" si="3"/>
        <v>-3.806510821863096</v>
      </c>
      <c r="Z38" s="121" t="s">
        <v>26</v>
      </c>
    </row>
    <row r="39" spans="1:28" s="255" customFormat="1" ht="12.75" customHeight="1">
      <c r="A39" s="251"/>
      <c r="B39" s="19" t="s">
        <v>12</v>
      </c>
      <c r="C39" s="263" t="s">
        <v>44</v>
      </c>
      <c r="D39" s="263" t="s">
        <v>44</v>
      </c>
      <c r="E39" s="428" t="s">
        <v>44</v>
      </c>
      <c r="F39" s="428" t="s">
        <v>44</v>
      </c>
      <c r="G39" s="428" t="s">
        <v>44</v>
      </c>
      <c r="H39" s="428" t="s">
        <v>44</v>
      </c>
      <c r="I39" s="428" t="s">
        <v>44</v>
      </c>
      <c r="J39" s="428">
        <v>0.389</v>
      </c>
      <c r="K39" s="428">
        <v>0.408</v>
      </c>
      <c r="L39" s="428">
        <v>0.433</v>
      </c>
      <c r="M39" s="428">
        <v>0.458</v>
      </c>
      <c r="N39" s="428">
        <v>0.468</v>
      </c>
      <c r="O39" s="428">
        <v>0.485</v>
      </c>
      <c r="P39" s="428">
        <v>0.508</v>
      </c>
      <c r="Q39" s="428">
        <v>0.523</v>
      </c>
      <c r="R39" s="428">
        <v>0.537</v>
      </c>
      <c r="S39" s="428">
        <v>0.554</v>
      </c>
      <c r="T39" s="428">
        <v>0.587</v>
      </c>
      <c r="U39" s="428">
        <v>0.622</v>
      </c>
      <c r="V39" s="428">
        <v>0.653</v>
      </c>
      <c r="W39" s="428">
        <v>0.636</v>
      </c>
      <c r="X39" s="428">
        <v>0.644</v>
      </c>
      <c r="Y39" s="265">
        <f t="shared" si="3"/>
        <v>1.2578616352201255</v>
      </c>
      <c r="Z39" s="19" t="s">
        <v>12</v>
      </c>
      <c r="AB39"/>
    </row>
    <row r="40" spans="1:26" ht="12.75" customHeight="1">
      <c r="A40" s="17"/>
      <c r="B40" s="120" t="s">
        <v>43</v>
      </c>
      <c r="C40" s="154">
        <v>3.726</v>
      </c>
      <c r="D40" s="154">
        <v>4.257</v>
      </c>
      <c r="E40" s="414">
        <v>3.89</v>
      </c>
      <c r="F40" s="414">
        <v>3.935</v>
      </c>
      <c r="G40" s="414">
        <v>3.935</v>
      </c>
      <c r="H40" s="414">
        <v>3.935</v>
      </c>
      <c r="I40" s="414">
        <v>4</v>
      </c>
      <c r="J40" s="414">
        <v>3.752</v>
      </c>
      <c r="K40" s="414">
        <v>4.117</v>
      </c>
      <c r="L40" s="414">
        <v>4.248</v>
      </c>
      <c r="M40" s="414">
        <v>4.212</v>
      </c>
      <c r="N40" s="414">
        <v>4.177</v>
      </c>
      <c r="O40" s="414">
        <v>4.141</v>
      </c>
      <c r="P40" s="414">
        <v>4.105</v>
      </c>
      <c r="Q40" s="414">
        <v>4.125</v>
      </c>
      <c r="R40" s="414">
        <v>4.005</v>
      </c>
      <c r="S40" s="414">
        <v>4.231</v>
      </c>
      <c r="T40" s="414">
        <v>4.312</v>
      </c>
      <c r="U40" s="414">
        <v>4.258</v>
      </c>
      <c r="V40" s="414">
        <v>4.268</v>
      </c>
      <c r="W40" s="414">
        <v>4.36</v>
      </c>
      <c r="X40" s="414">
        <v>4.401</v>
      </c>
      <c r="Y40" s="212">
        <f t="shared" si="3"/>
        <v>0.940366972477058</v>
      </c>
      <c r="Z40" s="120" t="s">
        <v>43</v>
      </c>
    </row>
    <row r="41" spans="1:28" s="255" customFormat="1" ht="12.75" customHeight="1">
      <c r="A41" s="251"/>
      <c r="B41" s="20" t="s">
        <v>13</v>
      </c>
      <c r="C41" s="266">
        <v>1.885</v>
      </c>
      <c r="D41" s="266">
        <v>2.486</v>
      </c>
      <c r="E41" s="429">
        <v>3.318</v>
      </c>
      <c r="F41" s="429">
        <v>3.627</v>
      </c>
      <c r="G41" s="429">
        <v>3.583</v>
      </c>
      <c r="H41" s="429">
        <v>3.539</v>
      </c>
      <c r="I41" s="430">
        <v>3.531</v>
      </c>
      <c r="J41" s="429">
        <v>5.5288</v>
      </c>
      <c r="K41" s="429">
        <v>5.4243</v>
      </c>
      <c r="L41" s="429">
        <v>5.3873</v>
      </c>
      <c r="M41" s="429">
        <v>5.2170000000000005</v>
      </c>
      <c r="N41" s="429">
        <v>5.179</v>
      </c>
      <c r="O41" s="429">
        <v>5.2557</v>
      </c>
      <c r="P41" s="429">
        <v>5.280899999999999</v>
      </c>
      <c r="Q41" s="429">
        <v>5.2964</v>
      </c>
      <c r="R41" s="429">
        <v>5.4168</v>
      </c>
      <c r="S41" s="429">
        <v>5.4517</v>
      </c>
      <c r="T41" s="429">
        <v>5.694100000000001</v>
      </c>
      <c r="U41" s="429">
        <v>6.0143</v>
      </c>
      <c r="V41" s="429">
        <v>6.1386</v>
      </c>
      <c r="W41" s="429">
        <v>6.2225</v>
      </c>
      <c r="X41" s="431">
        <v>6.3</v>
      </c>
      <c r="Y41" s="268">
        <f t="shared" si="3"/>
        <v>1.2454801124949677</v>
      </c>
      <c r="Z41" s="20" t="s">
        <v>13</v>
      </c>
      <c r="AB41"/>
    </row>
    <row r="42" spans="2:26" ht="15" customHeight="1">
      <c r="B42" s="221" t="s">
        <v>86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131"/>
    </row>
    <row r="43" spans="2:25" ht="12.75" customHeight="1">
      <c r="B43" s="2" t="s">
        <v>7</v>
      </c>
      <c r="C43" s="60"/>
      <c r="D43" s="61"/>
      <c r="E43" s="61"/>
      <c r="F43" s="61"/>
      <c r="G43" s="61"/>
      <c r="H43" s="62"/>
      <c r="I43" s="61"/>
      <c r="J43" s="61"/>
      <c r="K43" s="57"/>
      <c r="L43" s="61"/>
      <c r="M43" s="31"/>
      <c r="N43" s="31"/>
      <c r="O43" s="61"/>
      <c r="P43" s="31"/>
      <c r="Q43" s="31"/>
      <c r="R43" s="30"/>
      <c r="S43" s="222"/>
      <c r="T43" s="222"/>
      <c r="U43" s="222"/>
      <c r="V43" s="222"/>
      <c r="W43" s="222"/>
      <c r="X43" s="222"/>
      <c r="Y43" s="222"/>
    </row>
    <row r="44" spans="2:28" s="70" customFormat="1" ht="12.75" customHeight="1">
      <c r="B44" s="70" t="s">
        <v>126</v>
      </c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AB44"/>
    </row>
    <row r="45" spans="2:28" s="70" customFormat="1" ht="16.5" customHeight="1">
      <c r="B45" s="481" t="s">
        <v>103</v>
      </c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AB45"/>
    </row>
    <row r="46" spans="2:28" s="70" customFormat="1" ht="12.75" customHeight="1">
      <c r="B46" s="460" t="s">
        <v>134</v>
      </c>
      <c r="C46" s="3"/>
      <c r="D46" s="3"/>
      <c r="E46" s="3"/>
      <c r="F46" s="3"/>
      <c r="G46" s="3"/>
      <c r="T46" s="283"/>
      <c r="U46" s="283"/>
      <c r="V46" s="283"/>
      <c r="W46" s="283"/>
      <c r="X46" s="283"/>
      <c r="Y46" s="283"/>
      <c r="AB46"/>
    </row>
    <row r="47" spans="2:19" ht="12.75">
      <c r="B47" s="132" t="s">
        <v>95</v>
      </c>
      <c r="C47" s="70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</row>
    <row r="48" spans="2:18" ht="12.75" customHeight="1">
      <c r="B48" s="54"/>
      <c r="C48" s="70"/>
      <c r="D48" s="71"/>
      <c r="E48" s="71"/>
      <c r="F48" s="26"/>
      <c r="G48" s="71"/>
      <c r="H48" s="71"/>
      <c r="I48" s="72"/>
      <c r="J48" s="26"/>
      <c r="K48" s="26"/>
      <c r="L48" s="70"/>
      <c r="M48" s="26"/>
      <c r="N48" s="73"/>
      <c r="O48" s="71"/>
      <c r="P48" s="71"/>
      <c r="Q48" s="71"/>
      <c r="R48" s="74"/>
    </row>
    <row r="49" spans="2:18" ht="12.75" customHeight="1">
      <c r="B49" s="54"/>
      <c r="C49" s="70"/>
      <c r="D49" s="75"/>
      <c r="E49" s="75"/>
      <c r="F49" s="26"/>
      <c r="G49" s="26"/>
      <c r="H49" s="26"/>
      <c r="I49" s="26"/>
      <c r="J49" s="26"/>
      <c r="K49" s="26"/>
      <c r="L49" s="70"/>
      <c r="M49" s="26"/>
      <c r="N49" s="26"/>
      <c r="O49" s="26"/>
      <c r="P49" s="26"/>
      <c r="Q49" s="26"/>
      <c r="R49" s="23"/>
    </row>
  </sheetData>
  <mergeCells count="2">
    <mergeCell ref="B2:Z2"/>
    <mergeCell ref="B45:Y45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/>
  <dimension ref="A1:AB47"/>
  <sheetViews>
    <sheetView workbookViewId="0" topLeftCell="A1">
      <selection activeCell="B45" sqref="B45"/>
    </sheetView>
  </sheetViews>
  <sheetFormatPr defaultColWidth="9.140625" defaultRowHeight="12.75"/>
  <cols>
    <col min="1" max="1" width="2.7109375" style="17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9.140625" style="3" customWidth="1"/>
    <col min="29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T1" s="42"/>
      <c r="U1" s="42"/>
      <c r="V1" s="42"/>
      <c r="W1" s="42"/>
      <c r="X1" s="42"/>
      <c r="Z1" s="42" t="s">
        <v>113</v>
      </c>
    </row>
    <row r="2" spans="1:28" s="70" customFormat="1" ht="30" customHeight="1">
      <c r="A2" s="117"/>
      <c r="B2" s="480" t="s">
        <v>1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B2"/>
    </row>
    <row r="3" spans="3:26" ht="1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X3" s="24" t="s">
        <v>124</v>
      </c>
      <c r="Y3" s="6"/>
      <c r="Z3" s="24"/>
    </row>
    <row r="4" spans="2:26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</row>
    <row r="5" spans="2:26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</row>
    <row r="6" spans="2:26" ht="12.75" customHeight="1">
      <c r="B6" s="119" t="s">
        <v>67</v>
      </c>
      <c r="C6" s="163"/>
      <c r="D6" s="163"/>
      <c r="E6" s="407"/>
      <c r="F6" s="407"/>
      <c r="G6" s="407"/>
      <c r="H6" s="407"/>
      <c r="I6" s="407"/>
      <c r="J6" s="407">
        <f>SUM(J9:J35)</f>
        <v>71.08849000000001</v>
      </c>
      <c r="K6" s="407">
        <f>SUM(K9:K35)</f>
        <v>71.9473</v>
      </c>
      <c r="L6" s="407">
        <f>SUM(L9:L35)</f>
        <v>72.5027</v>
      </c>
      <c r="M6" s="407">
        <f>SUM(M9:M35)</f>
        <v>73.54226399999999</v>
      </c>
      <c r="N6" s="407">
        <f aca="true" t="shared" si="0" ref="N6:T6">SUM(N9:N35)</f>
        <v>75.08774199999999</v>
      </c>
      <c r="O6" s="407">
        <f t="shared" si="0"/>
        <v>77.1524</v>
      </c>
      <c r="P6" s="407">
        <f t="shared" si="0"/>
        <v>77.82326278</v>
      </c>
      <c r="Q6" s="407">
        <f t="shared" si="0"/>
        <v>78.50671163</v>
      </c>
      <c r="R6" s="407">
        <f t="shared" si="0"/>
        <v>79.32802059999999</v>
      </c>
      <c r="S6" s="407">
        <f t="shared" si="0"/>
        <v>81.95488177</v>
      </c>
      <c r="T6" s="407">
        <f t="shared" si="0"/>
        <v>82.41954154</v>
      </c>
      <c r="U6" s="407">
        <f>SUM(U9:U35)</f>
        <v>84.17843599999999</v>
      </c>
      <c r="V6" s="407">
        <f>SUM(V9:V35)</f>
        <v>86.03662800000001</v>
      </c>
      <c r="W6" s="407">
        <f>SUM(W9:W35)</f>
        <v>89.15814540000001</v>
      </c>
      <c r="X6" s="407">
        <f>SUM(X9:X35)</f>
        <v>88.76082103234592</v>
      </c>
      <c r="Y6" s="217">
        <f>(X6/W6-1)*100</f>
        <v>-0.4456400095263713</v>
      </c>
      <c r="Z6" s="126" t="s">
        <v>67</v>
      </c>
    </row>
    <row r="7" spans="2:26" ht="12.75" customHeight="1">
      <c r="B7" s="120" t="s">
        <v>31</v>
      </c>
      <c r="C7" s="164">
        <f aca="true" t="shared" si="1" ref="C7:L7">SUM(C9,C12:C13,C15:C19,C23,C26:C27,C29,C33:C35)</f>
        <v>38.910000000000004</v>
      </c>
      <c r="D7" s="164">
        <f t="shared" si="1"/>
        <v>40.67</v>
      </c>
      <c r="E7" s="409">
        <f t="shared" si="1"/>
        <v>49.024</v>
      </c>
      <c r="F7" s="409">
        <f t="shared" si="1"/>
        <v>49.623000000000005</v>
      </c>
      <c r="G7" s="409">
        <f t="shared" si="1"/>
        <v>49.007</v>
      </c>
      <c r="H7" s="409">
        <f t="shared" si="1"/>
        <v>49.4054</v>
      </c>
      <c r="I7" s="409">
        <f t="shared" si="1"/>
        <v>49.158</v>
      </c>
      <c r="J7" s="409">
        <f t="shared" si="1"/>
        <v>48.7696</v>
      </c>
      <c r="K7" s="409">
        <f t="shared" si="1"/>
        <v>49.69499999999999</v>
      </c>
      <c r="L7" s="409">
        <f t="shared" si="1"/>
        <v>50.2058</v>
      </c>
      <c r="M7" s="409">
        <f>SUM(M9,M12:M13,M15:M19,M23,M26:M27,M29,M33:M35)</f>
        <v>51.12799999999999</v>
      </c>
      <c r="N7" s="409">
        <f aca="true" t="shared" si="2" ref="N7:V7">SUM(N9,N12:N13,N15:N19,N23,N26:N27,N29,N33:N35)</f>
        <v>52.4813</v>
      </c>
      <c r="O7" s="409">
        <f t="shared" si="2"/>
        <v>54.67400000000001</v>
      </c>
      <c r="P7" s="409">
        <f t="shared" si="2"/>
        <v>55.20060000000001</v>
      </c>
      <c r="Q7" s="409">
        <f t="shared" si="2"/>
        <v>55.8925</v>
      </c>
      <c r="R7" s="409">
        <f t="shared" si="2"/>
        <v>56.7713</v>
      </c>
      <c r="S7" s="409">
        <f t="shared" si="2"/>
        <v>58.964700000000015</v>
      </c>
      <c r="T7" s="409">
        <f t="shared" si="2"/>
        <v>59.965716</v>
      </c>
      <c r="U7" s="409">
        <f t="shared" si="2"/>
        <v>61.66191</v>
      </c>
      <c r="V7" s="409">
        <f t="shared" si="2"/>
        <v>63.317890000000006</v>
      </c>
      <c r="W7" s="409">
        <f>SUM(W9,W12:W13,W15:W19,W23,W26:W27,W29,W33:W35)</f>
        <v>64.911761</v>
      </c>
      <c r="X7" s="409">
        <f>SUM(X9,X12:X13,X15:X19,X23,X26:X27,X29,X33:X35)</f>
        <v>64.92459513234591</v>
      </c>
      <c r="Y7" s="218">
        <f aca="true" t="shared" si="3" ref="Y7:Y21">(X7/W7-1)*100</f>
        <v>0.01977165947772974</v>
      </c>
      <c r="Z7" s="125" t="s">
        <v>31</v>
      </c>
    </row>
    <row r="8" spans="2:26" ht="12.75" customHeight="1">
      <c r="B8" s="121" t="s">
        <v>79</v>
      </c>
      <c r="C8" s="162"/>
      <c r="D8" s="162"/>
      <c r="E8" s="432"/>
      <c r="F8" s="432"/>
      <c r="G8" s="432"/>
      <c r="H8" s="432"/>
      <c r="I8" s="432"/>
      <c r="J8" s="432">
        <f>SUM(J10,J11,J14,J20,J21,J22,J24,J25,J28,J30,J31,J32)</f>
        <v>22.318890000000003</v>
      </c>
      <c r="K8" s="432">
        <f>SUM(K10,K11,K14,K20,K21,K22,K24,K25,K28,K30,K31,K32)</f>
        <v>22.2523</v>
      </c>
      <c r="L8" s="432">
        <f>SUM(L10,L11,L14,L20,L21,L22,L24,L25,L28,L30,L31,L32)</f>
        <v>22.2969</v>
      </c>
      <c r="M8" s="432">
        <f aca="true" t="shared" si="4" ref="M8:U8">SUM(M10,M11,M14,M20,M21,M22,M24,M25,M28,M30,M31,M32)</f>
        <v>22.414264</v>
      </c>
      <c r="N8" s="432">
        <f t="shared" si="4"/>
        <v>22.606441999999998</v>
      </c>
      <c r="O8" s="432">
        <f t="shared" si="4"/>
        <v>22.4784</v>
      </c>
      <c r="P8" s="432">
        <f t="shared" si="4"/>
        <v>22.62266278</v>
      </c>
      <c r="Q8" s="432">
        <f t="shared" si="4"/>
        <v>22.61421163</v>
      </c>
      <c r="R8" s="432">
        <f t="shared" si="4"/>
        <v>22.5567206</v>
      </c>
      <c r="S8" s="432">
        <f t="shared" si="4"/>
        <v>22.990181769999996</v>
      </c>
      <c r="T8" s="432">
        <f t="shared" si="4"/>
        <v>22.45382554</v>
      </c>
      <c r="U8" s="432">
        <f t="shared" si="4"/>
        <v>22.516526000000002</v>
      </c>
      <c r="V8" s="432">
        <f>SUM(V10,V11,V14,V20,V21,V22,V24,V25,V28,V30,V31,V32)</f>
        <v>22.718738</v>
      </c>
      <c r="W8" s="432">
        <f>SUM(W10,W11,W14,W20,W21,W22,W24,W25,W28,W30,W31,W32)</f>
        <v>24.2463844</v>
      </c>
      <c r="X8" s="432">
        <f>SUM(X10,X11,X14,X20,X21,X22,X24,X25,X28,X30,X31,X32)</f>
        <v>23.836225900000006</v>
      </c>
      <c r="Y8" s="209">
        <f t="shared" si="3"/>
        <v>-1.6916274741564985</v>
      </c>
      <c r="Z8" s="121" t="s">
        <v>79</v>
      </c>
    </row>
    <row r="9" spans="2:26" ht="12.75" customHeight="1">
      <c r="B9" s="19" t="s">
        <v>32</v>
      </c>
      <c r="C9" s="152">
        <v>0.86</v>
      </c>
      <c r="D9" s="152">
        <v>0.77</v>
      </c>
      <c r="E9" s="420">
        <v>0.74</v>
      </c>
      <c r="F9" s="420">
        <v>0.75</v>
      </c>
      <c r="G9" s="420">
        <v>0.76</v>
      </c>
      <c r="H9" s="420">
        <v>0.77</v>
      </c>
      <c r="I9" s="420">
        <v>0.79</v>
      </c>
      <c r="J9" s="420">
        <v>0.8</v>
      </c>
      <c r="K9" s="420">
        <v>0.81</v>
      </c>
      <c r="L9" s="420">
        <v>0.82</v>
      </c>
      <c r="M9" s="420">
        <v>0.82</v>
      </c>
      <c r="N9" s="420">
        <v>0.82</v>
      </c>
      <c r="O9" s="420">
        <v>0.87</v>
      </c>
      <c r="P9" s="420">
        <v>0.876</v>
      </c>
      <c r="Q9" s="421">
        <v>0.89</v>
      </c>
      <c r="R9" s="421">
        <v>0.9</v>
      </c>
      <c r="S9" s="421">
        <v>0.91</v>
      </c>
      <c r="T9" s="421">
        <v>0.93</v>
      </c>
      <c r="U9" s="421">
        <v>0.95</v>
      </c>
      <c r="V9" s="421">
        <v>0.97</v>
      </c>
      <c r="W9" s="421">
        <v>1</v>
      </c>
      <c r="X9" s="421">
        <v>1.001911132345915</v>
      </c>
      <c r="Y9" s="213">
        <f t="shared" si="3"/>
        <v>0.191113234591489</v>
      </c>
      <c r="Z9" s="18" t="s">
        <v>32</v>
      </c>
    </row>
    <row r="10" spans="2:26" ht="12.75" customHeight="1">
      <c r="B10" s="120" t="s">
        <v>14</v>
      </c>
      <c r="C10" s="154"/>
      <c r="D10" s="154"/>
      <c r="E10" s="414">
        <v>0.586</v>
      </c>
      <c r="F10" s="414">
        <v>0.454</v>
      </c>
      <c r="G10" s="414">
        <v>0.524</v>
      </c>
      <c r="H10" s="414">
        <v>0.283</v>
      </c>
      <c r="I10" s="414">
        <v>0.25</v>
      </c>
      <c r="J10" s="415">
        <v>0.283</v>
      </c>
      <c r="K10" s="415">
        <v>0.296</v>
      </c>
      <c r="L10" s="415">
        <v>0.308</v>
      </c>
      <c r="M10" s="415">
        <v>0.444</v>
      </c>
      <c r="N10" s="415">
        <v>0.46</v>
      </c>
      <c r="O10" s="415">
        <v>0.419</v>
      </c>
      <c r="P10" s="415">
        <v>0.469</v>
      </c>
      <c r="Q10" s="414">
        <v>0.436</v>
      </c>
      <c r="R10" s="414">
        <v>0.486</v>
      </c>
      <c r="S10" s="414">
        <v>0.44</v>
      </c>
      <c r="T10" s="414">
        <v>0.434</v>
      </c>
      <c r="U10" s="414">
        <v>0.446</v>
      </c>
      <c r="V10" s="414">
        <v>0.443</v>
      </c>
      <c r="W10" s="414">
        <v>0.486</v>
      </c>
      <c r="X10" s="414">
        <v>0.688</v>
      </c>
      <c r="Y10" s="212">
        <f t="shared" si="3"/>
        <v>41.56378600823045</v>
      </c>
      <c r="Z10" s="120" t="s">
        <v>14</v>
      </c>
    </row>
    <row r="11" spans="1:28" s="255" customFormat="1" ht="12.75" customHeight="1">
      <c r="A11" s="251"/>
      <c r="B11" s="19" t="s">
        <v>16</v>
      </c>
      <c r="C11" s="257"/>
      <c r="D11" s="257"/>
      <c r="E11" s="411"/>
      <c r="F11" s="411"/>
      <c r="G11" s="411"/>
      <c r="H11" s="411" t="s">
        <v>44</v>
      </c>
      <c r="I11" s="411" t="s">
        <v>44</v>
      </c>
      <c r="J11" s="411">
        <v>7.688</v>
      </c>
      <c r="K11" s="411">
        <v>7.791</v>
      </c>
      <c r="L11" s="411">
        <v>7.863</v>
      </c>
      <c r="M11" s="411">
        <v>7.855</v>
      </c>
      <c r="N11" s="411">
        <v>8.154</v>
      </c>
      <c r="O11" s="411">
        <v>8.068</v>
      </c>
      <c r="P11" s="411">
        <v>8.227</v>
      </c>
      <c r="Q11" s="411">
        <v>8.307</v>
      </c>
      <c r="R11" s="411">
        <v>8.5634</v>
      </c>
      <c r="S11" s="411">
        <v>8.7255</v>
      </c>
      <c r="T11" s="411">
        <v>7.934200000000001</v>
      </c>
      <c r="U11" s="411">
        <v>7.7988</v>
      </c>
      <c r="V11" s="411">
        <v>7.7504</v>
      </c>
      <c r="W11" s="411">
        <v>9.142800000000001</v>
      </c>
      <c r="X11" s="411">
        <v>8.9867</v>
      </c>
      <c r="Y11" s="254">
        <f t="shared" si="3"/>
        <v>-1.7073544209651348</v>
      </c>
      <c r="Z11" s="19" t="s">
        <v>16</v>
      </c>
      <c r="AB11"/>
    </row>
    <row r="12" spans="2:26" ht="12.75" customHeight="1">
      <c r="B12" s="120" t="s">
        <v>27</v>
      </c>
      <c r="C12" s="166" t="s">
        <v>46</v>
      </c>
      <c r="D12" s="166" t="s">
        <v>46</v>
      </c>
      <c r="E12" s="433" t="s">
        <v>46</v>
      </c>
      <c r="F12" s="433" t="s">
        <v>46</v>
      </c>
      <c r="G12" s="433" t="s">
        <v>46</v>
      </c>
      <c r="H12" s="433" t="s">
        <v>46</v>
      </c>
      <c r="I12" s="433" t="s">
        <v>46</v>
      </c>
      <c r="J12" s="433" t="s">
        <v>46</v>
      </c>
      <c r="K12" s="433" t="s">
        <v>46</v>
      </c>
      <c r="L12" s="433" t="s">
        <v>46</v>
      </c>
      <c r="M12" s="433" t="s">
        <v>46</v>
      </c>
      <c r="N12" s="433" t="s">
        <v>46</v>
      </c>
      <c r="O12" s="433" t="s">
        <v>46</v>
      </c>
      <c r="P12" s="433" t="s">
        <v>46</v>
      </c>
      <c r="Q12" s="414">
        <v>0.009</v>
      </c>
      <c r="R12" s="414">
        <v>0.067</v>
      </c>
      <c r="S12" s="414">
        <v>0.128</v>
      </c>
      <c r="T12" s="414">
        <v>0.162</v>
      </c>
      <c r="U12" s="414">
        <v>0.164</v>
      </c>
      <c r="V12" s="414">
        <v>0.177</v>
      </c>
      <c r="W12" s="414">
        <v>0.195</v>
      </c>
      <c r="X12" s="414">
        <v>0.215</v>
      </c>
      <c r="Y12" s="212">
        <f t="shared" si="3"/>
        <v>10.256410256410241</v>
      </c>
      <c r="Z12" s="120" t="s">
        <v>27</v>
      </c>
    </row>
    <row r="13" spans="1:28" s="255" customFormat="1" ht="12.75" customHeight="1">
      <c r="A13" s="251"/>
      <c r="B13" s="19" t="s">
        <v>33</v>
      </c>
      <c r="C13" s="259">
        <v>14.63</v>
      </c>
      <c r="D13" s="259">
        <v>13.84</v>
      </c>
      <c r="E13" s="412">
        <v>15.1</v>
      </c>
      <c r="F13" s="412">
        <v>15.14</v>
      </c>
      <c r="G13" s="412">
        <v>14.43</v>
      </c>
      <c r="H13" s="412">
        <v>14.62</v>
      </c>
      <c r="I13" s="412">
        <v>14.47</v>
      </c>
      <c r="J13" s="412">
        <v>14.43</v>
      </c>
      <c r="K13" s="412">
        <v>14.47</v>
      </c>
      <c r="L13" s="412">
        <v>14.5</v>
      </c>
      <c r="M13" s="412">
        <v>14.4</v>
      </c>
      <c r="N13" s="412">
        <v>14.5</v>
      </c>
      <c r="O13" s="412">
        <v>14.6</v>
      </c>
      <c r="P13" s="412">
        <v>14.7</v>
      </c>
      <c r="Q13" s="411">
        <v>14.74</v>
      </c>
      <c r="R13" s="411">
        <v>14.75</v>
      </c>
      <c r="S13" s="411">
        <v>14.986</v>
      </c>
      <c r="T13" s="411">
        <v>15.485</v>
      </c>
      <c r="U13" s="411">
        <v>15.568</v>
      </c>
      <c r="V13" s="411">
        <v>15.92</v>
      </c>
      <c r="W13" s="411">
        <v>15.991</v>
      </c>
      <c r="X13" s="411">
        <v>16.496</v>
      </c>
      <c r="Y13" s="254">
        <f t="shared" si="3"/>
        <v>3.1580263898442817</v>
      </c>
      <c r="Z13" s="19" t="s">
        <v>33</v>
      </c>
      <c r="AB13"/>
    </row>
    <row r="14" spans="2:26" ht="12.75" customHeight="1">
      <c r="B14" s="120" t="s">
        <v>17</v>
      </c>
      <c r="C14" s="154" t="s">
        <v>44</v>
      </c>
      <c r="D14" s="154" t="s">
        <v>44</v>
      </c>
      <c r="E14" s="414" t="s">
        <v>44</v>
      </c>
      <c r="F14" s="414" t="s">
        <v>44</v>
      </c>
      <c r="G14" s="414" t="s">
        <v>44</v>
      </c>
      <c r="H14" s="414" t="s">
        <v>44</v>
      </c>
      <c r="I14" s="414" t="s">
        <v>44</v>
      </c>
      <c r="J14" s="415">
        <v>0.1056</v>
      </c>
      <c r="K14" s="415">
        <v>0.1068</v>
      </c>
      <c r="L14" s="415">
        <v>0.1107</v>
      </c>
      <c r="M14" s="415">
        <v>0.09179999999999999</v>
      </c>
      <c r="N14" s="415">
        <v>0.0879</v>
      </c>
      <c r="O14" s="415">
        <v>0.1047</v>
      </c>
      <c r="P14" s="415">
        <v>0.0876</v>
      </c>
      <c r="Q14" s="415">
        <v>0.09240000000000001</v>
      </c>
      <c r="R14" s="415">
        <v>0.0933</v>
      </c>
      <c r="S14" s="415">
        <v>0.0834</v>
      </c>
      <c r="T14" s="415">
        <v>0.0753</v>
      </c>
      <c r="U14" s="415">
        <v>0.0786</v>
      </c>
      <c r="V14" s="415">
        <v>0.07919999999999999</v>
      </c>
      <c r="W14" s="415">
        <v>0.0759</v>
      </c>
      <c r="X14" s="415">
        <v>0.0756</v>
      </c>
      <c r="Y14" s="211">
        <f t="shared" si="3"/>
        <v>-0.39525691699604515</v>
      </c>
      <c r="Z14" s="120" t="s">
        <v>17</v>
      </c>
    </row>
    <row r="15" spans="2:26" ht="12.75" customHeight="1">
      <c r="B15" s="19" t="s">
        <v>36</v>
      </c>
      <c r="C15" s="153" t="s">
        <v>46</v>
      </c>
      <c r="D15" s="153" t="s">
        <v>46</v>
      </c>
      <c r="E15" s="434" t="s">
        <v>46</v>
      </c>
      <c r="F15" s="434" t="s">
        <v>46</v>
      </c>
      <c r="G15" s="434" t="s">
        <v>46</v>
      </c>
      <c r="H15" s="434" t="s">
        <v>46</v>
      </c>
      <c r="I15" s="434" t="s">
        <v>46</v>
      </c>
      <c r="J15" s="434" t="s">
        <v>46</v>
      </c>
      <c r="K15" s="434" t="s">
        <v>46</v>
      </c>
      <c r="L15" s="434" t="s">
        <v>46</v>
      </c>
      <c r="M15" s="434" t="s">
        <v>46</v>
      </c>
      <c r="N15" s="434" t="s">
        <v>46</v>
      </c>
      <c r="O15" s="434" t="s">
        <v>46</v>
      </c>
      <c r="P15" s="434" t="s">
        <v>46</v>
      </c>
      <c r="Q15" s="434" t="s">
        <v>46</v>
      </c>
      <c r="R15" s="434" t="s">
        <v>46</v>
      </c>
      <c r="S15" s="421">
        <v>0.05</v>
      </c>
      <c r="T15" s="421">
        <v>0.11</v>
      </c>
      <c r="U15" s="420">
        <v>0.11310999999999999</v>
      </c>
      <c r="V15" s="420">
        <v>0.175</v>
      </c>
      <c r="W15" s="420">
        <v>0.14100000000000001</v>
      </c>
      <c r="X15" s="420">
        <v>0.142</v>
      </c>
      <c r="Y15" s="210">
        <f t="shared" si="3"/>
        <v>0.7092198581560183</v>
      </c>
      <c r="Z15" s="19" t="s">
        <v>36</v>
      </c>
    </row>
    <row r="16" spans="2:26" ht="12.75" customHeight="1">
      <c r="B16" s="120" t="s">
        <v>28</v>
      </c>
      <c r="C16" s="156">
        <v>0.63</v>
      </c>
      <c r="D16" s="156">
        <v>0.68</v>
      </c>
      <c r="E16" s="415">
        <v>0.83</v>
      </c>
      <c r="F16" s="415">
        <v>0.81</v>
      </c>
      <c r="G16" s="415">
        <v>0.79</v>
      </c>
      <c r="H16" s="415">
        <v>0.77</v>
      </c>
      <c r="I16" s="415">
        <v>0.72</v>
      </c>
      <c r="J16" s="415">
        <v>0.74</v>
      </c>
      <c r="K16" s="415">
        <v>0.74</v>
      </c>
      <c r="L16" s="415">
        <v>0.75</v>
      </c>
      <c r="M16" s="415">
        <v>0.8</v>
      </c>
      <c r="N16" s="415">
        <v>0.81</v>
      </c>
      <c r="O16" s="415">
        <v>1.19</v>
      </c>
      <c r="P16" s="415">
        <v>1.33</v>
      </c>
      <c r="Q16" s="415">
        <v>1.35</v>
      </c>
      <c r="R16" s="415">
        <v>1.4</v>
      </c>
      <c r="S16" s="415">
        <v>1.5</v>
      </c>
      <c r="T16" s="415">
        <v>1.5</v>
      </c>
      <c r="U16" s="415">
        <v>1.55</v>
      </c>
      <c r="V16" s="415">
        <v>1.6</v>
      </c>
      <c r="W16" s="415">
        <v>1.66</v>
      </c>
      <c r="X16" s="415">
        <v>1.671</v>
      </c>
      <c r="Y16" s="211">
        <f t="shared" si="3"/>
        <v>0.6626506024096424</v>
      </c>
      <c r="Z16" s="120" t="s">
        <v>28</v>
      </c>
    </row>
    <row r="17" spans="2:26" ht="12.75" customHeight="1">
      <c r="B17" s="19" t="s">
        <v>34</v>
      </c>
      <c r="C17" s="152">
        <v>3.67</v>
      </c>
      <c r="D17" s="152">
        <v>3.88</v>
      </c>
      <c r="E17" s="420">
        <v>4.38</v>
      </c>
      <c r="F17" s="420">
        <v>4.3</v>
      </c>
      <c r="G17" s="420">
        <v>4.25</v>
      </c>
      <c r="H17" s="420">
        <v>4.2</v>
      </c>
      <c r="I17" s="420">
        <v>4.15</v>
      </c>
      <c r="J17" s="420">
        <v>4.25</v>
      </c>
      <c r="K17" s="420">
        <v>4.49</v>
      </c>
      <c r="L17" s="420">
        <v>4.57</v>
      </c>
      <c r="M17" s="420">
        <v>4.84</v>
      </c>
      <c r="N17" s="421">
        <v>5.06</v>
      </c>
      <c r="O17" s="421">
        <v>5.23</v>
      </c>
      <c r="P17" s="421">
        <v>5.34</v>
      </c>
      <c r="Q17" s="421">
        <v>5.5</v>
      </c>
      <c r="R17" s="421">
        <v>5.6</v>
      </c>
      <c r="S17" s="421">
        <v>5.8</v>
      </c>
      <c r="T17" s="421">
        <v>6</v>
      </c>
      <c r="U17" s="421">
        <v>6.2</v>
      </c>
      <c r="V17" s="421">
        <v>6.4</v>
      </c>
      <c r="W17" s="421">
        <v>6.5</v>
      </c>
      <c r="X17" s="421">
        <v>6.2725</v>
      </c>
      <c r="Y17" s="213">
        <f t="shared" si="3"/>
        <v>-3.500000000000003</v>
      </c>
      <c r="Z17" s="19" t="s">
        <v>34</v>
      </c>
    </row>
    <row r="18" spans="2:26" ht="12.75" customHeight="1">
      <c r="B18" s="120" t="s">
        <v>35</v>
      </c>
      <c r="C18" s="154">
        <v>6.5</v>
      </c>
      <c r="D18" s="154">
        <v>7.7</v>
      </c>
      <c r="E18" s="414">
        <v>10.179</v>
      </c>
      <c r="F18" s="414">
        <v>9.919</v>
      </c>
      <c r="G18" s="414">
        <v>10.081</v>
      </c>
      <c r="H18" s="414">
        <v>9.988</v>
      </c>
      <c r="I18" s="414">
        <v>10.037</v>
      </c>
      <c r="J18" s="414">
        <v>8.934000000000001</v>
      </c>
      <c r="K18" s="414">
        <v>9.494</v>
      </c>
      <c r="L18" s="414">
        <v>9.654</v>
      </c>
      <c r="M18" s="414">
        <v>10.024000000000001</v>
      </c>
      <c r="N18" s="414">
        <v>10.357</v>
      </c>
      <c r="O18" s="414">
        <v>10.852</v>
      </c>
      <c r="P18" s="414">
        <v>10.954</v>
      </c>
      <c r="Q18" s="414">
        <v>11.097</v>
      </c>
      <c r="R18" s="414">
        <v>11.399000000000001</v>
      </c>
      <c r="S18" s="414">
        <v>12.366700000000002</v>
      </c>
      <c r="T18" s="414">
        <v>12.437</v>
      </c>
      <c r="U18" s="414">
        <v>12.734</v>
      </c>
      <c r="V18" s="414">
        <v>12.639000000000001</v>
      </c>
      <c r="W18" s="414">
        <v>13.325</v>
      </c>
      <c r="X18" s="414">
        <v>13.156</v>
      </c>
      <c r="Y18" s="212">
        <f t="shared" si="3"/>
        <v>-1.2682926829268193</v>
      </c>
      <c r="Z18" s="120" t="s">
        <v>35</v>
      </c>
    </row>
    <row r="19" spans="1:28" s="255" customFormat="1" ht="12.75" customHeight="1">
      <c r="A19" s="251"/>
      <c r="B19" s="19" t="s">
        <v>37</v>
      </c>
      <c r="C19" s="257">
        <v>2.21</v>
      </c>
      <c r="D19" s="257">
        <v>3.66</v>
      </c>
      <c r="E19" s="411">
        <v>4.209</v>
      </c>
      <c r="F19" s="411">
        <v>5.328</v>
      </c>
      <c r="G19" s="411">
        <v>5.4</v>
      </c>
      <c r="H19" s="411">
        <v>5.5</v>
      </c>
      <c r="I19" s="411">
        <v>5.1</v>
      </c>
      <c r="J19" s="411">
        <v>5.2669999999999995</v>
      </c>
      <c r="K19" s="411">
        <v>5.282</v>
      </c>
      <c r="L19" s="411">
        <v>5.319</v>
      </c>
      <c r="M19" s="411">
        <v>5.251</v>
      </c>
      <c r="N19" s="411">
        <v>5.239</v>
      </c>
      <c r="O19" s="411">
        <v>5.6080000000000005</v>
      </c>
      <c r="P19" s="411">
        <v>5.589</v>
      </c>
      <c r="Q19" s="411">
        <v>5.885</v>
      </c>
      <c r="R19" s="411">
        <v>5.985</v>
      </c>
      <c r="S19" s="411">
        <v>6.005</v>
      </c>
      <c r="T19" s="411">
        <v>6.027</v>
      </c>
      <c r="U19" s="411">
        <v>6.271</v>
      </c>
      <c r="V19" s="411">
        <v>6.712</v>
      </c>
      <c r="W19" s="411">
        <v>6.8580000000000005</v>
      </c>
      <c r="X19" s="411">
        <v>6.926</v>
      </c>
      <c r="Y19" s="254">
        <f t="shared" si="3"/>
        <v>0.9915427238261776</v>
      </c>
      <c r="Z19" s="19" t="s">
        <v>37</v>
      </c>
      <c r="AB19"/>
    </row>
    <row r="20" spans="2:26" ht="12.75" customHeight="1">
      <c r="B20" s="120" t="s">
        <v>15</v>
      </c>
      <c r="C20" s="166" t="s">
        <v>46</v>
      </c>
      <c r="D20" s="166" t="s">
        <v>46</v>
      </c>
      <c r="E20" s="433" t="s">
        <v>46</v>
      </c>
      <c r="F20" s="433" t="s">
        <v>46</v>
      </c>
      <c r="G20" s="433" t="s">
        <v>46</v>
      </c>
      <c r="H20" s="433" t="s">
        <v>46</v>
      </c>
      <c r="I20" s="433" t="s">
        <v>46</v>
      </c>
      <c r="J20" s="433" t="s">
        <v>46</v>
      </c>
      <c r="K20" s="433" t="s">
        <v>46</v>
      </c>
      <c r="L20" s="433" t="s">
        <v>46</v>
      </c>
      <c r="M20" s="433" t="s">
        <v>46</v>
      </c>
      <c r="N20" s="433" t="s">
        <v>46</v>
      </c>
      <c r="O20" s="433" t="s">
        <v>46</v>
      </c>
      <c r="P20" s="433" t="s">
        <v>46</v>
      </c>
      <c r="Q20" s="433" t="s">
        <v>46</v>
      </c>
      <c r="R20" s="433" t="s">
        <v>46</v>
      </c>
      <c r="S20" s="433" t="s">
        <v>46</v>
      </c>
      <c r="T20" s="433" t="s">
        <v>46</v>
      </c>
      <c r="U20" s="433" t="s">
        <v>46</v>
      </c>
      <c r="V20" s="433" t="s">
        <v>46</v>
      </c>
      <c r="W20" s="433" t="s">
        <v>46</v>
      </c>
      <c r="X20" s="433" t="s">
        <v>46</v>
      </c>
      <c r="Y20" s="223"/>
      <c r="Z20" s="120" t="s">
        <v>15</v>
      </c>
    </row>
    <row r="21" spans="1:28" s="255" customFormat="1" ht="12.75" customHeight="1">
      <c r="A21" s="251"/>
      <c r="B21" s="19" t="s">
        <v>19</v>
      </c>
      <c r="C21" s="257" t="s">
        <v>44</v>
      </c>
      <c r="D21" s="257" t="s">
        <v>44</v>
      </c>
      <c r="E21" s="412">
        <v>0.7293000000000001</v>
      </c>
      <c r="F21" s="412">
        <v>0.7547999999999999</v>
      </c>
      <c r="G21" s="412">
        <v>0.5811000000000001</v>
      </c>
      <c r="H21" s="412">
        <v>0.3447</v>
      </c>
      <c r="I21" s="412">
        <v>0.3384</v>
      </c>
      <c r="J21" s="412">
        <v>0.3036</v>
      </c>
      <c r="K21" s="412">
        <v>0.2385</v>
      </c>
      <c r="L21" s="412">
        <v>0.2652</v>
      </c>
      <c r="M21" s="412">
        <v>0.29400000000000004</v>
      </c>
      <c r="N21" s="412">
        <v>0.2814</v>
      </c>
      <c r="O21" s="412">
        <v>0.26670000000000005</v>
      </c>
      <c r="P21" s="412">
        <v>0.26070000000000004</v>
      </c>
      <c r="Q21" s="412">
        <v>0.2646</v>
      </c>
      <c r="R21" s="412">
        <v>0.25379999999999997</v>
      </c>
      <c r="S21" s="412">
        <v>0.267</v>
      </c>
      <c r="T21" s="412">
        <v>0.2742</v>
      </c>
      <c r="U21" s="412">
        <v>0.2757</v>
      </c>
      <c r="V21" s="412">
        <v>0.2712</v>
      </c>
      <c r="W21" s="412">
        <v>0.2394</v>
      </c>
      <c r="X21" s="412">
        <v>0.1674</v>
      </c>
      <c r="Y21" s="260">
        <f t="shared" si="3"/>
        <v>-30.075187969924812</v>
      </c>
      <c r="Z21" s="19" t="s">
        <v>19</v>
      </c>
      <c r="AB21"/>
    </row>
    <row r="22" spans="2:26" ht="12.75" customHeight="1">
      <c r="B22" s="120" t="s">
        <v>20</v>
      </c>
      <c r="C22" s="166" t="s">
        <v>46</v>
      </c>
      <c r="D22" s="166" t="s">
        <v>46</v>
      </c>
      <c r="E22" s="433" t="s">
        <v>46</v>
      </c>
      <c r="F22" s="433" t="s">
        <v>46</v>
      </c>
      <c r="G22" s="433" t="s">
        <v>46</v>
      </c>
      <c r="H22" s="433" t="s">
        <v>46</v>
      </c>
      <c r="I22" s="433" t="s">
        <v>46</v>
      </c>
      <c r="J22" s="433" t="s">
        <v>46</v>
      </c>
      <c r="K22" s="433" t="s">
        <v>46</v>
      </c>
      <c r="L22" s="433" t="s">
        <v>46</v>
      </c>
      <c r="M22" s="433" t="s">
        <v>46</v>
      </c>
      <c r="N22" s="433" t="s">
        <v>46</v>
      </c>
      <c r="O22" s="433" t="s">
        <v>46</v>
      </c>
      <c r="P22" s="433" t="s">
        <v>46</v>
      </c>
      <c r="Q22" s="433" t="s">
        <v>46</v>
      </c>
      <c r="R22" s="433" t="s">
        <v>46</v>
      </c>
      <c r="S22" s="433" t="s">
        <v>46</v>
      </c>
      <c r="T22" s="433" t="s">
        <v>46</v>
      </c>
      <c r="U22" s="433" t="s">
        <v>46</v>
      </c>
      <c r="V22" s="433" t="s">
        <v>46</v>
      </c>
      <c r="W22" s="433" t="s">
        <v>46</v>
      </c>
      <c r="X22" s="433" t="s">
        <v>46</v>
      </c>
      <c r="Y22" s="223"/>
      <c r="Z22" s="120" t="s">
        <v>20</v>
      </c>
    </row>
    <row r="23" spans="1:28" s="255" customFormat="1" ht="12.75" customHeight="1">
      <c r="A23" s="251"/>
      <c r="B23" s="19" t="s">
        <v>38</v>
      </c>
      <c r="C23" s="269" t="s">
        <v>46</v>
      </c>
      <c r="D23" s="269" t="s">
        <v>46</v>
      </c>
      <c r="E23" s="96" t="s">
        <v>46</v>
      </c>
      <c r="F23" s="96" t="s">
        <v>46</v>
      </c>
      <c r="G23" s="96" t="s">
        <v>46</v>
      </c>
      <c r="H23" s="96" t="s">
        <v>46</v>
      </c>
      <c r="I23" s="96" t="s">
        <v>46</v>
      </c>
      <c r="J23" s="96" t="s">
        <v>46</v>
      </c>
      <c r="K23" s="96" t="s">
        <v>46</v>
      </c>
      <c r="L23" s="96" t="s">
        <v>46</v>
      </c>
      <c r="M23" s="96" t="s">
        <v>46</v>
      </c>
      <c r="N23" s="96" t="s">
        <v>46</v>
      </c>
      <c r="O23" s="96" t="s">
        <v>46</v>
      </c>
      <c r="P23" s="96" t="s">
        <v>46</v>
      </c>
      <c r="Q23" s="96" t="s">
        <v>46</v>
      </c>
      <c r="R23" s="96" t="s">
        <v>46</v>
      </c>
      <c r="S23" s="96" t="s">
        <v>46</v>
      </c>
      <c r="T23" s="96" t="s">
        <v>46</v>
      </c>
      <c r="U23" s="96" t="s">
        <v>46</v>
      </c>
      <c r="V23" s="96" t="s">
        <v>46</v>
      </c>
      <c r="W23" s="96" t="s">
        <v>46</v>
      </c>
      <c r="X23" s="96" t="s">
        <v>46</v>
      </c>
      <c r="Y23" s="247"/>
      <c r="Z23" s="19" t="s">
        <v>38</v>
      </c>
      <c r="AB23"/>
    </row>
    <row r="24" spans="2:26" ht="12.75" customHeight="1">
      <c r="B24" s="120" t="s">
        <v>18</v>
      </c>
      <c r="C24" s="154" t="s">
        <v>44</v>
      </c>
      <c r="D24" s="154" t="s">
        <v>44</v>
      </c>
      <c r="E24" s="414" t="s">
        <v>44</v>
      </c>
      <c r="F24" s="414" t="s">
        <v>44</v>
      </c>
      <c r="G24" s="414" t="s">
        <v>44</v>
      </c>
      <c r="H24" s="414" t="s">
        <v>44</v>
      </c>
      <c r="I24" s="414" t="s">
        <v>44</v>
      </c>
      <c r="J24" s="415">
        <v>2.5</v>
      </c>
      <c r="K24" s="415">
        <v>2.5</v>
      </c>
      <c r="L24" s="415">
        <v>2.5</v>
      </c>
      <c r="M24" s="415">
        <v>2.55</v>
      </c>
      <c r="N24" s="414">
        <v>2.52</v>
      </c>
      <c r="O24" s="414">
        <v>2.57</v>
      </c>
      <c r="P24" s="414">
        <v>2.5709999999999997</v>
      </c>
      <c r="Q24" s="414">
        <v>2.536</v>
      </c>
      <c r="R24" s="414">
        <v>2.516</v>
      </c>
      <c r="S24" s="414">
        <v>2.42</v>
      </c>
      <c r="T24" s="414">
        <v>2.3529999999999998</v>
      </c>
      <c r="U24" s="414">
        <v>2.283</v>
      </c>
      <c r="V24" s="414">
        <v>2.28</v>
      </c>
      <c r="W24" s="414">
        <v>2.335</v>
      </c>
      <c r="X24" s="414">
        <v>2.2590000000000003</v>
      </c>
      <c r="Y24" s="212">
        <f>(X24/W24-1)*100</f>
        <v>-3.2548179871520144</v>
      </c>
      <c r="Z24" s="120" t="s">
        <v>18</v>
      </c>
    </row>
    <row r="25" spans="1:28" s="255" customFormat="1" ht="12.75" customHeight="1">
      <c r="A25" s="251"/>
      <c r="B25" s="19" t="s">
        <v>21</v>
      </c>
      <c r="C25" s="269" t="s">
        <v>46</v>
      </c>
      <c r="D25" s="269" t="s">
        <v>46</v>
      </c>
      <c r="E25" s="96" t="s">
        <v>46</v>
      </c>
      <c r="F25" s="96" t="s">
        <v>46</v>
      </c>
      <c r="G25" s="96" t="s">
        <v>46</v>
      </c>
      <c r="H25" s="96" t="s">
        <v>46</v>
      </c>
      <c r="I25" s="96" t="s">
        <v>46</v>
      </c>
      <c r="J25" s="96" t="s">
        <v>46</v>
      </c>
      <c r="K25" s="96" t="s">
        <v>46</v>
      </c>
      <c r="L25" s="96" t="s">
        <v>46</v>
      </c>
      <c r="M25" s="96" t="s">
        <v>46</v>
      </c>
      <c r="N25" s="96" t="s">
        <v>46</v>
      </c>
      <c r="O25" s="96" t="s">
        <v>46</v>
      </c>
      <c r="P25" s="96" t="s">
        <v>46</v>
      </c>
      <c r="Q25" s="96" t="s">
        <v>46</v>
      </c>
      <c r="R25" s="96" t="s">
        <v>46</v>
      </c>
      <c r="S25" s="96" t="s">
        <v>46</v>
      </c>
      <c r="T25" s="96" t="s">
        <v>46</v>
      </c>
      <c r="U25" s="96" t="s">
        <v>46</v>
      </c>
      <c r="V25" s="96" t="s">
        <v>46</v>
      </c>
      <c r="W25" s="96" t="s">
        <v>46</v>
      </c>
      <c r="X25" s="96" t="s">
        <v>46</v>
      </c>
      <c r="Y25" s="247"/>
      <c r="Z25" s="19" t="s">
        <v>21</v>
      </c>
      <c r="AB25"/>
    </row>
    <row r="26" spans="2:26" ht="12.75" customHeight="1">
      <c r="B26" s="87" t="s">
        <v>29</v>
      </c>
      <c r="C26" s="154">
        <v>1.24</v>
      </c>
      <c r="D26" s="154">
        <v>1.35</v>
      </c>
      <c r="E26" s="414">
        <v>1.26</v>
      </c>
      <c r="F26" s="414">
        <v>1.29</v>
      </c>
      <c r="G26" s="414">
        <v>1.32</v>
      </c>
      <c r="H26" s="414">
        <v>1.34</v>
      </c>
      <c r="I26" s="414">
        <v>1.39</v>
      </c>
      <c r="J26" s="414">
        <v>1.38</v>
      </c>
      <c r="K26" s="414">
        <v>1.39</v>
      </c>
      <c r="L26" s="415">
        <v>1.4</v>
      </c>
      <c r="M26" s="415">
        <v>1.4</v>
      </c>
      <c r="N26" s="415">
        <v>1.42</v>
      </c>
      <c r="O26" s="415">
        <v>1.43</v>
      </c>
      <c r="P26" s="415">
        <v>1.438</v>
      </c>
      <c r="Q26" s="415">
        <v>1.45</v>
      </c>
      <c r="R26" s="415">
        <v>1.48</v>
      </c>
      <c r="S26" s="415">
        <v>1.5</v>
      </c>
      <c r="T26" s="415">
        <v>1.5</v>
      </c>
      <c r="U26" s="415">
        <v>1.5</v>
      </c>
      <c r="V26" s="415">
        <v>1.52</v>
      </c>
      <c r="W26" s="415">
        <v>1.55</v>
      </c>
      <c r="X26" s="415">
        <v>1.56</v>
      </c>
      <c r="Y26" s="211">
        <f>(X26/W26-1)*100</f>
        <v>0.6451612903225712</v>
      </c>
      <c r="Z26" s="87" t="s">
        <v>29</v>
      </c>
    </row>
    <row r="27" spans="1:28" s="255" customFormat="1" ht="12.75" customHeight="1">
      <c r="A27" s="251"/>
      <c r="B27" s="19" t="s">
        <v>39</v>
      </c>
      <c r="C27" s="257">
        <v>1.5</v>
      </c>
      <c r="D27" s="257">
        <v>1.65</v>
      </c>
      <c r="E27" s="411">
        <v>2.796</v>
      </c>
      <c r="F27" s="411">
        <v>2.926</v>
      </c>
      <c r="G27" s="411">
        <v>2.941</v>
      </c>
      <c r="H27" s="411">
        <v>3.1</v>
      </c>
      <c r="I27" s="411">
        <v>3.154</v>
      </c>
      <c r="J27" s="411">
        <v>3.3</v>
      </c>
      <c r="K27" s="411">
        <v>3.451</v>
      </c>
      <c r="L27" s="411">
        <v>3.407</v>
      </c>
      <c r="M27" s="411">
        <v>3.46</v>
      </c>
      <c r="N27" s="411">
        <v>3.536</v>
      </c>
      <c r="O27" s="411">
        <v>3.577</v>
      </c>
      <c r="P27" s="411">
        <v>3.618</v>
      </c>
      <c r="Q27" s="411">
        <v>3.613</v>
      </c>
      <c r="R27" s="411">
        <v>3.604</v>
      </c>
      <c r="S27" s="411">
        <v>3.676</v>
      </c>
      <c r="T27" s="411">
        <v>3.77</v>
      </c>
      <c r="U27" s="411">
        <v>3.866</v>
      </c>
      <c r="V27" s="411">
        <v>3.867</v>
      </c>
      <c r="W27" s="411">
        <v>3.961</v>
      </c>
      <c r="X27" s="411">
        <v>3.963</v>
      </c>
      <c r="Y27" s="254">
        <f>(X27/W27-1)*100</f>
        <v>0.05049229992426518</v>
      </c>
      <c r="Z27" s="19" t="s">
        <v>39</v>
      </c>
      <c r="AB27"/>
    </row>
    <row r="28" spans="2:26" ht="12.75" customHeight="1">
      <c r="B28" s="120" t="s">
        <v>22</v>
      </c>
      <c r="C28" s="154" t="s">
        <v>44</v>
      </c>
      <c r="D28" s="154" t="s">
        <v>44</v>
      </c>
      <c r="E28" s="414" t="s">
        <v>44</v>
      </c>
      <c r="F28" s="414" t="s">
        <v>44</v>
      </c>
      <c r="G28" s="414" t="s">
        <v>44</v>
      </c>
      <c r="H28" s="414" t="s">
        <v>44</v>
      </c>
      <c r="I28" s="414" t="s">
        <v>44</v>
      </c>
      <c r="J28" s="415">
        <v>5</v>
      </c>
      <c r="K28" s="415">
        <v>4.9</v>
      </c>
      <c r="L28" s="415">
        <v>4.85</v>
      </c>
      <c r="M28" s="415">
        <v>4.8</v>
      </c>
      <c r="N28" s="415">
        <v>4.75</v>
      </c>
      <c r="O28" s="415">
        <v>4.7</v>
      </c>
      <c r="P28" s="415">
        <v>4.65</v>
      </c>
      <c r="Q28" s="415">
        <v>4.62</v>
      </c>
      <c r="R28" s="415">
        <v>4.5</v>
      </c>
      <c r="S28" s="415">
        <v>4.5</v>
      </c>
      <c r="T28" s="415">
        <v>4.4</v>
      </c>
      <c r="U28" s="415">
        <v>4.45</v>
      </c>
      <c r="V28" s="415">
        <v>4.6</v>
      </c>
      <c r="W28" s="415">
        <v>4.6</v>
      </c>
      <c r="X28" s="415">
        <v>4.32</v>
      </c>
      <c r="Y28" s="211">
        <f>(X28/W28-1)*100</f>
        <v>-6.0869565217391175</v>
      </c>
      <c r="Z28" s="120" t="s">
        <v>22</v>
      </c>
    </row>
    <row r="29" spans="1:28" s="255" customFormat="1" ht="12.75" customHeight="1">
      <c r="A29" s="251"/>
      <c r="B29" s="19" t="s">
        <v>40</v>
      </c>
      <c r="C29" s="257">
        <v>0.93</v>
      </c>
      <c r="D29" s="257">
        <v>0.74</v>
      </c>
      <c r="E29" s="411">
        <v>0.67</v>
      </c>
      <c r="F29" s="411">
        <v>0.65</v>
      </c>
      <c r="G29" s="411">
        <v>0.63</v>
      </c>
      <c r="H29" s="411">
        <v>0.61</v>
      </c>
      <c r="I29" s="411">
        <v>0.58</v>
      </c>
      <c r="J29" s="411">
        <v>0.53</v>
      </c>
      <c r="K29" s="411">
        <v>0.54</v>
      </c>
      <c r="L29" s="411">
        <v>0.5</v>
      </c>
      <c r="M29" s="411">
        <v>0.5</v>
      </c>
      <c r="N29" s="411">
        <v>0.5</v>
      </c>
      <c r="O29" s="411">
        <v>0.53</v>
      </c>
      <c r="P29" s="411">
        <v>0.545</v>
      </c>
      <c r="Q29" s="411">
        <v>0.55</v>
      </c>
      <c r="R29" s="411">
        <v>0.77</v>
      </c>
      <c r="S29" s="411">
        <v>0.847</v>
      </c>
      <c r="T29" s="411">
        <v>0.847716</v>
      </c>
      <c r="U29" s="411">
        <v>0.9878</v>
      </c>
      <c r="V29" s="411">
        <v>1.04989</v>
      </c>
      <c r="W29" s="411">
        <v>1.094761</v>
      </c>
      <c r="X29" s="411">
        <v>1.090184</v>
      </c>
      <c r="Y29" s="254">
        <f>(X29/W29-1)*100</f>
        <v>-0.4180821202070639</v>
      </c>
      <c r="Z29" s="19" t="s">
        <v>40</v>
      </c>
      <c r="AB29"/>
    </row>
    <row r="30" spans="2:26" ht="12.75" customHeight="1">
      <c r="B30" s="120" t="s">
        <v>23</v>
      </c>
      <c r="C30" s="154"/>
      <c r="D30" s="154"/>
      <c r="E30" s="414"/>
      <c r="F30" s="414"/>
      <c r="G30" s="414"/>
      <c r="H30" s="414"/>
      <c r="I30" s="414"/>
      <c r="J30" s="415">
        <v>6</v>
      </c>
      <c r="K30" s="415">
        <v>6</v>
      </c>
      <c r="L30" s="415">
        <v>6</v>
      </c>
      <c r="M30" s="415">
        <v>6</v>
      </c>
      <c r="N30" s="415">
        <v>6</v>
      </c>
      <c r="O30" s="415">
        <v>6</v>
      </c>
      <c r="P30" s="415">
        <v>6</v>
      </c>
      <c r="Q30" s="415">
        <v>6</v>
      </c>
      <c r="R30" s="414">
        <v>5.777215</v>
      </c>
      <c r="S30" s="414">
        <v>6.192045</v>
      </c>
      <c r="T30" s="414">
        <v>6.596908000000001</v>
      </c>
      <c r="U30" s="415">
        <v>6.8</v>
      </c>
      <c r="V30" s="415">
        <v>6.9</v>
      </c>
      <c r="W30" s="415">
        <v>7</v>
      </c>
      <c r="X30" s="415">
        <v>7.047</v>
      </c>
      <c r="Y30" s="211">
        <f>(X30/W30-1)*100</f>
        <v>0.6714285714285673</v>
      </c>
      <c r="Z30" s="120" t="s">
        <v>23</v>
      </c>
    </row>
    <row r="31" spans="2:26" ht="12.75" customHeight="1">
      <c r="B31" s="19" t="s">
        <v>25</v>
      </c>
      <c r="C31" s="153" t="s">
        <v>46</v>
      </c>
      <c r="D31" s="153" t="s">
        <v>46</v>
      </c>
      <c r="E31" s="434" t="s">
        <v>46</v>
      </c>
      <c r="F31" s="434" t="s">
        <v>46</v>
      </c>
      <c r="G31" s="434" t="s">
        <v>46</v>
      </c>
      <c r="H31" s="434" t="s">
        <v>46</v>
      </c>
      <c r="I31" s="434" t="s">
        <v>46</v>
      </c>
      <c r="J31" s="434" t="s">
        <v>46</v>
      </c>
      <c r="K31" s="434" t="s">
        <v>46</v>
      </c>
      <c r="L31" s="434" t="s">
        <v>46</v>
      </c>
      <c r="M31" s="434" t="s">
        <v>46</v>
      </c>
      <c r="N31" s="434" t="s">
        <v>46</v>
      </c>
      <c r="O31" s="434" t="s">
        <v>46</v>
      </c>
      <c r="P31" s="434" t="s">
        <v>46</v>
      </c>
      <c r="Q31" s="434" t="s">
        <v>46</v>
      </c>
      <c r="R31" s="434" t="s">
        <v>46</v>
      </c>
      <c r="S31" s="434" t="s">
        <v>46</v>
      </c>
      <c r="T31" s="434" t="s">
        <v>46</v>
      </c>
      <c r="U31" s="434" t="s">
        <v>46</v>
      </c>
      <c r="V31" s="434" t="s">
        <v>46</v>
      </c>
      <c r="W31" s="434" t="s">
        <v>46</v>
      </c>
      <c r="X31" s="434" t="s">
        <v>46</v>
      </c>
      <c r="Y31" s="224"/>
      <c r="Z31" s="19" t="s">
        <v>25</v>
      </c>
    </row>
    <row r="32" spans="2:26" ht="12.75" customHeight="1">
      <c r="B32" s="120" t="s">
        <v>24</v>
      </c>
      <c r="C32" s="154"/>
      <c r="D32" s="154"/>
      <c r="E32" s="414"/>
      <c r="F32" s="414"/>
      <c r="G32" s="414"/>
      <c r="H32" s="414" t="s">
        <v>44</v>
      </c>
      <c r="I32" s="414" t="s">
        <v>44</v>
      </c>
      <c r="J32" s="415">
        <v>0.43869</v>
      </c>
      <c r="K32" s="415">
        <v>0.42</v>
      </c>
      <c r="L32" s="415">
        <v>0.4</v>
      </c>
      <c r="M32" s="415">
        <v>0.37946399999999997</v>
      </c>
      <c r="N32" s="415">
        <v>0.353142</v>
      </c>
      <c r="O32" s="415">
        <v>0.35</v>
      </c>
      <c r="P32" s="414">
        <v>0.35736278</v>
      </c>
      <c r="Q32" s="414">
        <v>0.35821163</v>
      </c>
      <c r="R32" s="414">
        <v>0.36700559999999993</v>
      </c>
      <c r="S32" s="414">
        <v>0.36223677000000004</v>
      </c>
      <c r="T32" s="414">
        <v>0.38621753999999997</v>
      </c>
      <c r="U32" s="414">
        <v>0.384426</v>
      </c>
      <c r="V32" s="414">
        <v>0.394938</v>
      </c>
      <c r="W32" s="414">
        <v>0.3672844</v>
      </c>
      <c r="X32" s="414">
        <v>0.2925259</v>
      </c>
      <c r="Y32" s="212">
        <f>(X32/W32-1)*100</f>
        <v>-20.354390221855322</v>
      </c>
      <c r="Z32" s="120" t="s">
        <v>24</v>
      </c>
    </row>
    <row r="33" spans="2:26" ht="12.75" customHeight="1">
      <c r="B33" s="19" t="s">
        <v>41</v>
      </c>
      <c r="C33" s="152">
        <v>0.1</v>
      </c>
      <c r="D33" s="152">
        <v>0.13</v>
      </c>
      <c r="E33" s="420">
        <v>0.35</v>
      </c>
      <c r="F33" s="420">
        <v>0.34</v>
      </c>
      <c r="G33" s="420">
        <v>0.345</v>
      </c>
      <c r="H33" s="420">
        <v>0.3574</v>
      </c>
      <c r="I33" s="420">
        <v>0.37</v>
      </c>
      <c r="J33" s="420">
        <v>0.38760000000000006</v>
      </c>
      <c r="K33" s="420">
        <v>0.4</v>
      </c>
      <c r="L33" s="420">
        <v>0.41679999999999995</v>
      </c>
      <c r="M33" s="420">
        <v>0.439</v>
      </c>
      <c r="N33" s="420">
        <v>0.4803</v>
      </c>
      <c r="O33" s="420">
        <v>0.497</v>
      </c>
      <c r="P33" s="420">
        <v>0.5045999999999999</v>
      </c>
      <c r="Q33" s="420">
        <v>0.5175</v>
      </c>
      <c r="R33" s="420">
        <v>0.5223</v>
      </c>
      <c r="S33" s="420">
        <v>0.523</v>
      </c>
      <c r="T33" s="420">
        <v>0.526</v>
      </c>
      <c r="U33" s="420">
        <v>0.524</v>
      </c>
      <c r="V33" s="420">
        <v>0.52</v>
      </c>
      <c r="W33" s="420">
        <v>0.532</v>
      </c>
      <c r="X33" s="420">
        <v>0.532</v>
      </c>
      <c r="Y33" s="210">
        <f>(X33/W33-1)*100</f>
        <v>0</v>
      </c>
      <c r="Z33" s="19" t="s">
        <v>41</v>
      </c>
    </row>
    <row r="34" spans="2:26" ht="12.75" customHeight="1">
      <c r="B34" s="120" t="s">
        <v>42</v>
      </c>
      <c r="C34" s="154">
        <v>1.44</v>
      </c>
      <c r="D34" s="154">
        <v>1.97</v>
      </c>
      <c r="E34" s="414">
        <v>2.01</v>
      </c>
      <c r="F34" s="414">
        <v>1.93</v>
      </c>
      <c r="G34" s="414">
        <v>1.91</v>
      </c>
      <c r="H34" s="414">
        <v>1.91</v>
      </c>
      <c r="I34" s="414">
        <v>1.89</v>
      </c>
      <c r="J34" s="414">
        <v>1.94</v>
      </c>
      <c r="K34" s="422">
        <v>1.98</v>
      </c>
      <c r="L34" s="414">
        <v>1.871</v>
      </c>
      <c r="M34" s="414">
        <v>1.879</v>
      </c>
      <c r="N34" s="414">
        <v>1.9060000000000001</v>
      </c>
      <c r="O34" s="414">
        <v>1.9820000000000002</v>
      </c>
      <c r="P34" s="414">
        <v>1.9909999999999999</v>
      </c>
      <c r="Q34" s="414">
        <v>1.993</v>
      </c>
      <c r="R34" s="414">
        <v>1.994</v>
      </c>
      <c r="S34" s="414">
        <v>2.0180000000000002</v>
      </c>
      <c r="T34" s="414">
        <v>2.014</v>
      </c>
      <c r="U34" s="414">
        <v>2.1390000000000002</v>
      </c>
      <c r="V34" s="414">
        <v>2.2039999999999997</v>
      </c>
      <c r="W34" s="414">
        <v>2.239</v>
      </c>
      <c r="X34" s="414">
        <v>2.2</v>
      </c>
      <c r="Y34" s="212">
        <f>(X34/W34-1)*100</f>
        <v>-1.7418490397498765</v>
      </c>
      <c r="Z34" s="120" t="s">
        <v>42</v>
      </c>
    </row>
    <row r="35" spans="2:26" ht="12.75" customHeight="1">
      <c r="B35" s="20" t="s">
        <v>30</v>
      </c>
      <c r="C35" s="152">
        <v>5.2</v>
      </c>
      <c r="D35" s="152">
        <v>4.3</v>
      </c>
      <c r="E35" s="420">
        <v>6.5</v>
      </c>
      <c r="F35" s="420">
        <v>6.24</v>
      </c>
      <c r="G35" s="420">
        <v>6.15</v>
      </c>
      <c r="H35" s="420">
        <v>6.24</v>
      </c>
      <c r="I35" s="420">
        <v>6.507</v>
      </c>
      <c r="J35" s="420">
        <v>6.811</v>
      </c>
      <c r="K35" s="420">
        <v>6.648</v>
      </c>
      <c r="L35" s="420">
        <v>6.998</v>
      </c>
      <c r="M35" s="420">
        <v>7.315</v>
      </c>
      <c r="N35" s="420">
        <v>7.853000000000001</v>
      </c>
      <c r="O35" s="420">
        <v>8.308</v>
      </c>
      <c r="P35" s="420">
        <v>8.315</v>
      </c>
      <c r="Q35" s="420">
        <v>8.298</v>
      </c>
      <c r="R35" s="420">
        <v>8.3</v>
      </c>
      <c r="S35" s="420">
        <v>8.655</v>
      </c>
      <c r="T35" s="420">
        <v>8.657</v>
      </c>
      <c r="U35" s="420">
        <v>9.095</v>
      </c>
      <c r="V35" s="420">
        <v>9.564</v>
      </c>
      <c r="W35" s="420">
        <v>9.865</v>
      </c>
      <c r="X35" s="420">
        <v>9.699000000000002</v>
      </c>
      <c r="Y35" s="210">
        <f>(X35/W35-1)*100</f>
        <v>-1.6827166751140266</v>
      </c>
      <c r="Z35" s="20" t="s">
        <v>30</v>
      </c>
    </row>
    <row r="36" spans="2:26" ht="12.75" customHeight="1">
      <c r="B36" s="120" t="s">
        <v>47</v>
      </c>
      <c r="C36" s="159"/>
      <c r="D36" s="159"/>
      <c r="E36" s="425"/>
      <c r="F36" s="425"/>
      <c r="G36" s="425"/>
      <c r="H36" s="435">
        <v>0.546627</v>
      </c>
      <c r="I36" s="435">
        <v>0.542601</v>
      </c>
      <c r="J36" s="435">
        <v>0.525396</v>
      </c>
      <c r="K36" s="435">
        <v>0.48687899999999995</v>
      </c>
      <c r="L36" s="435">
        <v>0.498093</v>
      </c>
      <c r="M36" s="435">
        <v>0.487896</v>
      </c>
      <c r="N36" s="435">
        <v>0.48726600000000003</v>
      </c>
      <c r="O36" s="435">
        <v>0.504171</v>
      </c>
      <c r="P36" s="435">
        <v>0.531744</v>
      </c>
      <c r="Q36" s="435">
        <v>0.5347379999999999</v>
      </c>
      <c r="R36" s="435">
        <v>0.550308</v>
      </c>
      <c r="S36" s="435">
        <v>0.529083</v>
      </c>
      <c r="T36" s="435">
        <v>0.533166</v>
      </c>
      <c r="U36" s="435">
        <v>0.5597730000000001</v>
      </c>
      <c r="V36" s="435">
        <v>0.66096</v>
      </c>
      <c r="W36" s="435">
        <v>0.623604</v>
      </c>
      <c r="X36" s="435">
        <v>0.57882</v>
      </c>
      <c r="Y36" s="214">
        <f>(X36/W36-1)*100</f>
        <v>-7.181480554967578</v>
      </c>
      <c r="Z36" s="120" t="s">
        <v>47</v>
      </c>
    </row>
    <row r="37" spans="1:28" s="255" customFormat="1" ht="12.75" customHeight="1">
      <c r="A37" s="251"/>
      <c r="B37" s="19" t="s">
        <v>8</v>
      </c>
      <c r="C37" s="269" t="s">
        <v>46</v>
      </c>
      <c r="D37" s="269" t="s">
        <v>46</v>
      </c>
      <c r="E37" s="96" t="s">
        <v>46</v>
      </c>
      <c r="F37" s="96" t="s">
        <v>46</v>
      </c>
      <c r="G37" s="96" t="s">
        <v>46</v>
      </c>
      <c r="H37" s="96" t="s">
        <v>46</v>
      </c>
      <c r="I37" s="96" t="s">
        <v>46</v>
      </c>
      <c r="J37" s="96" t="s">
        <v>46</v>
      </c>
      <c r="K37" s="96" t="s">
        <v>46</v>
      </c>
      <c r="L37" s="96" t="s">
        <v>46</v>
      </c>
      <c r="M37" s="96" t="s">
        <v>46</v>
      </c>
      <c r="N37" s="96" t="s">
        <v>46</v>
      </c>
      <c r="O37" s="96" t="s">
        <v>46</v>
      </c>
      <c r="P37" s="96" t="s">
        <v>46</v>
      </c>
      <c r="Q37" s="96" t="s">
        <v>46</v>
      </c>
      <c r="R37" s="96" t="s">
        <v>46</v>
      </c>
      <c r="S37" s="96" t="s">
        <v>46</v>
      </c>
      <c r="T37" s="96" t="s">
        <v>46</v>
      </c>
      <c r="U37" s="96" t="s">
        <v>46</v>
      </c>
      <c r="V37" s="96" t="s">
        <v>46</v>
      </c>
      <c r="W37" s="96" t="s">
        <v>46</v>
      </c>
      <c r="X37" s="96" t="s">
        <v>46</v>
      </c>
      <c r="Y37" s="247"/>
      <c r="Z37" s="19" t="s">
        <v>8</v>
      </c>
      <c r="AB37"/>
    </row>
    <row r="38" spans="2:26" ht="12.75" customHeight="1">
      <c r="B38" s="121" t="s">
        <v>26</v>
      </c>
      <c r="C38" s="158"/>
      <c r="D38" s="158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225"/>
      <c r="Z38" s="121" t="s">
        <v>26</v>
      </c>
    </row>
    <row r="39" spans="1:28" s="255" customFormat="1" ht="12.75" customHeight="1">
      <c r="A39" s="251"/>
      <c r="B39" s="19" t="s">
        <v>12</v>
      </c>
      <c r="C39" s="270" t="s">
        <v>46</v>
      </c>
      <c r="D39" s="270" t="s">
        <v>46</v>
      </c>
      <c r="E39" s="436" t="s">
        <v>46</v>
      </c>
      <c r="F39" s="436" t="s">
        <v>46</v>
      </c>
      <c r="G39" s="436" t="s">
        <v>46</v>
      </c>
      <c r="H39" s="436" t="s">
        <v>46</v>
      </c>
      <c r="I39" s="436" t="s">
        <v>46</v>
      </c>
      <c r="J39" s="436" t="s">
        <v>46</v>
      </c>
      <c r="K39" s="436" t="s">
        <v>46</v>
      </c>
      <c r="L39" s="436" t="s">
        <v>46</v>
      </c>
      <c r="M39" s="436" t="s">
        <v>46</v>
      </c>
      <c r="N39" s="436" t="s">
        <v>46</v>
      </c>
      <c r="O39" s="436" t="s">
        <v>46</v>
      </c>
      <c r="P39" s="436" t="s">
        <v>46</v>
      </c>
      <c r="Q39" s="436" t="s">
        <v>46</v>
      </c>
      <c r="R39" s="436" t="s">
        <v>46</v>
      </c>
      <c r="S39" s="436" t="s">
        <v>46</v>
      </c>
      <c r="T39" s="436" t="s">
        <v>46</v>
      </c>
      <c r="U39" s="436" t="s">
        <v>46</v>
      </c>
      <c r="V39" s="436" t="s">
        <v>46</v>
      </c>
      <c r="W39" s="436" t="s">
        <v>46</v>
      </c>
      <c r="X39" s="436"/>
      <c r="Y39" s="246"/>
      <c r="Z39" s="19" t="s">
        <v>12</v>
      </c>
      <c r="AB39"/>
    </row>
    <row r="40" spans="2:26" ht="12.75" customHeight="1">
      <c r="B40" s="120" t="s">
        <v>43</v>
      </c>
      <c r="C40" s="154">
        <v>0.428</v>
      </c>
      <c r="D40" s="154">
        <v>0.501</v>
      </c>
      <c r="E40" s="414">
        <v>0.419</v>
      </c>
      <c r="F40" s="414">
        <v>0.42</v>
      </c>
      <c r="G40" s="414">
        <v>0.349</v>
      </c>
      <c r="H40" s="414">
        <v>0.37</v>
      </c>
      <c r="I40" s="414">
        <v>0.375</v>
      </c>
      <c r="J40" s="414">
        <v>0.381</v>
      </c>
      <c r="K40" s="414">
        <v>0.419</v>
      </c>
      <c r="L40" s="414">
        <v>0.427</v>
      </c>
      <c r="M40" s="414">
        <v>0.469</v>
      </c>
      <c r="N40" s="414">
        <v>0.507</v>
      </c>
      <c r="O40" s="414">
        <v>0.496</v>
      </c>
      <c r="P40" s="414">
        <v>0.508</v>
      </c>
      <c r="Q40" s="414">
        <v>0.498</v>
      </c>
      <c r="R40" s="414">
        <v>0.476</v>
      </c>
      <c r="S40" s="414">
        <v>0.458</v>
      </c>
      <c r="T40" s="414">
        <v>0.518</v>
      </c>
      <c r="U40" s="414">
        <v>0.508</v>
      </c>
      <c r="V40" s="414">
        <v>0.535</v>
      </c>
      <c r="W40" s="414">
        <v>0.572</v>
      </c>
      <c r="X40" s="414">
        <v>0.588</v>
      </c>
      <c r="Y40" s="212">
        <f>(X40/W40-1)*100</f>
        <v>2.7972027972027913</v>
      </c>
      <c r="Z40" s="120" t="s">
        <v>43</v>
      </c>
    </row>
    <row r="41" spans="1:28" s="255" customFormat="1" ht="12.75" customHeight="1">
      <c r="A41" s="251"/>
      <c r="B41" s="20" t="s">
        <v>13</v>
      </c>
      <c r="C41" s="266"/>
      <c r="D41" s="266"/>
      <c r="E41" s="429"/>
      <c r="F41" s="429"/>
      <c r="G41" s="429"/>
      <c r="H41" s="429"/>
      <c r="I41" s="429"/>
      <c r="J41" s="429">
        <v>1.5002</v>
      </c>
      <c r="K41" s="429">
        <v>1.5463</v>
      </c>
      <c r="L41" s="429">
        <v>1.5072</v>
      </c>
      <c r="M41" s="429">
        <v>1.3951</v>
      </c>
      <c r="N41" s="429">
        <v>1.403</v>
      </c>
      <c r="O41" s="429">
        <v>1.403</v>
      </c>
      <c r="P41" s="429">
        <v>1.4358</v>
      </c>
      <c r="Q41" s="429">
        <v>1.4478</v>
      </c>
      <c r="R41" s="429">
        <v>1.4394</v>
      </c>
      <c r="S41" s="429">
        <v>1.4695</v>
      </c>
      <c r="T41" s="429">
        <v>1.4575</v>
      </c>
      <c r="U41" s="429">
        <v>1.4745</v>
      </c>
      <c r="V41" s="429">
        <v>1.5314</v>
      </c>
      <c r="W41" s="429">
        <v>1.6697</v>
      </c>
      <c r="X41" s="431">
        <v>1.7</v>
      </c>
      <c r="Y41" s="268">
        <f>(X41/W41-1)*100</f>
        <v>1.8146972510031834</v>
      </c>
      <c r="Z41" s="20" t="s">
        <v>13</v>
      </c>
      <c r="AB41"/>
    </row>
    <row r="42" spans="2:27" ht="31.5" customHeight="1">
      <c r="B42" s="482" t="s">
        <v>87</v>
      </c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2"/>
    </row>
    <row r="43" spans="2:27" ht="12.75" customHeight="1">
      <c r="B43" s="2" t="s">
        <v>9</v>
      </c>
      <c r="C43" s="271"/>
      <c r="D43" s="271"/>
      <c r="E43" s="271"/>
      <c r="F43" s="271"/>
      <c r="G43" s="271"/>
      <c r="H43" s="272"/>
      <c r="I43" s="271"/>
      <c r="J43" s="271"/>
      <c r="K43" s="271"/>
      <c r="L43" s="271"/>
      <c r="M43" s="271"/>
      <c r="N43" s="271"/>
      <c r="O43" s="271"/>
      <c r="P43" s="21"/>
      <c r="Q43" s="272"/>
      <c r="R43" s="63"/>
      <c r="S43" s="271"/>
      <c r="T43" s="271"/>
      <c r="U43" s="271"/>
      <c r="V43" s="271"/>
      <c r="W43" s="271"/>
      <c r="X43" s="271"/>
      <c r="Y43" s="222"/>
      <c r="Z43" s="271"/>
      <c r="AA43" s="1"/>
    </row>
    <row r="44" spans="2:25" ht="12.75" customHeight="1">
      <c r="B44" s="70" t="s">
        <v>97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134"/>
      <c r="T44" s="134"/>
      <c r="U44" s="134"/>
      <c r="V44" s="134"/>
      <c r="W44" s="134"/>
      <c r="X44" s="134"/>
      <c r="Y44" s="134"/>
    </row>
    <row r="45" spans="2:25" ht="12.75" customHeight="1">
      <c r="B45" s="133" t="s">
        <v>82</v>
      </c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</row>
    <row r="46" spans="2:25" ht="12.75" customHeight="1">
      <c r="B46" s="54" t="s">
        <v>96</v>
      </c>
      <c r="C46" s="70"/>
      <c r="D46" s="70"/>
      <c r="E46" s="70"/>
      <c r="F46" s="70"/>
      <c r="G46" s="70"/>
      <c r="H46" s="70"/>
      <c r="I46" s="70"/>
      <c r="J46"/>
      <c r="K46"/>
      <c r="L46"/>
      <c r="M46"/>
      <c r="N46"/>
      <c r="O46"/>
      <c r="P46" s="70"/>
      <c r="Q46" s="70"/>
      <c r="R46" s="70"/>
      <c r="S46" s="74"/>
      <c r="T46" s="74"/>
      <c r="U46" s="74"/>
      <c r="V46" s="74"/>
      <c r="W46" s="74"/>
      <c r="X46" s="74"/>
      <c r="Y46" s="134"/>
    </row>
    <row r="47" ht="12.75" customHeight="1">
      <c r="B47" s="133" t="s">
        <v>80</v>
      </c>
    </row>
  </sheetData>
  <mergeCells count="2">
    <mergeCell ref="B2:Z2"/>
    <mergeCell ref="B42:Z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/>
  <dimension ref="A1:AA45"/>
  <sheetViews>
    <sheetView workbookViewId="0" topLeftCell="A1">
      <selection activeCell="AG41" sqref="AG41"/>
    </sheetView>
  </sheetViews>
  <sheetFormatPr defaultColWidth="9.140625" defaultRowHeight="12.75"/>
  <cols>
    <col min="1" max="1" width="2.7109375" style="3" customWidth="1"/>
    <col min="2" max="2" width="3.710937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00390625" style="3" customWidth="1"/>
    <col min="26" max="26" width="4.00390625" style="3" customWidth="1"/>
    <col min="27" max="27" width="6.28125" style="3" customWidth="1"/>
    <col min="28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1"/>
      <c r="U1" s="42"/>
      <c r="V1" s="42"/>
      <c r="W1" s="42"/>
      <c r="X1" s="42"/>
      <c r="Z1" s="42" t="s">
        <v>114</v>
      </c>
    </row>
    <row r="2" spans="2:26" s="70" customFormat="1" ht="30" customHeight="1">
      <c r="B2" s="461" t="s">
        <v>50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</row>
    <row r="3" spans="3:26" ht="12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X3" s="24" t="s">
        <v>124</v>
      </c>
      <c r="Y3" s="6"/>
      <c r="Z3" s="24"/>
    </row>
    <row r="4" spans="2:27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  <c r="AA4" s="16"/>
    </row>
    <row r="5" spans="2:27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  <c r="AA5" s="16"/>
    </row>
    <row r="6" spans="2:27" ht="12.75" customHeight="1">
      <c r="B6" s="119" t="s">
        <v>67</v>
      </c>
      <c r="C6" s="167">
        <f>20.5+SUM(C9:C35)</f>
        <v>326.43499999999995</v>
      </c>
      <c r="D6" s="167">
        <f>18+SUM(D9:D35)</f>
        <v>365.98</v>
      </c>
      <c r="E6" s="437">
        <f aca="true" t="shared" si="0" ref="E6:L6">SUM(E9:E35)</f>
        <v>400.7069999999999</v>
      </c>
      <c r="F6" s="407">
        <f t="shared" si="0"/>
        <v>385.362</v>
      </c>
      <c r="G6" s="437">
        <f t="shared" si="0"/>
        <v>374.38</v>
      </c>
      <c r="H6" s="437">
        <f t="shared" si="0"/>
        <v>349.074</v>
      </c>
      <c r="I6" s="437">
        <f t="shared" si="0"/>
        <v>342.162</v>
      </c>
      <c r="J6" s="437">
        <f t="shared" si="0"/>
        <v>350.52470000000005</v>
      </c>
      <c r="K6" s="437">
        <f t="shared" si="0"/>
        <v>348.9918000000001</v>
      </c>
      <c r="L6" s="437">
        <f t="shared" si="0"/>
        <v>350.5315999999999</v>
      </c>
      <c r="M6" s="437">
        <f>SUM(M9:M35)</f>
        <v>350.6032000000001</v>
      </c>
      <c r="N6" s="437">
        <f aca="true" t="shared" si="1" ref="N6:U6">SUM(N9:N35)</f>
        <v>358.59970000000004</v>
      </c>
      <c r="O6" s="437">
        <f t="shared" si="1"/>
        <v>370.70788502490825</v>
      </c>
      <c r="P6" s="437">
        <f t="shared" si="1"/>
        <v>372.73928030944154</v>
      </c>
      <c r="Q6" s="437">
        <f t="shared" si="1"/>
        <v>365.57010261380464</v>
      </c>
      <c r="R6" s="437">
        <f t="shared" si="1"/>
        <v>361.88694756335343</v>
      </c>
      <c r="S6" s="437">
        <f t="shared" si="1"/>
        <v>367.8169446019999</v>
      </c>
      <c r="T6" s="437">
        <f t="shared" si="1"/>
        <v>377.14602313800003</v>
      </c>
      <c r="U6" s="437">
        <f t="shared" si="1"/>
        <v>389.59586906399994</v>
      </c>
      <c r="V6" s="437">
        <f>SUM(V9:V35)</f>
        <v>396.71485515400013</v>
      </c>
      <c r="W6" s="437">
        <f>SUM(W9:W35)</f>
        <v>410.53716503500016</v>
      </c>
      <c r="X6" s="437">
        <f>SUM(X9:X35)</f>
        <v>404.88139999999987</v>
      </c>
      <c r="Y6" s="226">
        <f>(X6/W6-1)*100</f>
        <v>-1.377649946629822</v>
      </c>
      <c r="Z6" s="119" t="s">
        <v>67</v>
      </c>
      <c r="AA6" s="16"/>
    </row>
    <row r="7" spans="1:27" ht="12.75" customHeight="1">
      <c r="A7" s="17"/>
      <c r="B7" s="120" t="s">
        <v>31</v>
      </c>
      <c r="C7" s="168">
        <f aca="true" t="shared" si="2" ref="C7:L7">SUM(C9,C12:C13,C15:C19,C23,C26:C27,C29,C33:C35)</f>
        <v>220.18699999999993</v>
      </c>
      <c r="D7" s="168">
        <f t="shared" si="2"/>
        <v>246.903</v>
      </c>
      <c r="E7" s="438">
        <f t="shared" si="2"/>
        <v>268.917</v>
      </c>
      <c r="F7" s="438">
        <f t="shared" si="2"/>
        <v>277.34700000000004</v>
      </c>
      <c r="G7" s="438">
        <f t="shared" si="2"/>
        <v>278.47099999999995</v>
      </c>
      <c r="H7" s="438">
        <f t="shared" si="2"/>
        <v>265.075</v>
      </c>
      <c r="I7" s="438">
        <f t="shared" si="2"/>
        <v>265.148</v>
      </c>
      <c r="J7" s="438">
        <f t="shared" si="2"/>
        <v>276.1327</v>
      </c>
      <c r="K7" s="438">
        <f t="shared" si="2"/>
        <v>282.27680000000004</v>
      </c>
      <c r="L7" s="438">
        <f t="shared" si="2"/>
        <v>286.5756</v>
      </c>
      <c r="M7" s="438">
        <f>SUM(M9,M12:M13,M15:M19,M23,M26:M27,M29,M33:M35)</f>
        <v>290.17120000000006</v>
      </c>
      <c r="N7" s="438">
        <f aca="true" t="shared" si="3" ref="N7:U7">SUM(N9,N12:N13,N15:N19,N23,N26:N27,N29,N33:N35)</f>
        <v>298.9577</v>
      </c>
      <c r="O7" s="438">
        <f t="shared" si="3"/>
        <v>309.3558850249082</v>
      </c>
      <c r="P7" s="438">
        <f t="shared" si="3"/>
        <v>314.0696313094416</v>
      </c>
      <c r="Q7" s="438">
        <f t="shared" si="3"/>
        <v>311.7431526138045</v>
      </c>
      <c r="R7" s="438">
        <f t="shared" si="3"/>
        <v>309.9621335633535</v>
      </c>
      <c r="S7" s="438">
        <f t="shared" si="3"/>
        <v>316.9001116019999</v>
      </c>
      <c r="T7" s="438">
        <f t="shared" si="3"/>
        <v>327.56862413799996</v>
      </c>
      <c r="U7" s="438">
        <f t="shared" si="3"/>
        <v>339.26095806399996</v>
      </c>
      <c r="V7" s="438">
        <f>SUM(V9,V12:V13,V15:V19,V23,V26:V27,V29,V33:V35)</f>
        <v>346.66470115400006</v>
      </c>
      <c r="W7" s="438">
        <f>SUM(W9,W12:W13,W15:W19,W23,W26:W27,W29,W33:W35)</f>
        <v>361.2004350350001</v>
      </c>
      <c r="X7" s="438">
        <f>SUM(X9,X12:X13,X15:X19,X23,X26:X27,X29,X33:X35)</f>
        <v>358.97309999999993</v>
      </c>
      <c r="Y7" s="227">
        <f>(X7/V7-1)*100</f>
        <v>3.550519797668139</v>
      </c>
      <c r="Z7" s="120" t="s">
        <v>31</v>
      </c>
      <c r="AA7" s="76"/>
    </row>
    <row r="8" spans="1:27" ht="12.75" customHeight="1">
      <c r="A8" s="17"/>
      <c r="B8" s="121" t="s">
        <v>79</v>
      </c>
      <c r="C8" s="169">
        <f>20.5+SUM(C10,C11,C14,C20,C21,C22,C24,C25,C28,C30,C31,C32)</f>
        <v>106.24799999999999</v>
      </c>
      <c r="D8" s="169">
        <f>18+SUM(D10,D11,D14,D20,D21,D22,D24,D25,D28,D30,D31,D32)</f>
        <v>119.077</v>
      </c>
      <c r="E8" s="439">
        <f>SUM(E10,E11,E14,E20,E21,E22,E24,E25,E28,E30,E31,E32)</f>
        <v>131.79</v>
      </c>
      <c r="F8" s="432">
        <f>SUM(F10,F11,F14,F20,F21,F22,F24,F25,F28,F30,F31,F32)</f>
        <v>108.015</v>
      </c>
      <c r="G8" s="439">
        <f>SUM(G10,G11,G14,G20,G21,G22,G24,G25,G28,G30,G31,G32)</f>
        <v>95.90899999999999</v>
      </c>
      <c r="H8" s="439">
        <f>SUM(H10,H11,H14,H20,H21,H22,H24,H25,H28,H30,H31,H32)</f>
        <v>83.99900000000001</v>
      </c>
      <c r="I8" s="439">
        <f aca="true" t="shared" si="4" ref="I8:U8">SUM(I10,I11,I14,I20,I21,I22,I24,I25,I28,I30,I31,I32)</f>
        <v>77.01400000000001</v>
      </c>
      <c r="J8" s="439">
        <f t="shared" si="4"/>
        <v>74.392</v>
      </c>
      <c r="K8" s="439">
        <f t="shared" si="4"/>
        <v>66.715</v>
      </c>
      <c r="L8" s="439">
        <f t="shared" si="4"/>
        <v>63.956</v>
      </c>
      <c r="M8" s="439">
        <f t="shared" si="4"/>
        <v>60.431999999999995</v>
      </c>
      <c r="N8" s="439">
        <f t="shared" si="4"/>
        <v>59.641999999999996</v>
      </c>
      <c r="O8" s="439">
        <f t="shared" si="4"/>
        <v>61.35199999999999</v>
      </c>
      <c r="P8" s="439">
        <f t="shared" si="4"/>
        <v>58.669649</v>
      </c>
      <c r="Q8" s="439">
        <f t="shared" si="4"/>
        <v>53.82695000000001</v>
      </c>
      <c r="R8" s="439">
        <f t="shared" si="4"/>
        <v>51.924814000000005</v>
      </c>
      <c r="S8" s="439">
        <f t="shared" si="4"/>
        <v>50.916833000000004</v>
      </c>
      <c r="T8" s="439">
        <f t="shared" si="4"/>
        <v>49.57739900000001</v>
      </c>
      <c r="U8" s="439">
        <f t="shared" si="4"/>
        <v>50.334911</v>
      </c>
      <c r="V8" s="439">
        <f>SUM(V10,V11,V14,V20,V21,V22,V24,V25,V28,V30,V31,V32)</f>
        <v>50.050154</v>
      </c>
      <c r="W8" s="439">
        <f>SUM(W10,W11,W14,W20,W21,W22,W24,W25,W28,W30,W31,W32)</f>
        <v>49.33673</v>
      </c>
      <c r="X8" s="439">
        <f>SUM(X10,X11,X14,X20,X21,X22,X24,X25,X28,X30,X31,X32)</f>
        <v>45.908300000000004</v>
      </c>
      <c r="Y8" s="228">
        <f>(X8/V8-1)*100</f>
        <v>-8.275407104641463</v>
      </c>
      <c r="Z8" s="121" t="s">
        <v>79</v>
      </c>
      <c r="AA8" s="76"/>
    </row>
    <row r="9" spans="1:27" ht="12.75" customHeight="1">
      <c r="A9" s="17"/>
      <c r="B9" s="19" t="s">
        <v>32</v>
      </c>
      <c r="C9" s="152">
        <v>8.26</v>
      </c>
      <c r="D9" s="152">
        <v>6.963</v>
      </c>
      <c r="E9" s="420">
        <v>6.539</v>
      </c>
      <c r="F9" s="420">
        <v>6.77</v>
      </c>
      <c r="G9" s="420">
        <v>6.798</v>
      </c>
      <c r="H9" s="420">
        <v>6.694</v>
      </c>
      <c r="I9" s="420">
        <v>6.638</v>
      </c>
      <c r="J9" s="420">
        <v>6.757</v>
      </c>
      <c r="K9" s="420">
        <v>6.788</v>
      </c>
      <c r="L9" s="420">
        <v>6.98</v>
      </c>
      <c r="M9" s="420">
        <v>7.097</v>
      </c>
      <c r="N9" s="420">
        <v>7.354</v>
      </c>
      <c r="O9" s="420">
        <v>7.734</v>
      </c>
      <c r="P9" s="420">
        <v>8.038</v>
      </c>
      <c r="Q9" s="420">
        <v>8.26</v>
      </c>
      <c r="R9" s="420">
        <v>8.265</v>
      </c>
      <c r="S9" s="420">
        <v>8.676</v>
      </c>
      <c r="T9" s="420">
        <v>9.15</v>
      </c>
      <c r="U9" s="420">
        <v>9.607</v>
      </c>
      <c r="V9" s="420">
        <v>9.932</v>
      </c>
      <c r="W9" s="420">
        <v>10.403</v>
      </c>
      <c r="X9" s="420">
        <v>10.427</v>
      </c>
      <c r="Y9" s="210">
        <f aca="true" t="shared" si="5" ref="Y9:Y41">(X9/W9-1)*100</f>
        <v>0.23070268191867083</v>
      </c>
      <c r="Z9" s="19" t="s">
        <v>32</v>
      </c>
      <c r="AA9" s="59"/>
    </row>
    <row r="10" spans="1:27" ht="12.75" customHeight="1">
      <c r="A10" s="17"/>
      <c r="B10" s="120" t="s">
        <v>14</v>
      </c>
      <c r="C10" s="154">
        <v>6.224</v>
      </c>
      <c r="D10" s="154">
        <v>7.055</v>
      </c>
      <c r="E10" s="440">
        <v>7.793</v>
      </c>
      <c r="F10" s="414">
        <v>4.866</v>
      </c>
      <c r="G10" s="414">
        <v>5.393</v>
      </c>
      <c r="H10" s="414">
        <v>5.837</v>
      </c>
      <c r="I10" s="414">
        <v>5.059</v>
      </c>
      <c r="J10" s="414">
        <v>4.693</v>
      </c>
      <c r="K10" s="414">
        <v>5.065</v>
      </c>
      <c r="L10" s="414">
        <v>5.886</v>
      </c>
      <c r="M10" s="414">
        <v>4.74</v>
      </c>
      <c r="N10" s="414">
        <v>3.819</v>
      </c>
      <c r="O10" s="414">
        <v>3.472</v>
      </c>
      <c r="P10" s="414">
        <v>2.99</v>
      </c>
      <c r="Q10" s="414">
        <v>2.598</v>
      </c>
      <c r="R10" s="414">
        <v>2.517</v>
      </c>
      <c r="S10" s="414">
        <v>2.404</v>
      </c>
      <c r="T10" s="414">
        <v>2.389</v>
      </c>
      <c r="U10" s="414">
        <v>2.422</v>
      </c>
      <c r="V10" s="414">
        <v>2.423</v>
      </c>
      <c r="W10" s="414">
        <v>2.335</v>
      </c>
      <c r="X10" s="414">
        <v>2.144</v>
      </c>
      <c r="Y10" s="212">
        <f t="shared" si="5"/>
        <v>-8.179871520342608</v>
      </c>
      <c r="Z10" s="120" t="s">
        <v>14</v>
      </c>
      <c r="AA10" s="59"/>
    </row>
    <row r="11" spans="1:27" s="255" customFormat="1" ht="12.75" customHeight="1">
      <c r="A11" s="251"/>
      <c r="B11" s="19" t="s">
        <v>16</v>
      </c>
      <c r="C11" s="257"/>
      <c r="D11" s="257"/>
      <c r="E11" s="441">
        <v>13.313</v>
      </c>
      <c r="F11" s="412">
        <v>12.5</v>
      </c>
      <c r="G11" s="411">
        <v>11.147</v>
      </c>
      <c r="H11" s="411">
        <v>8.548</v>
      </c>
      <c r="I11" s="411">
        <v>8.481</v>
      </c>
      <c r="J11" s="411">
        <v>8.023</v>
      </c>
      <c r="K11" s="411">
        <v>8.111</v>
      </c>
      <c r="L11" s="411">
        <v>7.71</v>
      </c>
      <c r="M11" s="411">
        <v>7.001</v>
      </c>
      <c r="N11" s="411">
        <v>6.929</v>
      </c>
      <c r="O11" s="411">
        <v>7.3</v>
      </c>
      <c r="P11" s="411">
        <v>7.299</v>
      </c>
      <c r="Q11" s="411">
        <v>6.597</v>
      </c>
      <c r="R11" s="411">
        <v>6.518</v>
      </c>
      <c r="S11" s="411">
        <v>6.58</v>
      </c>
      <c r="T11" s="411">
        <v>6.667</v>
      </c>
      <c r="U11" s="411">
        <v>6.922</v>
      </c>
      <c r="V11" s="411">
        <v>6.898</v>
      </c>
      <c r="W11" s="411">
        <v>6.8033</v>
      </c>
      <c r="X11" s="411">
        <v>6.5032</v>
      </c>
      <c r="Y11" s="254">
        <f t="shared" si="5"/>
        <v>-4.411094615848199</v>
      </c>
      <c r="Z11" s="19" t="s">
        <v>16</v>
      </c>
      <c r="AA11" s="59"/>
    </row>
    <row r="12" spans="1:27" ht="12.75" customHeight="1">
      <c r="A12" s="17"/>
      <c r="B12" s="120" t="s">
        <v>27</v>
      </c>
      <c r="C12" s="154">
        <v>3.898</v>
      </c>
      <c r="D12" s="154">
        <v>3.803</v>
      </c>
      <c r="E12" s="440">
        <v>5.051</v>
      </c>
      <c r="F12" s="414">
        <v>4.913</v>
      </c>
      <c r="G12" s="414">
        <v>4.974</v>
      </c>
      <c r="H12" s="414">
        <v>4.939</v>
      </c>
      <c r="I12" s="414">
        <v>5.052</v>
      </c>
      <c r="J12" s="414">
        <v>4.888</v>
      </c>
      <c r="K12" s="414">
        <v>4.821</v>
      </c>
      <c r="L12" s="414">
        <v>5.173</v>
      </c>
      <c r="M12" s="414">
        <v>5.365</v>
      </c>
      <c r="N12" s="414">
        <v>5.31</v>
      </c>
      <c r="O12" s="414">
        <v>5.537</v>
      </c>
      <c r="P12" s="414">
        <v>5.721</v>
      </c>
      <c r="Q12" s="414">
        <v>5.745</v>
      </c>
      <c r="R12" s="414">
        <v>5.826</v>
      </c>
      <c r="S12" s="414">
        <v>5.946</v>
      </c>
      <c r="T12" s="414">
        <v>5.974</v>
      </c>
      <c r="U12" s="414">
        <v>6.11</v>
      </c>
      <c r="V12" s="414">
        <v>6.176</v>
      </c>
      <c r="W12" s="414">
        <v>6.28</v>
      </c>
      <c r="X12" s="414">
        <v>6.174</v>
      </c>
      <c r="Y12" s="212">
        <f t="shared" si="5"/>
        <v>-1.6878980891719686</v>
      </c>
      <c r="Z12" s="120" t="s">
        <v>27</v>
      </c>
      <c r="AA12" s="59"/>
    </row>
    <row r="13" spans="1:27" s="255" customFormat="1" ht="12.75" customHeight="1">
      <c r="A13" s="251"/>
      <c r="B13" s="19" t="s">
        <v>33</v>
      </c>
      <c r="C13" s="257">
        <v>62.4</v>
      </c>
      <c r="D13" s="257">
        <v>62.499</v>
      </c>
      <c r="E13" s="441">
        <v>61.024</v>
      </c>
      <c r="F13" s="411">
        <v>67.31</v>
      </c>
      <c r="G13" s="419">
        <v>67.55</v>
      </c>
      <c r="H13" s="411">
        <v>63.361</v>
      </c>
      <c r="I13" s="411">
        <v>65.2</v>
      </c>
      <c r="J13" s="411">
        <v>70.977</v>
      </c>
      <c r="K13" s="411">
        <v>71.73</v>
      </c>
      <c r="L13" s="411">
        <v>72.40299999999999</v>
      </c>
      <c r="M13" s="411">
        <v>72.666</v>
      </c>
      <c r="N13" s="411">
        <v>73.79599999999999</v>
      </c>
      <c r="O13" s="411">
        <v>75.404</v>
      </c>
      <c r="P13" s="411">
        <v>75.75399999999999</v>
      </c>
      <c r="Q13" s="411">
        <v>70.819</v>
      </c>
      <c r="R13" s="411">
        <v>71.293</v>
      </c>
      <c r="S13" s="411">
        <v>72.563</v>
      </c>
      <c r="T13" s="411">
        <v>74.946</v>
      </c>
      <c r="U13" s="411">
        <v>77.803</v>
      </c>
      <c r="V13" s="411">
        <v>79.098</v>
      </c>
      <c r="W13" s="411">
        <v>80.932</v>
      </c>
      <c r="X13" s="411">
        <v>82.428</v>
      </c>
      <c r="Y13" s="254">
        <f t="shared" si="5"/>
        <v>1.8484653783423122</v>
      </c>
      <c r="Z13" s="19" t="s">
        <v>33</v>
      </c>
      <c r="AA13" s="59"/>
    </row>
    <row r="14" spans="1:27" ht="12.75" customHeight="1">
      <c r="A14" s="17"/>
      <c r="B14" s="120" t="s">
        <v>17</v>
      </c>
      <c r="C14" s="154">
        <v>1.231</v>
      </c>
      <c r="D14" s="154">
        <v>1.553</v>
      </c>
      <c r="E14" s="440">
        <v>1.51</v>
      </c>
      <c r="F14" s="414">
        <v>1.273</v>
      </c>
      <c r="G14" s="414">
        <v>0.95</v>
      </c>
      <c r="H14" s="414">
        <v>0.722</v>
      </c>
      <c r="I14" s="414">
        <v>0.537</v>
      </c>
      <c r="J14" s="414">
        <v>0.421</v>
      </c>
      <c r="K14" s="414">
        <v>0.309</v>
      </c>
      <c r="L14" s="414">
        <v>0.262</v>
      </c>
      <c r="M14" s="414">
        <v>0.236</v>
      </c>
      <c r="N14" s="414">
        <v>0.238</v>
      </c>
      <c r="O14" s="414">
        <v>0.261</v>
      </c>
      <c r="P14" s="414">
        <v>0.182649</v>
      </c>
      <c r="Q14" s="414">
        <v>0.17695</v>
      </c>
      <c r="R14" s="414">
        <v>0.181814</v>
      </c>
      <c r="S14" s="414">
        <v>0.193133</v>
      </c>
      <c r="T14" s="414">
        <v>0.247899</v>
      </c>
      <c r="U14" s="414">
        <v>0.256811</v>
      </c>
      <c r="V14" s="414">
        <v>0.273554</v>
      </c>
      <c r="W14" s="414">
        <v>0.27373</v>
      </c>
      <c r="X14" s="414">
        <v>0.2491</v>
      </c>
      <c r="Y14" s="212">
        <f t="shared" si="5"/>
        <v>-8.997917656084454</v>
      </c>
      <c r="Z14" s="120" t="s">
        <v>17</v>
      </c>
      <c r="AA14" s="59"/>
    </row>
    <row r="15" spans="1:27" ht="12.75" customHeight="1">
      <c r="A15" s="17"/>
      <c r="B15" s="19" t="s">
        <v>36</v>
      </c>
      <c r="C15" s="152">
        <v>0.582</v>
      </c>
      <c r="D15" s="152">
        <v>1.032</v>
      </c>
      <c r="E15" s="442">
        <v>1.226</v>
      </c>
      <c r="F15" s="420">
        <v>1.29</v>
      </c>
      <c r="G15" s="420">
        <v>1.226</v>
      </c>
      <c r="H15" s="420">
        <v>1.274</v>
      </c>
      <c r="I15" s="420">
        <v>1.26</v>
      </c>
      <c r="J15" s="420">
        <v>1.291</v>
      </c>
      <c r="K15" s="420">
        <v>1.295</v>
      </c>
      <c r="L15" s="420">
        <v>1.387</v>
      </c>
      <c r="M15" s="420">
        <v>1.421</v>
      </c>
      <c r="N15" s="420">
        <v>1.458</v>
      </c>
      <c r="O15" s="420">
        <v>1.389</v>
      </c>
      <c r="P15" s="420">
        <v>1.515</v>
      </c>
      <c r="Q15" s="420">
        <v>1.628</v>
      </c>
      <c r="R15" s="420">
        <v>1.601</v>
      </c>
      <c r="S15" s="420">
        <v>1.582</v>
      </c>
      <c r="T15" s="420">
        <v>1.781</v>
      </c>
      <c r="U15" s="420">
        <v>1.872</v>
      </c>
      <c r="V15" s="420">
        <v>2.007</v>
      </c>
      <c r="W15" s="420">
        <v>1.976</v>
      </c>
      <c r="X15" s="420">
        <v>1.683</v>
      </c>
      <c r="Y15" s="210">
        <f t="shared" si="5"/>
        <v>-14.827935222672062</v>
      </c>
      <c r="Z15" s="19" t="s">
        <v>36</v>
      </c>
      <c r="AA15" s="59"/>
    </row>
    <row r="16" spans="1:27" ht="12.75" customHeight="1">
      <c r="A16" s="17"/>
      <c r="B16" s="120" t="s">
        <v>28</v>
      </c>
      <c r="C16" s="154">
        <v>1.951</v>
      </c>
      <c r="D16" s="154">
        <v>1.464</v>
      </c>
      <c r="E16" s="440">
        <v>1.977</v>
      </c>
      <c r="F16" s="414">
        <v>1.995</v>
      </c>
      <c r="G16" s="414">
        <v>2.046</v>
      </c>
      <c r="H16" s="414">
        <v>1.726</v>
      </c>
      <c r="I16" s="414">
        <v>1.599</v>
      </c>
      <c r="J16" s="414">
        <v>1.568</v>
      </c>
      <c r="K16" s="414">
        <v>1.751</v>
      </c>
      <c r="L16" s="414">
        <v>1.884</v>
      </c>
      <c r="M16" s="414">
        <v>1.552</v>
      </c>
      <c r="N16" s="414">
        <v>1.583</v>
      </c>
      <c r="O16" s="414">
        <v>1.886</v>
      </c>
      <c r="P16" s="414">
        <v>1.747</v>
      </c>
      <c r="Q16" s="414">
        <v>1.836</v>
      </c>
      <c r="R16" s="414">
        <v>1.574</v>
      </c>
      <c r="S16" s="414">
        <v>1.668</v>
      </c>
      <c r="T16" s="414">
        <v>1.854</v>
      </c>
      <c r="U16" s="414">
        <v>1.811</v>
      </c>
      <c r="V16" s="414">
        <v>1.933</v>
      </c>
      <c r="W16" s="414">
        <v>1.657</v>
      </c>
      <c r="X16" s="414">
        <v>1.414</v>
      </c>
      <c r="Y16" s="212">
        <f t="shared" si="5"/>
        <v>-14.665057332528676</v>
      </c>
      <c r="Z16" s="120" t="s">
        <v>28</v>
      </c>
      <c r="AA16" s="59"/>
    </row>
    <row r="17" spans="1:27" ht="12.75" customHeight="1">
      <c r="A17" s="17"/>
      <c r="B17" s="19" t="s">
        <v>34</v>
      </c>
      <c r="C17" s="152">
        <v>14.013</v>
      </c>
      <c r="D17" s="152">
        <v>13.527</v>
      </c>
      <c r="E17" s="442">
        <v>15.476</v>
      </c>
      <c r="F17" s="420">
        <v>15.022</v>
      </c>
      <c r="G17" s="420">
        <v>16.302</v>
      </c>
      <c r="H17" s="420">
        <v>15.234</v>
      </c>
      <c r="I17" s="420">
        <v>14.853</v>
      </c>
      <c r="J17" s="420">
        <v>16.577</v>
      </c>
      <c r="K17" s="421">
        <v>16.85</v>
      </c>
      <c r="L17" s="421">
        <v>17.83</v>
      </c>
      <c r="M17" s="421">
        <v>18.73</v>
      </c>
      <c r="N17" s="420">
        <v>19.655</v>
      </c>
      <c r="O17" s="420">
        <v>20.144</v>
      </c>
      <c r="P17" s="420">
        <v>20.829</v>
      </c>
      <c r="Q17" s="420">
        <v>21.211</v>
      </c>
      <c r="R17" s="420">
        <v>21.127</v>
      </c>
      <c r="S17" s="420">
        <v>20.386</v>
      </c>
      <c r="T17" s="420">
        <v>21.624</v>
      </c>
      <c r="U17" s="420">
        <v>22.105</v>
      </c>
      <c r="V17" s="420">
        <v>21.857</v>
      </c>
      <c r="W17" s="420">
        <v>23.969</v>
      </c>
      <c r="X17" s="420">
        <v>23.1367</v>
      </c>
      <c r="Y17" s="210">
        <f t="shared" si="5"/>
        <v>-3.4724018523926703</v>
      </c>
      <c r="Z17" s="19" t="s">
        <v>34</v>
      </c>
      <c r="AA17" s="59"/>
    </row>
    <row r="18" spans="1:27" ht="12.75" customHeight="1">
      <c r="A18" s="17"/>
      <c r="B18" s="120" t="s">
        <v>35</v>
      </c>
      <c r="C18" s="154">
        <v>40.979</v>
      </c>
      <c r="D18" s="154">
        <v>54.496</v>
      </c>
      <c r="E18" s="440">
        <v>63.74</v>
      </c>
      <c r="F18" s="414">
        <v>62.37</v>
      </c>
      <c r="G18" s="414">
        <v>62.99</v>
      </c>
      <c r="H18" s="414">
        <v>58.43</v>
      </c>
      <c r="I18" s="414">
        <v>58.94</v>
      </c>
      <c r="J18" s="414">
        <v>55.56</v>
      </c>
      <c r="K18" s="414">
        <v>59.79</v>
      </c>
      <c r="L18" s="414">
        <v>61.78</v>
      </c>
      <c r="M18" s="414">
        <v>64.5</v>
      </c>
      <c r="N18" s="414">
        <v>66.21600000000001</v>
      </c>
      <c r="O18" s="414">
        <v>69.866</v>
      </c>
      <c r="P18" s="414">
        <v>71.504</v>
      </c>
      <c r="Q18" s="414">
        <v>73.534</v>
      </c>
      <c r="R18" s="414">
        <v>71.707</v>
      </c>
      <c r="S18" s="414">
        <v>74.30921160199999</v>
      </c>
      <c r="T18" s="414">
        <v>76.20362413799998</v>
      </c>
      <c r="U18" s="414">
        <v>79.54875806399997</v>
      </c>
      <c r="V18" s="414">
        <v>81.56600115399998</v>
      </c>
      <c r="W18" s="414">
        <v>86.60113503499997</v>
      </c>
      <c r="X18" s="414">
        <v>86</v>
      </c>
      <c r="Y18" s="212">
        <f t="shared" si="5"/>
        <v>-0.694142212751625</v>
      </c>
      <c r="Z18" s="120" t="s">
        <v>35</v>
      </c>
      <c r="AA18" s="59"/>
    </row>
    <row r="19" spans="1:27" s="255" customFormat="1" ht="12.75" customHeight="1">
      <c r="A19" s="251"/>
      <c r="B19" s="19" t="s">
        <v>37</v>
      </c>
      <c r="C19" s="257">
        <v>32.457</v>
      </c>
      <c r="D19" s="257">
        <v>39.587</v>
      </c>
      <c r="E19" s="441">
        <v>44.709</v>
      </c>
      <c r="F19" s="411">
        <v>45.065</v>
      </c>
      <c r="G19" s="411">
        <v>44.409</v>
      </c>
      <c r="H19" s="411">
        <v>42.72</v>
      </c>
      <c r="I19" s="419">
        <v>43.375</v>
      </c>
      <c r="J19" s="411">
        <v>46.651</v>
      </c>
      <c r="K19" s="411">
        <v>47.58</v>
      </c>
      <c r="L19" s="411">
        <v>46.391</v>
      </c>
      <c r="M19" s="411">
        <v>44.190999999999995</v>
      </c>
      <c r="N19" s="411">
        <v>46.302</v>
      </c>
      <c r="O19" s="411">
        <v>49.572</v>
      </c>
      <c r="P19" s="411">
        <v>50.076</v>
      </c>
      <c r="Q19" s="411">
        <v>49.304</v>
      </c>
      <c r="R19" s="411">
        <v>48.697</v>
      </c>
      <c r="S19" s="411">
        <v>49.25299999999999</v>
      </c>
      <c r="T19" s="411">
        <v>50.47</v>
      </c>
      <c r="U19" s="411">
        <v>50.891000000000005</v>
      </c>
      <c r="V19" s="411">
        <v>49.679</v>
      </c>
      <c r="W19" s="411">
        <v>49.522</v>
      </c>
      <c r="X19" s="411">
        <v>48.208</v>
      </c>
      <c r="Y19" s="254">
        <f t="shared" si="5"/>
        <v>-2.6533661806873665</v>
      </c>
      <c r="Z19" s="19" t="s">
        <v>37</v>
      </c>
      <c r="AA19" s="59"/>
    </row>
    <row r="20" spans="1:27" ht="12.75" customHeight="1">
      <c r="A20" s="17"/>
      <c r="B20" s="120" t="s">
        <v>15</v>
      </c>
      <c r="C20" s="166" t="s">
        <v>46</v>
      </c>
      <c r="D20" s="166" t="s">
        <v>46</v>
      </c>
      <c r="E20" s="443" t="s">
        <v>46</v>
      </c>
      <c r="F20" s="433" t="s">
        <v>46</v>
      </c>
      <c r="G20" s="433" t="s">
        <v>46</v>
      </c>
      <c r="H20" s="433" t="s">
        <v>46</v>
      </c>
      <c r="I20" s="433" t="s">
        <v>46</v>
      </c>
      <c r="J20" s="433" t="s">
        <v>46</v>
      </c>
      <c r="K20" s="433" t="s">
        <v>46</v>
      </c>
      <c r="L20" s="433" t="s">
        <v>46</v>
      </c>
      <c r="M20" s="433" t="s">
        <v>46</v>
      </c>
      <c r="N20" s="433" t="s">
        <v>46</v>
      </c>
      <c r="O20" s="433" t="s">
        <v>46</v>
      </c>
      <c r="P20" s="433" t="s">
        <v>46</v>
      </c>
      <c r="Q20" s="433" t="s">
        <v>46</v>
      </c>
      <c r="R20" s="433" t="s">
        <v>46</v>
      </c>
      <c r="S20" s="433" t="s">
        <v>46</v>
      </c>
      <c r="T20" s="433" t="s">
        <v>46</v>
      </c>
      <c r="U20" s="433" t="s">
        <v>46</v>
      </c>
      <c r="V20" s="433" t="s">
        <v>46</v>
      </c>
      <c r="W20" s="433" t="s">
        <v>46</v>
      </c>
      <c r="X20" s="433" t="s">
        <v>46</v>
      </c>
      <c r="Y20" s="223"/>
      <c r="Z20" s="120" t="s">
        <v>15</v>
      </c>
      <c r="AA20" s="25"/>
    </row>
    <row r="21" spans="1:27" s="255" customFormat="1" ht="12.75" customHeight="1">
      <c r="A21" s="251"/>
      <c r="B21" s="19" t="s">
        <v>19</v>
      </c>
      <c r="C21" s="257">
        <v>3.747</v>
      </c>
      <c r="D21" s="257">
        <v>4.687</v>
      </c>
      <c r="E21" s="441">
        <v>5.366</v>
      </c>
      <c r="F21" s="411">
        <v>3.93</v>
      </c>
      <c r="G21" s="411">
        <v>3.656</v>
      </c>
      <c r="H21" s="411">
        <v>2.359</v>
      </c>
      <c r="I21" s="411">
        <v>1.794</v>
      </c>
      <c r="J21" s="411">
        <v>1.373</v>
      </c>
      <c r="K21" s="411">
        <v>1.149</v>
      </c>
      <c r="L21" s="411">
        <v>1.154</v>
      </c>
      <c r="M21" s="411">
        <v>1.059</v>
      </c>
      <c r="N21" s="411">
        <v>0.984</v>
      </c>
      <c r="O21" s="411">
        <v>0.715</v>
      </c>
      <c r="P21" s="411">
        <v>0.706</v>
      </c>
      <c r="Q21" s="411">
        <v>0.744</v>
      </c>
      <c r="R21" s="411">
        <v>0.762</v>
      </c>
      <c r="S21" s="411">
        <v>0.811</v>
      </c>
      <c r="T21" s="411">
        <v>0.894</v>
      </c>
      <c r="U21" s="411">
        <v>0.992</v>
      </c>
      <c r="V21" s="411">
        <v>0.983</v>
      </c>
      <c r="W21" s="411">
        <v>0.951</v>
      </c>
      <c r="X21" s="411">
        <v>0.756</v>
      </c>
      <c r="Y21" s="254">
        <f t="shared" si="5"/>
        <v>-20.50473186119873</v>
      </c>
      <c r="Z21" s="19" t="s">
        <v>19</v>
      </c>
      <c r="AA21" s="59"/>
    </row>
    <row r="22" spans="1:27" ht="12.75" customHeight="1">
      <c r="A22" s="17"/>
      <c r="B22" s="120" t="s">
        <v>20</v>
      </c>
      <c r="C22" s="154">
        <v>2.132</v>
      </c>
      <c r="D22" s="154">
        <v>3.258</v>
      </c>
      <c r="E22" s="440">
        <v>3.64</v>
      </c>
      <c r="F22" s="414">
        <v>3.225</v>
      </c>
      <c r="G22" s="414">
        <v>2.74</v>
      </c>
      <c r="H22" s="414">
        <v>2.7</v>
      </c>
      <c r="I22" s="414">
        <v>1.574</v>
      </c>
      <c r="J22" s="414">
        <v>1.13</v>
      </c>
      <c r="K22" s="414">
        <v>0.954</v>
      </c>
      <c r="L22" s="414">
        <v>0.842</v>
      </c>
      <c r="M22" s="414">
        <v>0.8</v>
      </c>
      <c r="N22" s="414">
        <v>0.745</v>
      </c>
      <c r="O22" s="414">
        <v>0.611</v>
      </c>
      <c r="P22" s="414">
        <v>0.533</v>
      </c>
      <c r="Q22" s="414">
        <v>0.498</v>
      </c>
      <c r="R22" s="414">
        <v>0.432</v>
      </c>
      <c r="S22" s="414">
        <v>0.444</v>
      </c>
      <c r="T22" s="414">
        <v>0.428</v>
      </c>
      <c r="U22" s="414">
        <v>0.431</v>
      </c>
      <c r="V22" s="414">
        <v>0.409</v>
      </c>
      <c r="W22" s="414">
        <v>0.398</v>
      </c>
      <c r="X22" s="414">
        <v>0.357</v>
      </c>
      <c r="Y22" s="212">
        <f t="shared" si="5"/>
        <v>-10.301507537688448</v>
      </c>
      <c r="Z22" s="120" t="s">
        <v>20</v>
      </c>
      <c r="AA22" s="59"/>
    </row>
    <row r="23" spans="1:27" s="255" customFormat="1" ht="12.75" customHeight="1">
      <c r="A23" s="251"/>
      <c r="B23" s="19" t="s">
        <v>38</v>
      </c>
      <c r="C23" s="257">
        <v>0.256</v>
      </c>
      <c r="D23" s="257">
        <v>0.246</v>
      </c>
      <c r="E23" s="441">
        <v>0.208</v>
      </c>
      <c r="F23" s="411">
        <v>0.22</v>
      </c>
      <c r="G23" s="411">
        <v>0.255</v>
      </c>
      <c r="H23" s="411">
        <v>0.262</v>
      </c>
      <c r="I23" s="411">
        <v>0.289</v>
      </c>
      <c r="J23" s="411">
        <v>0.287</v>
      </c>
      <c r="K23" s="411">
        <v>0.284</v>
      </c>
      <c r="L23" s="411">
        <v>0.295</v>
      </c>
      <c r="M23" s="411">
        <v>0.3</v>
      </c>
      <c r="N23" s="411">
        <v>0.31</v>
      </c>
      <c r="O23" s="411">
        <v>0.332</v>
      </c>
      <c r="P23" s="411">
        <v>0.346</v>
      </c>
      <c r="Q23" s="411">
        <v>0.268</v>
      </c>
      <c r="R23" s="411">
        <v>0.262</v>
      </c>
      <c r="S23" s="411">
        <v>0.253</v>
      </c>
      <c r="T23" s="411">
        <v>0.267</v>
      </c>
      <c r="U23" s="411">
        <v>0.298</v>
      </c>
      <c r="V23" s="411">
        <v>0.316</v>
      </c>
      <c r="W23" s="411">
        <v>0.345</v>
      </c>
      <c r="X23" s="411">
        <v>0.333</v>
      </c>
      <c r="Y23" s="254">
        <f t="shared" si="5"/>
        <v>-3.4782608695652084</v>
      </c>
      <c r="Z23" s="19" t="s">
        <v>38</v>
      </c>
      <c r="AA23" s="59"/>
    </row>
    <row r="24" spans="1:27" ht="12.75" customHeight="1">
      <c r="A24" s="17"/>
      <c r="B24" s="120" t="s">
        <v>18</v>
      </c>
      <c r="C24" s="154">
        <v>16.35</v>
      </c>
      <c r="D24" s="154">
        <v>13.544</v>
      </c>
      <c r="E24" s="440">
        <v>11.403</v>
      </c>
      <c r="F24" s="414">
        <v>9.861</v>
      </c>
      <c r="G24" s="414">
        <v>9.183</v>
      </c>
      <c r="H24" s="414">
        <v>8.432</v>
      </c>
      <c r="I24" s="414">
        <v>8.508</v>
      </c>
      <c r="J24" s="414">
        <v>8.441</v>
      </c>
      <c r="K24" s="414">
        <v>8.582</v>
      </c>
      <c r="L24" s="414">
        <v>8.669</v>
      </c>
      <c r="M24" s="414">
        <v>8.884</v>
      </c>
      <c r="N24" s="414">
        <v>9.514</v>
      </c>
      <c r="O24" s="414">
        <v>9.693</v>
      </c>
      <c r="P24" s="414">
        <v>10.005</v>
      </c>
      <c r="Q24" s="414">
        <v>10.531</v>
      </c>
      <c r="R24" s="414">
        <v>10.286</v>
      </c>
      <c r="S24" s="414">
        <v>10.165</v>
      </c>
      <c r="T24" s="414">
        <v>9.851</v>
      </c>
      <c r="U24" s="414">
        <v>9.658</v>
      </c>
      <c r="V24" s="414">
        <v>8.752</v>
      </c>
      <c r="W24" s="414">
        <v>8.293</v>
      </c>
      <c r="X24" s="414">
        <v>8.03</v>
      </c>
      <c r="Y24" s="212">
        <f t="shared" si="5"/>
        <v>-3.1713493307608864</v>
      </c>
      <c r="Z24" s="120" t="s">
        <v>18</v>
      </c>
      <c r="AA24" s="59"/>
    </row>
    <row r="25" spans="1:27" s="255" customFormat="1" ht="12.75" customHeight="1">
      <c r="A25" s="251"/>
      <c r="B25" s="19" t="s">
        <v>21</v>
      </c>
      <c r="C25" s="269" t="s">
        <v>46</v>
      </c>
      <c r="D25" s="269" t="s">
        <v>46</v>
      </c>
      <c r="E25" s="95" t="s">
        <v>46</v>
      </c>
      <c r="F25" s="96" t="s">
        <v>46</v>
      </c>
      <c r="G25" s="96" t="s">
        <v>46</v>
      </c>
      <c r="H25" s="96" t="s">
        <v>46</v>
      </c>
      <c r="I25" s="96" t="s">
        <v>46</v>
      </c>
      <c r="J25" s="96" t="s">
        <v>46</v>
      </c>
      <c r="K25" s="96" t="s">
        <v>46</v>
      </c>
      <c r="L25" s="96" t="s">
        <v>46</v>
      </c>
      <c r="M25" s="96" t="s">
        <v>46</v>
      </c>
      <c r="N25" s="96" t="s">
        <v>46</v>
      </c>
      <c r="O25" s="96" t="s">
        <v>46</v>
      </c>
      <c r="P25" s="96" t="s">
        <v>46</v>
      </c>
      <c r="Q25" s="96" t="s">
        <v>46</v>
      </c>
      <c r="R25" s="96" t="s">
        <v>46</v>
      </c>
      <c r="S25" s="96" t="s">
        <v>46</v>
      </c>
      <c r="T25" s="96" t="s">
        <v>46</v>
      </c>
      <c r="U25" s="96" t="s">
        <v>46</v>
      </c>
      <c r="V25" s="96" t="s">
        <v>46</v>
      </c>
      <c r="W25" s="96" t="s">
        <v>46</v>
      </c>
      <c r="X25" s="96" t="s">
        <v>46</v>
      </c>
      <c r="Y25" s="247"/>
      <c r="Z25" s="19" t="s">
        <v>21</v>
      </c>
      <c r="AA25" s="25"/>
    </row>
    <row r="26" spans="1:27" ht="12.75" customHeight="1">
      <c r="A26" s="17"/>
      <c r="B26" s="87" t="s">
        <v>29</v>
      </c>
      <c r="C26" s="154">
        <v>8.011</v>
      </c>
      <c r="D26" s="154">
        <v>8.91</v>
      </c>
      <c r="E26" s="440">
        <v>11.06</v>
      </c>
      <c r="F26" s="414">
        <v>15.195</v>
      </c>
      <c r="G26" s="414">
        <v>15.35</v>
      </c>
      <c r="H26" s="414">
        <v>15.245</v>
      </c>
      <c r="I26" s="414">
        <v>14.439</v>
      </c>
      <c r="J26" s="414">
        <v>16.35</v>
      </c>
      <c r="K26" s="414">
        <v>14.092</v>
      </c>
      <c r="L26" s="414">
        <v>13.875</v>
      </c>
      <c r="M26" s="414">
        <v>14.107</v>
      </c>
      <c r="N26" s="414">
        <v>14.281</v>
      </c>
      <c r="O26" s="414">
        <v>14.666</v>
      </c>
      <c r="P26" s="414">
        <v>14.392</v>
      </c>
      <c r="Q26" s="414">
        <v>14.288</v>
      </c>
      <c r="R26" s="414">
        <v>13.848</v>
      </c>
      <c r="S26" s="414">
        <v>14.509</v>
      </c>
      <c r="T26" s="414">
        <v>15.153</v>
      </c>
      <c r="U26" s="414">
        <v>15.889</v>
      </c>
      <c r="V26" s="414">
        <v>16.324</v>
      </c>
      <c r="W26" s="414">
        <v>16.311</v>
      </c>
      <c r="X26" s="414">
        <v>16.423</v>
      </c>
      <c r="Y26" s="212">
        <f t="shared" si="5"/>
        <v>0.6866531788363606</v>
      </c>
      <c r="Z26" s="87" t="s">
        <v>29</v>
      </c>
      <c r="AA26" s="59"/>
    </row>
    <row r="27" spans="1:27" s="255" customFormat="1" ht="12.75" customHeight="1">
      <c r="A27" s="251"/>
      <c r="B27" s="19" t="s">
        <v>39</v>
      </c>
      <c r="C27" s="257">
        <v>6.438</v>
      </c>
      <c r="D27" s="257">
        <v>7.586</v>
      </c>
      <c r="E27" s="441">
        <v>8.912</v>
      </c>
      <c r="F27" s="411">
        <v>9.59</v>
      </c>
      <c r="G27" s="411">
        <v>9.957</v>
      </c>
      <c r="H27" s="411">
        <v>9.764</v>
      </c>
      <c r="I27" s="411">
        <v>9.949</v>
      </c>
      <c r="J27" s="411">
        <v>10.124</v>
      </c>
      <c r="K27" s="411">
        <v>10.222</v>
      </c>
      <c r="L27" s="411">
        <v>8.709</v>
      </c>
      <c r="M27" s="411">
        <v>8.537</v>
      </c>
      <c r="N27" s="411">
        <v>8.554</v>
      </c>
      <c r="O27" s="411">
        <v>8.73978502490829</v>
      </c>
      <c r="P27" s="411">
        <v>8.76093130944158</v>
      </c>
      <c r="Q27" s="411">
        <v>8.80985261380452</v>
      </c>
      <c r="R27" s="411">
        <v>8.6731335633535</v>
      </c>
      <c r="S27" s="411">
        <v>8.7039</v>
      </c>
      <c r="T27" s="411">
        <v>9.508</v>
      </c>
      <c r="U27" s="411">
        <v>9.2962</v>
      </c>
      <c r="V27" s="411">
        <v>9.5797</v>
      </c>
      <c r="W27" s="411">
        <v>10.8373</v>
      </c>
      <c r="X27" s="411">
        <v>10.6534</v>
      </c>
      <c r="Y27" s="254">
        <f t="shared" si="5"/>
        <v>-1.6969171288051532</v>
      </c>
      <c r="Z27" s="19" t="s">
        <v>39</v>
      </c>
      <c r="AA27" s="77"/>
    </row>
    <row r="28" spans="1:27" ht="12.75" customHeight="1">
      <c r="A28" s="17"/>
      <c r="B28" s="120" t="s">
        <v>22</v>
      </c>
      <c r="C28" s="154">
        <v>36.891</v>
      </c>
      <c r="D28" s="154">
        <v>46.324</v>
      </c>
      <c r="E28" s="440">
        <v>50.373</v>
      </c>
      <c r="F28" s="414">
        <v>40.115</v>
      </c>
      <c r="G28" s="414">
        <v>32.571</v>
      </c>
      <c r="H28" s="414">
        <v>30.864</v>
      </c>
      <c r="I28" s="414">
        <v>27.61</v>
      </c>
      <c r="J28" s="414">
        <v>26.635</v>
      </c>
      <c r="K28" s="414">
        <v>19.807</v>
      </c>
      <c r="L28" s="414">
        <v>19.928</v>
      </c>
      <c r="M28" s="414">
        <v>20.553</v>
      </c>
      <c r="N28" s="414">
        <v>21.518</v>
      </c>
      <c r="O28" s="414">
        <v>24.093</v>
      </c>
      <c r="P28" s="414">
        <v>22.469</v>
      </c>
      <c r="Q28" s="414">
        <v>20.749</v>
      </c>
      <c r="R28" s="414">
        <v>19.638</v>
      </c>
      <c r="S28" s="414">
        <v>18.6897</v>
      </c>
      <c r="T28" s="414">
        <v>18.1565</v>
      </c>
      <c r="U28" s="414">
        <v>18.5521</v>
      </c>
      <c r="V28" s="414">
        <v>19.8586</v>
      </c>
      <c r="W28" s="414">
        <v>20.1947</v>
      </c>
      <c r="X28" s="414">
        <v>18.637</v>
      </c>
      <c r="Y28" s="212">
        <f t="shared" si="5"/>
        <v>-7.713409954096873</v>
      </c>
      <c r="Z28" s="120" t="s">
        <v>22</v>
      </c>
      <c r="AA28" s="59"/>
    </row>
    <row r="29" spans="1:27" s="255" customFormat="1" ht="12.75" customHeight="1">
      <c r="A29" s="251"/>
      <c r="B29" s="19" t="s">
        <v>40</v>
      </c>
      <c r="C29" s="257">
        <v>3.546</v>
      </c>
      <c r="D29" s="257">
        <v>6.076</v>
      </c>
      <c r="E29" s="441">
        <v>5.664</v>
      </c>
      <c r="F29" s="411">
        <v>5.692</v>
      </c>
      <c r="G29" s="411">
        <v>5.694</v>
      </c>
      <c r="H29" s="411">
        <v>5.397</v>
      </c>
      <c r="I29" s="411">
        <v>5.11</v>
      </c>
      <c r="J29" s="411">
        <v>4.809</v>
      </c>
      <c r="K29" s="411">
        <v>4.502</v>
      </c>
      <c r="L29" s="411">
        <v>4.568</v>
      </c>
      <c r="M29" s="411">
        <v>4.601</v>
      </c>
      <c r="N29" s="411">
        <v>4.329</v>
      </c>
      <c r="O29" s="412">
        <v>4.032</v>
      </c>
      <c r="P29" s="412">
        <v>3.992</v>
      </c>
      <c r="Q29" s="411">
        <v>3.925</v>
      </c>
      <c r="R29" s="411">
        <v>3.753</v>
      </c>
      <c r="S29" s="411">
        <v>3.693</v>
      </c>
      <c r="T29" s="411">
        <v>3.809</v>
      </c>
      <c r="U29" s="411">
        <v>3.876</v>
      </c>
      <c r="V29" s="411">
        <v>3.987</v>
      </c>
      <c r="W29" s="411">
        <v>4.213</v>
      </c>
      <c r="X29" s="411">
        <v>4.152</v>
      </c>
      <c r="Y29" s="254">
        <f t="shared" si="5"/>
        <v>-1.4478993591265144</v>
      </c>
      <c r="Z29" s="19" t="s">
        <v>40</v>
      </c>
      <c r="AA29" s="59"/>
    </row>
    <row r="30" spans="1:27" ht="12.75" customHeight="1">
      <c r="A30" s="17"/>
      <c r="B30" s="120" t="s">
        <v>23</v>
      </c>
      <c r="C30" s="154">
        <v>17.793</v>
      </c>
      <c r="D30" s="154">
        <v>23.22</v>
      </c>
      <c r="E30" s="440">
        <v>30.582</v>
      </c>
      <c r="F30" s="414">
        <v>25.429</v>
      </c>
      <c r="G30" s="414">
        <v>24.269</v>
      </c>
      <c r="H30" s="414">
        <v>19.402</v>
      </c>
      <c r="I30" s="414">
        <v>18.313</v>
      </c>
      <c r="J30" s="414">
        <v>18.879</v>
      </c>
      <c r="K30" s="414">
        <v>18.356</v>
      </c>
      <c r="L30" s="414">
        <v>15.794</v>
      </c>
      <c r="M30" s="414">
        <v>13.422</v>
      </c>
      <c r="N30" s="414">
        <v>12.304</v>
      </c>
      <c r="O30" s="414">
        <v>11.632</v>
      </c>
      <c r="P30" s="414">
        <v>10.965</v>
      </c>
      <c r="Q30" s="414">
        <v>8.502</v>
      </c>
      <c r="R30" s="414">
        <v>8.497</v>
      </c>
      <c r="S30" s="414">
        <v>8.638</v>
      </c>
      <c r="T30" s="414">
        <v>7.985</v>
      </c>
      <c r="U30" s="414">
        <v>8.092</v>
      </c>
      <c r="V30" s="414">
        <v>7.476</v>
      </c>
      <c r="W30" s="414">
        <v>6.958</v>
      </c>
      <c r="X30" s="414">
        <v>6.128</v>
      </c>
      <c r="Y30" s="212">
        <f t="shared" si="5"/>
        <v>-11.928715148031044</v>
      </c>
      <c r="Z30" s="120" t="s">
        <v>23</v>
      </c>
      <c r="AA30" s="59"/>
    </row>
    <row r="31" spans="1:27" ht="12.75" customHeight="1">
      <c r="A31" s="17"/>
      <c r="B31" s="19" t="s">
        <v>25</v>
      </c>
      <c r="C31" s="152">
        <v>1.38</v>
      </c>
      <c r="D31" s="152">
        <v>1.436</v>
      </c>
      <c r="E31" s="442">
        <v>1.429</v>
      </c>
      <c r="F31" s="420">
        <v>0.814</v>
      </c>
      <c r="G31" s="420">
        <v>0.547</v>
      </c>
      <c r="H31" s="420">
        <v>0.566</v>
      </c>
      <c r="I31" s="420">
        <v>0.59</v>
      </c>
      <c r="J31" s="420">
        <v>0.595</v>
      </c>
      <c r="K31" s="420">
        <v>0.613</v>
      </c>
      <c r="L31" s="420">
        <v>0.616</v>
      </c>
      <c r="M31" s="420">
        <v>0.645</v>
      </c>
      <c r="N31" s="420">
        <v>0.623</v>
      </c>
      <c r="O31" s="420">
        <v>0.705</v>
      </c>
      <c r="P31" s="420">
        <v>0.715</v>
      </c>
      <c r="Q31" s="420">
        <v>0.749</v>
      </c>
      <c r="R31" s="420">
        <v>0.777</v>
      </c>
      <c r="S31" s="420">
        <v>0.764</v>
      </c>
      <c r="T31" s="420">
        <v>0.777</v>
      </c>
      <c r="U31" s="420">
        <v>0.796</v>
      </c>
      <c r="V31" s="420">
        <v>0.812</v>
      </c>
      <c r="W31" s="420">
        <v>0.834</v>
      </c>
      <c r="X31" s="420">
        <v>0.84</v>
      </c>
      <c r="Y31" s="210">
        <f t="shared" si="5"/>
        <v>0.7194244604316502</v>
      </c>
      <c r="Z31" s="19" t="s">
        <v>25</v>
      </c>
      <c r="AA31" s="59"/>
    </row>
    <row r="32" spans="1:27" ht="12.75" customHeight="1">
      <c r="A32" s="17"/>
      <c r="B32" s="120" t="s">
        <v>24</v>
      </c>
      <c r="C32" s="154"/>
      <c r="D32" s="154"/>
      <c r="E32" s="440">
        <v>6.381</v>
      </c>
      <c r="F32" s="414">
        <v>6.002</v>
      </c>
      <c r="G32" s="414">
        <v>5.453</v>
      </c>
      <c r="H32" s="414">
        <v>4.569</v>
      </c>
      <c r="I32" s="414">
        <v>4.548</v>
      </c>
      <c r="J32" s="414">
        <v>4.202</v>
      </c>
      <c r="K32" s="414">
        <v>3.769</v>
      </c>
      <c r="L32" s="414">
        <v>3.095</v>
      </c>
      <c r="M32" s="414">
        <v>3.092</v>
      </c>
      <c r="N32" s="414">
        <v>2.968</v>
      </c>
      <c r="O32" s="414">
        <v>2.87</v>
      </c>
      <c r="P32" s="414">
        <v>2.805</v>
      </c>
      <c r="Q32" s="414">
        <v>2.682</v>
      </c>
      <c r="R32" s="414">
        <v>2.316</v>
      </c>
      <c r="S32" s="414">
        <v>2.228</v>
      </c>
      <c r="T32" s="414">
        <v>2.182</v>
      </c>
      <c r="U32" s="414">
        <v>2.213</v>
      </c>
      <c r="V32" s="414">
        <v>2.165</v>
      </c>
      <c r="W32" s="414">
        <v>2.296</v>
      </c>
      <c r="X32" s="414">
        <v>2.264</v>
      </c>
      <c r="Y32" s="212">
        <f t="shared" si="5"/>
        <v>-1.3937282229965153</v>
      </c>
      <c r="Z32" s="120" t="s">
        <v>24</v>
      </c>
      <c r="AA32" s="59"/>
    </row>
    <row r="33" spans="1:27" ht="12.75" customHeight="1">
      <c r="A33" s="17"/>
      <c r="B33" s="19" t="s">
        <v>41</v>
      </c>
      <c r="C33" s="152">
        <v>2.156</v>
      </c>
      <c r="D33" s="152">
        <v>3.216</v>
      </c>
      <c r="E33" s="442">
        <v>3.331</v>
      </c>
      <c r="F33" s="420">
        <v>3.23</v>
      </c>
      <c r="G33" s="420">
        <v>3.057</v>
      </c>
      <c r="H33" s="420">
        <v>3.007</v>
      </c>
      <c r="I33" s="420">
        <v>3.037</v>
      </c>
      <c r="J33" s="420">
        <v>3.184</v>
      </c>
      <c r="K33" s="420">
        <v>3.254</v>
      </c>
      <c r="L33" s="420">
        <v>3.376</v>
      </c>
      <c r="M33" s="420">
        <v>3.377</v>
      </c>
      <c r="N33" s="420">
        <v>3.415</v>
      </c>
      <c r="O33" s="420">
        <v>3.405</v>
      </c>
      <c r="P33" s="420">
        <v>3.282</v>
      </c>
      <c r="Q33" s="420">
        <v>3.318</v>
      </c>
      <c r="R33" s="420">
        <v>3.338</v>
      </c>
      <c r="S33" s="420">
        <v>3.352</v>
      </c>
      <c r="T33" s="420">
        <v>3.478</v>
      </c>
      <c r="U33" s="420">
        <v>3.5</v>
      </c>
      <c r="V33" s="420">
        <v>3.778</v>
      </c>
      <c r="W33" s="420">
        <v>4.052</v>
      </c>
      <c r="X33" s="420">
        <v>3.876</v>
      </c>
      <c r="Y33" s="210">
        <f t="shared" si="5"/>
        <v>-4.343534057255671</v>
      </c>
      <c r="Z33" s="19" t="s">
        <v>41</v>
      </c>
      <c r="AA33" s="59"/>
    </row>
    <row r="34" spans="1:27" ht="12.75" customHeight="1">
      <c r="A34" s="17"/>
      <c r="B34" s="120" t="s">
        <v>42</v>
      </c>
      <c r="C34" s="154">
        <v>4.64</v>
      </c>
      <c r="D34" s="154">
        <v>6.998</v>
      </c>
      <c r="E34" s="440">
        <v>6.6</v>
      </c>
      <c r="F34" s="414">
        <v>5.985</v>
      </c>
      <c r="G34" s="414">
        <v>5.963</v>
      </c>
      <c r="H34" s="414">
        <v>6.422</v>
      </c>
      <c r="I34" s="414">
        <v>6.507</v>
      </c>
      <c r="J34" s="414">
        <v>6.839</v>
      </c>
      <c r="K34" s="414">
        <v>6.97</v>
      </c>
      <c r="L34" s="414">
        <v>7.039</v>
      </c>
      <c r="M34" s="414">
        <v>7.23</v>
      </c>
      <c r="N34" s="414">
        <v>7.701</v>
      </c>
      <c r="O34" s="414">
        <v>8.243</v>
      </c>
      <c r="P34" s="414">
        <v>8.732</v>
      </c>
      <c r="Q34" s="414">
        <v>8.874</v>
      </c>
      <c r="R34" s="414">
        <v>8.834</v>
      </c>
      <c r="S34" s="414">
        <v>8.658</v>
      </c>
      <c r="T34" s="414">
        <v>8.936</v>
      </c>
      <c r="U34" s="414">
        <v>9.617</v>
      </c>
      <c r="V34" s="414">
        <v>10.261</v>
      </c>
      <c r="W34" s="414">
        <v>11.1</v>
      </c>
      <c r="X34" s="414">
        <v>11.3</v>
      </c>
      <c r="Y34" s="212">
        <f t="shared" si="5"/>
        <v>1.8018018018018056</v>
      </c>
      <c r="Z34" s="120" t="s">
        <v>42</v>
      </c>
      <c r="AA34" s="59"/>
    </row>
    <row r="35" spans="1:27" ht="12.75" customHeight="1">
      <c r="A35" s="17"/>
      <c r="B35" s="20" t="s">
        <v>30</v>
      </c>
      <c r="C35" s="152">
        <v>30.6</v>
      </c>
      <c r="D35" s="152">
        <v>30.5</v>
      </c>
      <c r="E35" s="444">
        <v>33.4</v>
      </c>
      <c r="F35" s="445">
        <v>32.7</v>
      </c>
      <c r="G35" s="445">
        <v>31.9</v>
      </c>
      <c r="H35" s="445">
        <v>30.6</v>
      </c>
      <c r="I35" s="445">
        <v>28.9</v>
      </c>
      <c r="J35" s="445">
        <v>30.2707</v>
      </c>
      <c r="K35" s="445">
        <v>32.3478</v>
      </c>
      <c r="L35" s="445">
        <v>34.8856</v>
      </c>
      <c r="M35" s="445">
        <v>36.4972</v>
      </c>
      <c r="N35" s="445">
        <v>38.6937</v>
      </c>
      <c r="O35" s="445">
        <v>38.4061</v>
      </c>
      <c r="P35" s="445">
        <v>39.3807</v>
      </c>
      <c r="Q35" s="445">
        <v>39.9233</v>
      </c>
      <c r="R35" s="445">
        <v>41.163999999999994</v>
      </c>
      <c r="S35" s="445">
        <v>43.348</v>
      </c>
      <c r="T35" s="445">
        <v>44.415</v>
      </c>
      <c r="U35" s="445">
        <v>47.037</v>
      </c>
      <c r="V35" s="445">
        <v>50.171</v>
      </c>
      <c r="W35" s="445">
        <v>53.002</v>
      </c>
      <c r="X35" s="445">
        <v>52.765</v>
      </c>
      <c r="Y35" s="216">
        <f t="shared" si="5"/>
        <v>-0.447152937624995</v>
      </c>
      <c r="Z35" s="20" t="s">
        <v>30</v>
      </c>
      <c r="AA35" s="59"/>
    </row>
    <row r="36" spans="1:27" ht="12.75" customHeight="1">
      <c r="A36" s="17"/>
      <c r="B36" s="120" t="s">
        <v>47</v>
      </c>
      <c r="C36" s="159">
        <v>3.732</v>
      </c>
      <c r="D36" s="159">
        <v>3.619</v>
      </c>
      <c r="E36" s="414">
        <v>3.429</v>
      </c>
      <c r="F36" s="414">
        <v>1.427</v>
      </c>
      <c r="G36" s="414">
        <v>1.145</v>
      </c>
      <c r="H36" s="414">
        <v>1.094</v>
      </c>
      <c r="I36" s="414">
        <v>1.182</v>
      </c>
      <c r="J36" s="414">
        <v>1.139</v>
      </c>
      <c r="K36" s="414">
        <v>1.205</v>
      </c>
      <c r="L36" s="414">
        <v>1.158</v>
      </c>
      <c r="M36" s="414">
        <v>1.092</v>
      </c>
      <c r="N36" s="414">
        <v>1.137</v>
      </c>
      <c r="O36" s="414">
        <v>1.252</v>
      </c>
      <c r="P36" s="414">
        <v>1.241</v>
      </c>
      <c r="Q36" s="414">
        <v>1.195</v>
      </c>
      <c r="R36" s="414">
        <v>1.163</v>
      </c>
      <c r="S36" s="414">
        <v>1.213</v>
      </c>
      <c r="T36" s="414">
        <v>1.266</v>
      </c>
      <c r="U36" s="414">
        <v>1.362</v>
      </c>
      <c r="V36" s="414">
        <v>1.611</v>
      </c>
      <c r="W36" s="414">
        <v>1.81</v>
      </c>
      <c r="X36" s="414">
        <v>1.835</v>
      </c>
      <c r="Y36" s="212">
        <f t="shared" si="5"/>
        <v>1.3812154696132506</v>
      </c>
      <c r="Z36" s="120" t="s">
        <v>47</v>
      </c>
      <c r="AA36" s="59"/>
    </row>
    <row r="37" spans="1:27" s="255" customFormat="1" ht="12.75" customHeight="1">
      <c r="A37" s="251"/>
      <c r="B37" s="19" t="s">
        <v>8</v>
      </c>
      <c r="C37" s="252"/>
      <c r="D37" s="252"/>
      <c r="E37" s="418"/>
      <c r="F37" s="411"/>
      <c r="G37" s="411"/>
      <c r="H37" s="411"/>
      <c r="I37" s="411"/>
      <c r="J37" s="412">
        <v>0.1</v>
      </c>
      <c r="K37" s="412">
        <v>0.1</v>
      </c>
      <c r="L37" s="412">
        <v>0.1</v>
      </c>
      <c r="M37" s="412">
        <v>0.1</v>
      </c>
      <c r="N37" s="412">
        <v>0.1</v>
      </c>
      <c r="O37" s="412">
        <v>0.1</v>
      </c>
      <c r="P37" s="412">
        <v>0.133</v>
      </c>
      <c r="Q37" s="411">
        <v>0.098</v>
      </c>
      <c r="R37" s="411">
        <v>0.092</v>
      </c>
      <c r="S37" s="411">
        <v>0.094</v>
      </c>
      <c r="T37" s="411">
        <v>0.094</v>
      </c>
      <c r="U37" s="411">
        <v>0.105</v>
      </c>
      <c r="V37" s="411">
        <v>0.109</v>
      </c>
      <c r="W37" s="411">
        <v>0.148</v>
      </c>
      <c r="X37" s="411">
        <v>0.1545</v>
      </c>
      <c r="Y37" s="254">
        <f t="shared" si="5"/>
        <v>4.391891891891886</v>
      </c>
      <c r="Z37" s="19" t="s">
        <v>8</v>
      </c>
      <c r="AA37" s="59"/>
    </row>
    <row r="38" spans="1:27" ht="12.75" customHeight="1">
      <c r="A38" s="17"/>
      <c r="B38" s="121" t="s">
        <v>26</v>
      </c>
      <c r="C38" s="158">
        <v>5.561</v>
      </c>
      <c r="D38" s="158">
        <v>6.011</v>
      </c>
      <c r="E38" s="426">
        <v>6.41</v>
      </c>
      <c r="F38" s="426">
        <v>6.048</v>
      </c>
      <c r="G38" s="426">
        <v>6.259</v>
      </c>
      <c r="H38" s="426">
        <v>7.147</v>
      </c>
      <c r="I38" s="426">
        <v>6.335</v>
      </c>
      <c r="J38" s="426">
        <v>5.797</v>
      </c>
      <c r="K38" s="426">
        <v>5.229</v>
      </c>
      <c r="L38" s="426">
        <v>5.84</v>
      </c>
      <c r="M38" s="426">
        <v>6.16</v>
      </c>
      <c r="N38" s="426">
        <v>6.146</v>
      </c>
      <c r="O38" s="426">
        <v>5.832</v>
      </c>
      <c r="P38" s="426">
        <v>5.568</v>
      </c>
      <c r="Q38" s="426">
        <v>5.204</v>
      </c>
      <c r="R38" s="426">
        <v>5.878</v>
      </c>
      <c r="S38" s="426">
        <v>5.237</v>
      </c>
      <c r="T38" s="426">
        <v>5.036</v>
      </c>
      <c r="U38" s="426">
        <v>5.277</v>
      </c>
      <c r="V38" s="426">
        <v>5.553</v>
      </c>
      <c r="W38" s="426">
        <v>5.097</v>
      </c>
      <c r="X38" s="426">
        <v>5.374</v>
      </c>
      <c r="Y38" s="225">
        <f t="shared" si="5"/>
        <v>5.434569354522245</v>
      </c>
      <c r="Z38" s="121" t="s">
        <v>26</v>
      </c>
      <c r="AA38" s="59"/>
    </row>
    <row r="39" spans="1:27" s="255" customFormat="1" ht="12.75" customHeight="1">
      <c r="A39" s="251"/>
      <c r="B39" s="19" t="s">
        <v>12</v>
      </c>
      <c r="C39" s="270" t="s">
        <v>46</v>
      </c>
      <c r="D39" s="270" t="s">
        <v>46</v>
      </c>
      <c r="E39" s="436" t="s">
        <v>46</v>
      </c>
      <c r="F39" s="436" t="s">
        <v>46</v>
      </c>
      <c r="G39" s="436" t="s">
        <v>46</v>
      </c>
      <c r="H39" s="436" t="s">
        <v>46</v>
      </c>
      <c r="I39" s="436" t="s">
        <v>46</v>
      </c>
      <c r="J39" s="436" t="s">
        <v>46</v>
      </c>
      <c r="K39" s="436" t="s">
        <v>46</v>
      </c>
      <c r="L39" s="436" t="s">
        <v>46</v>
      </c>
      <c r="M39" s="436" t="s">
        <v>46</v>
      </c>
      <c r="N39" s="436" t="s">
        <v>46</v>
      </c>
      <c r="O39" s="436" t="s">
        <v>46</v>
      </c>
      <c r="P39" s="436" t="s">
        <v>46</v>
      </c>
      <c r="Q39" s="436" t="s">
        <v>46</v>
      </c>
      <c r="R39" s="436" t="s">
        <v>46</v>
      </c>
      <c r="S39" s="436" t="s">
        <v>46</v>
      </c>
      <c r="T39" s="436" t="s">
        <v>46</v>
      </c>
      <c r="U39" s="436" t="s">
        <v>46</v>
      </c>
      <c r="V39" s="436" t="s">
        <v>46</v>
      </c>
      <c r="W39" s="436" t="s">
        <v>46</v>
      </c>
      <c r="X39" s="436" t="s">
        <v>46</v>
      </c>
      <c r="Y39" s="246" t="s">
        <v>46</v>
      </c>
      <c r="Z39" s="19" t="s">
        <v>12</v>
      </c>
      <c r="AA39" s="25"/>
    </row>
    <row r="40" spans="1:27" ht="12.75" customHeight="1">
      <c r="A40" s="17"/>
      <c r="B40" s="120" t="s">
        <v>43</v>
      </c>
      <c r="C40" s="154">
        <v>1.86</v>
      </c>
      <c r="D40" s="154">
        <v>2.394</v>
      </c>
      <c r="E40" s="414">
        <v>2.104</v>
      </c>
      <c r="F40" s="414">
        <v>2.15</v>
      </c>
      <c r="G40" s="414">
        <v>2.256</v>
      </c>
      <c r="H40" s="414">
        <v>2.316</v>
      </c>
      <c r="I40" s="414">
        <v>2.398</v>
      </c>
      <c r="J40" s="414">
        <v>2.381</v>
      </c>
      <c r="K40" s="414">
        <v>2.449</v>
      </c>
      <c r="L40" s="414">
        <v>2.561</v>
      </c>
      <c r="M40" s="414">
        <v>2.59</v>
      </c>
      <c r="N40" s="414">
        <v>2.674</v>
      </c>
      <c r="O40" s="414">
        <v>2.635</v>
      </c>
      <c r="P40" s="414">
        <v>2.677</v>
      </c>
      <c r="Q40" s="414">
        <v>2.477</v>
      </c>
      <c r="R40" s="414">
        <v>2.381</v>
      </c>
      <c r="S40" s="414">
        <v>2.62</v>
      </c>
      <c r="T40" s="414">
        <v>2.723</v>
      </c>
      <c r="U40" s="414">
        <v>2.833</v>
      </c>
      <c r="V40" s="414">
        <v>2.971</v>
      </c>
      <c r="W40" s="414">
        <v>3.059</v>
      </c>
      <c r="X40" s="414">
        <v>3.012</v>
      </c>
      <c r="Y40" s="212">
        <f t="shared" si="5"/>
        <v>-1.53644982020269</v>
      </c>
      <c r="Z40" s="120" t="s">
        <v>43</v>
      </c>
      <c r="AA40" s="59"/>
    </row>
    <row r="41" spans="1:27" s="255" customFormat="1" ht="12.75" customHeight="1">
      <c r="A41" s="251"/>
      <c r="B41" s="20" t="s">
        <v>13</v>
      </c>
      <c r="C41" s="266">
        <v>9.339</v>
      </c>
      <c r="D41" s="266">
        <v>9.964</v>
      </c>
      <c r="E41" s="429">
        <v>12.68</v>
      </c>
      <c r="F41" s="429">
        <v>13.83</v>
      </c>
      <c r="G41" s="429">
        <v>13.21</v>
      </c>
      <c r="H41" s="429">
        <v>13.38</v>
      </c>
      <c r="I41" s="429">
        <v>13.84</v>
      </c>
      <c r="J41" s="429">
        <v>11.71</v>
      </c>
      <c r="K41" s="429">
        <v>11.89</v>
      </c>
      <c r="L41" s="429">
        <v>12.05</v>
      </c>
      <c r="M41" s="429">
        <v>12.15</v>
      </c>
      <c r="N41" s="429">
        <v>12.5</v>
      </c>
      <c r="O41" s="429">
        <v>12.62</v>
      </c>
      <c r="P41" s="429">
        <v>13.301</v>
      </c>
      <c r="Q41" s="429">
        <v>14.147</v>
      </c>
      <c r="R41" s="429">
        <v>14.509</v>
      </c>
      <c r="S41" s="429">
        <v>14.914</v>
      </c>
      <c r="T41" s="429">
        <v>16.144</v>
      </c>
      <c r="U41" s="429">
        <v>16.578</v>
      </c>
      <c r="V41" s="429">
        <v>17.434</v>
      </c>
      <c r="W41" s="429">
        <v>18.028</v>
      </c>
      <c r="X41" s="429">
        <v>18.585</v>
      </c>
      <c r="Y41" s="274">
        <f t="shared" si="5"/>
        <v>3.0896383403594463</v>
      </c>
      <c r="Z41" s="20" t="s">
        <v>13</v>
      </c>
      <c r="AA41" s="59"/>
    </row>
    <row r="42" spans="2:26" ht="30" customHeight="1">
      <c r="B42" s="462" t="s">
        <v>130</v>
      </c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2"/>
      <c r="Z42" s="462"/>
    </row>
    <row r="43" spans="2:25" ht="11.25">
      <c r="B43" s="2" t="s">
        <v>9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ht="11.25">
      <c r="B44" s="54" t="s">
        <v>81</v>
      </c>
    </row>
    <row r="45" ht="11.25">
      <c r="C45" s="54" t="s">
        <v>85</v>
      </c>
    </row>
  </sheetData>
  <mergeCells count="2">
    <mergeCell ref="B2:Z2"/>
    <mergeCell ref="B42:Z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Q41"/>
  <sheetViews>
    <sheetView workbookViewId="0" topLeftCell="A1">
      <selection activeCell="A1" sqref="A1:IV16384"/>
    </sheetView>
  </sheetViews>
  <sheetFormatPr defaultColWidth="9.140625" defaultRowHeight="12.75"/>
  <cols>
    <col min="1" max="1" width="3.28125" style="0" customWidth="1"/>
    <col min="2" max="2" width="5.7109375" style="0" customWidth="1"/>
    <col min="3" max="3" width="4.140625" style="0" customWidth="1"/>
    <col min="4" max="4" width="6.8515625" style="0" customWidth="1"/>
    <col min="5" max="15" width="5.7109375" style="0" customWidth="1"/>
    <col min="16" max="16" width="6.8515625" style="0" customWidth="1"/>
    <col min="17" max="17" width="6.7109375" style="0" customWidth="1"/>
  </cols>
  <sheetData>
    <row r="1" spans="3:17" ht="14.25" customHeight="1">
      <c r="C1" s="486"/>
      <c r="D1" s="486"/>
      <c r="E1" s="130"/>
      <c r="F1" s="64"/>
      <c r="G1" s="64"/>
      <c r="H1" s="64"/>
      <c r="I1" s="64"/>
      <c r="J1" s="64"/>
      <c r="K1" s="64"/>
      <c r="L1" s="64"/>
      <c r="M1" s="64"/>
      <c r="N1" s="64"/>
      <c r="O1" s="65"/>
      <c r="Q1" s="94" t="s">
        <v>115</v>
      </c>
    </row>
    <row r="2" spans="3:17" s="23" customFormat="1" ht="30" customHeight="1">
      <c r="C2" s="487" t="s">
        <v>64</v>
      </c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</row>
    <row r="3" spans="3:16" ht="10.5" customHeight="1">
      <c r="C3" s="488" t="s">
        <v>6</v>
      </c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</row>
    <row r="4" spans="3:17" ht="24.75" customHeight="1">
      <c r="C4" s="66"/>
      <c r="D4" s="88" t="s">
        <v>32</v>
      </c>
      <c r="E4" s="88" t="s">
        <v>16</v>
      </c>
      <c r="F4" s="88" t="s">
        <v>33</v>
      </c>
      <c r="G4" s="89" t="s">
        <v>34</v>
      </c>
      <c r="H4" s="88" t="s">
        <v>35</v>
      </c>
      <c r="I4" s="88" t="s">
        <v>37</v>
      </c>
      <c r="J4" s="88" t="s">
        <v>29</v>
      </c>
      <c r="K4" s="88" t="s">
        <v>40</v>
      </c>
      <c r="L4" s="88" t="s">
        <v>25</v>
      </c>
      <c r="M4" s="88" t="s">
        <v>41</v>
      </c>
      <c r="N4" s="88" t="s">
        <v>42</v>
      </c>
      <c r="O4" s="89" t="s">
        <v>30</v>
      </c>
      <c r="P4" s="136" t="s">
        <v>67</v>
      </c>
      <c r="Q4" s="275" t="s">
        <v>89</v>
      </c>
    </row>
    <row r="5" spans="3:17" ht="15" customHeight="1">
      <c r="C5" s="90">
        <v>1990</v>
      </c>
      <c r="D5" s="446" t="s">
        <v>46</v>
      </c>
      <c r="E5" s="447" t="s">
        <v>46</v>
      </c>
      <c r="F5" s="447" t="s">
        <v>46</v>
      </c>
      <c r="G5" s="447" t="s">
        <v>46</v>
      </c>
      <c r="H5" s="264">
        <v>14.92</v>
      </c>
      <c r="I5" s="264">
        <v>0.3</v>
      </c>
      <c r="J5" s="447" t="s">
        <v>46</v>
      </c>
      <c r="K5" s="447" t="s">
        <v>46</v>
      </c>
      <c r="L5" s="447" t="s">
        <v>46</v>
      </c>
      <c r="M5" s="447" t="s">
        <v>46</v>
      </c>
      <c r="N5" s="447">
        <v>0.006</v>
      </c>
      <c r="O5" s="447" t="s">
        <v>46</v>
      </c>
      <c r="P5" s="280">
        <v>15.226</v>
      </c>
      <c r="Q5" s="448"/>
    </row>
    <row r="6" spans="3:17" ht="15" customHeight="1">
      <c r="C6" s="91">
        <v>1991</v>
      </c>
      <c r="D6" s="449" t="s">
        <v>46</v>
      </c>
      <c r="E6" s="253" t="s">
        <v>46</v>
      </c>
      <c r="F6" s="59">
        <v>2</v>
      </c>
      <c r="G6" s="253" t="s">
        <v>46</v>
      </c>
      <c r="H6" s="59">
        <v>17.87</v>
      </c>
      <c r="I6" s="59">
        <v>0.4</v>
      </c>
      <c r="J6" s="253" t="s">
        <v>46</v>
      </c>
      <c r="K6" s="253" t="s">
        <v>46</v>
      </c>
      <c r="L6" s="253" t="s">
        <v>46</v>
      </c>
      <c r="M6" s="253" t="s">
        <v>46</v>
      </c>
      <c r="N6" s="59">
        <v>0.094</v>
      </c>
      <c r="O6" s="253" t="s">
        <v>46</v>
      </c>
      <c r="P6" s="281">
        <v>20.364</v>
      </c>
      <c r="Q6" s="276">
        <v>0.3374491002233022</v>
      </c>
    </row>
    <row r="7" spans="3:17" ht="15" customHeight="1">
      <c r="C7" s="91">
        <v>1992</v>
      </c>
      <c r="D7" s="449" t="s">
        <v>46</v>
      </c>
      <c r="E7" s="253" t="s">
        <v>46</v>
      </c>
      <c r="F7" s="59">
        <v>5.2</v>
      </c>
      <c r="G7" s="59">
        <v>0.4</v>
      </c>
      <c r="H7" s="59">
        <v>18.96</v>
      </c>
      <c r="I7" s="59">
        <v>0.4</v>
      </c>
      <c r="J7" s="253" t="s">
        <v>46</v>
      </c>
      <c r="K7" s="253" t="s">
        <v>46</v>
      </c>
      <c r="L7" s="253" t="s">
        <v>46</v>
      </c>
      <c r="M7" s="253" t="s">
        <v>46</v>
      </c>
      <c r="N7" s="59">
        <v>0.154</v>
      </c>
      <c r="O7" s="253" t="s">
        <v>46</v>
      </c>
      <c r="P7" s="281">
        <v>25.114</v>
      </c>
      <c r="Q7" s="276">
        <v>0.23325476330779815</v>
      </c>
    </row>
    <row r="8" spans="2:17" ht="15" customHeight="1">
      <c r="B8" s="3"/>
      <c r="C8" s="91">
        <v>1993</v>
      </c>
      <c r="D8" s="449" t="s">
        <v>46</v>
      </c>
      <c r="E8" s="253" t="s">
        <v>46</v>
      </c>
      <c r="F8" s="59">
        <v>7</v>
      </c>
      <c r="G8" s="59">
        <v>0.9</v>
      </c>
      <c r="H8" s="59">
        <v>18.93</v>
      </c>
      <c r="I8" s="59">
        <v>0.5</v>
      </c>
      <c r="J8" s="253" t="s">
        <v>46</v>
      </c>
      <c r="K8" s="253" t="s">
        <v>46</v>
      </c>
      <c r="L8" s="253" t="s">
        <v>46</v>
      </c>
      <c r="M8" s="253" t="s">
        <v>46</v>
      </c>
      <c r="N8" s="59">
        <v>0.272</v>
      </c>
      <c r="O8" s="253" t="s">
        <v>46</v>
      </c>
      <c r="P8" s="281">
        <v>27.601999999999997</v>
      </c>
      <c r="Q8" s="276">
        <v>0.09906824878553788</v>
      </c>
    </row>
    <row r="9" spans="2:17" ht="15" customHeight="1">
      <c r="B9" s="3"/>
      <c r="C9" s="91">
        <v>1994</v>
      </c>
      <c r="D9" s="449" t="s">
        <v>46</v>
      </c>
      <c r="E9" s="253" t="s">
        <v>46</v>
      </c>
      <c r="F9" s="59">
        <v>8.2</v>
      </c>
      <c r="G9" s="59">
        <v>0.9</v>
      </c>
      <c r="H9" s="59">
        <v>20.51</v>
      </c>
      <c r="I9" s="59">
        <v>0.8</v>
      </c>
      <c r="J9" s="253" t="s">
        <v>46</v>
      </c>
      <c r="K9" s="253" t="s">
        <v>46</v>
      </c>
      <c r="L9" s="253" t="s">
        <v>46</v>
      </c>
      <c r="M9" s="253" t="s">
        <v>46</v>
      </c>
      <c r="N9" s="59">
        <v>0.305</v>
      </c>
      <c r="O9" s="59"/>
      <c r="P9" s="282">
        <v>30.715</v>
      </c>
      <c r="Q9" s="276">
        <v>0.11278168248677645</v>
      </c>
    </row>
    <row r="10" spans="3:17" ht="15" customHeight="1">
      <c r="C10" s="91">
        <v>1995</v>
      </c>
      <c r="D10" s="449" t="s">
        <v>46</v>
      </c>
      <c r="E10" s="253" t="s">
        <v>46</v>
      </c>
      <c r="F10" s="59">
        <v>8.7</v>
      </c>
      <c r="G10" s="59">
        <v>1.294</v>
      </c>
      <c r="H10" s="59">
        <v>21.43</v>
      </c>
      <c r="I10" s="59">
        <v>1.1</v>
      </c>
      <c r="J10" s="253" t="s">
        <v>46</v>
      </c>
      <c r="K10" s="253" t="s">
        <v>46</v>
      </c>
      <c r="L10" s="253" t="s">
        <v>46</v>
      </c>
      <c r="M10" s="253" t="s">
        <v>46</v>
      </c>
      <c r="N10" s="59">
        <v>0.415</v>
      </c>
      <c r="O10" s="59"/>
      <c r="P10" s="282">
        <v>32.939</v>
      </c>
      <c r="Q10" s="276">
        <v>0.07240761842747845</v>
      </c>
    </row>
    <row r="11" spans="3:17" ht="15" customHeight="1">
      <c r="C11" s="91">
        <v>1996</v>
      </c>
      <c r="D11" s="449">
        <v>0.32</v>
      </c>
      <c r="E11" s="253" t="s">
        <v>46</v>
      </c>
      <c r="F11" s="59">
        <v>8.85</v>
      </c>
      <c r="G11" s="59">
        <v>1.1</v>
      </c>
      <c r="H11" s="59">
        <v>24.79</v>
      </c>
      <c r="I11" s="59">
        <v>1.3</v>
      </c>
      <c r="J11" s="253">
        <v>0.031</v>
      </c>
      <c r="K11" s="253" t="s">
        <v>46</v>
      </c>
      <c r="L11" s="253" t="s">
        <v>46</v>
      </c>
      <c r="M11" s="253">
        <v>0.024</v>
      </c>
      <c r="N11" s="59">
        <v>1.101</v>
      </c>
      <c r="O11" s="59"/>
      <c r="P11" s="282">
        <v>37.516</v>
      </c>
      <c r="Q11" s="276">
        <v>0.1389538237347825</v>
      </c>
    </row>
    <row r="12" spans="3:17" ht="15" customHeight="1">
      <c r="C12" s="91">
        <v>1997</v>
      </c>
      <c r="D12" s="273">
        <v>0.555</v>
      </c>
      <c r="E12" s="253" t="s">
        <v>46</v>
      </c>
      <c r="F12" s="59">
        <v>10.073</v>
      </c>
      <c r="G12" s="59">
        <v>1.3</v>
      </c>
      <c r="H12" s="59">
        <v>27.58</v>
      </c>
      <c r="I12" s="59">
        <v>2.4</v>
      </c>
      <c r="J12" s="253">
        <v>0.073</v>
      </c>
      <c r="K12" s="253" t="s">
        <v>46</v>
      </c>
      <c r="L12" s="253" t="s">
        <v>46</v>
      </c>
      <c r="M12" s="253">
        <v>0.053</v>
      </c>
      <c r="N12" s="59">
        <v>1.328</v>
      </c>
      <c r="O12" s="59"/>
      <c r="P12" s="282">
        <v>43.361999999999995</v>
      </c>
      <c r="Q12" s="276">
        <v>0.15582684721185625</v>
      </c>
    </row>
    <row r="13" spans="3:17" ht="15" customHeight="1">
      <c r="C13" s="91">
        <v>1998</v>
      </c>
      <c r="D13" s="273">
        <v>0.788</v>
      </c>
      <c r="E13" s="253" t="s">
        <v>46</v>
      </c>
      <c r="F13" s="59">
        <v>10.155</v>
      </c>
      <c r="G13" s="59">
        <v>1.516</v>
      </c>
      <c r="H13" s="59">
        <v>29.98</v>
      </c>
      <c r="I13" s="59">
        <v>3.638</v>
      </c>
      <c r="J13" s="59">
        <v>0.09</v>
      </c>
      <c r="K13" s="253" t="s">
        <v>46</v>
      </c>
      <c r="L13" s="253" t="s">
        <v>46</v>
      </c>
      <c r="M13" s="59">
        <v>0.056</v>
      </c>
      <c r="N13" s="59">
        <v>1.605</v>
      </c>
      <c r="O13" s="59"/>
      <c r="P13" s="282">
        <v>47.827999999999996</v>
      </c>
      <c r="Q13" s="276">
        <v>0.10299340436326743</v>
      </c>
    </row>
    <row r="14" spans="3:17" ht="15" customHeight="1">
      <c r="C14" s="91">
        <v>1999</v>
      </c>
      <c r="D14" s="273">
        <v>0.804</v>
      </c>
      <c r="E14" s="253" t="s">
        <v>46</v>
      </c>
      <c r="F14" s="59">
        <v>11.591</v>
      </c>
      <c r="G14" s="59">
        <v>1.674</v>
      </c>
      <c r="H14" s="59">
        <v>32.36</v>
      </c>
      <c r="I14" s="59">
        <v>4.464</v>
      </c>
      <c r="J14" s="59">
        <v>0.1</v>
      </c>
      <c r="K14" s="253" t="s">
        <v>46</v>
      </c>
      <c r="L14" s="253" t="s">
        <v>46</v>
      </c>
      <c r="M14" s="59">
        <v>0.054</v>
      </c>
      <c r="N14" s="59">
        <v>1.812</v>
      </c>
      <c r="O14" s="59"/>
      <c r="P14" s="282">
        <v>52.859</v>
      </c>
      <c r="Q14" s="276">
        <v>0.10518942878648496</v>
      </c>
    </row>
    <row r="15" spans="3:17" ht="15" customHeight="1">
      <c r="C15" s="91">
        <v>2000</v>
      </c>
      <c r="D15" s="273">
        <v>0.865</v>
      </c>
      <c r="E15" s="253" t="s">
        <v>46</v>
      </c>
      <c r="F15" s="59">
        <v>13.925</v>
      </c>
      <c r="G15" s="59">
        <v>1.942</v>
      </c>
      <c r="H15" s="59">
        <v>34.747</v>
      </c>
      <c r="I15" s="59">
        <v>5.086</v>
      </c>
      <c r="J15" s="59">
        <v>0.113</v>
      </c>
      <c r="K15" s="253" t="s">
        <v>46</v>
      </c>
      <c r="L15" s="253" t="s">
        <v>46</v>
      </c>
      <c r="M15" s="59">
        <v>0.071</v>
      </c>
      <c r="N15" s="59">
        <v>2.047</v>
      </c>
      <c r="O15" s="59"/>
      <c r="P15" s="282">
        <v>58.79599999999999</v>
      </c>
      <c r="Q15" s="276">
        <v>0.11231767532492087</v>
      </c>
    </row>
    <row r="16" spans="3:17" ht="15" customHeight="1">
      <c r="C16" s="91">
        <v>2001</v>
      </c>
      <c r="D16" s="273">
        <v>0.889</v>
      </c>
      <c r="E16" s="253" t="s">
        <v>46</v>
      </c>
      <c r="F16" s="59">
        <v>15.515</v>
      </c>
      <c r="G16" s="59">
        <v>2.077</v>
      </c>
      <c r="H16" s="59">
        <v>37.404</v>
      </c>
      <c r="I16" s="59">
        <v>6.763</v>
      </c>
      <c r="J16" s="59">
        <v>0.191</v>
      </c>
      <c r="K16" s="253" t="s">
        <v>46</v>
      </c>
      <c r="L16" s="253" t="s">
        <v>46</v>
      </c>
      <c r="M16" s="59">
        <v>0.06</v>
      </c>
      <c r="N16" s="59">
        <v>2.227</v>
      </c>
      <c r="O16" s="59"/>
      <c r="P16" s="282">
        <v>65.126</v>
      </c>
      <c r="Q16" s="276">
        <v>0.10766038506020847</v>
      </c>
    </row>
    <row r="17" spans="3:17" ht="15" customHeight="1">
      <c r="C17" s="91">
        <v>2002</v>
      </c>
      <c r="D17" s="273">
        <v>0.909</v>
      </c>
      <c r="E17" s="253" t="s">
        <v>46</v>
      </c>
      <c r="F17" s="59">
        <v>15.255</v>
      </c>
      <c r="G17" s="59">
        <v>2.181</v>
      </c>
      <c r="H17" s="59">
        <v>39.856</v>
      </c>
      <c r="I17" s="59">
        <v>7.078</v>
      </c>
      <c r="J17" s="59">
        <v>0.201</v>
      </c>
      <c r="K17" s="253" t="s">
        <v>46</v>
      </c>
      <c r="L17" s="253" t="s">
        <v>46</v>
      </c>
      <c r="M17" s="59">
        <v>0.135</v>
      </c>
      <c r="N17" s="59">
        <v>2.39</v>
      </c>
      <c r="O17" s="59"/>
      <c r="P17" s="282">
        <v>68.005</v>
      </c>
      <c r="Q17" s="276">
        <v>0.044206614869637395</v>
      </c>
    </row>
    <row r="18" spans="3:17" ht="15" customHeight="1">
      <c r="C18" s="91">
        <v>2003</v>
      </c>
      <c r="D18" s="273">
        <v>0.878</v>
      </c>
      <c r="E18" s="253" t="s">
        <v>46</v>
      </c>
      <c r="F18" s="59">
        <v>17.457</v>
      </c>
      <c r="G18" s="59">
        <v>2.027</v>
      </c>
      <c r="H18" s="59">
        <v>39.604</v>
      </c>
      <c r="I18" s="59">
        <v>7.431</v>
      </c>
      <c r="J18" s="59">
        <v>0.664</v>
      </c>
      <c r="K18" s="253" t="s">
        <v>46</v>
      </c>
      <c r="L18" s="253" t="s">
        <v>46</v>
      </c>
      <c r="M18" s="59">
        <v>0.2</v>
      </c>
      <c r="N18" s="59">
        <v>2.4</v>
      </c>
      <c r="O18" s="59"/>
      <c r="P18" s="282">
        <v>70.66100000000002</v>
      </c>
      <c r="Q18" s="276">
        <v>0.039055951768252495</v>
      </c>
    </row>
    <row r="19" spans="3:17" ht="15" customHeight="1">
      <c r="C19" s="91">
        <v>2004</v>
      </c>
      <c r="D19" s="273">
        <v>0.94</v>
      </c>
      <c r="E19" s="59">
        <v>0.001</v>
      </c>
      <c r="F19" s="59">
        <v>19.604</v>
      </c>
      <c r="G19" s="59">
        <v>2.085</v>
      </c>
      <c r="H19" s="59">
        <v>41.439</v>
      </c>
      <c r="I19" s="59">
        <v>7.925</v>
      </c>
      <c r="J19" s="59">
        <v>0.657</v>
      </c>
      <c r="K19" s="59">
        <v>0.436</v>
      </c>
      <c r="L19" s="59" t="s">
        <v>46</v>
      </c>
      <c r="M19" s="59">
        <v>0.162</v>
      </c>
      <c r="N19" s="59">
        <v>2.422</v>
      </c>
      <c r="O19" s="59">
        <v>0.44</v>
      </c>
      <c r="P19" s="282">
        <v>76.111</v>
      </c>
      <c r="Q19" s="276">
        <v>0.07712882636815199</v>
      </c>
    </row>
    <row r="20" spans="3:17" ht="15" customHeight="1">
      <c r="C20" s="91">
        <v>2005</v>
      </c>
      <c r="D20" s="273">
        <v>0.982</v>
      </c>
      <c r="E20" s="59">
        <v>0.006</v>
      </c>
      <c r="F20" s="59">
        <v>20.853</v>
      </c>
      <c r="G20" s="59">
        <v>2.324</v>
      </c>
      <c r="H20" s="59">
        <v>43.13</v>
      </c>
      <c r="I20" s="59">
        <v>8.55</v>
      </c>
      <c r="J20" s="59">
        <v>0.687</v>
      </c>
      <c r="K20" s="59">
        <v>0.49</v>
      </c>
      <c r="L20" s="59" t="s">
        <v>46</v>
      </c>
      <c r="M20" s="59">
        <v>0.311</v>
      </c>
      <c r="N20" s="59">
        <v>2.33</v>
      </c>
      <c r="O20" s="77">
        <v>0.45</v>
      </c>
      <c r="P20" s="282">
        <v>80.113</v>
      </c>
      <c r="Q20" s="276">
        <v>0.05258109865853822</v>
      </c>
    </row>
    <row r="21" spans="3:17" ht="15" customHeight="1">
      <c r="C21" s="91">
        <v>2006</v>
      </c>
      <c r="D21" s="273">
        <v>1</v>
      </c>
      <c r="E21" s="59">
        <v>0.148</v>
      </c>
      <c r="F21" s="59">
        <v>21.635</v>
      </c>
      <c r="G21" s="59">
        <v>2.697</v>
      </c>
      <c r="H21" s="59">
        <v>44.853</v>
      </c>
      <c r="I21" s="59">
        <v>8.912</v>
      </c>
      <c r="J21" s="59">
        <v>0.733</v>
      </c>
      <c r="K21" s="59">
        <v>0.508</v>
      </c>
      <c r="L21" s="59" t="s">
        <v>46</v>
      </c>
      <c r="M21" s="59">
        <v>0.435</v>
      </c>
      <c r="N21" s="59">
        <v>2.49</v>
      </c>
      <c r="O21" s="59">
        <v>0.904</v>
      </c>
      <c r="P21" s="282">
        <v>84.315</v>
      </c>
      <c r="Q21" s="276">
        <v>0.05245091308526706</v>
      </c>
    </row>
    <row r="22" spans="3:17" ht="15" customHeight="1">
      <c r="C22" s="91">
        <v>2007</v>
      </c>
      <c r="D22" s="273">
        <v>1.018</v>
      </c>
      <c r="E22" s="59">
        <v>0.329</v>
      </c>
      <c r="F22" s="59">
        <v>21.919</v>
      </c>
      <c r="G22" s="59">
        <v>2.592</v>
      </c>
      <c r="H22" s="59">
        <v>47.966</v>
      </c>
      <c r="I22" s="59">
        <v>8.818</v>
      </c>
      <c r="J22" s="59">
        <v>0.8</v>
      </c>
      <c r="K22" s="59">
        <v>0.506</v>
      </c>
      <c r="L22" s="59" t="s">
        <v>46</v>
      </c>
      <c r="M22" s="59">
        <v>0.58</v>
      </c>
      <c r="N22" s="59">
        <v>2.775</v>
      </c>
      <c r="O22" s="59">
        <v>1.392</v>
      </c>
      <c r="P22" s="282">
        <v>88.695</v>
      </c>
      <c r="Q22" s="276">
        <v>0.051948051948051965</v>
      </c>
    </row>
    <row r="23" spans="3:17" ht="15" customHeight="1">
      <c r="C23" s="91">
        <v>2008</v>
      </c>
      <c r="D23" s="273">
        <v>1.079</v>
      </c>
      <c r="E23" s="59">
        <v>0.253</v>
      </c>
      <c r="F23" s="59">
        <v>23.333</v>
      </c>
      <c r="G23" s="59">
        <v>5.483</v>
      </c>
      <c r="H23" s="59">
        <v>52.564</v>
      </c>
      <c r="I23" s="59">
        <v>8.878</v>
      </c>
      <c r="J23" s="59">
        <v>0.867</v>
      </c>
      <c r="K23" s="59">
        <v>0.525</v>
      </c>
      <c r="L23" s="59">
        <v>0.014</v>
      </c>
      <c r="M23" s="59">
        <v>0.622</v>
      </c>
      <c r="N23" s="59">
        <v>2.992</v>
      </c>
      <c r="O23" s="59">
        <v>0.993</v>
      </c>
      <c r="P23" s="282">
        <v>97.60300000000001</v>
      </c>
      <c r="Q23" s="276">
        <v>0.10043407181915565</v>
      </c>
    </row>
    <row r="24" spans="2:17" ht="15" customHeight="1">
      <c r="B24" s="3"/>
      <c r="C24" s="92">
        <v>2009</v>
      </c>
      <c r="D24" s="450">
        <v>1.061</v>
      </c>
      <c r="E24" s="267">
        <v>0.235</v>
      </c>
      <c r="F24" s="267">
        <v>22.561</v>
      </c>
      <c r="G24" s="267">
        <v>11.505</v>
      </c>
      <c r="H24" s="267">
        <v>51.864</v>
      </c>
      <c r="I24" s="267">
        <v>10.746</v>
      </c>
      <c r="J24" s="267">
        <v>0.915</v>
      </c>
      <c r="K24" s="267">
        <v>0.529</v>
      </c>
      <c r="L24" s="267">
        <v>0.016</v>
      </c>
      <c r="M24" s="267">
        <v>0.604</v>
      </c>
      <c r="N24" s="267">
        <v>3.05</v>
      </c>
      <c r="O24" s="267">
        <v>1.014</v>
      </c>
      <c r="P24" s="451">
        <v>104.1</v>
      </c>
      <c r="Q24" s="277">
        <v>0.06656557687775977</v>
      </c>
    </row>
    <row r="25" spans="2:17" ht="25.5" customHeight="1">
      <c r="B25" s="3"/>
      <c r="C25" s="11" t="s">
        <v>88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1"/>
    </row>
    <row r="26" spans="2:17" ht="30" customHeight="1">
      <c r="B26" s="3"/>
      <c r="C26" s="489" t="s">
        <v>131</v>
      </c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1"/>
    </row>
    <row r="27" spans="2:17" ht="15" customHeight="1">
      <c r="B27" s="3"/>
      <c r="C27" s="68"/>
      <c r="D27" s="36"/>
      <c r="E27" s="36"/>
      <c r="F27" s="36"/>
      <c r="G27" s="36"/>
      <c r="H27" s="36"/>
      <c r="I27" s="36"/>
      <c r="J27" s="67"/>
      <c r="K27" s="67"/>
      <c r="L27" s="67"/>
      <c r="M27" s="36"/>
      <c r="N27" s="67"/>
      <c r="O27" s="36"/>
      <c r="P27" s="69"/>
      <c r="Q27" s="1"/>
    </row>
    <row r="28" spans="2:17" ht="15" customHeight="1">
      <c r="B28" s="3"/>
      <c r="C28" s="483" t="s">
        <v>54</v>
      </c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1"/>
    </row>
    <row r="29" spans="2:17" ht="24.75" customHeight="1">
      <c r="B29" s="3"/>
      <c r="C29" s="484" t="s">
        <v>45</v>
      </c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1"/>
    </row>
    <row r="30" spans="2:17" ht="15" customHeight="1">
      <c r="B30" s="3"/>
      <c r="C30" s="68"/>
      <c r="D30" s="88" t="s">
        <v>32</v>
      </c>
      <c r="E30" s="88" t="s">
        <v>16</v>
      </c>
      <c r="F30" s="88" t="s">
        <v>33</v>
      </c>
      <c r="G30" s="89" t="s">
        <v>34</v>
      </c>
      <c r="H30" s="88" t="s">
        <v>35</v>
      </c>
      <c r="I30" s="88" t="s">
        <v>37</v>
      </c>
      <c r="J30" s="88" t="s">
        <v>29</v>
      </c>
      <c r="K30" s="88" t="s">
        <v>40</v>
      </c>
      <c r="L30" s="88" t="s">
        <v>25</v>
      </c>
      <c r="M30" s="88" t="s">
        <v>41</v>
      </c>
      <c r="N30" s="88" t="s">
        <v>42</v>
      </c>
      <c r="O30" s="278" t="s">
        <v>30</v>
      </c>
      <c r="P30" s="88" t="s">
        <v>67</v>
      </c>
      <c r="Q30" s="137"/>
    </row>
    <row r="31" spans="2:17" ht="15" customHeight="1">
      <c r="B31" s="3"/>
      <c r="C31" s="90">
        <v>2000</v>
      </c>
      <c r="D31" s="452">
        <v>11.184380656839927</v>
      </c>
      <c r="E31" s="452"/>
      <c r="F31" s="452">
        <v>18.467190069492336</v>
      </c>
      <c r="G31" s="452">
        <v>9.640587768069897</v>
      </c>
      <c r="H31" s="452">
        <v>49.73377608564967</v>
      </c>
      <c r="I31" s="452">
        <v>10.259824094246753</v>
      </c>
      <c r="J31" s="452">
        <v>0.7704895677076231</v>
      </c>
      <c r="K31" s="452"/>
      <c r="L31" s="452"/>
      <c r="M31" s="452">
        <v>2.0851688693098382</v>
      </c>
      <c r="N31" s="452">
        <v>24.83319179910227</v>
      </c>
      <c r="O31" s="453"/>
      <c r="P31" s="454">
        <v>15.860466522326448</v>
      </c>
      <c r="Q31" s="1"/>
    </row>
    <row r="32" spans="2:17" ht="15" customHeight="1">
      <c r="B32" s="3"/>
      <c r="C32" s="91">
        <v>2001</v>
      </c>
      <c r="D32" s="452">
        <v>11.059965165464046</v>
      </c>
      <c r="E32" s="452"/>
      <c r="F32" s="452">
        <v>20.480766692187874</v>
      </c>
      <c r="G32" s="452">
        <v>9.971674108214508</v>
      </c>
      <c r="H32" s="452">
        <v>52.310360259565904</v>
      </c>
      <c r="I32" s="452">
        <v>13.505471683041776</v>
      </c>
      <c r="J32" s="452">
        <v>1.3271261812117845</v>
      </c>
      <c r="K32" s="452"/>
      <c r="L32" s="452"/>
      <c r="M32" s="452">
        <v>1.8281535648994516</v>
      </c>
      <c r="N32" s="452">
        <v>25.503893724232707</v>
      </c>
      <c r="O32" s="455"/>
      <c r="P32" s="456">
        <v>17.472266391117554</v>
      </c>
      <c r="Q32" s="1"/>
    </row>
    <row r="33" spans="2:17" ht="15" customHeight="1">
      <c r="B33" s="3"/>
      <c r="C33" s="91">
        <v>2002</v>
      </c>
      <c r="D33" s="452">
        <v>11.004842615012107</v>
      </c>
      <c r="E33" s="452"/>
      <c r="F33" s="452">
        <v>21.54082943842754</v>
      </c>
      <c r="G33" s="452">
        <v>10.28240064117675</v>
      </c>
      <c r="H33" s="452">
        <v>54.200777871460815</v>
      </c>
      <c r="I33" s="452">
        <v>14.355833198117802</v>
      </c>
      <c r="J33" s="452">
        <v>1.406774916013438</v>
      </c>
      <c r="K33" s="452"/>
      <c r="L33" s="452"/>
      <c r="M33" s="452">
        <v>4.06871609403255</v>
      </c>
      <c r="N33" s="452">
        <v>26.932612125309895</v>
      </c>
      <c r="O33" s="455"/>
      <c r="P33" s="456">
        <v>18.602451216269678</v>
      </c>
      <c r="Q33" s="1"/>
    </row>
    <row r="34" spans="2:17" ht="15" customHeight="1">
      <c r="B34" s="3"/>
      <c r="C34" s="91">
        <v>2003</v>
      </c>
      <c r="D34" s="452">
        <v>10.623109497882636</v>
      </c>
      <c r="E34" s="452"/>
      <c r="F34" s="452">
        <v>24.48627494985482</v>
      </c>
      <c r="G34" s="452">
        <v>9.594357930610121</v>
      </c>
      <c r="H34" s="452">
        <v>55.23031224287727</v>
      </c>
      <c r="I34" s="452">
        <v>15.259666919933466</v>
      </c>
      <c r="J34" s="452">
        <v>4.7949162333911035</v>
      </c>
      <c r="K34" s="452"/>
      <c r="L34" s="452"/>
      <c r="M34" s="452">
        <v>5.991611743559018</v>
      </c>
      <c r="N34" s="452">
        <v>27.16776092370387</v>
      </c>
      <c r="O34" s="455"/>
      <c r="P34" s="456">
        <v>19.525711130443526</v>
      </c>
      <c r="Q34" s="1"/>
    </row>
    <row r="35" spans="2:17" ht="15" customHeight="1">
      <c r="B35" s="3"/>
      <c r="C35" s="91">
        <v>2004</v>
      </c>
      <c r="D35" s="452">
        <v>10.834485938220377</v>
      </c>
      <c r="E35" s="452">
        <v>0.015197568389057751</v>
      </c>
      <c r="F35" s="452">
        <v>27.016523572619654</v>
      </c>
      <c r="G35" s="452">
        <v>10.227607181399</v>
      </c>
      <c r="H35" s="452">
        <v>55.76563000284166</v>
      </c>
      <c r="I35" s="452">
        <v>16.090390433070066</v>
      </c>
      <c r="J35" s="452">
        <v>4.528223861051761</v>
      </c>
      <c r="K35" s="452">
        <v>11.806119685892229</v>
      </c>
      <c r="L35" s="452"/>
      <c r="M35" s="452">
        <v>4.832935560859189</v>
      </c>
      <c r="N35" s="452">
        <v>27.974127974127978</v>
      </c>
      <c r="O35" s="455">
        <v>1.0150410630248223</v>
      </c>
      <c r="P35" s="456">
        <v>20.69263015665488</v>
      </c>
      <c r="Q35" s="1"/>
    </row>
    <row r="36" spans="2:17" ht="15" customHeight="1">
      <c r="B36" s="3"/>
      <c r="C36" s="91">
        <v>2005</v>
      </c>
      <c r="D36" s="452">
        <v>10.732240437158469</v>
      </c>
      <c r="E36" s="452">
        <v>0.08999550022498876</v>
      </c>
      <c r="F36" s="452">
        <v>27.82403330397887</v>
      </c>
      <c r="G36" s="452">
        <v>10.747317795042544</v>
      </c>
      <c r="H36" s="452">
        <v>56.59835800183765</v>
      </c>
      <c r="I36" s="452">
        <v>16.940756885278386</v>
      </c>
      <c r="J36" s="452">
        <v>4.53375569194219</v>
      </c>
      <c r="K36" s="452">
        <v>12.864268836965081</v>
      </c>
      <c r="L36" s="452"/>
      <c r="M36" s="452">
        <v>8.941920644048302</v>
      </c>
      <c r="N36" s="452">
        <v>26.07430617726052</v>
      </c>
      <c r="O36" s="455">
        <v>1.0131712259371835</v>
      </c>
      <c r="P36" s="456">
        <v>21.241905014251248</v>
      </c>
      <c r="Q36" s="1"/>
    </row>
    <row r="37" spans="2:17" ht="15" customHeight="1">
      <c r="B37" s="3"/>
      <c r="C37" s="91">
        <v>2006</v>
      </c>
      <c r="D37" s="452">
        <v>10.40907671489539</v>
      </c>
      <c r="E37" s="452">
        <v>2.138110372724646</v>
      </c>
      <c r="F37" s="452">
        <v>27.8074110252818</v>
      </c>
      <c r="G37" s="452">
        <v>12.200859534042072</v>
      </c>
      <c r="H37" s="452">
        <v>56.384286934956386</v>
      </c>
      <c r="I37" s="452">
        <v>17.511937277711187</v>
      </c>
      <c r="J37" s="452">
        <v>4.613254452766065</v>
      </c>
      <c r="K37" s="452">
        <v>13.106295149638802</v>
      </c>
      <c r="L37" s="452"/>
      <c r="M37" s="452">
        <v>12.428571428571429</v>
      </c>
      <c r="N37" s="452">
        <v>25.891650202765938</v>
      </c>
      <c r="O37" s="455">
        <v>1.9218912770797458</v>
      </c>
      <c r="P37" s="456">
        <v>21.641656571607374</v>
      </c>
      <c r="Q37" s="1"/>
    </row>
    <row r="38" spans="2:17" ht="15" customHeight="1">
      <c r="B38" s="3"/>
      <c r="C38" s="91">
        <v>2007</v>
      </c>
      <c r="D38" s="452">
        <v>10.249697946033026</v>
      </c>
      <c r="E38" s="452">
        <v>4.76949840533488</v>
      </c>
      <c r="F38" s="452">
        <v>27.711193709069764</v>
      </c>
      <c r="G38" s="452">
        <v>11.858901038568881</v>
      </c>
      <c r="H38" s="452">
        <v>58.80636456535145</v>
      </c>
      <c r="I38" s="452">
        <v>17.749954709233275</v>
      </c>
      <c r="J38" s="452">
        <v>4.90075961774075</v>
      </c>
      <c r="K38" s="452">
        <v>12.691246551291698</v>
      </c>
      <c r="L38" s="452"/>
      <c r="M38" s="452">
        <v>15.352038115404977</v>
      </c>
      <c r="N38" s="452">
        <v>27.04414774388461</v>
      </c>
      <c r="O38" s="455">
        <v>2.7745111717924695</v>
      </c>
      <c r="P38" s="456">
        <v>22.35736798047797</v>
      </c>
      <c r="Q38" s="1"/>
    </row>
    <row r="39" spans="2:17" ht="15" customHeight="1">
      <c r="B39" s="3"/>
      <c r="C39" s="91">
        <v>2008</v>
      </c>
      <c r="D39" s="452">
        <v>10.372008074593866</v>
      </c>
      <c r="E39" s="452">
        <v>3.7187835315214675</v>
      </c>
      <c r="F39" s="452">
        <v>28.830376118222702</v>
      </c>
      <c r="G39" s="452">
        <v>22.87538070007092</v>
      </c>
      <c r="H39" s="452">
        <v>60.69666405498748</v>
      </c>
      <c r="I39" s="452">
        <v>17.92738580832761</v>
      </c>
      <c r="J39" s="452">
        <v>5.315431304027957</v>
      </c>
      <c r="K39" s="452">
        <v>12.461428910515073</v>
      </c>
      <c r="L39" s="452">
        <v>1.6786570743405276</v>
      </c>
      <c r="M39" s="452">
        <v>15.350444225074039</v>
      </c>
      <c r="N39" s="452">
        <v>26.954954954954957</v>
      </c>
      <c r="O39" s="455">
        <v>1.873514207011056</v>
      </c>
      <c r="P39" s="456">
        <v>23.774461440459092</v>
      </c>
      <c r="Q39" s="1"/>
    </row>
    <row r="40" spans="3:17" ht="15.75" customHeight="1">
      <c r="C40" s="92">
        <v>2009</v>
      </c>
      <c r="D40" s="457">
        <v>10.175505898149035</v>
      </c>
      <c r="E40" s="457">
        <v>3.6136056095460694</v>
      </c>
      <c r="F40" s="457">
        <v>27.370553695346246</v>
      </c>
      <c r="G40" s="457">
        <v>49.72619258580524</v>
      </c>
      <c r="H40" s="457">
        <v>60.306976744186045</v>
      </c>
      <c r="I40" s="457">
        <v>22.29090607368072</v>
      </c>
      <c r="J40" s="457">
        <v>5.571454667234976</v>
      </c>
      <c r="K40" s="457">
        <v>12.740847784200385</v>
      </c>
      <c r="L40" s="457">
        <v>1.9047619047619049</v>
      </c>
      <c r="M40" s="457">
        <v>15.583075335397318</v>
      </c>
      <c r="N40" s="457">
        <v>26.991150442477874</v>
      </c>
      <c r="O40" s="458">
        <v>1.9217284184592058</v>
      </c>
      <c r="P40" s="459">
        <v>25.711232968469293</v>
      </c>
      <c r="Q40" s="1"/>
    </row>
    <row r="41" spans="3:17" ht="15.75" customHeight="1">
      <c r="C41" s="485" t="s">
        <v>132</v>
      </c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1"/>
    </row>
    <row r="42" ht="13.5" customHeight="1"/>
  </sheetData>
  <mergeCells count="7">
    <mergeCell ref="C28:P28"/>
    <mergeCell ref="C29:P29"/>
    <mergeCell ref="C41:P41"/>
    <mergeCell ref="C1:D1"/>
    <mergeCell ref="C2:Q2"/>
    <mergeCell ref="C3:P3"/>
    <mergeCell ref="C26:P26"/>
  </mergeCells>
  <printOptions horizontalCentered="1"/>
  <pageMargins left="0.6692913385826772" right="0.4724409448818898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Prottlu</cp:lastModifiedBy>
  <cp:lastPrinted>2010-05-05T11:20:34Z</cp:lastPrinted>
  <dcterms:created xsi:type="dcterms:W3CDTF">2003-09-05T14:33:05Z</dcterms:created>
  <dcterms:modified xsi:type="dcterms:W3CDTF">2011-06-01T13:53:08Z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