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U:\02. Economic assessment\4. Statistics\02 Pocket book\Pocketbook 2023 work files\To publish\"/>
    </mc:Choice>
  </mc:AlternateContent>
  <xr:revisionPtr revIDLastSave="0" documentId="13_ncr:1_{737ACF67-F214-446A-A234-A6D7A5F0FF80}" xr6:coauthVersionLast="47" xr6:coauthVersionMax="47" xr10:uidLastSave="{00000000-0000-0000-0000-000000000000}"/>
  <bookViews>
    <workbookView xWindow="-120" yWindow="-120" windowWidth="29040" windowHeight="15840" tabRatio="1000" xr2:uid="{00000000-000D-0000-FFFF-FFFF00000000}"/>
  </bookViews>
  <sheets>
    <sheet name="T2.2" sheetId="58" r:id="rId1"/>
    <sheet name="freight_graph" sheetId="59" r:id="rId2"/>
    <sheet name="perf_mode_tkm" sheetId="60" r:id="rId3"/>
    <sheet name="perf_land _tkm" sheetId="144" r:id="rId4"/>
    <sheet name="road_by_nat" sheetId="63" r:id="rId5"/>
    <sheet name="road_by_int" sheetId="64" r:id="rId6"/>
    <sheet name="road_by_tot" sheetId="65" r:id="rId7"/>
    <sheet name="road_ter" sheetId="146" r:id="rId8"/>
    <sheet name="rail_tkm" sheetId="66" r:id="rId9"/>
    <sheet name="iww" sheetId="67" r:id="rId10"/>
    <sheet name="pipeline" sheetId="68" r:id="rId11"/>
    <sheet name="usa_goods" sheetId="145"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freight_graph!#REF!</definedName>
    <definedName name="_xlnm.Print_Area" localSheetId="9">iww!$B$1:$AL$50</definedName>
    <definedName name="_xlnm.Print_Area" localSheetId="3">'perf_land _tkm'!#REF!</definedName>
    <definedName name="_xlnm.Print_Area" localSheetId="2">perf_mode_tkm!$B$1:$J$74</definedName>
    <definedName name="_xlnm.Print_Area" localSheetId="10">pipeline!$B$1:$AL$51</definedName>
    <definedName name="_xlnm.Print_Area" localSheetId="8">rail_tkm!$B$2:$AL$47</definedName>
    <definedName name="_xlnm.Print_Area" localSheetId="5">road_by_int!$B$1:$AF$51</definedName>
    <definedName name="_xlnm.Print_Area" localSheetId="4">road_by_nat!$B$1:$AF$48</definedName>
    <definedName name="_xlnm.Print_Area" localSheetId="6">road_by_tot!$B$1:$AE$53</definedName>
    <definedName name="_xlnm.Print_Area" localSheetId="7">road_ter!$B$1:$U$43</definedName>
    <definedName name="_xlnm.Print_Area" localSheetId="0">'T2.2'!$B$1:$E$27</definedName>
    <definedName name="_xlnm.Print_Area" localSheetId="11">usa_goods!$B$1:$G$99</definedName>
    <definedName name="Z_534C28F1_E90D_11D3_A4B3_0050041AE0D6_.wvu.Cols" localSheetId="11" hidden="1">usa_goods!#REF!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8" i="63" l="1"/>
  <c r="AE9" i="63"/>
  <c r="AE10" i="63"/>
  <c r="AE11" i="63"/>
  <c r="AE12" i="63"/>
  <c r="AE13" i="63"/>
  <c r="AE14" i="63"/>
  <c r="AE15" i="63"/>
  <c r="AE16" i="63"/>
  <c r="AE17" i="63"/>
  <c r="AE18" i="63"/>
  <c r="AE19" i="63"/>
  <c r="AE20" i="63"/>
  <c r="AE21" i="63"/>
  <c r="AE22" i="63"/>
  <c r="AE23" i="63"/>
  <c r="AE24" i="63"/>
  <c r="AE25" i="63"/>
  <c r="AE26" i="63"/>
  <c r="AE27" i="63"/>
  <c r="AE28" i="63"/>
  <c r="AE29" i="63"/>
  <c r="AE30" i="63"/>
  <c r="AE31" i="63"/>
  <c r="AE32" i="63"/>
  <c r="AE33" i="63"/>
  <c r="AE34" i="63"/>
  <c r="AE36" i="63"/>
  <c r="AE37" i="63"/>
  <c r="AE41" i="63"/>
  <c r="AI7" i="66"/>
  <c r="AE8" i="64" l="1"/>
  <c r="AE9" i="64"/>
  <c r="AE10" i="64"/>
  <c r="AE11" i="64"/>
  <c r="AE12" i="64"/>
  <c r="AE13" i="64"/>
  <c r="AE14" i="64"/>
  <c r="AE15" i="64"/>
  <c r="AE16" i="64"/>
  <c r="AE17" i="64"/>
  <c r="AE18" i="64"/>
  <c r="AE19" i="64"/>
  <c r="AE20" i="64"/>
  <c r="AE21" i="64"/>
  <c r="AE22" i="64"/>
  <c r="AE23" i="64"/>
  <c r="AE24" i="64"/>
  <c r="AE25" i="64"/>
  <c r="AE26" i="64"/>
  <c r="AE27" i="64"/>
  <c r="AE28" i="64"/>
  <c r="AE29" i="64"/>
  <c r="AE30" i="64"/>
  <c r="AE31" i="64"/>
  <c r="AE32" i="64"/>
  <c r="AE33" i="64"/>
  <c r="AE34" i="64"/>
  <c r="AE36" i="64"/>
  <c r="AE37" i="64"/>
  <c r="AE41" i="64"/>
  <c r="C35" i="60"/>
  <c r="F35" i="144"/>
  <c r="E35" i="144"/>
  <c r="D35" i="144"/>
  <c r="K25" i="144"/>
  <c r="AK39" i="67"/>
  <c r="Z39" i="68"/>
  <c r="AA39" i="68"/>
  <c r="AB39" i="68"/>
  <c r="AC39" i="68"/>
  <c r="N9" i="144"/>
  <c r="N10" i="144"/>
  <c r="N11" i="144"/>
  <c r="N12" i="144"/>
  <c r="N13" i="144"/>
  <c r="N14" i="144"/>
  <c r="N16" i="144"/>
  <c r="N17" i="144"/>
  <c r="N18" i="144"/>
  <c r="N19" i="144"/>
  <c r="N20" i="144"/>
  <c r="N21" i="144"/>
  <c r="N22" i="144"/>
  <c r="N23" i="144"/>
  <c r="N24" i="144"/>
  <c r="N25" i="144"/>
  <c r="N27" i="144"/>
  <c r="N28" i="144"/>
  <c r="N29" i="144"/>
  <c r="N30" i="144"/>
  <c r="N31" i="144"/>
  <c r="N33" i="144"/>
  <c r="N34" i="144"/>
  <c r="N35" i="144"/>
  <c r="M8" i="144"/>
  <c r="M9" i="144"/>
  <c r="M10" i="144"/>
  <c r="M11" i="144"/>
  <c r="M12" i="144"/>
  <c r="M13" i="144"/>
  <c r="M14" i="144"/>
  <c r="M15" i="144"/>
  <c r="M16" i="144"/>
  <c r="M17" i="144"/>
  <c r="M18" i="144"/>
  <c r="M19" i="144"/>
  <c r="M20" i="144"/>
  <c r="M21" i="144"/>
  <c r="M22" i="144"/>
  <c r="M23" i="144"/>
  <c r="M24" i="144"/>
  <c r="M25" i="144"/>
  <c r="M26" i="144"/>
  <c r="M27" i="144"/>
  <c r="M28" i="144"/>
  <c r="M29" i="144"/>
  <c r="M30" i="144"/>
  <c r="M31" i="144"/>
  <c r="M32" i="144"/>
  <c r="M33" i="144"/>
  <c r="M34" i="144"/>
  <c r="M35" i="144"/>
  <c r="M36" i="144"/>
  <c r="L9" i="144"/>
  <c r="L10" i="144"/>
  <c r="L11" i="144"/>
  <c r="L12" i="144"/>
  <c r="L13" i="144"/>
  <c r="L14" i="144"/>
  <c r="L15" i="144"/>
  <c r="L16" i="144"/>
  <c r="L17" i="144"/>
  <c r="L18" i="144"/>
  <c r="L19" i="144"/>
  <c r="L20" i="144"/>
  <c r="L21" i="144"/>
  <c r="L22" i="144"/>
  <c r="L23" i="144"/>
  <c r="L24" i="144"/>
  <c r="L25" i="144"/>
  <c r="L26" i="144"/>
  <c r="L27" i="144"/>
  <c r="L28" i="144"/>
  <c r="L29" i="144"/>
  <c r="L30" i="144"/>
  <c r="L31" i="144"/>
  <c r="L32" i="144"/>
  <c r="L33" i="144"/>
  <c r="L34" i="144"/>
  <c r="L35" i="144"/>
  <c r="L36" i="144"/>
  <c r="L37" i="144"/>
  <c r="K8" i="144"/>
  <c r="K9" i="144"/>
  <c r="K10" i="144"/>
  <c r="K11" i="144"/>
  <c r="K12" i="144"/>
  <c r="K13" i="144"/>
  <c r="K14" i="144"/>
  <c r="K15" i="144"/>
  <c r="K16" i="144"/>
  <c r="K17" i="144"/>
  <c r="K18" i="144"/>
  <c r="K19" i="144"/>
  <c r="K20" i="144"/>
  <c r="K21" i="144"/>
  <c r="K22" i="144"/>
  <c r="K23" i="144"/>
  <c r="K24" i="144"/>
  <c r="K26" i="144"/>
  <c r="K27" i="144"/>
  <c r="K28" i="144"/>
  <c r="K29" i="144"/>
  <c r="K30" i="144"/>
  <c r="K31" i="144"/>
  <c r="K32" i="144"/>
  <c r="K33" i="144"/>
  <c r="K34" i="144"/>
  <c r="K36" i="144"/>
  <c r="K37" i="144"/>
  <c r="F70" i="145"/>
  <c r="F66" i="145"/>
  <c r="E38" i="145"/>
  <c r="D38" i="145"/>
  <c r="C38" i="145"/>
  <c r="C66" i="145" s="1"/>
  <c r="C37" i="145"/>
  <c r="G37" i="145" s="1"/>
  <c r="C36" i="145"/>
  <c r="G36" i="145" s="1"/>
  <c r="C35" i="145"/>
  <c r="G35" i="145" s="1"/>
  <c r="C34" i="145"/>
  <c r="G34" i="145" s="1"/>
  <c r="D39" i="60"/>
  <c r="E39" i="60"/>
  <c r="F39" i="60"/>
  <c r="G39" i="60"/>
  <c r="H39" i="60"/>
  <c r="C39" i="60"/>
  <c r="D38" i="60"/>
  <c r="E38" i="60"/>
  <c r="F38" i="60"/>
  <c r="G38" i="60"/>
  <c r="H38" i="60"/>
  <c r="C38" i="60"/>
  <c r="D37" i="60"/>
  <c r="E37" i="60"/>
  <c r="F37" i="60"/>
  <c r="G37" i="60"/>
  <c r="H37" i="60"/>
  <c r="C37" i="60"/>
  <c r="D36" i="60"/>
  <c r="E36" i="60"/>
  <c r="F36" i="60"/>
  <c r="G36" i="60"/>
  <c r="H36" i="60"/>
  <c r="C36" i="60"/>
  <c r="D35" i="60"/>
  <c r="E35" i="60"/>
  <c r="F35" i="60"/>
  <c r="G35" i="60"/>
  <c r="H35" i="60"/>
  <c r="I9" i="60"/>
  <c r="I10" i="60"/>
  <c r="I11" i="60"/>
  <c r="I12" i="60"/>
  <c r="I13" i="60"/>
  <c r="I14" i="60"/>
  <c r="I15" i="60"/>
  <c r="I16" i="60"/>
  <c r="I17" i="60"/>
  <c r="I18" i="60"/>
  <c r="I19" i="60"/>
  <c r="I20" i="60"/>
  <c r="I21" i="60"/>
  <c r="I22" i="60"/>
  <c r="I23" i="60"/>
  <c r="I24" i="60"/>
  <c r="I25" i="60"/>
  <c r="I26" i="60"/>
  <c r="I27" i="60"/>
  <c r="I28" i="60"/>
  <c r="I29" i="60"/>
  <c r="I30" i="60"/>
  <c r="I31" i="60"/>
  <c r="I32" i="60"/>
  <c r="I33" i="60"/>
  <c r="I34" i="60"/>
  <c r="C73" i="60" s="1"/>
  <c r="Z38" i="59"/>
  <c r="AJ44" i="67"/>
  <c r="AK44" i="67" s="1"/>
  <c r="AG10" i="68"/>
  <c r="I39" i="60" l="1"/>
  <c r="F73" i="60"/>
  <c r="G73" i="60"/>
  <c r="I38" i="60"/>
  <c r="E73" i="60"/>
  <c r="D73" i="60"/>
  <c r="H73" i="60"/>
  <c r="I37" i="60"/>
  <c r="O23" i="144"/>
  <c r="O9" i="144"/>
  <c r="O25" i="144"/>
  <c r="O17" i="144"/>
  <c r="O14" i="144"/>
  <c r="O22" i="144"/>
  <c r="O30" i="144"/>
  <c r="O33" i="144"/>
  <c r="O31" i="144"/>
  <c r="O16" i="144"/>
  <c r="O24" i="144"/>
  <c r="O12" i="144"/>
  <c r="O28" i="144"/>
  <c r="O20" i="144"/>
  <c r="O19" i="144"/>
  <c r="O27" i="144"/>
  <c r="O11" i="144"/>
  <c r="O34" i="144"/>
  <c r="O18" i="144"/>
  <c r="O10" i="144"/>
  <c r="O29" i="144"/>
  <c r="O21" i="144"/>
  <c r="O13" i="144"/>
  <c r="E70" i="145"/>
  <c r="D70" i="145"/>
  <c r="E66" i="145"/>
  <c r="G38" i="145"/>
  <c r="D66" i="145"/>
  <c r="C70" i="145"/>
  <c r="AJ45" i="67"/>
  <c r="AJ36" i="67"/>
  <c r="M37" i="144" s="1"/>
  <c r="AJ40" i="68"/>
  <c r="AI40" i="68"/>
  <c r="F107" i="145" l="1"/>
  <c r="G66" i="145"/>
  <c r="E107" i="145"/>
  <c r="D107" i="145"/>
  <c r="C107" i="145"/>
  <c r="AI45" i="67"/>
  <c r="AK45" i="67" s="1"/>
  <c r="AJ42" i="67"/>
  <c r="AK8" i="67"/>
  <c r="AK9" i="67"/>
  <c r="AK11" i="67"/>
  <c r="AK16" i="67"/>
  <c r="AK17" i="67"/>
  <c r="AK18" i="67"/>
  <c r="AK22" i="67"/>
  <c r="AK23" i="67"/>
  <c r="AK25" i="67"/>
  <c r="AK26" i="67"/>
  <c r="AK27" i="67"/>
  <c r="AK29" i="67"/>
  <c r="AK31" i="67"/>
  <c r="AK32" i="67"/>
  <c r="AK33" i="67"/>
  <c r="AK7" i="67"/>
  <c r="AJ6" i="67"/>
  <c r="AC39" i="64"/>
  <c r="AF39" i="64" s="1"/>
  <c r="AF9" i="64"/>
  <c r="AF10" i="64"/>
  <c r="AF11" i="64"/>
  <c r="AF12" i="64"/>
  <c r="AF13" i="64"/>
  <c r="AF14" i="64"/>
  <c r="AF15" i="64"/>
  <c r="AF16" i="64"/>
  <c r="AF17" i="64"/>
  <c r="AF18" i="64"/>
  <c r="AF19" i="64"/>
  <c r="AF20" i="64"/>
  <c r="AF21" i="64"/>
  <c r="AF22" i="64"/>
  <c r="AF23" i="64"/>
  <c r="AF24" i="64"/>
  <c r="AF25" i="64"/>
  <c r="AF26" i="64"/>
  <c r="AF27" i="64"/>
  <c r="AF28" i="64"/>
  <c r="AF29" i="64"/>
  <c r="AF30" i="64"/>
  <c r="AF31" i="64"/>
  <c r="AF32" i="64"/>
  <c r="AF33" i="64"/>
  <c r="AF34" i="64"/>
  <c r="AF8" i="64"/>
  <c r="AC7" i="64"/>
  <c r="AC41" i="59" l="1"/>
  <c r="M7" i="144"/>
  <c r="T37" i="146"/>
  <c r="T36" i="146"/>
  <c r="T9" i="146"/>
  <c r="T10" i="146"/>
  <c r="T11" i="146"/>
  <c r="T12" i="146"/>
  <c r="T13" i="146"/>
  <c r="T14" i="146"/>
  <c r="T15" i="146"/>
  <c r="T16" i="146"/>
  <c r="T17" i="146"/>
  <c r="T18" i="146"/>
  <c r="T19" i="146"/>
  <c r="T20" i="146"/>
  <c r="T21" i="146"/>
  <c r="T22" i="146"/>
  <c r="T23" i="146"/>
  <c r="T24" i="146"/>
  <c r="T26" i="146"/>
  <c r="T27" i="146"/>
  <c r="T28" i="146"/>
  <c r="T29" i="146"/>
  <c r="T30" i="146"/>
  <c r="T31" i="146"/>
  <c r="T32" i="146"/>
  <c r="T33" i="146"/>
  <c r="T34" i="146"/>
  <c r="T8" i="146"/>
  <c r="R7" i="146"/>
  <c r="S7" i="146"/>
  <c r="Q7" i="146"/>
  <c r="AD36" i="65"/>
  <c r="AD37" i="65"/>
  <c r="AC45" i="65"/>
  <c r="AD45" i="65" s="1"/>
  <c r="AD9" i="65"/>
  <c r="AD10" i="65"/>
  <c r="AD11" i="65"/>
  <c r="AD12" i="65"/>
  <c r="AD13" i="65"/>
  <c r="AD14" i="65"/>
  <c r="AD15" i="65"/>
  <c r="AD16" i="65"/>
  <c r="AD17" i="65"/>
  <c r="AD18" i="65"/>
  <c r="AD19" i="65"/>
  <c r="AD20" i="65"/>
  <c r="AD21" i="65"/>
  <c r="AD22" i="65"/>
  <c r="AD23" i="65"/>
  <c r="AD24" i="65"/>
  <c r="AD25" i="65"/>
  <c r="AD26" i="65"/>
  <c r="AD27" i="65"/>
  <c r="AD28" i="65"/>
  <c r="AD29" i="65"/>
  <c r="AD30" i="65"/>
  <c r="AD31" i="65"/>
  <c r="AD32" i="65"/>
  <c r="AD33" i="65"/>
  <c r="AD34" i="65"/>
  <c r="AD40" i="65"/>
  <c r="AD8" i="65"/>
  <c r="AC39" i="63"/>
  <c r="AF39" i="63" s="1"/>
  <c r="AC39" i="65"/>
  <c r="AC38" i="65"/>
  <c r="AD38" i="65" s="1"/>
  <c r="AC7" i="65"/>
  <c r="AB35" i="65"/>
  <c r="AA35" i="65"/>
  <c r="AC44" i="63"/>
  <c r="AB46" i="65"/>
  <c r="AB46" i="64"/>
  <c r="AF8" i="63"/>
  <c r="AF9" i="63"/>
  <c r="AF10" i="63"/>
  <c r="AF11" i="63"/>
  <c r="AF12" i="63"/>
  <c r="AF13" i="63"/>
  <c r="AF14" i="63"/>
  <c r="AF15" i="63"/>
  <c r="AF16" i="63"/>
  <c r="AF17" i="63"/>
  <c r="AF18" i="63"/>
  <c r="AF19" i="63"/>
  <c r="AF20" i="63"/>
  <c r="AF21" i="63"/>
  <c r="AF22" i="63"/>
  <c r="AF23" i="63"/>
  <c r="AF24" i="63"/>
  <c r="AF25" i="63"/>
  <c r="AF26" i="63"/>
  <c r="AF27" i="63"/>
  <c r="AF28" i="63"/>
  <c r="AF29" i="63"/>
  <c r="AF30" i="63"/>
  <c r="AF31" i="63"/>
  <c r="AF32" i="63"/>
  <c r="AF33" i="63"/>
  <c r="AF34" i="63"/>
  <c r="AF36" i="63"/>
  <c r="AF37" i="63"/>
  <c r="AC7" i="63"/>
  <c r="AJ45" i="66"/>
  <c r="AK45" i="66" s="1"/>
  <c r="AJ46" i="66"/>
  <c r="AK46" i="66" s="1"/>
  <c r="AJ8" i="66"/>
  <c r="AH7" i="66"/>
  <c r="AJ39" i="66"/>
  <c r="AK9" i="66"/>
  <c r="AK10" i="66"/>
  <c r="AK11" i="66"/>
  <c r="AK12" i="66"/>
  <c r="AK13" i="66"/>
  <c r="AK14" i="66"/>
  <c r="AK15" i="66"/>
  <c r="AK16" i="66"/>
  <c r="AK17" i="66"/>
  <c r="AK18" i="66"/>
  <c r="AK19" i="66"/>
  <c r="AK21" i="66"/>
  <c r="AK22" i="66"/>
  <c r="AK23" i="66"/>
  <c r="AK24" i="66"/>
  <c r="AK26" i="66"/>
  <c r="AK27" i="66"/>
  <c r="AK28" i="66"/>
  <c r="AK29" i="66"/>
  <c r="AK30" i="66"/>
  <c r="AK31" i="66"/>
  <c r="AK32" i="66"/>
  <c r="AK33" i="66"/>
  <c r="AK34" i="66"/>
  <c r="AK38" i="66"/>
  <c r="AK40" i="66"/>
  <c r="AK41" i="66"/>
  <c r="AK44" i="66"/>
  <c r="AK36" i="66"/>
  <c r="AK37" i="66"/>
  <c r="L8" i="144" l="1"/>
  <c r="AJ7" i="66"/>
  <c r="AK7" i="66" s="1"/>
  <c r="AE39" i="63"/>
  <c r="AE39" i="64"/>
  <c r="AE7" i="64"/>
  <c r="AE7" i="63"/>
  <c r="AK39" i="66"/>
  <c r="AA40" i="59"/>
  <c r="AB40" i="59"/>
  <c r="AA38" i="59"/>
  <c r="AC38" i="59"/>
  <c r="K7" i="144"/>
  <c r="AB38" i="59"/>
  <c r="T7" i="146"/>
  <c r="AD39" i="65"/>
  <c r="AK8" i="66"/>
  <c r="AJ44" i="68"/>
  <c r="AK44" i="68" s="1"/>
  <c r="L7" i="144" l="1"/>
  <c r="AC40" i="59"/>
  <c r="AJ36" i="68"/>
  <c r="AJ25" i="68"/>
  <c r="AJ35" i="68"/>
  <c r="N36" i="144" s="1"/>
  <c r="N26" i="144" l="1"/>
  <c r="O26" i="144" s="1"/>
  <c r="N37" i="144"/>
  <c r="O37" i="144" s="1"/>
  <c r="AA6" i="68"/>
  <c r="Z6" i="68"/>
  <c r="C7" i="146"/>
  <c r="D7" i="65"/>
  <c r="E7" i="65"/>
  <c r="F7" i="65"/>
  <c r="G7" i="65"/>
  <c r="H7" i="65"/>
  <c r="I7" i="65"/>
  <c r="J7" i="65"/>
  <c r="K7" i="65"/>
  <c r="L7" i="65"/>
  <c r="M7" i="65"/>
  <c r="N7" i="65"/>
  <c r="O7" i="65"/>
  <c r="P7" i="65"/>
  <c r="Q7" i="65"/>
  <c r="R7" i="65"/>
  <c r="S7" i="65"/>
  <c r="T7" i="65"/>
  <c r="U7" i="65"/>
  <c r="V7" i="65"/>
  <c r="W7" i="65"/>
  <c r="X7" i="65"/>
  <c r="Y7" i="65"/>
  <c r="Z7" i="65"/>
  <c r="AA7" i="65"/>
  <c r="AB7" i="65"/>
  <c r="AD7" i="65" s="1"/>
  <c r="H7" i="64"/>
  <c r="AF36" i="64"/>
  <c r="AF37" i="64"/>
  <c r="H7" i="63"/>
  <c r="AC6" i="67"/>
  <c r="AD6" i="67"/>
  <c r="AE6" i="67"/>
  <c r="AH6" i="67"/>
  <c r="AI6" i="67"/>
  <c r="S7" i="66"/>
  <c r="T7" i="66"/>
  <c r="U7" i="66"/>
  <c r="V7" i="66"/>
  <c r="W7" i="66"/>
  <c r="X7" i="66"/>
  <c r="Y7" i="66"/>
  <c r="Z7" i="66"/>
  <c r="AB7" i="66"/>
  <c r="AC7" i="66"/>
  <c r="AD7" i="66"/>
  <c r="AE7" i="66"/>
  <c r="AF7" i="66"/>
  <c r="AG7" i="66"/>
  <c r="W41" i="59" l="1"/>
  <c r="V41" i="59"/>
  <c r="AK6" i="67"/>
  <c r="AB41" i="59"/>
  <c r="AA41" i="59"/>
  <c r="X41" i="59"/>
  <c r="X40" i="59"/>
  <c r="Z40" i="59"/>
  <c r="Y40" i="59"/>
  <c r="W40" i="59"/>
  <c r="M38" i="59"/>
  <c r="D72" i="60"/>
  <c r="D42" i="59"/>
  <c r="E42" i="59"/>
  <c r="F42" i="59"/>
  <c r="G42" i="59"/>
  <c r="H42" i="59"/>
  <c r="I42" i="59"/>
  <c r="J42" i="59"/>
  <c r="K42" i="59"/>
  <c r="L42" i="59"/>
  <c r="M42" i="59"/>
  <c r="N42" i="59"/>
  <c r="O42" i="59"/>
  <c r="P42" i="59"/>
  <c r="Q42" i="59"/>
  <c r="R42" i="59"/>
  <c r="S42" i="59"/>
  <c r="C42" i="59"/>
  <c r="S41" i="59"/>
  <c r="T41" i="59"/>
  <c r="U41" i="59"/>
  <c r="D40" i="59"/>
  <c r="E40" i="59"/>
  <c r="F40" i="59"/>
  <c r="G40" i="59"/>
  <c r="H40" i="59"/>
  <c r="I40" i="59"/>
  <c r="J40" i="59"/>
  <c r="K40" i="59"/>
  <c r="L40" i="59"/>
  <c r="M40" i="59"/>
  <c r="N40" i="59"/>
  <c r="O40" i="59"/>
  <c r="P40" i="59"/>
  <c r="Q40" i="59"/>
  <c r="R40" i="59"/>
  <c r="S40" i="59"/>
  <c r="U40" i="59"/>
  <c r="V40" i="59"/>
  <c r="C72" i="60" l="1"/>
  <c r="G72" i="60"/>
  <c r="F72" i="60"/>
  <c r="E72" i="60"/>
  <c r="H72" i="60"/>
  <c r="F65" i="145" l="1"/>
  <c r="E65" i="145"/>
  <c r="D65" i="145"/>
  <c r="C65" i="145"/>
  <c r="G7" i="145"/>
  <c r="AI35" i="68" l="1"/>
  <c r="AI10" i="68"/>
  <c r="AI25" i="68"/>
  <c r="AK40" i="68"/>
  <c r="AB41" i="64"/>
  <c r="AB41" i="63"/>
  <c r="AF41" i="63" s="1"/>
  <c r="AK25" i="68" l="1"/>
  <c r="AK10" i="68"/>
  <c r="AK35" i="68"/>
  <c r="AI36" i="68"/>
  <c r="AK36" i="68" s="1"/>
  <c r="AI43" i="68"/>
  <c r="AK43" i="68" s="1"/>
  <c r="AI42" i="68"/>
  <c r="AK42" i="68" s="1"/>
  <c r="AI29" i="68"/>
  <c r="AI28" i="68"/>
  <c r="AI27" i="68"/>
  <c r="AI26" i="68"/>
  <c r="AI23" i="68"/>
  <c r="AI21" i="68"/>
  <c r="AI20" i="68"/>
  <c r="AI18" i="68"/>
  <c r="AI17" i="68"/>
  <c r="AI16" i="68"/>
  <c r="AI15" i="68"/>
  <c r="AI11" i="68"/>
  <c r="AI9" i="68"/>
  <c r="AI8" i="68"/>
  <c r="AK26" i="68" l="1"/>
  <c r="AK9" i="68"/>
  <c r="AK23" i="68"/>
  <c r="AK15" i="68"/>
  <c r="AK27" i="68"/>
  <c r="AK16" i="68"/>
  <c r="AK17" i="68"/>
  <c r="AK29" i="68"/>
  <c r="AK18" i="68"/>
  <c r="AK20" i="68"/>
  <c r="AK11" i="68"/>
  <c r="AK28" i="68"/>
  <c r="AK8" i="68"/>
  <c r="AK21" i="68"/>
  <c r="AB41" i="65" l="1"/>
  <c r="AD41" i="65" s="1"/>
  <c r="AB43" i="65"/>
  <c r="AD43" i="65" s="1"/>
  <c r="AI36" i="67"/>
  <c r="AK36" i="67" s="1"/>
  <c r="AI42" i="67"/>
  <c r="AK42" i="67" s="1"/>
  <c r="AI43" i="66"/>
  <c r="AK43" i="66" s="1"/>
  <c r="AH43" i="66"/>
  <c r="AG43" i="66"/>
  <c r="AI42" i="66"/>
  <c r="AK42" i="66" s="1"/>
  <c r="AA41" i="65"/>
  <c r="AB44" i="65"/>
  <c r="AD44" i="65" s="1"/>
  <c r="AA35" i="63"/>
  <c r="Z35" i="65"/>
  <c r="X7" i="64"/>
  <c r="Y7" i="64"/>
  <c r="Z7" i="64"/>
  <c r="AA7" i="64"/>
  <c r="AB7" i="64"/>
  <c r="W7" i="64"/>
  <c r="AF7" i="64" l="1"/>
  <c r="AC46" i="64" s="1"/>
  <c r="AF46" i="64" s="1"/>
  <c r="Z35" i="63"/>
  <c r="AC35" i="65"/>
  <c r="AB44" i="63"/>
  <c r="AF44" i="63" s="1"/>
  <c r="C106" i="145"/>
  <c r="D106" i="145"/>
  <c r="E106" i="145"/>
  <c r="F106" i="145"/>
  <c r="X7" i="63"/>
  <c r="Y7" i="63"/>
  <c r="Z7" i="63"/>
  <c r="AA7" i="63"/>
  <c r="AB7" i="63"/>
  <c r="AF7" i="63" s="1"/>
  <c r="AC46" i="63" s="1"/>
  <c r="W7" i="63"/>
  <c r="AD35" i="65" l="1"/>
  <c r="K35" i="144"/>
  <c r="O35" i="144" s="1"/>
  <c r="AC46" i="65"/>
  <c r="AF46" i="63"/>
  <c r="AC35" i="63"/>
  <c r="F58" i="145"/>
  <c r="F59" i="145"/>
  <c r="F60" i="145"/>
  <c r="F61" i="145"/>
  <c r="F62" i="145"/>
  <c r="E58" i="145"/>
  <c r="E59" i="145"/>
  <c r="E60" i="145"/>
  <c r="E61" i="145"/>
  <c r="E62" i="145"/>
  <c r="E63" i="145"/>
  <c r="D58" i="145"/>
  <c r="D59" i="145"/>
  <c r="D60" i="145"/>
  <c r="D61" i="145"/>
  <c r="D62" i="145"/>
  <c r="D63" i="145"/>
  <c r="C60" i="145"/>
  <c r="C61" i="145"/>
  <c r="C62" i="145"/>
  <c r="C63" i="145"/>
  <c r="C64" i="145"/>
  <c r="AD46" i="65" l="1"/>
  <c r="AE46" i="63"/>
  <c r="AE46" i="64"/>
  <c r="E64" i="145"/>
  <c r="D64" i="145"/>
  <c r="F7" i="146"/>
  <c r="G7" i="146"/>
  <c r="H7" i="146"/>
  <c r="I7" i="146"/>
  <c r="J7" i="146"/>
  <c r="K7" i="146"/>
  <c r="L7" i="146"/>
  <c r="M7" i="146"/>
  <c r="N7" i="146"/>
  <c r="O7" i="146"/>
  <c r="E7" i="146"/>
  <c r="D7" i="146"/>
  <c r="AF10" i="68"/>
  <c r="AF6" i="68" s="1"/>
  <c r="AH10" i="68"/>
  <c r="Y42" i="59" l="1"/>
  <c r="Y38" i="59"/>
  <c r="W38" i="59"/>
  <c r="X38" i="59"/>
  <c r="T38" i="59"/>
  <c r="O38" i="59"/>
  <c r="R38" i="59"/>
  <c r="N38" i="59"/>
  <c r="Q38" i="59"/>
  <c r="V38" i="59"/>
  <c r="U38" i="59"/>
  <c r="S38" i="59"/>
  <c r="S44" i="59" s="1"/>
  <c r="P38" i="59"/>
  <c r="AH36" i="67" l="1"/>
  <c r="AG36" i="67"/>
  <c r="AH42" i="67"/>
  <c r="AG42" i="68"/>
  <c r="AG35" i="68"/>
  <c r="AH31" i="68"/>
  <c r="AJ31" i="68" l="1"/>
  <c r="F63" i="145"/>
  <c r="AH40" i="68"/>
  <c r="AH35" i="68"/>
  <c r="AF35" i="68"/>
  <c r="AH43" i="68"/>
  <c r="AH42" i="68"/>
  <c r="AH29" i="68"/>
  <c r="AH25" i="68"/>
  <c r="AG14" i="68"/>
  <c r="AH36" i="68"/>
  <c r="AH28" i="68"/>
  <c r="AH27" i="68"/>
  <c r="AH26" i="68"/>
  <c r="AH23" i="68"/>
  <c r="AH21" i="68"/>
  <c r="AH20" i="68"/>
  <c r="AH18" i="68"/>
  <c r="AH17" i="68"/>
  <c r="AH16" i="68"/>
  <c r="AH15" i="68"/>
  <c r="AH14" i="68"/>
  <c r="AH11" i="68"/>
  <c r="AH9" i="68"/>
  <c r="AH8" i="68"/>
  <c r="Z43" i="65"/>
  <c r="AA41" i="64"/>
  <c r="AF41" i="64" s="1"/>
  <c r="N32" i="144" l="1"/>
  <c r="O32" i="144" s="1"/>
  <c r="AK31" i="68"/>
  <c r="AI14" i="68"/>
  <c r="F64" i="145"/>
  <c r="F104" i="145"/>
  <c r="E104" i="145"/>
  <c r="C104" i="145"/>
  <c r="D104" i="145"/>
  <c r="AA44" i="65"/>
  <c r="Y35" i="65"/>
  <c r="X35" i="65"/>
  <c r="W35" i="65"/>
  <c r="AH42" i="66"/>
  <c r="AJ14" i="68" l="1"/>
  <c r="F105" i="145"/>
  <c r="D105" i="145"/>
  <c r="E105" i="145"/>
  <c r="G65" i="145"/>
  <c r="AB35" i="63"/>
  <c r="AF35" i="63" s="1"/>
  <c r="C105" i="145"/>
  <c r="G64" i="145"/>
  <c r="N15" i="144" l="1"/>
  <c r="O15" i="144" s="1"/>
  <c r="AK14" i="68"/>
  <c r="G63" i="60"/>
  <c r="E55" i="60"/>
  <c r="F51" i="60"/>
  <c r="I8" i="60"/>
  <c r="G48" i="60"/>
  <c r="G49" i="60"/>
  <c r="F50" i="60"/>
  <c r="D52" i="60"/>
  <c r="G53" i="60"/>
  <c r="D54" i="60"/>
  <c r="H56" i="60"/>
  <c r="H57" i="60"/>
  <c r="H58" i="60"/>
  <c r="G60" i="60"/>
  <c r="H60" i="60"/>
  <c r="G61" i="60"/>
  <c r="E62" i="60"/>
  <c r="F64" i="60"/>
  <c r="C65" i="60"/>
  <c r="F66" i="60"/>
  <c r="K41" i="59"/>
  <c r="K44" i="59" s="1"/>
  <c r="L41" i="59"/>
  <c r="L44" i="59" s="1"/>
  <c r="M41" i="59"/>
  <c r="M44" i="59" s="1"/>
  <c r="F76" i="145"/>
  <c r="G8" i="145"/>
  <c r="C77" i="145" s="1"/>
  <c r="G9" i="145"/>
  <c r="C78" i="145" s="1"/>
  <c r="G10" i="145"/>
  <c r="C79" i="145" s="1"/>
  <c r="G11" i="145"/>
  <c r="C80" i="145" s="1"/>
  <c r="G12" i="145"/>
  <c r="F81" i="145" s="1"/>
  <c r="G13" i="145"/>
  <c r="C82" i="145" s="1"/>
  <c r="G14" i="145"/>
  <c r="C83" i="145" s="1"/>
  <c r="G15" i="145"/>
  <c r="E84" i="145" s="1"/>
  <c r="G16" i="145"/>
  <c r="C85" i="145" s="1"/>
  <c r="G17" i="145"/>
  <c r="D86" i="145" s="1"/>
  <c r="G18" i="145"/>
  <c r="F87" i="145" s="1"/>
  <c r="G19" i="145"/>
  <c r="F88" i="145" s="1"/>
  <c r="G20" i="145"/>
  <c r="F89" i="145" s="1"/>
  <c r="G21" i="145"/>
  <c r="C90" i="145" s="1"/>
  <c r="G22" i="145"/>
  <c r="F91" i="145" s="1"/>
  <c r="G23" i="145"/>
  <c r="C92" i="145" s="1"/>
  <c r="G24" i="145"/>
  <c r="E93" i="145" s="1"/>
  <c r="G25" i="145"/>
  <c r="C94" i="145" s="1"/>
  <c r="G26" i="145"/>
  <c r="E95" i="145" s="1"/>
  <c r="G27" i="145"/>
  <c r="C96" i="145" s="1"/>
  <c r="G28" i="145"/>
  <c r="G70" i="145" s="1"/>
  <c r="G29" i="145"/>
  <c r="C98" i="145" s="1"/>
  <c r="G30" i="145"/>
  <c r="G31" i="145"/>
  <c r="G32" i="145"/>
  <c r="D101" i="145" s="1"/>
  <c r="G33" i="145"/>
  <c r="C102" i="145" s="1"/>
  <c r="C46" i="145"/>
  <c r="D46" i="145"/>
  <c r="E46" i="145"/>
  <c r="F46" i="145"/>
  <c r="C47" i="145"/>
  <c r="D47" i="145"/>
  <c r="E47" i="145"/>
  <c r="F47" i="145"/>
  <c r="C48" i="145"/>
  <c r="D48" i="145"/>
  <c r="E48" i="145"/>
  <c r="F48" i="145"/>
  <c r="C49" i="145"/>
  <c r="D49" i="145"/>
  <c r="E49" i="145"/>
  <c r="F49" i="145"/>
  <c r="C50" i="145"/>
  <c r="D50" i="145"/>
  <c r="E50" i="145"/>
  <c r="F50" i="145"/>
  <c r="C51" i="145"/>
  <c r="D51" i="145"/>
  <c r="E51" i="145"/>
  <c r="F51" i="145"/>
  <c r="C52" i="145"/>
  <c r="D52" i="145"/>
  <c r="E52" i="145"/>
  <c r="F52" i="145"/>
  <c r="C53" i="145"/>
  <c r="D53" i="145"/>
  <c r="E53" i="145"/>
  <c r="F53" i="145"/>
  <c r="C54" i="145"/>
  <c r="D54" i="145"/>
  <c r="E54" i="145"/>
  <c r="F54" i="145"/>
  <c r="C55" i="145"/>
  <c r="D55" i="145"/>
  <c r="E55" i="145"/>
  <c r="F55" i="145"/>
  <c r="C56" i="145"/>
  <c r="D56" i="145"/>
  <c r="E56" i="145"/>
  <c r="F56" i="145"/>
  <c r="C57" i="145"/>
  <c r="D57" i="145"/>
  <c r="E57" i="145"/>
  <c r="F57" i="145"/>
  <c r="C58" i="145"/>
  <c r="C59" i="145"/>
  <c r="C67" i="145"/>
  <c r="D67" i="145"/>
  <c r="E67" i="145"/>
  <c r="F67" i="145"/>
  <c r="C68" i="145"/>
  <c r="D68" i="145"/>
  <c r="E68" i="145"/>
  <c r="F68" i="145"/>
  <c r="C69" i="145"/>
  <c r="D69" i="145"/>
  <c r="E69" i="145"/>
  <c r="F69" i="145"/>
  <c r="E76" i="145"/>
  <c r="AC7" i="68"/>
  <c r="AC28" i="68"/>
  <c r="AD28" i="68"/>
  <c r="AE28" i="68"/>
  <c r="AB31" i="68"/>
  <c r="AB6" i="68" s="1"/>
  <c r="AC45" i="68"/>
  <c r="AD45" i="68" s="1"/>
  <c r="AA43" i="68"/>
  <c r="C41" i="59"/>
  <c r="D41" i="59"/>
  <c r="D44" i="59" s="1"/>
  <c r="E41" i="59"/>
  <c r="E44" i="59" s="1"/>
  <c r="F41" i="59"/>
  <c r="F44" i="59" s="1"/>
  <c r="G41" i="59"/>
  <c r="G44" i="59" s="1"/>
  <c r="H41" i="59"/>
  <c r="H44" i="59" s="1"/>
  <c r="I41" i="59"/>
  <c r="I44" i="59" s="1"/>
  <c r="J41" i="59"/>
  <c r="J44" i="59" s="1"/>
  <c r="AF32" i="67"/>
  <c r="C40" i="59"/>
  <c r="AA8" i="66"/>
  <c r="AA7" i="66" s="1"/>
  <c r="C7" i="65"/>
  <c r="V42" i="65"/>
  <c r="W42" i="65" s="1"/>
  <c r="T44" i="65"/>
  <c r="I7" i="64"/>
  <c r="J7" i="64"/>
  <c r="K7" i="64"/>
  <c r="L7" i="64"/>
  <c r="M7" i="64"/>
  <c r="N7" i="64"/>
  <c r="O7" i="64"/>
  <c r="P7" i="64"/>
  <c r="Q7" i="64"/>
  <c r="R7" i="64"/>
  <c r="S7" i="64"/>
  <c r="T7" i="64"/>
  <c r="U7" i="64"/>
  <c r="V7" i="64"/>
  <c r="I7" i="63"/>
  <c r="J7" i="63"/>
  <c r="K7" i="63"/>
  <c r="L7" i="63"/>
  <c r="M7" i="63"/>
  <c r="N7" i="63"/>
  <c r="O7" i="63"/>
  <c r="P7" i="63"/>
  <c r="Q7" i="63"/>
  <c r="R7" i="63"/>
  <c r="S7" i="63"/>
  <c r="T7" i="63"/>
  <c r="U7" i="63"/>
  <c r="V7" i="63"/>
  <c r="V35" i="63"/>
  <c r="H59" i="60"/>
  <c r="E60" i="60"/>
  <c r="D60" i="60"/>
  <c r="F57" i="60"/>
  <c r="F60" i="60"/>
  <c r="E57" i="60"/>
  <c r="D76" i="145"/>
  <c r="F101" i="145" l="1"/>
  <c r="I36" i="60"/>
  <c r="I35" i="60"/>
  <c r="R41" i="59"/>
  <c r="R44" i="59" s="1"/>
  <c r="Q41" i="59"/>
  <c r="Q44" i="59" s="1"/>
  <c r="P41" i="59"/>
  <c r="P44" i="59" s="1"/>
  <c r="O41" i="59"/>
  <c r="O44" i="59" s="1"/>
  <c r="N41" i="59"/>
  <c r="N44" i="59" s="1"/>
  <c r="T40" i="59"/>
  <c r="C44" i="59"/>
  <c r="AD7" i="68"/>
  <c r="AD6" i="68" s="1"/>
  <c r="AC6" i="68"/>
  <c r="AG32" i="67"/>
  <c r="AF6" i="67"/>
  <c r="G55" i="60"/>
  <c r="C55" i="60"/>
  <c r="D55" i="60"/>
  <c r="F55" i="60"/>
  <c r="G52" i="60"/>
  <c r="E52" i="60"/>
  <c r="H47" i="60"/>
  <c r="C47" i="60"/>
  <c r="E49" i="60"/>
  <c r="G50" i="60"/>
  <c r="D56" i="60"/>
  <c r="D50" i="60"/>
  <c r="H50" i="60"/>
  <c r="E47" i="60"/>
  <c r="C50" i="60"/>
  <c r="H49" i="60"/>
  <c r="C49" i="60"/>
  <c r="F49" i="60"/>
  <c r="F53" i="60"/>
  <c r="H64" i="60"/>
  <c r="F47" i="60"/>
  <c r="D47" i="60"/>
  <c r="G47" i="60"/>
  <c r="G56" i="60"/>
  <c r="H55" i="60"/>
  <c r="E53" i="60"/>
  <c r="C51" i="60"/>
  <c r="C64" i="60"/>
  <c r="E56" i="60"/>
  <c r="E50" i="60"/>
  <c r="G51" i="60"/>
  <c r="H53" i="60"/>
  <c r="D53" i="60"/>
  <c r="C53" i="60"/>
  <c r="D51" i="60"/>
  <c r="C89" i="145"/>
  <c r="C76" i="145"/>
  <c r="E98" i="145"/>
  <c r="D90" i="145"/>
  <c r="E90" i="145"/>
  <c r="E97" i="145"/>
  <c r="E85" i="145"/>
  <c r="C93" i="145"/>
  <c r="F97" i="145"/>
  <c r="E78" i="145"/>
  <c r="F93" i="145"/>
  <c r="D93" i="145"/>
  <c r="D97" i="145"/>
  <c r="F85" i="145"/>
  <c r="G53" i="145"/>
  <c r="D78" i="145"/>
  <c r="E88" i="145"/>
  <c r="D80" i="145"/>
  <c r="F84" i="145"/>
  <c r="G60" i="145"/>
  <c r="G62" i="60"/>
  <c r="X42" i="65"/>
  <c r="E102" i="145"/>
  <c r="G61" i="145"/>
  <c r="F99" i="145"/>
  <c r="G58" i="145"/>
  <c r="C103" i="145"/>
  <c r="G62" i="145"/>
  <c r="G63" i="145"/>
  <c r="D100" i="145"/>
  <c r="G59" i="145"/>
  <c r="E99" i="145"/>
  <c r="G49" i="145"/>
  <c r="D102" i="145"/>
  <c r="E82" i="145"/>
  <c r="D82" i="145"/>
  <c r="F78" i="145"/>
  <c r="F102" i="145"/>
  <c r="C97" i="145"/>
  <c r="E94" i="145"/>
  <c r="F79" i="145"/>
  <c r="D95" i="145"/>
  <c r="D99" i="145"/>
  <c r="E79" i="145"/>
  <c r="F77" i="145"/>
  <c r="F90" i="145"/>
  <c r="F95" i="145"/>
  <c r="G46" i="145"/>
  <c r="E77" i="145"/>
  <c r="C99" i="145"/>
  <c r="D83" i="145"/>
  <c r="D79" i="145"/>
  <c r="D77" i="145"/>
  <c r="C95" i="145"/>
  <c r="F98" i="145"/>
  <c r="D87" i="145"/>
  <c r="E80" i="145"/>
  <c r="G48" i="145"/>
  <c r="F86" i="145"/>
  <c r="F83" i="145"/>
  <c r="G56" i="145"/>
  <c r="D88" i="145"/>
  <c r="D85" i="145"/>
  <c r="F92" i="145"/>
  <c r="C91" i="145"/>
  <c r="C86" i="145"/>
  <c r="E83" i="145"/>
  <c r="F80" i="145"/>
  <c r="E100" i="145"/>
  <c r="D91" i="145"/>
  <c r="C88" i="145"/>
  <c r="F82" i="145"/>
  <c r="D103" i="145"/>
  <c r="E103" i="145"/>
  <c r="C84" i="145"/>
  <c r="F103" i="145"/>
  <c r="D84" i="145"/>
  <c r="H65" i="60"/>
  <c r="F63" i="60"/>
  <c r="F65" i="60"/>
  <c r="C63" i="60"/>
  <c r="E63" i="60"/>
  <c r="D63" i="60"/>
  <c r="D65" i="60"/>
  <c r="D61" i="60"/>
  <c r="E65" i="60"/>
  <c r="D49" i="60"/>
  <c r="G65" i="60"/>
  <c r="C52" i="60"/>
  <c r="H51" i="60"/>
  <c r="E66" i="60"/>
  <c r="H66" i="60"/>
  <c r="G64" i="60"/>
  <c r="H63" i="60"/>
  <c r="E61" i="60"/>
  <c r="F61" i="60"/>
  <c r="H61" i="60"/>
  <c r="C61" i="60"/>
  <c r="D59" i="60"/>
  <c r="E59" i="60"/>
  <c r="F59" i="60"/>
  <c r="G59" i="60"/>
  <c r="C59" i="60"/>
  <c r="D57" i="60"/>
  <c r="G57" i="60"/>
  <c r="C57" i="60"/>
  <c r="G55" i="145"/>
  <c r="G47" i="145"/>
  <c r="F94" i="145"/>
  <c r="D81" i="145"/>
  <c r="E89" i="145"/>
  <c r="D94" i="145"/>
  <c r="G51" i="145"/>
  <c r="G54" i="145"/>
  <c r="D98" i="145"/>
  <c r="G57" i="145"/>
  <c r="G52" i="145"/>
  <c r="C87" i="145"/>
  <c r="E81" i="145"/>
  <c r="D89" i="145"/>
  <c r="F96" i="145"/>
  <c r="E92" i="145"/>
  <c r="E86" i="145"/>
  <c r="C81" i="145"/>
  <c r="D96" i="145"/>
  <c r="E101" i="145"/>
  <c r="G69" i="145"/>
  <c r="E96" i="145"/>
  <c r="C101" i="145"/>
  <c r="G67" i="145"/>
  <c r="G50" i="145"/>
  <c r="E91" i="145"/>
  <c r="C100" i="145"/>
  <c r="F100" i="145"/>
  <c r="D92" i="145"/>
  <c r="G68" i="145"/>
  <c r="E87" i="145"/>
  <c r="F15" i="144"/>
  <c r="O36" i="144"/>
  <c r="C48" i="60"/>
  <c r="G66" i="60"/>
  <c r="H52" i="60"/>
  <c r="E51" i="60"/>
  <c r="D64" i="60"/>
  <c r="C56" i="60"/>
  <c r="E64" i="60"/>
  <c r="D58" i="60"/>
  <c r="C66" i="60"/>
  <c r="F56" i="60"/>
  <c r="F52" i="60"/>
  <c r="C62" i="60"/>
  <c r="E54" i="60"/>
  <c r="F62" i="60"/>
  <c r="F58" i="60"/>
  <c r="F54" i="60"/>
  <c r="H54" i="60"/>
  <c r="H48" i="60"/>
  <c r="C58" i="60"/>
  <c r="F48" i="60"/>
  <c r="D62" i="60"/>
  <c r="G54" i="60"/>
  <c r="D48" i="60"/>
  <c r="C60" i="60"/>
  <c r="G58" i="60"/>
  <c r="E48" i="60"/>
  <c r="E58" i="60"/>
  <c r="D66" i="60"/>
  <c r="H62" i="60"/>
  <c r="C54" i="60"/>
  <c r="D30" i="144"/>
  <c r="E18" i="144"/>
  <c r="C14" i="144"/>
  <c r="E33" i="144"/>
  <c r="C12" i="144"/>
  <c r="C29" i="144"/>
  <c r="F21" i="144"/>
  <c r="D17" i="144"/>
  <c r="AE45" i="68"/>
  <c r="D32" i="144"/>
  <c r="D28" i="144"/>
  <c r="E24" i="144"/>
  <c r="C20" i="144"/>
  <c r="E34" i="144"/>
  <c r="C22" i="144"/>
  <c r="C16" i="144"/>
  <c r="D31" i="144"/>
  <c r="C26" i="144"/>
  <c r="C23" i="144"/>
  <c r="V42" i="59" l="1"/>
  <c r="W42" i="59"/>
  <c r="W44" i="59" s="1"/>
  <c r="Y41" i="59"/>
  <c r="Y44" i="59" s="1"/>
  <c r="AE7" i="68"/>
  <c r="AE6" i="68" s="1"/>
  <c r="Y42" i="65"/>
  <c r="AG6" i="67"/>
  <c r="Z42" i="65"/>
  <c r="C37" i="144"/>
  <c r="D37" i="144"/>
  <c r="D36" i="144"/>
  <c r="C36" i="144"/>
  <c r="F36" i="144"/>
  <c r="AF45" i="68"/>
  <c r="C13" i="144"/>
  <c r="F37" i="144"/>
  <c r="E30" i="144"/>
  <c r="D15" i="144"/>
  <c r="E37" i="144"/>
  <c r="C15" i="144"/>
  <c r="C21" i="144"/>
  <c r="D21" i="144"/>
  <c r="F28" i="144"/>
  <c r="D14" i="144"/>
  <c r="F22" i="144"/>
  <c r="F30" i="144"/>
  <c r="F18" i="144"/>
  <c r="D24" i="144"/>
  <c r="C18" i="144"/>
  <c r="D18" i="144"/>
  <c r="C32" i="144"/>
  <c r="C30" i="144"/>
  <c r="C24" i="144"/>
  <c r="E17" i="144"/>
  <c r="E26" i="144"/>
  <c r="F24" i="144"/>
  <c r="F17" i="144"/>
  <c r="E32" i="144"/>
  <c r="F29" i="144"/>
  <c r="F32" i="144"/>
  <c r="C17" i="144"/>
  <c r="D29" i="144"/>
  <c r="E22" i="144"/>
  <c r="D22" i="144"/>
  <c r="F12" i="144"/>
  <c r="C33" i="144"/>
  <c r="D12" i="144"/>
  <c r="E12" i="144"/>
  <c r="C28" i="144"/>
  <c r="C34" i="144"/>
  <c r="E28" i="144"/>
  <c r="D16" i="144"/>
  <c r="D33" i="144"/>
  <c r="F26" i="144"/>
  <c r="D34" i="144"/>
  <c r="F16" i="144"/>
  <c r="D26" i="144"/>
  <c r="C31" i="144"/>
  <c r="F19" i="144"/>
  <c r="E19" i="144"/>
  <c r="D19" i="144"/>
  <c r="E27" i="144"/>
  <c r="D27" i="144"/>
  <c r="F27" i="144"/>
  <c r="C19" i="144"/>
  <c r="E23" i="144"/>
  <c r="D23" i="144"/>
  <c r="C27" i="144"/>
  <c r="X42" i="59" l="1"/>
  <c r="X44" i="59" s="1"/>
  <c r="Z41" i="59"/>
  <c r="AG7" i="68"/>
  <c r="AA42" i="65"/>
  <c r="F67" i="60"/>
  <c r="AG45" i="68"/>
  <c r="AH45" i="68" s="1"/>
  <c r="D13" i="144"/>
  <c r="AG6" i="68" l="1"/>
  <c r="AI45" i="68"/>
  <c r="AB42" i="65"/>
  <c r="AC42" i="65" s="1"/>
  <c r="AD42" i="65" s="1"/>
  <c r="AH7" i="68"/>
  <c r="H67" i="60"/>
  <c r="E67" i="60"/>
  <c r="G67" i="60"/>
  <c r="C67" i="60"/>
  <c r="D67" i="60"/>
  <c r="F68" i="60"/>
  <c r="G68" i="60"/>
  <c r="E68" i="60"/>
  <c r="D68" i="60"/>
  <c r="H68" i="60"/>
  <c r="C68" i="60"/>
  <c r="F11" i="144"/>
  <c r="AJ7" i="68" l="1"/>
  <c r="N8" i="144"/>
  <c r="O8" i="144" s="1"/>
  <c r="Z42" i="59"/>
  <c r="Z44" i="59" s="1"/>
  <c r="AJ6" i="68"/>
  <c r="AJ45" i="68"/>
  <c r="AH6" i="68"/>
  <c r="AI7" i="68"/>
  <c r="F69" i="60"/>
  <c r="E10" i="144"/>
  <c r="C10" i="144"/>
  <c r="D10" i="144"/>
  <c r="C11" i="144"/>
  <c r="D11" i="144"/>
  <c r="F10" i="144"/>
  <c r="AK7" i="68" l="1"/>
  <c r="AI6" i="68"/>
  <c r="AA42" i="59"/>
  <c r="AA44" i="59" s="1"/>
  <c r="AC42" i="59"/>
  <c r="AC44" i="59" s="1"/>
  <c r="N7" i="144"/>
  <c r="O7" i="144" s="1"/>
  <c r="AK45" i="68"/>
  <c r="C8" i="144"/>
  <c r="D69" i="60"/>
  <c r="C69" i="60"/>
  <c r="G69" i="60"/>
  <c r="H69" i="60"/>
  <c r="E69" i="60"/>
  <c r="F70" i="60"/>
  <c r="D9" i="144"/>
  <c r="C9" i="144"/>
  <c r="E9" i="144"/>
  <c r="F9" i="144"/>
  <c r="AB42" i="59" l="1"/>
  <c r="AB44" i="59" s="1"/>
  <c r="AK6" i="68"/>
  <c r="F8" i="144"/>
  <c r="D8" i="144"/>
  <c r="E8" i="144"/>
  <c r="F7" i="144"/>
  <c r="E70" i="60"/>
  <c r="G70" i="60"/>
  <c r="C70" i="60"/>
  <c r="H70" i="60"/>
  <c r="D70" i="60"/>
  <c r="H71" i="60"/>
  <c r="D71" i="60"/>
  <c r="G71" i="60"/>
  <c r="C71" i="60"/>
  <c r="E71" i="60"/>
  <c r="F71" i="60"/>
  <c r="C7" i="144" l="1"/>
  <c r="D7" i="144"/>
  <c r="E7" i="144"/>
  <c r="T42" i="59"/>
  <c r="T44" i="59" s="1"/>
  <c r="V44" i="59"/>
  <c r="U42" i="59"/>
  <c r="U44" i="59" s="1"/>
</calcChain>
</file>

<file path=xl/sharedStrings.xml><?xml version="1.0" encoding="utf-8"?>
<sst xmlns="http://schemas.openxmlformats.org/spreadsheetml/2006/main" count="2022" uniqueCount="160">
  <si>
    <t xml:space="preserve">      </t>
  </si>
  <si>
    <t xml:space="preserve">     </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</si>
  <si>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</si>
  <si>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</si>
  <si>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</si>
  <si>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</si>
  <si>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</si>
  <si>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</si>
  <si>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</si>
  <si>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</si>
  <si>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</si>
  <si>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</si>
  <si>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</si>
  <si>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</si>
  <si>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</si>
  <si>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</si>
  <si>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</si>
  <si>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</si>
  <si>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</si>
  <si>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</si>
  <si>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</si>
  <si>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</si>
  <si>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</si>
  <si>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</si>
  <si>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</si>
  <si>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</si>
  <si>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</si>
  <si>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</si>
  <si>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</si>
  <si>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</si>
  <si>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</si>
  <si>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</si>
  <si>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</si>
  <si>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</si>
  <si>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</si>
  <si>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</si>
  <si>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</si>
  <si>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Inland Waterways</t>
  </si>
  <si>
    <t>Railways</t>
  </si>
  <si>
    <t>Sea</t>
  </si>
  <si>
    <t>Road</t>
  </si>
  <si>
    <t>Rail</t>
  </si>
  <si>
    <t>Air</t>
  </si>
  <si>
    <t>Total</t>
  </si>
  <si>
    <t>Pipelines</t>
  </si>
  <si>
    <t>Inland Waterway</t>
  </si>
  <si>
    <t>Inland Water- ways</t>
  </si>
  <si>
    <t>per year</t>
  </si>
  <si>
    <t>Modal split</t>
  </si>
  <si>
    <t>(%)</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</si>
  <si>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</si>
  <si>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</si>
  <si>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</si>
  <si>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</si>
  <si>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</si>
  <si>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</si>
  <si>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</si>
  <si>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USA</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</si>
  <si>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</si>
  <si>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</si>
  <si>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</si>
  <si>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</si>
  <si>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</si>
  <si>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</si>
  <si>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</si>
  <si>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</si>
  <si>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</si>
  <si>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</si>
  <si>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r>
      <t>CH</t>
    </r>
    <r>
      <rPr>
        <b/>
        <vertAlign val="subscript"/>
        <sz val="8"/>
        <rFont val="Arial"/>
        <family val="2"/>
      </rPr>
      <t>(1)</t>
    </r>
  </si>
  <si>
    <t>Pipe- lines</t>
  </si>
  <si>
    <t>(*) (including cross-trade and cabotage)</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</si>
  <si>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</si>
  <si>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</si>
  <si>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</si>
  <si>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</si>
  <si>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</si>
  <si>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</si>
  <si>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</si>
  <si>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</si>
  <si>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</si>
  <si>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</si>
  <si>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</si>
  <si>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</si>
  <si>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</si>
  <si>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</si>
  <si>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</si>
  <si>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</si>
  <si>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</si>
  <si>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</si>
  <si>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</si>
  <si>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</si>
  <si>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</si>
  <si>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</si>
  <si>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</si>
  <si>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</si>
  <si>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</si>
  <si>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</si>
  <si>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</si>
  <si>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billion tonne-kilometres</t>
  </si>
  <si>
    <t>AL</t>
  </si>
  <si>
    <r>
      <t>IS</t>
    </r>
    <r>
      <rPr>
        <b/>
        <vertAlign val="subscript"/>
        <sz val="8"/>
        <rFont val="Arial"/>
        <family val="2"/>
      </rPr>
      <t>(1)</t>
    </r>
  </si>
  <si>
    <t xml:space="preserve">Data are not harmonised and therefore not fully comparable; in most countries, only pipelines longer than 40km are included. Data refers to oil pipelines. </t>
  </si>
  <si>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</si>
  <si>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</si>
  <si>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</si>
  <si>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</si>
  <si>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</si>
  <si>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</si>
  <si>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</si>
  <si>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</si>
  <si>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2000 - 2010`</t>
  </si>
  <si>
    <t>EU-27</t>
  </si>
  <si>
    <t xml:space="preserve">                                                                                                                      </t>
  </si>
  <si>
    <t xml:space="preserve">TOTAL </t>
  </si>
  <si>
    <t>Table 2.2.1 EU-27</t>
  </si>
  <si>
    <r>
      <t xml:space="preserve">Source: </t>
    </r>
    <r>
      <rPr>
        <sz val="8"/>
        <rFont val="Arial"/>
        <family val="2"/>
      </rPr>
      <t>tables 2.2.4c to 2.2.7, estimates (</t>
    </r>
    <r>
      <rPr>
        <i/>
        <sz val="8"/>
        <rFont val="Arial"/>
        <family val="2"/>
      </rPr>
      <t>in italics</t>
    </r>
    <r>
      <rPr>
        <sz val="8"/>
        <rFont val="Arial"/>
        <family val="2"/>
      </rPr>
      <t>)</t>
    </r>
  </si>
  <si>
    <r>
      <t>Road:</t>
    </r>
    <r>
      <rPr>
        <sz val="8"/>
        <rFont val="Arial"/>
        <family val="2"/>
      </rPr>
      <t xml:space="preserve"> national and international haulage by vehicles registered in the EU-27 until 2004, from 2005 onwards the activity performed by European drivers within the EU territory.</t>
    </r>
  </si>
  <si>
    <r>
      <t xml:space="preserve">(1): </t>
    </r>
    <r>
      <rPr>
        <b/>
        <sz val="8"/>
        <rFont val="Arial"/>
        <family val="2"/>
      </rPr>
      <t>TR, IS</t>
    </r>
    <r>
      <rPr>
        <sz val="8"/>
        <rFont val="Arial"/>
        <family val="2"/>
      </rPr>
      <t xml:space="preserve">: national transport only. </t>
    </r>
    <r>
      <rPr>
        <b/>
        <sz val="8"/>
        <rFont val="Arial"/>
        <family val="2"/>
      </rPr>
      <t/>
    </r>
  </si>
  <si>
    <r>
      <t xml:space="preserve">(2):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</si>
  <si>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Performance by mode (graph)</t>
  </si>
  <si>
    <t>Performance by mode and year</t>
  </si>
  <si>
    <t>Modal split of freight transport on land by country</t>
  </si>
  <si>
    <t>Road: National haulage</t>
  </si>
  <si>
    <t>Road: International haulage</t>
  </si>
  <si>
    <t>USA: Performance by mode of transport - Freight</t>
  </si>
  <si>
    <t>EU-27 performance by mode</t>
  </si>
  <si>
    <t>Freight transport</t>
  </si>
  <si>
    <t>Haulage by vehicles registered in the reporting country</t>
  </si>
  <si>
    <t>Road: National and international haulage</t>
  </si>
  <si>
    <t>Road : International haulage (*)</t>
  </si>
  <si>
    <t>Road : National and international haulage (*)</t>
  </si>
  <si>
    <t>Haulage performed within the territory of each country by any vehicle</t>
  </si>
  <si>
    <t>Inland waterways</t>
  </si>
  <si>
    <t>Oil pipelines</t>
  </si>
  <si>
    <t>Performance by mode of transport -  freight</t>
  </si>
  <si>
    <t>Road : National haulage (*)</t>
  </si>
  <si>
    <t xml:space="preserve">NB: </t>
  </si>
  <si>
    <t>NB:</t>
  </si>
  <si>
    <r>
      <t xml:space="preserve">NB: </t>
    </r>
    <r>
      <rPr>
        <sz val="8"/>
        <rFont val="Arial"/>
        <family val="2"/>
      </rPr>
      <t xml:space="preserve">time series for road transport revised according to the estimates based on the Freight Analysis Framework (FAF). From the break onwards, the source is the Bureau of Transportation Statistics. </t>
    </r>
  </si>
  <si>
    <r>
      <t>Source</t>
    </r>
    <r>
      <rPr>
        <sz val="8"/>
        <rFont val="Arial"/>
        <family val="2"/>
      </rPr>
      <t>:</t>
    </r>
    <r>
      <rPr>
        <b/>
        <sz val="8"/>
        <rFont val="Arial"/>
        <family val="2"/>
      </rPr>
      <t xml:space="preserve">  </t>
    </r>
    <r>
      <rPr>
        <sz val="8"/>
        <rFont val="Arial"/>
        <family val="2"/>
      </rPr>
      <t>Eurostat,</t>
    </r>
    <r>
      <rPr>
        <b/>
        <sz val="8"/>
        <rFont val="Arial"/>
        <family val="2"/>
      </rPr>
      <t xml:space="preserve"> n</t>
    </r>
    <r>
      <rPr>
        <sz val="8"/>
        <rFont val="Arial"/>
        <family val="2"/>
      </rPr>
      <t xml:space="preserve">ational statistics (DK), International Transport Forum (RO, MK, RS, TR) , estimates </t>
    </r>
    <r>
      <rPr>
        <i/>
        <sz val="8"/>
        <rFont val="Arial"/>
        <family val="2"/>
      </rPr>
      <t>(in italics)</t>
    </r>
  </si>
  <si>
    <r>
      <t xml:space="preserve">EU aggregates do not include road freight transport for Malta (negligible, exempted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</si>
  <si>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Source</t>
    </r>
    <r>
      <rPr>
        <sz val="8"/>
        <rFont val="Arial"/>
        <family val="2"/>
      </rPr>
      <t>: Eurostat  [road_tert_go]</t>
    </r>
  </si>
  <si>
    <r>
      <rPr>
        <b/>
        <sz val="8"/>
        <rFont val="Arial"/>
        <family val="2"/>
      </rPr>
      <t xml:space="preserve">BE: </t>
    </r>
    <r>
      <rPr>
        <sz val="8"/>
        <rFont val="Arial"/>
        <family val="2"/>
      </rPr>
      <t>data from UIC, therefore it refers only to companies members of UIC.</t>
    </r>
  </si>
  <si>
    <r>
      <t>Air</t>
    </r>
    <r>
      <rPr>
        <sz val="8"/>
        <rFont val="Arial"/>
        <family val="2"/>
      </rPr>
      <t xml:space="preserve"> and</t>
    </r>
    <r>
      <rPr>
        <b/>
        <sz val="8"/>
        <rFont val="Arial"/>
        <family val="2"/>
      </rPr>
      <t xml:space="preserve"> Sea:</t>
    </r>
    <r>
      <rPr>
        <sz val="8"/>
        <rFont val="Arial"/>
        <family val="2"/>
      </rPr>
      <t xml:space="preserve"> only domestic and intra-EU-27 transport; estimates for air and for sea based on Eurostat data. The time series for maritime activity from 1995 to 2004 and for aviation activity from 1995 to 2007 have been recalibrated by DG MOVE in line with the new EU-27 figures to avoid break in series. Following methodological changes, the times series (2005-2020) for maritime and air activity were backwards revised. </t>
    </r>
  </si>
  <si>
    <t>UA</t>
  </si>
  <si>
    <t>BA</t>
  </si>
  <si>
    <t>MD</t>
  </si>
  <si>
    <t>2021</t>
  </si>
  <si>
    <t>change 20/21</t>
  </si>
  <si>
    <r>
      <t xml:space="preserve">NB: </t>
    </r>
    <r>
      <rPr>
        <sz val="8"/>
        <rFont val="Arial"/>
        <family val="2"/>
      </rPr>
      <t>DE: includes former GDR : 1970=41.5,   1980=56.4,   1990=39.8. CS: 1970: 55.9,  1980: 66.2,  1990: 59.4, 1991: 45.8, 1992: 44.0;</t>
    </r>
  </si>
  <si>
    <t>1995 -2021</t>
  </si>
  <si>
    <t>2000 -2021</t>
  </si>
  <si>
    <t>2020-2021</t>
  </si>
  <si>
    <t>2011-2021</t>
  </si>
  <si>
    <r>
      <t>Source</t>
    </r>
    <r>
      <rPr>
        <sz val="8"/>
        <rFont val="Arial"/>
        <family val="2"/>
      </rPr>
      <t>: Eurostat [road_go_ta_tott]; International Transport Forum (IS, TR), UNECE (UK as of 2020); national statistics (CH - until 2007, MK), estimates</t>
    </r>
    <r>
      <rPr>
        <i/>
        <sz val="8"/>
        <rFont val="Arial"/>
        <family val="2"/>
      </rPr>
      <t xml:space="preserve"> (in italics). </t>
    </r>
  </si>
  <si>
    <r>
      <t>Source</t>
    </r>
    <r>
      <rPr>
        <sz val="8"/>
        <rFont val="Arial"/>
        <family val="2"/>
      </rPr>
      <t>: Eurostat, International Transport Forum, national statistics (MK),</t>
    </r>
    <r>
      <rPr>
        <i/>
        <sz val="8"/>
        <rFont val="Arial"/>
        <family val="2"/>
      </rPr>
      <t xml:space="preserve"> </t>
    </r>
    <r>
      <rPr>
        <sz val="8"/>
        <rFont val="Arial"/>
        <family val="2"/>
      </rPr>
      <t>UNECE (UK as of 2020), estimates (in italics)</t>
    </r>
  </si>
  <si>
    <t xml:space="preserve">Territorialised tkm is not available for the candidate countries. </t>
  </si>
  <si>
    <r>
      <t>Source</t>
    </r>
    <r>
      <rPr>
        <sz val="8"/>
        <rFont val="Arial"/>
        <family val="2"/>
      </rPr>
      <t>:</t>
    </r>
    <r>
      <rPr>
        <b/>
        <sz val="8"/>
        <rFont val="Arial"/>
        <family val="2"/>
      </rPr>
      <t xml:space="preserve"> </t>
    </r>
    <r>
      <rPr>
        <sz val="8"/>
        <rFont val="Arial"/>
        <family val="2"/>
      </rPr>
      <t xml:space="preserve"> Eurostat  [rail_go_total, rail_go_quartal], International Transport Forum (AL, RS), national statistics (ME, UK), estimates </t>
    </r>
    <r>
      <rPr>
        <i/>
        <sz val="8"/>
        <rFont val="Arial"/>
        <family val="2"/>
      </rPr>
      <t>(in italics)</t>
    </r>
  </si>
  <si>
    <r>
      <t>Source</t>
    </r>
    <r>
      <rPr>
        <sz val="8"/>
        <rFont val="Arial"/>
        <family val="2"/>
      </rPr>
      <t>:</t>
    </r>
    <r>
      <rPr>
        <b/>
        <sz val="8"/>
        <rFont val="Arial"/>
        <family val="2"/>
      </rPr>
      <t xml:space="preserve">  </t>
    </r>
    <r>
      <rPr>
        <sz val="8"/>
        <rFont val="Arial"/>
        <family val="2"/>
      </rPr>
      <t xml:space="preserve">Eurostat, ITF (CH, RS, UA), national statistics (MD), estimates </t>
    </r>
    <r>
      <rPr>
        <i/>
        <sz val="8"/>
        <rFont val="Arial"/>
        <family val="2"/>
      </rPr>
      <t>(in italics)</t>
    </r>
  </si>
  <si>
    <r>
      <t>Source</t>
    </r>
    <r>
      <rPr>
        <sz val="8"/>
        <rFont val="Arial"/>
        <family val="2"/>
      </rPr>
      <t xml:space="preserve">: Eurostat, International Transport </t>
    </r>
    <r>
      <rPr>
        <sz val="8"/>
        <color theme="1"/>
        <rFont val="Arial"/>
        <family val="2"/>
      </rPr>
      <t>Forum (IS,  RS, TR), UNECE (UK as of 2020), national statistics (MK),</t>
    </r>
    <r>
      <rPr>
        <sz val="8"/>
        <rFont val="Arial"/>
        <family val="2"/>
      </rPr>
      <t xml:space="preserve"> estimates</t>
    </r>
    <r>
      <rPr>
        <i/>
        <sz val="8"/>
        <color theme="1"/>
        <rFont val="Arial"/>
        <family val="2"/>
      </rPr>
      <t xml:space="preserve"> (in italics).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</si>
</sst>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0.0\ \ \ "/>
    <numFmt numFmtId="166" formatCode="0.0\ \ "/>
    <numFmt numFmtId="167" formatCode="0.0%;\-0.0%"/>
    <numFmt numFmtId="168" formatCode="###0.00_)"/>
    <numFmt numFmtId="169" formatCode="#\ ##0.0"/>
    <numFmt numFmtId="170" formatCode="#,##0_)"/>
    <numFmt numFmtId="171" formatCode="####################\ ##0.0"/>
    <numFmt numFmtId="172" formatCode="#,##0.0_i"/>
    <numFmt numFmtId="173" formatCode="#,##0.0"/>
    <numFmt numFmtId="174" formatCode="_-* #,##0.00\ _€_-;\-* #,##0.00\ _€_-;_-* &quot;-&quot;??\ _€_-;_-@_-"/>
  </numFmts>
  <fonts count="72" x14ac:knownFonts="1">
    <font>
      <sz val="10"/>
      <name val="Arial"/>
    </font>
    <font>
      <sz val="11"/>
      <color theme="1"/>
      <name val="Calibri"/>
      <family val="2"/>
      <scheme val="minor"/>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10"/>
      <name val="Arial"/>
      <family val="2"/>
    </font>
    <font>
      <b/>
      <sz val="12"/>
      <name val="Arial"/>
      <family val="2"/>
    </font>
    <font>
      <sz val="10"/>
      <name val="Helvetica"/>
      <family val="2"/>
    </font>
    <font>
      <sz val="12"/>
      <name val="Arial"/>
      <family val="2"/>
    </font>
    <font>
      <sz val="8"/>
      <name val="Helvetica"/>
      <family val="2"/>
    </font>
    <font>
      <b/>
      <sz val="10"/>
      <name val="Times"/>
      <family val="1"/>
    </font>
    <font>
      <b/>
      <sz val="7"/>
      <name val="Arial"/>
      <family val="2"/>
    </font>
    <font>
      <b/>
      <vertAlign val="subscript"/>
      <sz val="8"/>
      <name val="Arial"/>
      <family val="2"/>
    </font>
    <font>
      <b/>
      <sz val="8"/>
      <color indexed="9"/>
      <name val="Arial"/>
      <family val="2"/>
    </font>
    <font>
      <sz val="11"/>
      <name val="Arial"/>
      <family val="2"/>
    </font>
    <font>
      <b/>
      <sz val="14"/>
      <name val="Helv"/>
    </font>
    <font>
      <b/>
      <sz val="10"/>
      <name val="Helv"/>
    </font>
    <font>
      <sz val="10"/>
      <name val="Helv"/>
    </font>
    <font>
      <sz val="10"/>
      <name val="Arial"/>
      <family val="2"/>
    </font>
    <font>
      <sz val="12"/>
      <name val="Helv"/>
    </font>
    <font>
      <b/>
      <sz val="12"/>
      <name val="Helv"/>
    </font>
    <font>
      <sz val="9"/>
      <name val="Helv"/>
    </font>
    <font>
      <vertAlign val="superscript"/>
      <sz val="12"/>
      <name val="Helv"/>
    </font>
    <font>
      <b/>
      <sz val="9"/>
      <name val="Helv"/>
    </font>
    <font>
      <sz val="8.5"/>
      <name val="Helv"/>
    </font>
    <font>
      <sz val="8"/>
      <name val="Helv"/>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9"/>
      <color theme="1"/>
      <name val="Arial"/>
      <family val="2"/>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u/>
      <sz val="11"/>
      <color theme="10"/>
      <name val="Calibri"/>
      <family val="2"/>
      <scheme val="minor"/>
    </font>
    <font>
      <i/>
      <sz val="8"/>
      <color theme="1"/>
      <name val="Arial"/>
      <family val="2"/>
    </font>
    <font>
      <sz val="8"/>
      <color theme="1"/>
      <name val="Arial"/>
      <family val="2"/>
    </font>
    <font>
      <sz val="10"/>
      <color theme="7" tint="-0.249977111117893"/>
      <name val="Arial"/>
      <family val="2"/>
    </font>
    <font>
      <sz val="10"/>
      <color theme="9" tint="-0.249977111117893"/>
      <name val="Arial"/>
      <family val="2"/>
    </font>
    <font>
      <sz val="10"/>
      <name val="Arial Cyr"/>
      <charset val="204"/>
    </font>
    <font>
      <sz val="8"/>
      <name val="Arial"/>
      <family val="2"/>
      <charset val="204"/>
    </font>
    <font>
      <sz val="8"/>
      <name val="Arial Cyr"/>
      <charset val="204"/>
    </font>
    <font>
      <b/>
      <sz val="8"/>
      <name val="Helvetica"/>
    </font>
  </fonts>
  <fills count="43">
    <fill>
      <patternFill patternType="none"/>
    </fill>
    <fill>
      <patternFill patternType="gray125"/>
    </fill>
    <fill>
      <patternFill patternType="solid">
        <fgColor indexed="22"/>
        <bgColor indexed="9"/>
      </patternFill>
    </fill>
    <fill>
      <patternFill patternType="solid">
        <fgColor indexed="22"/>
        <bgColor indexed="55"/>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53">
    <border>
      <left/>
      <right/>
      <top/>
      <bottom/>
      <diagonal/>
    </border>
    <border>
      <left/>
      <right/>
      <top/>
      <bottom style="thin">
        <color indexed="22"/>
      </bottom>
      <diagonal/>
    </border>
    <border>
      <left/>
      <right/>
      <top/>
      <bottom style="hair">
        <color indexed="64"/>
      </bottom>
      <diagonal/>
    </border>
    <border>
      <left/>
      <right/>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ck">
        <color indexed="64"/>
      </right>
      <top/>
      <bottom/>
      <diagonal/>
    </border>
    <border>
      <left style="thin">
        <color indexed="64"/>
      </left>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style="thick">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ck">
        <color indexed="64"/>
      </top>
      <bottom/>
      <diagonal/>
    </border>
    <border>
      <left style="thick">
        <color indexed="64"/>
      </left>
      <right/>
      <top style="thin">
        <color indexed="64"/>
      </top>
      <bottom style="thin">
        <color indexed="64"/>
      </bottom>
      <diagonal/>
    </border>
  </borders>
  <cellStyleXfs count="125">
    <xf numFmtId="0" fontId="0" fillId="0" borderId="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6" fillId="34" borderId="0" applyNumberFormat="0" applyBorder="0" applyAlignment="0" applyProtection="0"/>
    <xf numFmtId="0" fontId="47" fillId="35" borderId="42" applyNumberFormat="0" applyAlignment="0" applyProtection="0"/>
    <xf numFmtId="0" fontId="48" fillId="36" borderId="43" applyNumberFormat="0" applyAlignment="0" applyProtection="0"/>
    <xf numFmtId="0" fontId="37" fillId="0" borderId="0">
      <alignment horizontal="center" vertical="center" wrapText="1"/>
    </xf>
    <xf numFmtId="43" fontId="36" fillId="0" borderId="0" applyFont="0" applyFill="0" applyBorder="0" applyAlignment="0" applyProtection="0"/>
    <xf numFmtId="0" fontId="38" fillId="0" borderId="0">
      <alignment horizontal="left" vertical="center" wrapText="1"/>
    </xf>
    <xf numFmtId="168" fontId="35" fillId="0" borderId="1" applyNumberFormat="0" applyFill="0">
      <alignment horizontal="right"/>
    </xf>
    <xf numFmtId="170" fontId="39" fillId="0" borderId="1">
      <alignment horizontal="right" vertical="center"/>
    </xf>
    <xf numFmtId="49" fontId="40" fillId="0" borderId="1">
      <alignment horizontal="left" vertical="center"/>
    </xf>
    <xf numFmtId="168" fontId="35" fillId="0" borderId="1" applyNumberFormat="0" applyFill="0">
      <alignment horizontal="right"/>
    </xf>
    <xf numFmtId="0" fontId="49" fillId="0" borderId="0" applyNumberFormat="0" applyFill="0" applyBorder="0" applyAlignment="0" applyProtection="0"/>
    <xf numFmtId="0" fontId="50" fillId="37" borderId="0" applyNumberFormat="0" applyBorder="0" applyAlignment="0" applyProtection="0"/>
    <xf numFmtId="0" fontId="51" fillId="0" borderId="44" applyNumberFormat="0" applyFill="0" applyAlignment="0" applyProtection="0"/>
    <xf numFmtId="0" fontId="52" fillId="0" borderId="45" applyNumberFormat="0" applyFill="0" applyAlignment="0" applyProtection="0"/>
    <xf numFmtId="0" fontId="53" fillId="0" borderId="46" applyNumberFormat="0" applyFill="0" applyAlignment="0" applyProtection="0"/>
    <xf numFmtId="0" fontId="53" fillId="0" borderId="0" applyNumberFormat="0" applyFill="0" applyBorder="0" applyAlignment="0" applyProtection="0"/>
    <xf numFmtId="0" fontId="34" fillId="0" borderId="1">
      <alignment horizontal="left"/>
    </xf>
    <xf numFmtId="0" fontId="41" fillId="0" borderId="2">
      <alignment horizontal="right" vertical="center"/>
    </xf>
    <xf numFmtId="0" fontId="42" fillId="0" borderId="1">
      <alignment horizontal="left" vertical="center"/>
    </xf>
    <xf numFmtId="0" fontId="35" fillId="0" borderId="1">
      <alignment horizontal="left" vertical="center"/>
    </xf>
    <xf numFmtId="0" fontId="34" fillId="0" borderId="1">
      <alignment horizontal="left"/>
    </xf>
    <xf numFmtId="0" fontId="34" fillId="2" borderId="0">
      <alignment horizontal="centerContinuous" wrapText="1"/>
    </xf>
    <xf numFmtId="49" fontId="34" fillId="2" borderId="3">
      <alignment horizontal="left" vertical="center"/>
    </xf>
    <xf numFmtId="0" fontId="34" fillId="2" borderId="0">
      <alignment horizontal="centerContinuous" vertical="center" wrapText="1"/>
    </xf>
    <xf numFmtId="0" fontId="54" fillId="38" borderId="42" applyNumberFormat="0" applyAlignment="0" applyProtection="0"/>
    <xf numFmtId="0" fontId="55" fillId="0" borderId="47" applyNumberFormat="0" applyFill="0" applyAlignment="0" applyProtection="0"/>
    <xf numFmtId="0" fontId="56" fillId="39" borderId="0" applyNumberFormat="0" applyBorder="0" applyAlignment="0" applyProtection="0"/>
    <xf numFmtId="0" fontId="32" fillId="0" borderId="0"/>
    <xf numFmtId="0" fontId="32" fillId="0" borderId="0"/>
    <xf numFmtId="0" fontId="32" fillId="0" borderId="0"/>
    <xf numFmtId="0" fontId="32" fillId="0" borderId="0"/>
    <xf numFmtId="0" fontId="2" fillId="0" borderId="0"/>
    <xf numFmtId="0" fontId="44" fillId="0" borderId="0"/>
    <xf numFmtId="0" fontId="44" fillId="40" borderId="48" applyNumberFormat="0" applyFont="0" applyAlignment="0" applyProtection="0"/>
    <xf numFmtId="0" fontId="44" fillId="40" borderId="48" applyNumberFormat="0" applyFont="0" applyAlignment="0" applyProtection="0"/>
    <xf numFmtId="0" fontId="44" fillId="40" borderId="48" applyNumberFormat="0" applyFont="0" applyAlignment="0" applyProtection="0"/>
    <xf numFmtId="172" fontId="57" fillId="0" borderId="0" applyFill="0" applyBorder="0" applyProtection="0">
      <alignment horizontal="right"/>
    </xf>
    <xf numFmtId="0" fontId="58" fillId="35" borderId="49" applyNumberFormat="0" applyAlignment="0" applyProtection="0"/>
    <xf numFmtId="3" fontId="39" fillId="0" borderId="0">
      <alignment horizontal="left" vertical="center"/>
    </xf>
    <xf numFmtId="0" fontId="37" fillId="0" borderId="0">
      <alignment horizontal="left" vertical="center"/>
    </xf>
    <xf numFmtId="0" fontId="43" fillId="0" borderId="0">
      <alignment horizontal="right"/>
    </xf>
    <xf numFmtId="49" fontId="43" fillId="0" borderId="0">
      <alignment horizontal="center"/>
    </xf>
    <xf numFmtId="0" fontId="40" fillId="0" borderId="0">
      <alignment horizontal="right"/>
    </xf>
    <xf numFmtId="0" fontId="43" fillId="0" borderId="0">
      <alignment horizontal="left"/>
    </xf>
    <xf numFmtId="0" fontId="7" fillId="0" borderId="0"/>
    <xf numFmtId="49" fontId="39" fillId="0" borderId="0">
      <alignment horizontal="left" vertical="center"/>
    </xf>
    <xf numFmtId="49" fontId="40" fillId="0" borderId="1">
      <alignment horizontal="left"/>
    </xf>
    <xf numFmtId="168" fontId="39" fillId="0" borderId="0" applyNumberFormat="0">
      <alignment horizontal="right"/>
    </xf>
    <xf numFmtId="0" fontId="41" fillId="3" borderId="0">
      <alignment horizontal="centerContinuous" vertical="center" wrapText="1"/>
    </xf>
    <xf numFmtId="0" fontId="41" fillId="0" borderId="4">
      <alignment horizontal="left" vertical="center"/>
    </xf>
    <xf numFmtId="0" fontId="33" fillId="0" borderId="0">
      <alignment horizontal="left" vertical="top"/>
    </xf>
    <xf numFmtId="0" fontId="59" fillId="0" borderId="0" applyNumberFormat="0" applyFill="0" applyBorder="0" applyAlignment="0" applyProtection="0"/>
    <xf numFmtId="0" fontId="60" fillId="0" borderId="0" applyNumberFormat="0" applyFill="0" applyBorder="0" applyAlignment="0" applyProtection="0"/>
    <xf numFmtId="0" fontId="34" fillId="0" borderId="0">
      <alignment horizontal="left"/>
    </xf>
    <xf numFmtId="0" fontId="38" fillId="0" borderId="0">
      <alignment horizontal="left"/>
    </xf>
    <xf numFmtId="0" fontId="35" fillId="0" borderId="0">
      <alignment horizontal="left"/>
    </xf>
    <xf numFmtId="0" fontId="33" fillId="0" borderId="0">
      <alignment horizontal="left" vertical="top"/>
    </xf>
    <xf numFmtId="0" fontId="38" fillId="0" borderId="0">
      <alignment horizontal="left"/>
    </xf>
    <xf numFmtId="0" fontId="35" fillId="0" borderId="0">
      <alignment horizontal="left"/>
    </xf>
    <xf numFmtId="0" fontId="21" fillId="4" borderId="0" applyNumberFormat="0" applyBorder="0">
      <protection locked="0"/>
    </xf>
    <xf numFmtId="0" fontId="61" fillId="0" borderId="50" applyNumberFormat="0" applyFill="0" applyAlignment="0" applyProtection="0"/>
    <xf numFmtId="0" fontId="22" fillId="5" borderId="0" applyNumberFormat="0" applyBorder="0">
      <protection locked="0"/>
    </xf>
    <xf numFmtId="0" fontId="62" fillId="0" borderId="0" applyNumberFormat="0" applyFill="0" applyBorder="0" applyAlignment="0" applyProtection="0"/>
    <xf numFmtId="49" fontId="39" fillId="0" borderId="1">
      <alignment horizontal="left"/>
    </xf>
    <xf numFmtId="0" fontId="41" fillId="0" borderId="2">
      <alignment horizontal="left"/>
    </xf>
    <xf numFmtId="0" fontId="34" fillId="0" borderId="0">
      <alignment horizontal="left" vertical="center"/>
    </xf>
    <xf numFmtId="49" fontId="43" fillId="0" borderId="1">
      <alignment horizontal="left"/>
    </xf>
    <xf numFmtId="0" fontId="2" fillId="0" borderId="0"/>
    <xf numFmtId="0" fontId="1" fillId="0" borderId="0"/>
    <xf numFmtId="9" fontId="1" fillId="0" borderId="0" applyFont="0" applyFill="0" applyBorder="0" applyAlignment="0" applyProtection="0"/>
    <xf numFmtId="0" fontId="63" fillId="0" borderId="0" applyNumberFormat="0" applyFill="0" applyBorder="0" applyAlignment="0" applyProtection="0"/>
    <xf numFmtId="0" fontId="2" fillId="0" borderId="0"/>
    <xf numFmtId="174" fontId="2" fillId="0" borderId="0" applyFont="0" applyFill="0" applyBorder="0" applyAlignment="0" applyProtection="0"/>
    <xf numFmtId="0" fontId="1" fillId="0" borderId="0"/>
    <xf numFmtId="0" fontId="1" fillId="0" borderId="0"/>
    <xf numFmtId="0" fontId="68" fillId="0" borderId="0"/>
  </cellStyleXfs>
  <cellXfs count="612">
    <xf numFmtId="0" fontId="0" fillId="0" borderId="0" xfId="0"/>
    <xf numFmtId="0" fontId="0" fillId="0" borderId="0" xfId="0" applyBorder="1"/>
    <xf numFmtId="0" fontId="5" fillId="0" borderId="0" xfId="0" applyFont="1" applyBorder="1"/>
    <xf numFmtId="0" fontId="5" fillId="0" borderId="0" xfId="0" applyFont="1"/>
    <xf numFmtId="0" fontId="0" fillId="0" borderId="0" xfId="0" applyFill="1" applyBorder="1"/>
    <xf numFmtId="0" fontId="10" fillId="0" borderId="0" xfId="0" applyFont="1"/>
    <xf numFmtId="0" fontId="13" fillId="0" borderId="0" xfId="0" applyFont="1"/>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left"/>
    </xf>
    <xf numFmtId="0" fontId="14" fillId="0" borderId="0" xfId="0" applyFont="1"/>
    <xf numFmtId="0" fontId="9" fillId="0" borderId="0" xfId="0" applyFont="1"/>
    <xf numFmtId="0" fontId="7" fillId="0" borderId="0" xfId="0" applyFont="1"/>
    <xf numFmtId="0" fontId="17" fillId="0" borderId="0" xfId="0" applyFont="1" applyAlignment="1">
      <alignment horizontal="left" vertical="center"/>
    </xf>
    <xf numFmtId="0" fontId="18" fillId="0" borderId="0" xfId="0" applyFont="1"/>
    <xf numFmtId="0" fontId="5" fillId="0" borderId="0" xfId="0" applyFont="1" applyAlignment="1">
      <alignment horizont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quotePrefix="1" applyFont="1" applyAlignment="1">
      <alignment horizontal="right" vertical="top"/>
    </xf>
    <xf numFmtId="0" fontId="8" fillId="0" borderId="0" xfId="0" quotePrefix="1" applyFont="1" applyBorder="1" applyAlignment="1">
      <alignment horizontal="right" vertical="top"/>
    </xf>
    <xf numFmtId="0" fontId="7" fillId="0" borderId="0" xfId="0" applyFont="1" applyBorder="1" applyAlignment="1">
      <alignment horizontal="right" vertical="center"/>
    </xf>
    <xf numFmtId="0" fontId="7" fillId="0" borderId="3" xfId="0" applyFont="1" applyBorder="1" applyAlignment="1">
      <alignment horizontal="right" vertical="center"/>
    </xf>
    <xf numFmtId="0" fontId="3" fillId="0" borderId="3" xfId="0" applyFont="1" applyBorder="1" applyAlignment="1">
      <alignment horizontal="center" vertical="center"/>
    </xf>
    <xf numFmtId="0" fontId="23" fillId="0" borderId="0" xfId="0" applyFont="1" applyAlignment="1">
      <alignment horizontal="center"/>
    </xf>
    <xf numFmtId="0" fontId="0" fillId="0" borderId="0" xfId="0" applyAlignment="1">
      <alignment vertical="center"/>
    </xf>
    <xf numFmtId="0" fontId="9" fillId="0" borderId="0" xfId="0" applyFont="1" applyBorder="1" applyAlignment="1">
      <alignment horizontal="left" vertical="top" wrapText="1"/>
    </xf>
    <xf numFmtId="0" fontId="9" fillId="0" borderId="0" xfId="0" applyFont="1" applyBorder="1"/>
    <xf numFmtId="0" fontId="0" fillId="0" borderId="0" xfId="0" applyBorder="1" applyAlignment="1">
      <alignment vertical="center"/>
    </xf>
    <xf numFmtId="0" fontId="5" fillId="0" borderId="0" xfId="0" applyFont="1" applyFill="1" applyBorder="1"/>
    <xf numFmtId="0" fontId="12" fillId="0" borderId="0" xfId="0" applyFont="1"/>
    <xf numFmtId="0" fontId="0" fillId="0" borderId="8" xfId="0" applyFill="1" applyBorder="1"/>
    <xf numFmtId="0" fontId="25" fillId="0" borderId="0" xfId="0" applyFont="1" applyAlignment="1">
      <alignment vertical="center"/>
    </xf>
    <xf numFmtId="0" fontId="23" fillId="0" borderId="0" xfId="0" applyFont="1" applyFill="1" applyBorder="1" applyAlignment="1">
      <alignment horizontal="center"/>
    </xf>
    <xf numFmtId="0" fontId="9" fillId="0" borderId="0" xfId="0" applyFont="1" applyFill="1" applyBorder="1" applyAlignment="1">
      <alignment horizontal="center"/>
    </xf>
    <xf numFmtId="0" fontId="13" fillId="0" borderId="0" xfId="0" applyFont="1" applyBorder="1" applyAlignment="1">
      <alignment horizontal="left" vertical="top" wrapText="1"/>
    </xf>
    <xf numFmtId="0" fontId="2" fillId="0" borderId="0" xfId="0" applyFont="1" applyBorder="1" applyAlignment="1">
      <alignment horizontal="left" vertical="top"/>
    </xf>
    <xf numFmtId="0" fontId="26" fillId="0" borderId="0" xfId="0" applyFont="1"/>
    <xf numFmtId="0" fontId="24" fillId="0" borderId="0" xfId="0" quotePrefix="1" applyFont="1" applyBorder="1" applyAlignment="1">
      <alignment horizontal="right" vertical="top"/>
    </xf>
    <xf numFmtId="0" fontId="26" fillId="0" borderId="0" xfId="0" applyFont="1" applyBorder="1" applyAlignment="1">
      <alignment horizontal="left" vertical="top"/>
    </xf>
    <xf numFmtId="0" fontId="24" fillId="0" borderId="0" xfId="0" quotePrefix="1" applyFont="1" applyBorder="1" applyAlignment="1">
      <alignment horizontal="right" vertical="center"/>
    </xf>
    <xf numFmtId="0" fontId="26" fillId="0" borderId="0" xfId="0" applyFont="1" applyBorder="1" applyAlignment="1">
      <alignment vertical="top"/>
    </xf>
    <xf numFmtId="0" fontId="26" fillId="0" borderId="0" xfId="0" applyFont="1" applyAlignment="1">
      <alignment vertical="top" wrapText="1"/>
    </xf>
    <xf numFmtId="0" fontId="7" fillId="0" borderId="0" xfId="0" applyFont="1" applyBorder="1" applyAlignment="1">
      <alignment horizontal="right"/>
    </xf>
    <xf numFmtId="9" fontId="5" fillId="0" borderId="0" xfId="0" applyNumberFormat="1" applyFont="1" applyAlignment="1">
      <alignment horizontal="center"/>
    </xf>
    <xf numFmtId="0" fontId="5" fillId="0" borderId="0" xfId="0" applyFont="1" applyAlignment="1">
      <alignment vertical="top"/>
    </xf>
    <xf numFmtId="0" fontId="23" fillId="0" borderId="0" xfId="0" applyFont="1" applyBorder="1" applyAlignment="1">
      <alignment horizontal="center" vertical="center" wrapText="1"/>
    </xf>
    <xf numFmtId="9" fontId="5" fillId="0" borderId="0" xfId="0" applyNumberFormat="1" applyFont="1" applyAlignment="1">
      <alignment horizontal="center" vertical="top"/>
    </xf>
    <xf numFmtId="49" fontId="3" fillId="0" borderId="0" xfId="0" applyNumberFormat="1" applyFont="1" applyAlignment="1">
      <alignment horizontal="left" vertical="center"/>
    </xf>
    <xf numFmtId="165" fontId="3" fillId="0" borderId="0" xfId="0" quotePrefix="1" applyNumberFormat="1"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vertical="center"/>
    </xf>
    <xf numFmtId="17" fontId="4" fillId="0" borderId="0" xfId="0" quotePrefix="1" applyNumberFormat="1" applyFont="1" applyBorder="1" applyAlignment="1">
      <alignment horizontal="center" vertical="center" wrapText="1"/>
    </xf>
    <xf numFmtId="0" fontId="9" fillId="6" borderId="6" xfId="0" applyFont="1" applyFill="1" applyBorder="1" applyAlignment="1">
      <alignment horizontal="center" vertical="center"/>
    </xf>
    <xf numFmtId="164" fontId="7" fillId="0" borderId="0" xfId="0"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0" fontId="0" fillId="0" borderId="0" xfId="0" applyFill="1"/>
    <xf numFmtId="164" fontId="7" fillId="0" borderId="0" xfId="0" applyNumberFormat="1" applyFont="1" applyFill="1" applyBorder="1" applyAlignment="1">
      <alignment horizontal="center" vertical="center"/>
    </xf>
    <xf numFmtId="0" fontId="24" fillId="0" borderId="0" xfId="0" applyFont="1" applyBorder="1" applyAlignment="1">
      <alignment horizontal="center" vertical="top" wrapText="1"/>
    </xf>
    <xf numFmtId="1" fontId="6" fillId="0" borderId="0" xfId="0" applyNumberFormat="1" applyFont="1" applyFill="1" applyBorder="1" applyAlignment="1">
      <alignment horizontal="center" vertical="center"/>
    </xf>
    <xf numFmtId="0" fontId="9" fillId="0" borderId="0" xfId="0" applyFont="1" applyBorder="1" applyAlignment="1">
      <alignment horizontal="left" wrapText="1"/>
    </xf>
    <xf numFmtId="1" fontId="6" fillId="0" borderId="3" xfId="0" applyNumberFormat="1" applyFont="1" applyFill="1" applyBorder="1" applyAlignment="1">
      <alignment horizontal="center" vertical="center"/>
    </xf>
    <xf numFmtId="0" fontId="12" fillId="0" borderId="0" xfId="0" applyFont="1" applyBorder="1" applyAlignment="1">
      <alignment horizontal="left" vertical="top"/>
    </xf>
    <xf numFmtId="0" fontId="9" fillId="7" borderId="5" xfId="0" applyFont="1" applyFill="1" applyBorder="1" applyAlignment="1">
      <alignment horizontal="center" vertical="top" wrapText="1"/>
    </xf>
    <xf numFmtId="0" fontId="9" fillId="7" borderId="9" xfId="0" applyFont="1" applyFill="1" applyBorder="1" applyAlignment="1">
      <alignment horizontal="center" vertical="top"/>
    </xf>
    <xf numFmtId="0" fontId="5" fillId="7" borderId="7" xfId="0" quotePrefix="1" applyFont="1" applyFill="1" applyBorder="1" applyAlignment="1">
      <alignment horizontal="center" vertical="top" wrapText="1"/>
    </xf>
    <xf numFmtId="0" fontId="9" fillId="7" borderId="7" xfId="0" applyFont="1" applyFill="1" applyBorder="1" applyAlignment="1">
      <alignment horizontal="center" vertical="top"/>
    </xf>
    <xf numFmtId="0" fontId="29" fillId="6" borderId="5" xfId="0" applyFont="1" applyFill="1" applyBorder="1" applyAlignment="1">
      <alignment horizontal="center" vertical="center"/>
    </xf>
    <xf numFmtId="0" fontId="29" fillId="6" borderId="6" xfId="0" applyFont="1" applyFill="1" applyBorder="1" applyAlignment="1">
      <alignment horizontal="center" vertical="center"/>
    </xf>
    <xf numFmtId="0" fontId="9" fillId="0" borderId="0" xfId="0" applyFont="1" applyFill="1" applyBorder="1"/>
    <xf numFmtId="0" fontId="9" fillId="7" borderId="5" xfId="0" applyFont="1" applyFill="1" applyBorder="1" applyAlignment="1">
      <alignment horizontal="center" vertical="top"/>
    </xf>
    <xf numFmtId="0" fontId="9" fillId="7" borderId="10" xfId="0" applyFont="1" applyFill="1" applyBorder="1" applyAlignment="1">
      <alignment horizontal="center" vertical="top"/>
    </xf>
    <xf numFmtId="164" fontId="9" fillId="0" borderId="6" xfId="0" applyNumberFormat="1" applyFont="1" applyFill="1" applyBorder="1" applyAlignment="1">
      <alignment horizontal="center" vertical="center"/>
    </xf>
    <xf numFmtId="0" fontId="29" fillId="6" borderId="7" xfId="0" applyFont="1" applyFill="1" applyBorder="1" applyAlignment="1">
      <alignment horizontal="center" vertical="center" wrapText="1"/>
    </xf>
    <xf numFmtId="0" fontId="9" fillId="7" borderId="9" xfId="0" quotePrefix="1" applyFont="1" applyFill="1" applyBorder="1" applyAlignment="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1" fontId="6" fillId="7" borderId="0" xfId="0" applyNumberFormat="1" applyFont="1" applyFill="1" applyBorder="1" applyAlignment="1">
      <alignment horizontal="center" vertical="center"/>
    </xf>
    <xf numFmtId="1" fontId="6" fillId="7" borderId="3" xfId="0" applyNumberFormat="1" applyFont="1" applyFill="1" applyBorder="1" applyAlignment="1">
      <alignment horizontal="center" vertical="center"/>
    </xf>
    <xf numFmtId="1" fontId="6" fillId="7" borderId="11" xfId="0" applyNumberFormat="1" applyFont="1" applyFill="1" applyBorder="1" applyAlignment="1">
      <alignment horizontal="center"/>
    </xf>
    <xf numFmtId="1" fontId="6" fillId="7" borderId="12" xfId="0" applyNumberFormat="1" applyFont="1" applyFill="1" applyBorder="1" applyAlignment="1">
      <alignment horizontal="center"/>
    </xf>
    <xf numFmtId="1" fontId="6" fillId="7" borderId="13" xfId="0" applyNumberFormat="1"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1" fontId="6" fillId="0" borderId="13" xfId="0" applyNumberFormat="1" applyFont="1" applyFill="1" applyBorder="1" applyAlignment="1">
      <alignment horizontal="center" vertical="center"/>
    </xf>
    <xf numFmtId="4" fontId="0" fillId="0" borderId="0" xfId="0" applyNumberFormat="1"/>
    <xf numFmtId="0" fontId="7" fillId="0" borderId="0" xfId="0" applyFont="1" applyAlignment="1">
      <alignment vertical="top"/>
    </xf>
    <xf numFmtId="0" fontId="9" fillId="0" borderId="0" xfId="0" applyFont="1" applyAlignment="1">
      <alignment vertical="top"/>
    </xf>
    <xf numFmtId="164" fontId="7" fillId="0" borderId="12" xfId="0" applyNumberFormat="1" applyFont="1" applyFill="1" applyBorder="1" applyAlignment="1">
      <alignment horizontal="center" vertical="center"/>
    </xf>
    <xf numFmtId="2" fontId="7" fillId="0" borderId="6" xfId="0" applyNumberFormat="1" applyFont="1" applyFill="1" applyBorder="1" applyAlignment="1">
      <alignment horizontal="right" vertical="center"/>
    </xf>
    <xf numFmtId="2" fontId="7" fillId="0" borderId="6" xfId="0" applyNumberFormat="1" applyFont="1" applyBorder="1" applyAlignment="1">
      <alignment horizontal="right" vertical="center"/>
    </xf>
    <xf numFmtId="2" fontId="7" fillId="0" borderId="7" xfId="0" applyNumberFormat="1" applyFont="1" applyFill="1" applyBorder="1" applyAlignment="1">
      <alignment horizontal="right" vertical="center"/>
    </xf>
    <xf numFmtId="2" fontId="7" fillId="6" borderId="14" xfId="0" applyNumberFormat="1" applyFont="1" applyFill="1" applyBorder="1" applyAlignment="1">
      <alignment horizontal="right" vertical="center"/>
    </xf>
    <xf numFmtId="0" fontId="29" fillId="7" borderId="5" xfId="0" applyFont="1" applyFill="1" applyBorder="1" applyAlignment="1">
      <alignment horizontal="center" wrapText="1"/>
    </xf>
    <xf numFmtId="0" fontId="9" fillId="7" borderId="6" xfId="0" applyFont="1" applyFill="1" applyBorder="1" applyAlignment="1">
      <alignment horizontal="center" vertical="top"/>
    </xf>
    <xf numFmtId="2" fontId="7" fillId="6" borderId="6" xfId="0" applyNumberFormat="1" applyFont="1" applyFill="1" applyBorder="1" applyAlignment="1">
      <alignment horizontal="right" vertical="center"/>
    </xf>
    <xf numFmtId="1" fontId="6" fillId="7" borderId="5" xfId="0" applyNumberFormat="1" applyFont="1" applyFill="1" applyBorder="1" applyAlignment="1">
      <alignment horizontal="center"/>
    </xf>
    <xf numFmtId="1" fontId="6" fillId="7" borderId="7" xfId="0" applyNumberFormat="1" applyFont="1" applyFill="1" applyBorder="1" applyAlignment="1">
      <alignment horizontal="center" vertical="center"/>
    </xf>
    <xf numFmtId="1" fontId="6" fillId="7" borderId="6" xfId="0" applyNumberFormat="1" applyFont="1" applyFill="1" applyBorder="1" applyAlignment="1">
      <alignment horizontal="center" vertical="center"/>
    </xf>
    <xf numFmtId="164" fontId="19" fillId="0" borderId="9" xfId="0" applyNumberFormat="1" applyFont="1" applyFill="1" applyBorder="1" applyAlignment="1">
      <alignment horizontal="right" vertical="center"/>
    </xf>
    <xf numFmtId="164" fontId="19" fillId="0" borderId="8" xfId="0" applyNumberFormat="1" applyFont="1" applyFill="1" applyBorder="1" applyAlignment="1">
      <alignment horizontal="right" vertical="center"/>
    </xf>
    <xf numFmtId="164" fontId="19" fillId="0" borderId="1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7" fillId="0" borderId="13" xfId="0" applyNumberFormat="1" applyFont="1" applyFill="1" applyBorder="1" applyAlignment="1">
      <alignment horizontal="right" vertical="center"/>
    </xf>
    <xf numFmtId="167" fontId="27" fillId="0" borderId="11" xfId="0" applyNumberFormat="1" applyFont="1" applyFill="1" applyBorder="1" applyAlignment="1">
      <alignment horizontal="right" vertical="center"/>
    </xf>
    <xf numFmtId="0" fontId="9" fillId="6" borderId="11"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5" xfId="0" applyFont="1" applyFill="1" applyBorder="1" applyAlignment="1">
      <alignment horizontal="center" vertical="center"/>
    </xf>
    <xf numFmtId="164" fontId="7" fillId="0" borderId="15" xfId="0" applyNumberFormat="1" applyFont="1" applyFill="1" applyBorder="1" applyAlignment="1">
      <alignment horizontal="right" vertical="center"/>
    </xf>
    <xf numFmtId="164" fontId="7" fillId="0" borderId="13" xfId="0" applyNumberFormat="1" applyFont="1" applyFill="1" applyBorder="1" applyAlignment="1">
      <alignment horizontal="right" vertical="center"/>
    </xf>
    <xf numFmtId="0" fontId="29" fillId="6" borderId="6" xfId="0" applyFont="1" applyFill="1" applyBorder="1" applyAlignment="1">
      <alignment horizontal="center"/>
    </xf>
    <xf numFmtId="0" fontId="29" fillId="6" borderId="5" xfId="0" applyFont="1" applyFill="1" applyBorder="1" applyAlignment="1">
      <alignment horizontal="center"/>
    </xf>
    <xf numFmtId="0" fontId="29" fillId="6" borderId="16" xfId="0" applyFont="1" applyFill="1" applyBorder="1" applyAlignment="1">
      <alignment horizontal="center"/>
    </xf>
    <xf numFmtId="0" fontId="5" fillId="7" borderId="6" xfId="0" quotePrefix="1" applyFont="1" applyFill="1" applyBorder="1" applyAlignment="1">
      <alignment horizontal="center" vertical="top" wrapText="1"/>
    </xf>
    <xf numFmtId="0" fontId="9" fillId="7" borderId="8" xfId="0" applyFont="1" applyFill="1" applyBorder="1" applyAlignment="1">
      <alignment horizontal="center" vertical="top"/>
    </xf>
    <xf numFmtId="164" fontId="9" fillId="0" borderId="5" xfId="0" applyNumberFormat="1" applyFont="1" applyFill="1" applyBorder="1" applyAlignment="1">
      <alignment horizontal="center" vertical="center"/>
    </xf>
    <xf numFmtId="0" fontId="29" fillId="6" borderId="17" xfId="0" applyFont="1" applyFill="1" applyBorder="1" applyAlignment="1">
      <alignment horizontal="center"/>
    </xf>
    <xf numFmtId="0" fontId="5" fillId="0" borderId="0" xfId="0" applyFont="1" applyAlignment="1"/>
    <xf numFmtId="0" fontId="9" fillId="0" borderId="0" xfId="0" applyFont="1" applyAlignment="1">
      <alignment horizontal="left" vertical="top"/>
    </xf>
    <xf numFmtId="0" fontId="9" fillId="0" borderId="0" xfId="0" applyNumberFormat="1" applyFont="1" applyAlignment="1">
      <alignment vertical="top"/>
    </xf>
    <xf numFmtId="0" fontId="5" fillId="0" borderId="0" xfId="0" applyNumberFormat="1" applyFont="1" applyAlignment="1">
      <alignment vertical="top"/>
    </xf>
    <xf numFmtId="0" fontId="9" fillId="0" borderId="0" xfId="0" applyNumberFormat="1" applyFont="1" applyBorder="1" applyAlignment="1">
      <alignment horizontal="left" vertical="top"/>
    </xf>
    <xf numFmtId="0" fontId="9" fillId="0" borderId="18" xfId="0" applyFont="1" applyFill="1" applyBorder="1" applyAlignment="1">
      <alignment horizontal="left" vertical="top" wrapText="1"/>
    </xf>
    <xf numFmtId="0" fontId="6" fillId="0" borderId="0" xfId="0" applyFont="1"/>
    <xf numFmtId="0" fontId="9" fillId="0" borderId="0" xfId="0" applyFont="1" applyBorder="1" applyAlignment="1">
      <alignment wrapText="1"/>
    </xf>
    <xf numFmtId="0" fontId="0" fillId="0" borderId="10" xfId="0" applyFill="1" applyBorder="1"/>
    <xf numFmtId="0" fontId="7" fillId="0" borderId="0" xfId="0" quotePrefix="1" applyFont="1" applyFill="1" applyBorder="1" applyAlignment="1">
      <alignment vertical="top" wrapText="1"/>
    </xf>
    <xf numFmtId="1" fontId="31" fillId="8" borderId="12" xfId="0" applyNumberFormat="1" applyFont="1" applyFill="1" applyBorder="1" applyAlignment="1">
      <alignment horizontal="center" vertical="center"/>
    </xf>
    <xf numFmtId="0" fontId="24" fillId="0" borderId="0" xfId="0" applyFont="1" applyBorder="1" applyAlignment="1">
      <alignment vertical="top" wrapText="1"/>
    </xf>
    <xf numFmtId="0" fontId="23" fillId="0" borderId="0" xfId="0" applyFont="1" applyBorder="1" applyAlignment="1">
      <alignment vertical="center" wrapText="1"/>
    </xf>
    <xf numFmtId="1" fontId="6" fillId="9" borderId="5" xfId="0" applyNumberFormat="1" applyFont="1" applyFill="1" applyBorder="1" applyAlignment="1">
      <alignment horizontal="center" vertical="center"/>
    </xf>
    <xf numFmtId="0" fontId="7" fillId="0" borderId="0" xfId="0" quotePrefix="1" applyFont="1" applyFill="1" applyBorder="1" applyAlignment="1">
      <alignment horizontal="left" vertical="top" wrapText="1"/>
    </xf>
    <xf numFmtId="1" fontId="6" fillId="7" borderId="9" xfId="0" applyNumberFormat="1" applyFont="1" applyFill="1" applyBorder="1" applyAlignment="1">
      <alignment horizontal="center"/>
    </xf>
    <xf numFmtId="1" fontId="6" fillId="7" borderId="10" xfId="0" applyNumberFormat="1" applyFont="1" applyFill="1" applyBorder="1" applyAlignment="1">
      <alignment horizontal="center" vertical="center"/>
    </xf>
    <xf numFmtId="164" fontId="19" fillId="0" borderId="0" xfId="0" applyNumberFormat="1" applyFont="1" applyFill="1" applyBorder="1" applyAlignment="1">
      <alignment horizontal="right" vertical="center"/>
    </xf>
    <xf numFmtId="0" fontId="29" fillId="6" borderId="11" xfId="0" applyFont="1" applyFill="1" applyBorder="1" applyAlignment="1">
      <alignment horizontal="center" vertical="center" wrapText="1"/>
    </xf>
    <xf numFmtId="0" fontId="29" fillId="6" borderId="18" xfId="0" applyFont="1" applyFill="1" applyBorder="1" applyAlignment="1">
      <alignment horizontal="center" vertical="center" wrapText="1"/>
    </xf>
    <xf numFmtId="164" fontId="19" fillId="0" borderId="12" xfId="0" applyNumberFormat="1" applyFont="1" applyFill="1" applyBorder="1" applyAlignment="1">
      <alignment horizontal="right" vertical="center"/>
    </xf>
    <xf numFmtId="164" fontId="19" fillId="0" borderId="15" xfId="0" applyNumberFormat="1" applyFont="1" applyFill="1" applyBorder="1" applyAlignment="1">
      <alignment horizontal="right" vertical="center"/>
    </xf>
    <xf numFmtId="164" fontId="19" fillId="0" borderId="3" xfId="0" applyNumberFormat="1" applyFont="1" applyFill="1" applyBorder="1" applyAlignment="1">
      <alignment horizontal="right" vertical="center"/>
    </xf>
    <xf numFmtId="164" fontId="5" fillId="0" borderId="15"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7" fillId="0" borderId="14" xfId="0" applyNumberFormat="1" applyFont="1" applyFill="1" applyBorder="1" applyAlignment="1">
      <alignment horizontal="right" vertical="center"/>
    </xf>
    <xf numFmtId="164" fontId="7" fillId="6" borderId="15" xfId="0" applyNumberFormat="1" applyFont="1" applyFill="1" applyBorder="1" applyAlignment="1">
      <alignment horizontal="right" vertical="center"/>
    </xf>
    <xf numFmtId="164" fontId="7" fillId="6" borderId="0" xfId="0" applyNumberFormat="1" applyFont="1" applyFill="1" applyBorder="1" applyAlignment="1">
      <alignment horizontal="right" vertical="center"/>
    </xf>
    <xf numFmtId="164" fontId="7" fillId="6" borderId="8" xfId="0" applyNumberFormat="1" applyFont="1" applyFill="1" applyBorder="1" applyAlignment="1">
      <alignment horizontal="right" vertical="center"/>
    </xf>
    <xf numFmtId="164" fontId="5" fillId="0" borderId="15" xfId="0" applyNumberFormat="1" applyFont="1" applyFill="1" applyBorder="1" applyAlignment="1">
      <alignment horizontal="right" vertical="center"/>
    </xf>
    <xf numFmtId="164" fontId="5" fillId="0" borderId="0" xfId="0" applyNumberFormat="1" applyFont="1" applyFill="1" applyBorder="1" applyAlignment="1">
      <alignment horizontal="right" vertical="center"/>
    </xf>
    <xf numFmtId="164" fontId="5" fillId="6" borderId="15" xfId="0" applyNumberFormat="1" applyFont="1" applyFill="1" applyBorder="1" applyAlignment="1">
      <alignment horizontal="right" vertical="center"/>
    </xf>
    <xf numFmtId="164" fontId="5" fillId="6" borderId="0" xfId="0" applyNumberFormat="1" applyFont="1" applyFill="1" applyBorder="1" applyAlignment="1">
      <alignment horizontal="right" vertical="center"/>
    </xf>
    <xf numFmtId="164" fontId="7" fillId="6" borderId="14" xfId="0" applyNumberFormat="1" applyFont="1" applyFill="1" applyBorder="1" applyAlignment="1">
      <alignment horizontal="right" vertical="center"/>
    </xf>
    <xf numFmtId="164" fontId="19" fillId="6" borderId="15" xfId="0" applyNumberFormat="1" applyFont="1" applyFill="1" applyBorder="1" applyAlignment="1">
      <alignment horizontal="right" vertical="center"/>
    </xf>
    <xf numFmtId="164" fontId="19" fillId="6" borderId="0" xfId="0" applyNumberFormat="1" applyFont="1" applyFill="1" applyBorder="1" applyAlignment="1">
      <alignment horizontal="right" vertical="center"/>
    </xf>
    <xf numFmtId="164" fontId="7" fillId="0" borderId="15" xfId="0" applyNumberFormat="1" applyFont="1" applyBorder="1" applyAlignment="1">
      <alignment horizontal="right" vertical="center"/>
    </xf>
    <xf numFmtId="164" fontId="7" fillId="0" borderId="0" xfId="0" applyNumberFormat="1" applyFont="1" applyBorder="1" applyAlignment="1">
      <alignment horizontal="right" vertical="center"/>
    </xf>
    <xf numFmtId="164" fontId="7" fillId="0" borderId="8" xfId="0" applyNumberFormat="1" applyFont="1" applyBorder="1" applyAlignment="1">
      <alignment horizontal="right" vertical="center"/>
    </xf>
    <xf numFmtId="164" fontId="7" fillId="0" borderId="8" xfId="0" applyNumberFormat="1" applyFont="1" applyFill="1" applyBorder="1" applyAlignment="1">
      <alignment horizontal="right" vertical="center"/>
    </xf>
    <xf numFmtId="164" fontId="7" fillId="6" borderId="13" xfId="0" applyNumberFormat="1" applyFont="1" applyFill="1" applyBorder="1" applyAlignment="1">
      <alignment horizontal="right" vertical="center"/>
    </xf>
    <xf numFmtId="164" fontId="7" fillId="6" borderId="3" xfId="0" applyNumberFormat="1" applyFont="1" applyFill="1" applyBorder="1" applyAlignment="1">
      <alignment horizontal="right" vertical="center"/>
    </xf>
    <xf numFmtId="164" fontId="7" fillId="0" borderId="10" xfId="0" applyNumberFormat="1" applyFont="1" applyFill="1" applyBorder="1" applyAlignment="1">
      <alignment horizontal="right" vertical="center"/>
    </xf>
    <xf numFmtId="164" fontId="19" fillId="0" borderId="0" xfId="0" applyNumberFormat="1" applyFont="1" applyBorder="1" applyAlignment="1">
      <alignment horizontal="right" vertical="center"/>
    </xf>
    <xf numFmtId="164" fontId="7" fillId="0" borderId="3" xfId="0" applyNumberFormat="1" applyFont="1" applyBorder="1" applyAlignment="1">
      <alignment horizontal="right" vertical="center"/>
    </xf>
    <xf numFmtId="164" fontId="6" fillId="6" borderId="8" xfId="0" applyNumberFormat="1" applyFont="1" applyFill="1" applyBorder="1" applyAlignment="1">
      <alignment horizontal="center" vertical="center"/>
    </xf>
    <xf numFmtId="164" fontId="6" fillId="0" borderId="8" xfId="0" applyNumberFormat="1" applyFont="1" applyFill="1" applyBorder="1" applyAlignment="1">
      <alignment horizontal="center" vertical="center"/>
    </xf>
    <xf numFmtId="164" fontId="0" fillId="0" borderId="0" xfId="0" applyNumberFormat="1"/>
    <xf numFmtId="0" fontId="5" fillId="0" borderId="0" xfId="0" quotePrefix="1" applyFont="1" applyAlignment="1">
      <alignment vertical="top"/>
    </xf>
    <xf numFmtId="164" fontId="5" fillId="0" borderId="12" xfId="0" applyNumberFormat="1" applyFont="1" applyBorder="1" applyAlignment="1">
      <alignment horizontal="right" vertical="center"/>
    </xf>
    <xf numFmtId="164" fontId="5" fillId="0" borderId="8" xfId="0" applyNumberFormat="1" applyFont="1" applyFill="1" applyBorder="1" applyAlignment="1">
      <alignment horizontal="right" vertical="center"/>
    </xf>
    <xf numFmtId="164" fontId="6" fillId="0" borderId="6" xfId="0" applyNumberFormat="1" applyFont="1" applyFill="1" applyBorder="1" applyAlignment="1">
      <alignment horizontal="center" vertical="center"/>
    </xf>
    <xf numFmtId="166" fontId="0" fillId="0" borderId="0" xfId="0" applyNumberFormat="1" applyFill="1" applyBorder="1" applyAlignment="1"/>
    <xf numFmtId="0" fontId="5" fillId="0" borderId="0" xfId="0" applyFont="1" applyBorder="1" applyAlignment="1">
      <alignment horizontal="right" vertical="center"/>
    </xf>
    <xf numFmtId="164" fontId="19" fillId="6" borderId="8" xfId="0" applyNumberFormat="1" applyFont="1" applyFill="1" applyBorder="1" applyAlignment="1">
      <alignment horizontal="right" vertical="center"/>
    </xf>
    <xf numFmtId="0" fontId="32" fillId="0" borderId="0" xfId="77"/>
    <xf numFmtId="0" fontId="2" fillId="0" borderId="0" xfId="77" applyNumberFormat="1" applyFont="1" applyFill="1" applyBorder="1" applyAlignment="1"/>
    <xf numFmtId="164" fontId="5" fillId="6" borderId="3" xfId="0" applyNumberFormat="1" applyFont="1" applyFill="1" applyBorder="1" applyAlignment="1">
      <alignment horizontal="right" vertical="center"/>
    </xf>
    <xf numFmtId="164" fontId="5" fillId="6" borderId="8" xfId="0" applyNumberFormat="1" applyFont="1" applyFill="1" applyBorder="1" applyAlignment="1">
      <alignment horizontal="right" vertical="center"/>
    </xf>
    <xf numFmtId="164" fontId="5" fillId="0" borderId="8" xfId="0" applyNumberFormat="1" applyFont="1" applyBorder="1" applyAlignment="1">
      <alignment horizontal="right" vertical="center"/>
    </xf>
    <xf numFmtId="0" fontId="6" fillId="0" borderId="0" xfId="0" applyFont="1" applyAlignment="1">
      <alignment vertical="top"/>
    </xf>
    <xf numFmtId="164" fontId="5" fillId="0" borderId="12" xfId="0" applyNumberFormat="1" applyFont="1" applyFill="1" applyBorder="1" applyAlignment="1">
      <alignment horizontal="right" vertical="center"/>
    </xf>
    <xf numFmtId="0" fontId="6" fillId="41" borderId="6" xfId="0" applyFont="1" applyFill="1" applyBorder="1" applyAlignment="1">
      <alignment horizontal="center" vertical="center"/>
    </xf>
    <xf numFmtId="2" fontId="7" fillId="41" borderId="6" xfId="0" applyNumberFormat="1" applyFont="1" applyFill="1" applyBorder="1" applyAlignment="1">
      <alignment horizontal="right" vertical="center"/>
    </xf>
    <xf numFmtId="164" fontId="7" fillId="41" borderId="0" xfId="0" applyNumberFormat="1" applyFont="1" applyFill="1" applyBorder="1" applyAlignment="1">
      <alignment horizontal="right" vertical="center"/>
    </xf>
    <xf numFmtId="164" fontId="7" fillId="41" borderId="14" xfId="0" applyNumberFormat="1" applyFont="1" applyFill="1" applyBorder="1" applyAlignment="1">
      <alignment horizontal="right" vertical="center"/>
    </xf>
    <xf numFmtId="164" fontId="5" fillId="6" borderId="14" xfId="0" applyNumberFormat="1" applyFont="1" applyFill="1" applyBorder="1" applyAlignment="1">
      <alignment horizontal="right" vertical="center"/>
    </xf>
    <xf numFmtId="164" fontId="5" fillId="41" borderId="0" xfId="0" applyNumberFormat="1" applyFont="1" applyFill="1" applyBorder="1" applyAlignment="1">
      <alignment horizontal="right" vertical="center"/>
    </xf>
    <xf numFmtId="0" fontId="6" fillId="42" borderId="6" xfId="0" applyFont="1" applyFill="1" applyBorder="1" applyAlignment="1">
      <alignment horizontal="center" vertical="center"/>
    </xf>
    <xf numFmtId="2" fontId="7" fillId="42" borderId="6" xfId="0" applyNumberFormat="1" applyFont="1" applyFill="1" applyBorder="1" applyAlignment="1">
      <alignment horizontal="right" vertical="center"/>
    </xf>
    <xf numFmtId="164" fontId="7" fillId="42" borderId="0" xfId="0" applyNumberFormat="1" applyFont="1" applyFill="1" applyBorder="1" applyAlignment="1">
      <alignment horizontal="right" vertical="center"/>
    </xf>
    <xf numFmtId="164" fontId="7" fillId="42" borderId="19" xfId="0" applyNumberFormat="1" applyFont="1" applyFill="1" applyBorder="1" applyAlignment="1">
      <alignment horizontal="right" vertical="center"/>
    </xf>
    <xf numFmtId="164" fontId="5" fillId="42" borderId="0" xfId="0" applyNumberFormat="1" applyFont="1" applyFill="1" applyBorder="1" applyAlignment="1">
      <alignment horizontal="right" vertical="center"/>
    </xf>
    <xf numFmtId="164" fontId="7" fillId="42" borderId="3" xfId="0" applyNumberFormat="1" applyFont="1" applyFill="1" applyBorder="1" applyAlignment="1">
      <alignment horizontal="right" vertical="center"/>
    </xf>
    <xf numFmtId="164" fontId="7" fillId="6" borderId="20" xfId="0" applyNumberFormat="1" applyFont="1" applyFill="1" applyBorder="1" applyAlignment="1">
      <alignment horizontal="right" vertical="center"/>
    </xf>
    <xf numFmtId="164" fontId="7" fillId="0" borderId="20" xfId="0" applyNumberFormat="1" applyFont="1" applyFill="1" applyBorder="1" applyAlignment="1">
      <alignment horizontal="right" vertical="center"/>
    </xf>
    <xf numFmtId="164" fontId="19" fillId="41" borderId="0" xfId="0" applyNumberFormat="1" applyFont="1" applyFill="1" applyBorder="1" applyAlignment="1">
      <alignment horizontal="right" vertical="center"/>
    </xf>
    <xf numFmtId="164" fontId="19" fillId="0" borderId="12" xfId="0" applyNumberFormat="1" applyFont="1" applyBorder="1" applyAlignment="1">
      <alignment horizontal="right" vertical="center"/>
    </xf>
    <xf numFmtId="0" fontId="6" fillId="0" borderId="0" xfId="0" applyFont="1" applyFill="1" applyBorder="1" applyAlignment="1">
      <alignment horizontal="left"/>
    </xf>
    <xf numFmtId="164" fontId="5" fillId="6" borderId="20" xfId="0" applyNumberFormat="1" applyFont="1" applyFill="1" applyBorder="1" applyAlignment="1">
      <alignment horizontal="right" vertical="center"/>
    </xf>
    <xf numFmtId="164" fontId="7" fillId="42" borderId="15" xfId="0" applyNumberFormat="1" applyFont="1" applyFill="1" applyBorder="1" applyAlignment="1">
      <alignment horizontal="right" vertical="center"/>
    </xf>
    <xf numFmtId="164" fontId="7" fillId="42" borderId="8" xfId="0" applyNumberFormat="1" applyFont="1" applyFill="1" applyBorder="1" applyAlignment="1">
      <alignment horizontal="right" vertical="center"/>
    </xf>
    <xf numFmtId="0" fontId="6" fillId="42" borderId="5" xfId="0" applyFont="1" applyFill="1" applyBorder="1" applyAlignment="1">
      <alignment horizontal="center" vertical="center"/>
    </xf>
    <xf numFmtId="164" fontId="19" fillId="42" borderId="15" xfId="0" applyNumberFormat="1" applyFont="1" applyFill="1" applyBorder="1" applyAlignment="1">
      <alignment horizontal="right" vertical="center"/>
    </xf>
    <xf numFmtId="164" fontId="19" fillId="42" borderId="0" xfId="0" applyNumberFormat="1" applyFont="1" applyFill="1" applyBorder="1" applyAlignment="1">
      <alignment horizontal="right" vertical="center"/>
    </xf>
    <xf numFmtId="164" fontId="7" fillId="42" borderId="12" xfId="0" applyNumberFormat="1" applyFont="1" applyFill="1" applyBorder="1" applyAlignment="1">
      <alignment horizontal="right" vertical="center"/>
    </xf>
    <xf numFmtId="164" fontId="5" fillId="42" borderId="12" xfId="0" applyNumberFormat="1" applyFont="1" applyFill="1" applyBorder="1" applyAlignment="1">
      <alignment horizontal="right" vertical="center"/>
    </xf>
    <xf numFmtId="164" fontId="19" fillId="42" borderId="12" xfId="0" applyNumberFormat="1" applyFont="1" applyFill="1" applyBorder="1" applyAlignment="1">
      <alignment horizontal="right" vertical="center"/>
    </xf>
    <xf numFmtId="0" fontId="6" fillId="42" borderId="7" xfId="0" applyFont="1" applyFill="1" applyBorder="1" applyAlignment="1">
      <alignment horizontal="center" vertical="center"/>
    </xf>
    <xf numFmtId="2" fontId="7" fillId="42" borderId="7" xfId="0" applyNumberFormat="1" applyFont="1" applyFill="1" applyBorder="1" applyAlignment="1">
      <alignment horizontal="right" vertical="center"/>
    </xf>
    <xf numFmtId="164" fontId="7" fillId="42" borderId="10" xfId="0" applyNumberFormat="1" applyFont="1" applyFill="1" applyBorder="1" applyAlignment="1">
      <alignment horizontal="right" vertical="center"/>
    </xf>
    <xf numFmtId="164" fontId="5" fillId="42" borderId="8" xfId="0" applyNumberFormat="1" applyFont="1" applyFill="1" applyBorder="1" applyAlignment="1">
      <alignment horizontal="right" vertical="center"/>
    </xf>
    <xf numFmtId="164" fontId="7" fillId="41" borderId="8" xfId="0" applyNumberFormat="1" applyFont="1" applyFill="1" applyBorder="1" applyAlignment="1">
      <alignment horizontal="right" vertical="center"/>
    </xf>
    <xf numFmtId="164" fontId="5" fillId="41" borderId="8" xfId="0" applyNumberFormat="1" applyFont="1" applyFill="1" applyBorder="1" applyAlignment="1">
      <alignment horizontal="right" vertical="center"/>
    </xf>
    <xf numFmtId="164" fontId="5" fillId="0" borderId="3" xfId="0" applyNumberFormat="1" applyFont="1" applyFill="1" applyBorder="1" applyAlignment="1">
      <alignment horizontal="right" vertical="center"/>
    </xf>
    <xf numFmtId="164" fontId="19" fillId="41" borderId="8" xfId="0" applyNumberFormat="1" applyFont="1" applyFill="1" applyBorder="1" applyAlignment="1">
      <alignment horizontal="right" vertical="center"/>
    </xf>
    <xf numFmtId="164" fontId="7" fillId="42" borderId="13" xfId="0" applyNumberFormat="1" applyFont="1" applyFill="1" applyBorder="1" applyAlignment="1">
      <alignment horizontal="right" vertical="center"/>
    </xf>
    <xf numFmtId="164" fontId="7" fillId="42" borderId="22" xfId="0" applyNumberFormat="1" applyFont="1" applyFill="1" applyBorder="1" applyAlignment="1">
      <alignment horizontal="right" vertical="center"/>
    </xf>
    <xf numFmtId="164" fontId="19" fillId="42" borderId="8" xfId="0" applyNumberFormat="1" applyFont="1" applyFill="1" applyBorder="1" applyAlignment="1">
      <alignment horizontal="right" vertical="center"/>
    </xf>
    <xf numFmtId="166" fontId="5" fillId="0" borderId="23" xfId="0" applyNumberFormat="1" applyFont="1" applyFill="1" applyBorder="1" applyAlignment="1">
      <alignment horizontal="right"/>
    </xf>
    <xf numFmtId="166" fontId="5" fillId="0" borderId="8"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0" borderId="15" xfId="0" applyNumberFormat="1" applyFont="1" applyFill="1" applyBorder="1" applyAlignment="1">
      <alignment horizontal="right"/>
    </xf>
    <xf numFmtId="166" fontId="5" fillId="0" borderId="24" xfId="0" applyNumberFormat="1" applyFont="1" applyFill="1" applyBorder="1" applyAlignment="1">
      <alignment horizontal="right"/>
    </xf>
    <xf numFmtId="166" fontId="5" fillId="0" borderId="25" xfId="0" applyNumberFormat="1" applyFont="1" applyFill="1" applyBorder="1" applyAlignment="1">
      <alignment horizontal="right"/>
    </xf>
    <xf numFmtId="164" fontId="5" fillId="0" borderId="0" xfId="0" applyNumberFormat="1" applyFont="1" applyFill="1" applyBorder="1" applyAlignment="1">
      <alignment horizontal="center" vertical="center"/>
    </xf>
    <xf numFmtId="164" fontId="5" fillId="0" borderId="15" xfId="0" applyNumberFormat="1" applyFont="1" applyFill="1" applyBorder="1" applyAlignment="1">
      <alignment horizontal="center" vertical="center"/>
    </xf>
    <xf numFmtId="164" fontId="6" fillId="42" borderId="10" xfId="0" applyNumberFormat="1" applyFont="1" applyFill="1" applyBorder="1" applyAlignment="1">
      <alignment horizontal="center" vertical="center"/>
    </xf>
    <xf numFmtId="0" fontId="0" fillId="0" borderId="12" xfId="0" applyBorder="1"/>
    <xf numFmtId="169" fontId="7" fillId="0" borderId="11" xfId="0" applyNumberFormat="1" applyFont="1" applyFill="1" applyBorder="1" applyAlignment="1">
      <alignment horizontal="center"/>
    </xf>
    <xf numFmtId="169" fontId="7" fillId="0" borderId="12" xfId="0" applyNumberFormat="1" applyFont="1" applyFill="1" applyBorder="1" applyAlignment="1">
      <alignment horizontal="center"/>
    </xf>
    <xf numFmtId="169" fontId="7" fillId="0" borderId="9" xfId="0" applyNumberFormat="1" applyFont="1" applyFill="1" applyBorder="1" applyAlignment="1">
      <alignment horizontal="center"/>
    </xf>
    <xf numFmtId="169" fontId="9" fillId="0" borderId="6" xfId="0" applyNumberFormat="1" applyFont="1" applyFill="1" applyBorder="1" applyAlignment="1">
      <alignment horizontal="center"/>
    </xf>
    <xf numFmtId="169" fontId="7" fillId="0" borderId="15" xfId="0" applyNumberFormat="1" applyFont="1" applyFill="1" applyBorder="1" applyAlignment="1">
      <alignment horizontal="center"/>
    </xf>
    <xf numFmtId="169" fontId="7" fillId="0" borderId="0" xfId="0" applyNumberFormat="1" applyFont="1" applyFill="1" applyBorder="1" applyAlignment="1">
      <alignment horizontal="center"/>
    </xf>
    <xf numFmtId="169" fontId="7" fillId="0" borderId="8" xfId="0" applyNumberFormat="1" applyFont="1" applyFill="1" applyBorder="1" applyAlignment="1">
      <alignment horizontal="center"/>
    </xf>
    <xf numFmtId="169" fontId="7" fillId="0" borderId="26" xfId="0" applyNumberFormat="1" applyFont="1" applyFill="1" applyBorder="1" applyAlignment="1">
      <alignment horizontal="center"/>
    </xf>
    <xf numFmtId="169" fontId="7" fillId="0" borderId="27" xfId="0" applyNumberFormat="1" applyFont="1" applyFill="1" applyBorder="1" applyAlignment="1">
      <alignment horizontal="center"/>
    </xf>
    <xf numFmtId="169" fontId="7" fillId="0" borderId="28" xfId="0" applyNumberFormat="1" applyFont="1" applyFill="1" applyBorder="1" applyAlignment="1">
      <alignment horizontal="center"/>
    </xf>
    <xf numFmtId="169" fontId="7" fillId="0" borderId="0" xfId="0" applyNumberFormat="1" applyFont="1" applyFill="1" applyBorder="1" applyAlignment="1">
      <alignment horizontal="center" vertical="center"/>
    </xf>
    <xf numFmtId="169" fontId="7" fillId="0" borderId="8" xfId="0" applyNumberFormat="1" applyFont="1" applyFill="1" applyBorder="1" applyAlignment="1">
      <alignment horizontal="center" vertical="center"/>
    </xf>
    <xf numFmtId="169" fontId="5" fillId="0" borderId="15" xfId="0" applyNumberFormat="1" applyFont="1" applyFill="1" applyBorder="1" applyAlignment="1">
      <alignment horizontal="center"/>
    </xf>
    <xf numFmtId="169" fontId="5" fillId="0" borderId="15" xfId="0" applyNumberFormat="1" applyFont="1" applyFill="1" applyBorder="1" applyAlignment="1">
      <alignment horizontal="center" vertical="center"/>
    </xf>
    <xf numFmtId="169" fontId="5" fillId="0" borderId="0" xfId="0" applyNumberFormat="1" applyFont="1" applyFill="1" applyBorder="1" applyAlignment="1">
      <alignment horizontal="center"/>
    </xf>
    <xf numFmtId="169" fontId="5" fillId="0" borderId="8" xfId="0" applyNumberFormat="1" applyFont="1" applyFill="1" applyBorder="1" applyAlignment="1">
      <alignment horizontal="center"/>
    </xf>
    <xf numFmtId="0" fontId="9" fillId="0" borderId="0" xfId="0" quotePrefix="1" applyFont="1" applyFill="1" applyBorder="1" applyAlignment="1">
      <alignment wrapText="1"/>
    </xf>
    <xf numFmtId="164" fontId="5" fillId="42" borderId="10" xfId="0" applyNumberFormat="1" applyFont="1" applyFill="1" applyBorder="1" applyAlignment="1">
      <alignment horizontal="right" vertical="center"/>
    </xf>
    <xf numFmtId="169" fontId="5" fillId="0" borderId="29" xfId="0" applyNumberFormat="1" applyFont="1" applyFill="1" applyBorder="1" applyAlignment="1">
      <alignment horizontal="center"/>
    </xf>
    <xf numFmtId="169" fontId="5" fillId="0" borderId="0" xfId="0" applyNumberFormat="1" applyFont="1" applyFill="1" applyBorder="1" applyAlignment="1">
      <alignment horizontal="center" vertical="center"/>
    </xf>
    <xf numFmtId="164" fontId="5" fillId="0" borderId="30" xfId="0" applyNumberFormat="1" applyFont="1" applyFill="1" applyBorder="1" applyAlignment="1">
      <alignment horizontal="center" vertical="center"/>
    </xf>
    <xf numFmtId="164" fontId="19" fillId="6" borderId="15" xfId="0" applyNumberFormat="1" applyFont="1" applyFill="1" applyBorder="1" applyAlignment="1">
      <alignment horizontal="center" vertical="center"/>
    </xf>
    <xf numFmtId="164" fontId="19" fillId="6" borderId="0" xfId="0" applyNumberFormat="1" applyFont="1" applyFill="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2" fillId="0" borderId="0" xfId="0" applyFont="1" applyAlignment="1">
      <alignment vertical="top"/>
    </xf>
    <xf numFmtId="0" fontId="6" fillId="7" borderId="31"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Alignment="1"/>
    <xf numFmtId="164" fontId="7" fillId="0" borderId="20" xfId="0" applyNumberFormat="1" applyFont="1" applyBorder="1" applyAlignment="1">
      <alignment horizontal="right" vertical="center"/>
    </xf>
    <xf numFmtId="164" fontId="9" fillId="6" borderId="6" xfId="0" applyNumberFormat="1" applyFont="1" applyFill="1" applyBorder="1" applyAlignment="1">
      <alignment horizontal="center" vertical="center"/>
    </xf>
    <xf numFmtId="164" fontId="5" fillId="42" borderId="3" xfId="0" applyNumberFormat="1" applyFont="1" applyFill="1" applyBorder="1" applyAlignment="1">
      <alignment horizontal="right" vertical="center"/>
    </xf>
    <xf numFmtId="164" fontId="5" fillId="0" borderId="10" xfId="0" applyNumberFormat="1" applyFont="1" applyFill="1" applyBorder="1" applyAlignment="1">
      <alignment horizontal="right" vertical="center"/>
    </xf>
    <xf numFmtId="169" fontId="5" fillId="0" borderId="30" xfId="0" applyNumberFormat="1" applyFont="1" applyFill="1" applyBorder="1" applyAlignment="1">
      <alignment horizontal="center"/>
    </xf>
    <xf numFmtId="164" fontId="5" fillId="0" borderId="29"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6" fontId="5" fillId="0" borderId="35" xfId="0" applyNumberFormat="1" applyFont="1" applyFill="1" applyBorder="1" applyAlignment="1">
      <alignment horizontal="right"/>
    </xf>
    <xf numFmtId="166" fontId="5" fillId="0" borderId="36" xfId="0" applyNumberFormat="1" applyFont="1" applyFill="1" applyBorder="1" applyAlignment="1">
      <alignment horizontal="right"/>
    </xf>
    <xf numFmtId="0" fontId="7" fillId="0" borderId="0" xfId="0" applyFont="1" applyAlignment="1">
      <alignment horizontal="left" vertical="top" wrapText="1"/>
    </xf>
    <xf numFmtId="0" fontId="6" fillId="6" borderId="18" xfId="0" applyFont="1" applyFill="1" applyBorder="1" applyAlignment="1">
      <alignment horizontal="center" vertical="center"/>
    </xf>
    <xf numFmtId="169" fontId="20" fillId="6" borderId="31" xfId="0" applyNumberFormat="1" applyFont="1" applyFill="1" applyBorder="1" applyAlignment="1">
      <alignment horizontal="right" vertical="center"/>
    </xf>
    <xf numFmtId="169" fontId="20" fillId="6" borderId="32" xfId="0" applyNumberFormat="1" applyFont="1" applyFill="1" applyBorder="1" applyAlignment="1">
      <alignment horizontal="right" vertical="center"/>
    </xf>
    <xf numFmtId="164" fontId="6" fillId="6" borderId="33" xfId="0" applyNumberFormat="1" applyFont="1" applyFill="1" applyBorder="1" applyAlignment="1">
      <alignment horizontal="center" vertical="center"/>
    </xf>
    <xf numFmtId="164" fontId="6" fillId="6" borderId="18" xfId="0" applyNumberFormat="1" applyFont="1" applyFill="1" applyBorder="1" applyAlignment="1">
      <alignment horizontal="center" vertical="center"/>
    </xf>
    <xf numFmtId="0" fontId="6" fillId="0" borderId="0" xfId="0" quotePrefix="1" applyFont="1" applyFill="1" applyBorder="1" applyAlignment="1"/>
    <xf numFmtId="0" fontId="9" fillId="0" borderId="0" xfId="0" quotePrefix="1" applyFont="1" applyFill="1" applyBorder="1" applyAlignment="1"/>
    <xf numFmtId="164" fontId="20" fillId="6" borderId="32" xfId="0" applyNumberFormat="1" applyFont="1" applyFill="1" applyBorder="1" applyAlignment="1">
      <alignment horizontal="right" vertical="center"/>
    </xf>
    <xf numFmtId="0" fontId="5" fillId="0" borderId="0" xfId="0" quotePrefix="1" applyFont="1" applyFill="1" applyBorder="1" applyAlignment="1">
      <alignment vertical="top"/>
    </xf>
    <xf numFmtId="169" fontId="6" fillId="6" borderId="32" xfId="0" applyNumberFormat="1" applyFont="1" applyFill="1" applyBorder="1" applyAlignment="1">
      <alignment horizontal="right" vertical="center"/>
    </xf>
    <xf numFmtId="0" fontId="6" fillId="0" borderId="0" xfId="0" quotePrefix="1" applyFont="1" applyFill="1" applyBorder="1" applyAlignment="1">
      <alignment horizontal="left"/>
    </xf>
    <xf numFmtId="164" fontId="5" fillId="0" borderId="11" xfId="0" applyNumberFormat="1" applyFont="1" applyBorder="1" applyAlignment="1">
      <alignment horizontal="right" vertical="center"/>
    </xf>
    <xf numFmtId="164" fontId="7" fillId="0" borderId="37" xfId="0" applyNumberFormat="1" applyFont="1" applyFill="1" applyBorder="1" applyAlignment="1">
      <alignment horizontal="right" vertical="center"/>
    </xf>
    <xf numFmtId="0" fontId="5" fillId="0" borderId="3" xfId="0" applyFont="1" applyBorder="1" applyAlignment="1">
      <alignment vertical="center"/>
    </xf>
    <xf numFmtId="0" fontId="7" fillId="0" borderId="3" xfId="0" applyFont="1" applyBorder="1" applyAlignment="1">
      <alignment vertical="center"/>
    </xf>
    <xf numFmtId="164" fontId="9" fillId="6" borderId="18" xfId="0" applyNumberFormat="1" applyFont="1" applyFill="1" applyBorder="1" applyAlignment="1">
      <alignment horizontal="right" vertical="center"/>
    </xf>
    <xf numFmtId="164" fontId="6" fillId="6" borderId="32" xfId="0" applyNumberFormat="1" applyFont="1" applyFill="1" applyBorder="1" applyAlignment="1">
      <alignment horizontal="right" vertical="center"/>
    </xf>
    <xf numFmtId="164" fontId="5" fillId="42" borderId="38" xfId="0" applyNumberFormat="1" applyFont="1" applyFill="1" applyBorder="1" applyAlignment="1">
      <alignment horizontal="right" vertical="center"/>
    </xf>
    <xf numFmtId="0" fontId="5" fillId="0" borderId="0" xfId="0" applyFont="1" applyAlignment="1">
      <alignment horizontal="left" vertical="top"/>
    </xf>
    <xf numFmtId="0" fontId="29" fillId="6" borderId="15" xfId="0" applyFont="1" applyFill="1" applyBorder="1" applyAlignment="1">
      <alignment horizontal="center" vertical="center"/>
    </xf>
    <xf numFmtId="164" fontId="19" fillId="0" borderId="15" xfId="0" applyNumberFormat="1" applyFont="1" applyFill="1" applyBorder="1" applyAlignment="1">
      <alignment horizontal="center" vertical="center"/>
    </xf>
    <xf numFmtId="166" fontId="19" fillId="0" borderId="15" xfId="0" applyNumberFormat="1" applyFont="1" applyFill="1" applyBorder="1" applyAlignment="1">
      <alignment horizontal="right"/>
    </xf>
    <xf numFmtId="0" fontId="9" fillId="0" borderId="0" xfId="0" applyFont="1" applyAlignment="1">
      <alignment wrapText="1"/>
    </xf>
    <xf numFmtId="1" fontId="6" fillId="7" borderId="0" xfId="0" applyNumberFormat="1" applyFont="1" applyFill="1" applyBorder="1" applyAlignment="1">
      <alignment horizontal="center"/>
    </xf>
    <xf numFmtId="0" fontId="2" fillId="0" borderId="0" xfId="0" applyFont="1"/>
    <xf numFmtId="0" fontId="5" fillId="0" borderId="0" xfId="0" applyFont="1" applyBorder="1" applyAlignment="1">
      <alignment vertical="center"/>
    </xf>
    <xf numFmtId="164" fontId="6" fillId="6" borderId="33" xfId="0" applyNumberFormat="1" applyFont="1" applyFill="1" applyBorder="1" applyAlignment="1">
      <alignment horizontal="right" vertical="center"/>
    </xf>
    <xf numFmtId="164" fontId="7" fillId="0" borderId="12" xfId="0" applyNumberFormat="1" applyFont="1" applyBorder="1" applyAlignment="1">
      <alignment horizontal="right" vertical="center"/>
    </xf>
    <xf numFmtId="164" fontId="19" fillId="42" borderId="10" xfId="0" applyNumberFormat="1" applyFont="1" applyFill="1" applyBorder="1" applyAlignment="1">
      <alignment horizontal="right" vertical="center"/>
    </xf>
    <xf numFmtId="169" fontId="5" fillId="0" borderId="8" xfId="0" applyNumberFormat="1" applyFont="1" applyFill="1" applyBorder="1" applyAlignment="1">
      <alignment horizontal="center" vertical="center"/>
    </xf>
    <xf numFmtId="171" fontId="5" fillId="0" borderId="15" xfId="0" applyNumberFormat="1" applyFont="1" applyFill="1" applyBorder="1" applyAlignment="1">
      <alignment horizontal="center"/>
    </xf>
    <xf numFmtId="0" fontId="0" fillId="0" borderId="15" xfId="0" applyBorder="1"/>
    <xf numFmtId="0" fontId="0" fillId="0" borderId="8" xfId="0" applyBorder="1"/>
    <xf numFmtId="0" fontId="6" fillId="0" borderId="0" xfId="0" applyFont="1" applyAlignment="1">
      <alignment horizontal="center"/>
    </xf>
    <xf numFmtId="0" fontId="6" fillId="41" borderId="7" xfId="0" applyFont="1" applyFill="1" applyBorder="1" applyAlignment="1">
      <alignment horizontal="center" vertical="center"/>
    </xf>
    <xf numFmtId="2" fontId="7" fillId="41" borderId="7" xfId="0" applyNumberFormat="1" applyFont="1" applyFill="1" applyBorder="1" applyAlignment="1">
      <alignment horizontal="right" vertical="center"/>
    </xf>
    <xf numFmtId="164" fontId="7" fillId="41" borderId="3" xfId="0" applyNumberFormat="1" applyFont="1" applyFill="1" applyBorder="1" applyAlignment="1">
      <alignment horizontal="right" vertical="center"/>
    </xf>
    <xf numFmtId="164" fontId="5" fillId="41" borderId="3" xfId="0" applyNumberFormat="1" applyFont="1" applyFill="1" applyBorder="1" applyAlignment="1">
      <alignment horizontal="right" vertical="center"/>
    </xf>
    <xf numFmtId="0" fontId="12" fillId="0" borderId="0" xfId="0" applyFont="1" applyAlignment="1">
      <alignment horizontal="center" vertical="center"/>
    </xf>
    <xf numFmtId="0" fontId="0" fillId="0" borderId="0" xfId="0" applyAlignment="1">
      <alignment horizontal="center" vertical="center"/>
    </xf>
    <xf numFmtId="164" fontId="5" fillId="0" borderId="3" xfId="0" applyNumberFormat="1" applyFont="1" applyBorder="1" applyAlignment="1">
      <alignment horizontal="right" vertical="center"/>
    </xf>
    <xf numFmtId="0" fontId="6" fillId="7" borderId="1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0" xfId="0" applyFont="1" applyFill="1" applyBorder="1" applyAlignment="1">
      <alignment horizontal="center" vertical="center" wrapText="1"/>
    </xf>
    <xf numFmtId="1" fontId="6" fillId="0" borderId="6"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42" borderId="5" xfId="0" applyNumberFormat="1" applyFont="1" applyFill="1" applyBorder="1" applyAlignment="1">
      <alignment horizontal="center" vertical="center"/>
    </xf>
    <xf numFmtId="164" fontId="6" fillId="42" borderId="7" xfId="0" applyNumberFormat="1" applyFont="1" applyFill="1" applyBorder="1" applyAlignment="1">
      <alignment horizontal="center" vertical="center"/>
    </xf>
    <xf numFmtId="164" fontId="24" fillId="0" borderId="0" xfId="0" quotePrefix="1" applyNumberFormat="1" applyFont="1" applyBorder="1" applyAlignment="1">
      <alignment horizontal="right" vertical="top"/>
    </xf>
    <xf numFmtId="164" fontId="29" fillId="7" borderId="5" xfId="0" applyNumberFormat="1" applyFont="1" applyFill="1" applyBorder="1" applyAlignment="1">
      <alignment horizontal="center" wrapText="1"/>
    </xf>
    <xf numFmtId="164" fontId="9" fillId="7" borderId="7" xfId="0" applyNumberFormat="1" applyFont="1" applyFill="1" applyBorder="1" applyAlignment="1">
      <alignment horizontal="center" vertical="top"/>
    </xf>
    <xf numFmtId="164" fontId="0" fillId="0" borderId="12" xfId="0" applyNumberFormat="1" applyBorder="1"/>
    <xf numFmtId="164" fontId="9" fillId="0" borderId="0" xfId="0" quotePrefix="1" applyNumberFormat="1" applyFont="1" applyFill="1" applyBorder="1" applyAlignment="1">
      <alignment wrapText="1"/>
    </xf>
    <xf numFmtId="164" fontId="7" fillId="0" borderId="0" xfId="0" quotePrefix="1" applyNumberFormat="1" applyFont="1" applyFill="1" applyBorder="1" applyAlignment="1">
      <alignment vertical="top" wrapText="1"/>
    </xf>
    <xf numFmtId="164" fontId="6" fillId="0" borderId="7" xfId="0" applyNumberFormat="1" applyFont="1" applyFill="1" applyBorder="1" applyAlignment="1">
      <alignment horizontal="center" vertical="center"/>
    </xf>
    <xf numFmtId="164" fontId="0" fillId="0" borderId="0" xfId="0" applyNumberFormat="1" applyAlignment="1">
      <alignment horizontal="center" vertical="center"/>
    </xf>
    <xf numFmtId="164" fontId="20" fillId="6" borderId="18" xfId="0" applyNumberFormat="1" applyFont="1" applyFill="1" applyBorder="1" applyAlignment="1">
      <alignment horizontal="center" vertical="center"/>
    </xf>
    <xf numFmtId="164" fontId="0" fillId="0" borderId="0" xfId="0" applyNumberFormat="1" applyBorder="1" applyAlignment="1">
      <alignment horizontal="center" vertical="center"/>
    </xf>
    <xf numFmtId="0" fontId="29" fillId="6" borderId="0" xfId="0" applyFont="1" applyFill="1" applyBorder="1" applyAlignment="1">
      <alignment horizontal="center" vertical="center"/>
    </xf>
    <xf numFmtId="1" fontId="6" fillId="7" borderId="8" xfId="0" applyNumberFormat="1" applyFont="1" applyFill="1" applyBorder="1" applyAlignment="1">
      <alignment horizontal="center" vertical="center"/>
    </xf>
    <xf numFmtId="164" fontId="5" fillId="0" borderId="0" xfId="0" applyNumberFormat="1" applyFont="1" applyAlignment="1">
      <alignment horizontal="right"/>
    </xf>
    <xf numFmtId="164" fontId="13" fillId="0" borderId="0" xfId="0" applyNumberFormat="1" applyFont="1" applyAlignment="1">
      <alignment horizontal="right"/>
    </xf>
    <xf numFmtId="164" fontId="5" fillId="0" borderId="0" xfId="0" applyNumberFormat="1" applyFont="1" applyAlignment="1">
      <alignment horizontal="right" vertical="top"/>
    </xf>
    <xf numFmtId="164" fontId="5" fillId="0" borderId="0" xfId="0" applyNumberFormat="1" applyFont="1"/>
    <xf numFmtId="164" fontId="13" fillId="0" borderId="0" xfId="0" applyNumberFormat="1" applyFont="1"/>
    <xf numFmtId="164" fontId="5" fillId="0" borderId="0" xfId="0" applyNumberFormat="1" applyFont="1" applyAlignment="1">
      <alignment vertical="top"/>
    </xf>
    <xf numFmtId="0" fontId="6" fillId="6" borderId="0" xfId="0" applyFont="1" applyFill="1" applyBorder="1" applyAlignment="1">
      <alignment horizontal="center" vertical="center" wrapText="1"/>
    </xf>
    <xf numFmtId="0" fontId="2" fillId="0" borderId="0" xfId="0" applyFont="1" applyAlignment="1">
      <alignment horizontal="center" vertical="center"/>
    </xf>
    <xf numFmtId="0" fontId="9" fillId="6" borderId="9"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6" borderId="8" xfId="0" applyFont="1" applyFill="1" applyBorder="1" applyAlignment="1">
      <alignment horizontal="center" vertical="center" wrapText="1"/>
    </xf>
    <xf numFmtId="164" fontId="7" fillId="0" borderId="13" xfId="0" applyNumberFormat="1" applyFont="1" applyBorder="1" applyAlignment="1">
      <alignment horizontal="right" vertical="center"/>
    </xf>
    <xf numFmtId="164" fontId="5" fillId="0" borderId="30" xfId="0" applyNumberFormat="1" applyFont="1" applyFill="1" applyBorder="1" applyAlignment="1">
      <alignment horizontal="right" vertical="center"/>
    </xf>
    <xf numFmtId="164" fontId="19" fillId="0" borderId="13" xfId="0" applyNumberFormat="1" applyFont="1" applyFill="1" applyBorder="1" applyAlignment="1">
      <alignment horizontal="right" vertical="center"/>
    </xf>
    <xf numFmtId="164" fontId="19" fillId="0" borderId="8" xfId="53" applyNumberFormat="1" applyFont="1" applyFill="1" applyBorder="1" applyAlignment="1">
      <alignment horizontal="right" vertical="center"/>
    </xf>
    <xf numFmtId="0" fontId="2" fillId="0" borderId="15" xfId="0" applyFont="1" applyFill="1" applyBorder="1" applyAlignment="1">
      <alignment vertical="center"/>
    </xf>
    <xf numFmtId="1" fontId="20" fillId="0" borderId="0" xfId="0" applyNumberFormat="1" applyFont="1" applyFill="1" applyBorder="1" applyAlignment="1">
      <alignment horizontal="right" vertical="center"/>
    </xf>
    <xf numFmtId="164" fontId="6" fillId="0" borderId="0" xfId="0" applyNumberFormat="1" applyFont="1" applyFill="1" applyBorder="1" applyAlignment="1">
      <alignment horizontal="center" vertical="center"/>
    </xf>
    <xf numFmtId="0" fontId="0" fillId="0" borderId="0" xfId="0" applyAlignment="1">
      <alignment horizontal="right"/>
    </xf>
    <xf numFmtId="0" fontId="24" fillId="0" borderId="0" xfId="0" applyFont="1" applyBorder="1" applyAlignment="1">
      <alignment horizontal="right" vertical="top" wrapText="1"/>
    </xf>
    <xf numFmtId="0" fontId="23" fillId="0" borderId="0" xfId="0" applyFont="1" applyBorder="1" applyAlignment="1">
      <alignment horizontal="right" vertical="center" wrapText="1"/>
    </xf>
    <xf numFmtId="0" fontId="13" fillId="0" borderId="0" xfId="0" applyFont="1" applyAlignment="1">
      <alignment horizontal="right"/>
    </xf>
    <xf numFmtId="0" fontId="9" fillId="0" borderId="0" xfId="0" quotePrefix="1" applyFont="1" applyFill="1" applyBorder="1" applyAlignment="1">
      <alignment horizontal="right" wrapText="1"/>
    </xf>
    <xf numFmtId="0" fontId="7" fillId="0" borderId="0" xfId="0" quotePrefix="1" applyFont="1" applyFill="1" applyBorder="1" applyAlignment="1">
      <alignment horizontal="right" vertical="top" wrapText="1"/>
    </xf>
    <xf numFmtId="164" fontId="7" fillId="42" borderId="39" xfId="0" applyNumberFormat="1" applyFont="1" applyFill="1" applyBorder="1" applyAlignment="1">
      <alignment horizontal="right" vertical="center"/>
    </xf>
    <xf numFmtId="164" fontId="7" fillId="0" borderId="38" xfId="0" applyNumberFormat="1" applyFont="1" applyBorder="1" applyAlignment="1">
      <alignment horizontal="right" vertical="center"/>
    </xf>
    <xf numFmtId="164" fontId="7" fillId="0" borderId="10" xfId="0" applyNumberFormat="1" applyFont="1" applyBorder="1" applyAlignment="1">
      <alignment horizontal="right" vertical="center"/>
    </xf>
    <xf numFmtId="0" fontId="6" fillId="6" borderId="31" xfId="0" applyFont="1" applyFill="1" applyBorder="1" applyAlignment="1">
      <alignment horizontal="center" vertical="center"/>
    </xf>
    <xf numFmtId="164" fontId="29" fillId="7" borderId="9" xfId="0" applyNumberFormat="1" applyFont="1" applyFill="1" applyBorder="1" applyAlignment="1">
      <alignment horizontal="center" wrapText="1"/>
    </xf>
    <xf numFmtId="164" fontId="9" fillId="7" borderId="8" xfId="0" applyNumberFormat="1" applyFont="1" applyFill="1" applyBorder="1" applyAlignment="1">
      <alignment horizontal="center" vertical="top"/>
    </xf>
    <xf numFmtId="1" fontId="6" fillId="7" borderId="5" xfId="0" applyNumberFormat="1" applyFont="1" applyFill="1" applyBorder="1" applyAlignment="1">
      <alignment horizontal="center" vertical="center"/>
    </xf>
    <xf numFmtId="1" fontId="6" fillId="7" borderId="12" xfId="0" applyNumberFormat="1" applyFont="1" applyFill="1" applyBorder="1" applyAlignment="1">
      <alignment horizontal="center" vertical="center"/>
    </xf>
    <xf numFmtId="164" fontId="5" fillId="0" borderId="11" xfId="0" applyNumberFormat="1" applyFont="1" applyFill="1" applyBorder="1" applyAlignment="1">
      <alignment horizontal="right" vertical="center"/>
    </xf>
    <xf numFmtId="169" fontId="9" fillId="0" borderId="40" xfId="0" applyNumberFormat="1" applyFont="1" applyFill="1" applyBorder="1" applyAlignment="1">
      <alignment horizontal="center"/>
    </xf>
    <xf numFmtId="169" fontId="9" fillId="0" borderId="41" xfId="0" applyNumberFormat="1" applyFont="1" applyFill="1" applyBorder="1" applyAlignment="1">
      <alignment horizontal="center"/>
    </xf>
    <xf numFmtId="166" fontId="9" fillId="0" borderId="0" xfId="0" applyNumberFormat="1" applyFont="1" applyFill="1" applyBorder="1"/>
    <xf numFmtId="164" fontId="9" fillId="0" borderId="0" xfId="0" applyNumberFormat="1" applyFont="1" applyAlignment="1">
      <alignment wrapText="1"/>
    </xf>
    <xf numFmtId="164" fontId="0" fillId="0" borderId="0" xfId="0" applyNumberFormat="1" applyBorder="1"/>
    <xf numFmtId="2" fontId="5" fillId="0" borderId="10" xfId="0" applyNumberFormat="1" applyFont="1" applyFill="1" applyBorder="1" applyAlignment="1">
      <alignment vertical="center"/>
    </xf>
    <xf numFmtId="1" fontId="6" fillId="0" borderId="15" xfId="0" applyNumberFormat="1" applyFont="1" applyFill="1" applyBorder="1" applyAlignment="1">
      <alignment horizontal="center" vertical="center"/>
    </xf>
    <xf numFmtId="0" fontId="6" fillId="0" borderId="0" xfId="0" applyFont="1" applyBorder="1" applyAlignment="1">
      <alignment horizontal="center"/>
    </xf>
    <xf numFmtId="164" fontId="7" fillId="0" borderId="37" xfId="0" applyNumberFormat="1" applyFont="1" applyBorder="1" applyAlignment="1">
      <alignment horizontal="right" vertical="center"/>
    </xf>
    <xf numFmtId="164" fontId="5" fillId="0" borderId="21" xfId="0" applyNumberFormat="1" applyFont="1" applyBorder="1" applyAlignment="1">
      <alignment horizontal="right" vertical="center"/>
    </xf>
    <xf numFmtId="0" fontId="9" fillId="0" borderId="5" xfId="0" applyFont="1" applyFill="1" applyBorder="1" applyAlignment="1">
      <alignment horizontal="left" vertical="top" wrapText="1"/>
    </xf>
    <xf numFmtId="0" fontId="6" fillId="0" borderId="0" xfId="0" applyFont="1" applyBorder="1"/>
    <xf numFmtId="49" fontId="5" fillId="0" borderId="0" xfId="0" applyNumberFormat="1" applyFont="1" applyBorder="1" applyAlignment="1">
      <alignment vertical="top" wrapText="1"/>
    </xf>
    <xf numFmtId="164" fontId="7" fillId="0" borderId="0" xfId="0" quotePrefix="1" applyNumberFormat="1" applyFont="1" applyFill="1" applyBorder="1" applyAlignment="1">
      <alignment vertical="center"/>
    </xf>
    <xf numFmtId="2" fontId="5" fillId="0" borderId="3" xfId="0" applyNumberFormat="1" applyFont="1" applyFill="1" applyBorder="1" applyAlignment="1">
      <alignment vertical="center"/>
    </xf>
    <xf numFmtId="1" fontId="6" fillId="0" borderId="3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10" xfId="0" applyNumberFormat="1" applyFont="1" applyFill="1" applyBorder="1" applyAlignment="1">
      <alignment horizontal="center" vertical="center"/>
    </xf>
    <xf numFmtId="164" fontId="7" fillId="0" borderId="13" xfId="0" quotePrefix="1" applyNumberFormat="1" applyFont="1" applyFill="1" applyBorder="1" applyAlignment="1">
      <alignment vertical="center"/>
    </xf>
    <xf numFmtId="164" fontId="7" fillId="0" borderId="3" xfId="0" quotePrefix="1" applyNumberFormat="1" applyFont="1" applyFill="1" applyBorder="1" applyAlignment="1">
      <alignment vertical="center"/>
    </xf>
    <xf numFmtId="164" fontId="19" fillId="6" borderId="14" xfId="0" applyNumberFormat="1" applyFont="1" applyFill="1" applyBorder="1" applyAlignment="1">
      <alignment horizontal="right" vertical="center"/>
    </xf>
    <xf numFmtId="164" fontId="6" fillId="42" borderId="6" xfId="0" applyNumberFormat="1" applyFont="1" applyFill="1" applyBorder="1" applyAlignment="1">
      <alignment horizontal="center" vertical="center"/>
    </xf>
    <xf numFmtId="164" fontId="5" fillId="0" borderId="0" xfId="0" applyNumberFormat="1" applyFont="1" applyFill="1" applyBorder="1" applyAlignment="1">
      <alignment horizontal="right" vertical="center" wrapText="1"/>
    </xf>
    <xf numFmtId="164" fontId="5" fillId="0" borderId="8" xfId="0" applyNumberFormat="1" applyFont="1" applyFill="1" applyBorder="1" applyAlignment="1">
      <alignment horizontal="right" vertical="center" wrapText="1"/>
    </xf>
    <xf numFmtId="0" fontId="5" fillId="0" borderId="0" xfId="0" applyFont="1" applyFill="1"/>
    <xf numFmtId="2" fontId="5" fillId="0" borderId="6" xfId="0" applyNumberFormat="1" applyFont="1" applyFill="1" applyBorder="1" applyAlignment="1">
      <alignment horizontal="right" vertical="center"/>
    </xf>
    <xf numFmtId="0" fontId="24" fillId="0" borderId="0" xfId="0" applyFont="1" applyBorder="1" applyAlignment="1">
      <alignment horizontal="center" vertical="top" wrapText="1"/>
    </xf>
    <xf numFmtId="0" fontId="23" fillId="0" borderId="0" xfId="0" applyFont="1" applyBorder="1" applyAlignment="1">
      <alignment horizontal="center" vertical="center" wrapText="1"/>
    </xf>
    <xf numFmtId="0" fontId="7" fillId="0" borderId="0" xfId="0" quotePrefix="1" applyFont="1" applyFill="1" applyBorder="1" applyAlignment="1">
      <alignment horizontal="left" vertical="top" wrapText="1"/>
    </xf>
    <xf numFmtId="164" fontId="5" fillId="0" borderId="14" xfId="0" applyNumberFormat="1" applyFont="1" applyFill="1" applyBorder="1" applyAlignment="1">
      <alignment horizontal="right" vertical="center"/>
    </xf>
    <xf numFmtId="164" fontId="7" fillId="0" borderId="12" xfId="0" applyNumberFormat="1" applyFont="1" applyFill="1" applyBorder="1" applyAlignment="1">
      <alignment horizontal="right" vertical="center"/>
    </xf>
    <xf numFmtId="164" fontId="19" fillId="0" borderId="8" xfId="0" applyNumberFormat="1" applyFont="1" applyBorder="1" applyAlignment="1">
      <alignment horizontal="right" vertical="center"/>
    </xf>
    <xf numFmtId="164" fontId="6" fillId="41" borderId="6" xfId="0" applyNumberFormat="1" applyFont="1" applyFill="1" applyBorder="1" applyAlignment="1">
      <alignment horizontal="center" vertical="center"/>
    </xf>
    <xf numFmtId="164" fontId="7" fillId="0" borderId="14" xfId="0" quotePrefix="1" applyNumberFormat="1" applyFont="1" applyFill="1" applyBorder="1" applyAlignment="1">
      <alignment vertical="center"/>
    </xf>
    <xf numFmtId="164" fontId="19" fillId="0" borderId="29" xfId="53" applyNumberFormat="1" applyFont="1" applyFill="1" applyBorder="1" applyAlignment="1">
      <alignment horizontal="right" vertical="center"/>
    </xf>
    <xf numFmtId="164" fontId="19" fillId="0" borderId="51" xfId="0" applyNumberFormat="1" applyFont="1" applyFill="1" applyBorder="1" applyAlignment="1">
      <alignment horizontal="right" vertical="center"/>
    </xf>
    <xf numFmtId="169" fontId="0" fillId="0" borderId="0" xfId="0" applyNumberFormat="1"/>
    <xf numFmtId="0" fontId="29" fillId="6" borderId="7" xfId="0" applyFont="1" applyFill="1" applyBorder="1" applyAlignment="1">
      <alignment horizontal="center" vertical="center"/>
    </xf>
    <xf numFmtId="164" fontId="6" fillId="42" borderId="8" xfId="0" applyNumberFormat="1" applyFont="1" applyFill="1" applyBorder="1" applyAlignment="1">
      <alignment horizontal="center" vertical="center"/>
    </xf>
    <xf numFmtId="164" fontId="19" fillId="0" borderId="13" xfId="0" applyNumberFormat="1" applyFont="1" applyBorder="1" applyAlignment="1">
      <alignment horizontal="right" vertical="center"/>
    </xf>
    <xf numFmtId="164" fontId="19" fillId="0" borderId="3" xfId="0" applyNumberFormat="1" applyFont="1" applyBorder="1" applyAlignment="1">
      <alignment horizontal="right" vertical="center"/>
    </xf>
    <xf numFmtId="164" fontId="19" fillId="0" borderId="10" xfId="0" applyNumberFormat="1" applyFont="1" applyBorder="1" applyAlignment="1">
      <alignment horizontal="right" vertical="center"/>
    </xf>
    <xf numFmtId="164" fontId="19" fillId="6" borderId="33" xfId="0" applyNumberFormat="1" applyFont="1" applyFill="1" applyBorder="1" applyAlignment="1">
      <alignment horizontal="right" vertical="center"/>
    </xf>
    <xf numFmtId="164" fontId="19" fillId="6" borderId="13" xfId="0" applyNumberFormat="1" applyFont="1" applyFill="1" applyBorder="1" applyAlignment="1">
      <alignment horizontal="right" vertical="center"/>
    </xf>
    <xf numFmtId="164" fontId="19" fillId="6" borderId="3" xfId="0" applyNumberFormat="1" applyFont="1" applyFill="1" applyBorder="1" applyAlignment="1">
      <alignment horizontal="right" vertical="center"/>
    </xf>
    <xf numFmtId="164" fontId="5" fillId="0" borderId="3" xfId="0" applyNumberFormat="1" applyFont="1" applyFill="1" applyBorder="1" applyAlignment="1">
      <alignment horizontal="center" vertical="center"/>
    </xf>
    <xf numFmtId="0" fontId="24" fillId="0" borderId="0" xfId="0" applyFont="1" applyBorder="1" applyAlignment="1">
      <alignment horizontal="center" vertical="top" wrapText="1"/>
    </xf>
    <xf numFmtId="0" fontId="23" fillId="0" borderId="0" xfId="0" applyFont="1" applyBorder="1" applyAlignment="1">
      <alignment horizontal="center" vertical="center" wrapText="1"/>
    </xf>
    <xf numFmtId="0" fontId="7" fillId="0" borderId="0" xfId="0" quotePrefix="1" applyFont="1" applyFill="1" applyBorder="1" applyAlignment="1">
      <alignment horizontal="left" vertical="top" wrapText="1"/>
    </xf>
    <xf numFmtId="169" fontId="5" fillId="0" borderId="3" xfId="0" applyNumberFormat="1" applyFont="1" applyFill="1" applyBorder="1" applyAlignment="1">
      <alignment horizontal="center"/>
    </xf>
    <xf numFmtId="164" fontId="5" fillId="0" borderId="10" xfId="0" applyNumberFormat="1" applyFont="1" applyFill="1" applyBorder="1" applyAlignment="1">
      <alignment horizontal="center" vertical="center"/>
    </xf>
    <xf numFmtId="166" fontId="19" fillId="0" borderId="3" xfId="0" applyNumberFormat="1" applyFont="1" applyFill="1" applyBorder="1" applyAlignment="1">
      <alignment horizontal="right"/>
    </xf>
    <xf numFmtId="166" fontId="19" fillId="0" borderId="10" xfId="0" applyNumberFormat="1" applyFont="1" applyFill="1" applyBorder="1" applyAlignment="1">
      <alignment horizontal="right"/>
    </xf>
    <xf numFmtId="164" fontId="19" fillId="6" borderId="8" xfId="0" applyNumberFormat="1" applyFont="1" applyFill="1" applyBorder="1" applyAlignment="1">
      <alignment horizontal="center" vertical="center"/>
    </xf>
    <xf numFmtId="169" fontId="6" fillId="6" borderId="32"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164" fontId="6" fillId="6" borderId="0" xfId="0" applyNumberFormat="1" applyFont="1" applyFill="1" applyBorder="1" applyAlignment="1">
      <alignment horizontal="center" vertical="center"/>
    </xf>
    <xf numFmtId="164" fontId="6" fillId="42" borderId="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5" fillId="41" borderId="10" xfId="0" applyNumberFormat="1" applyFont="1" applyFill="1" applyBorder="1" applyAlignment="1">
      <alignment horizontal="right" vertical="center"/>
    </xf>
    <xf numFmtId="166" fontId="19" fillId="0" borderId="0" xfId="0" applyNumberFormat="1" applyFont="1" applyFill="1" applyBorder="1" applyAlignment="1">
      <alignment horizontal="right"/>
    </xf>
    <xf numFmtId="166" fontId="19" fillId="0" borderId="8" xfId="0" applyNumberFormat="1" applyFont="1" applyFill="1" applyBorder="1" applyAlignment="1">
      <alignment horizontal="right"/>
    </xf>
    <xf numFmtId="0" fontId="29" fillId="6" borderId="8" xfId="0"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20" fillId="6" borderId="18" xfId="0" applyNumberFormat="1" applyFont="1" applyFill="1" applyBorder="1" applyAlignment="1">
      <alignment horizontal="right" vertical="center"/>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164" fontId="6" fillId="41" borderId="8" xfId="0" applyNumberFormat="1" applyFont="1" applyFill="1" applyBorder="1" applyAlignment="1">
      <alignment horizontal="center" vertical="center"/>
    </xf>
    <xf numFmtId="169" fontId="7" fillId="0" borderId="29" xfId="0" applyNumberFormat="1" applyFont="1" applyFill="1" applyBorder="1" applyAlignment="1">
      <alignment horizontal="center" vertical="center"/>
    </xf>
    <xf numFmtId="164" fontId="19" fillId="0" borderId="8" xfId="0" applyNumberFormat="1" applyFont="1" applyFill="1" applyBorder="1" applyAlignment="1">
      <alignment horizontal="center" vertical="center"/>
    </xf>
    <xf numFmtId="0" fontId="6" fillId="7" borderId="15" xfId="0" applyFont="1" applyFill="1" applyBorder="1" applyAlignment="1">
      <alignment horizontal="center" vertical="center" wrapText="1"/>
    </xf>
    <xf numFmtId="164" fontId="66" fillId="0" borderId="0" xfId="0" applyNumberFormat="1" applyFont="1" applyAlignment="1">
      <alignment horizontal="center"/>
    </xf>
    <xf numFmtId="0" fontId="67" fillId="0" borderId="0" xfId="0" applyFont="1" applyAlignment="1">
      <alignment vertical="center"/>
    </xf>
    <xf numFmtId="164" fontId="67" fillId="0" borderId="0" xfId="0" applyNumberFormat="1" applyFont="1" applyAlignment="1">
      <alignment horizontal="center"/>
    </xf>
    <xf numFmtId="164" fontId="64" fillId="0" borderId="12" xfId="0" applyNumberFormat="1" applyFont="1" applyFill="1" applyBorder="1" applyAlignment="1">
      <alignment horizontal="right" vertical="center"/>
    </xf>
    <xf numFmtId="164" fontId="5" fillId="0" borderId="0" xfId="0" applyNumberFormat="1" applyFont="1" applyFill="1" applyBorder="1"/>
    <xf numFmtId="164" fontId="9" fillId="0" borderId="0" xfId="0" applyNumberFormat="1" applyFont="1" applyBorder="1"/>
    <xf numFmtId="0" fontId="24" fillId="0" borderId="0" xfId="0" applyFont="1" applyBorder="1" applyAlignment="1">
      <alignment horizontal="center" vertical="top" wrapText="1"/>
    </xf>
    <xf numFmtId="0" fontId="23" fillId="0" borderId="0" xfId="0" applyFont="1" applyBorder="1" applyAlignment="1">
      <alignment horizontal="center" vertical="center" wrapText="1"/>
    </xf>
    <xf numFmtId="0" fontId="7" fillId="0" borderId="0" xfId="0" quotePrefix="1" applyFont="1" applyFill="1" applyBorder="1" applyAlignment="1">
      <alignment horizontal="left" vertical="top" wrapText="1"/>
    </xf>
    <xf numFmtId="0" fontId="0" fillId="0" borderId="3" xfId="0" applyBorder="1"/>
    <xf numFmtId="164" fontId="19" fillId="0" borderId="10" xfId="53" applyNumberFormat="1" applyFont="1" applyFill="1" applyBorder="1" applyAlignment="1">
      <alignment horizontal="right" vertical="center"/>
    </xf>
    <xf numFmtId="164" fontId="19" fillId="42" borderId="9" xfId="0" applyNumberFormat="1" applyFont="1" applyFill="1" applyBorder="1" applyAlignment="1">
      <alignment horizontal="right" vertical="center"/>
    </xf>
    <xf numFmtId="164" fontId="20" fillId="6" borderId="33" xfId="0" applyNumberFormat="1" applyFont="1" applyFill="1" applyBorder="1" applyAlignment="1">
      <alignment horizontal="right" vertical="center"/>
    </xf>
    <xf numFmtId="0" fontId="6" fillId="42" borderId="0" xfId="0" applyFont="1" applyFill="1" applyBorder="1" applyAlignment="1">
      <alignment horizontal="center" vertical="center"/>
    </xf>
    <xf numFmtId="2" fontId="7" fillId="42" borderId="0" xfId="0" applyNumberFormat="1" applyFont="1" applyFill="1" applyBorder="1" applyAlignment="1">
      <alignment horizontal="right" vertical="center"/>
    </xf>
    <xf numFmtId="0" fontId="6" fillId="0" borderId="18" xfId="0" applyFont="1" applyFill="1" applyBorder="1" applyAlignment="1">
      <alignment horizontal="center" vertical="center"/>
    </xf>
    <xf numFmtId="2" fontId="7" fillId="0" borderId="18" xfId="0" applyNumberFormat="1" applyFont="1" applyFill="1" applyBorder="1" applyAlignment="1">
      <alignment horizontal="right" vertical="center"/>
    </xf>
    <xf numFmtId="164" fontId="7" fillId="0" borderId="32" xfId="0" applyNumberFormat="1" applyFont="1" applyFill="1" applyBorder="1" applyAlignment="1">
      <alignment horizontal="right" vertical="center"/>
    </xf>
    <xf numFmtId="164" fontId="6" fillId="0" borderId="5" xfId="0" applyNumberFormat="1" applyFont="1" applyFill="1" applyBorder="1" applyAlignment="1">
      <alignment horizontal="center" vertical="center"/>
    </xf>
    <xf numFmtId="164" fontId="5" fillId="0" borderId="6" xfId="0" applyNumberFormat="1" applyFont="1" applyFill="1" applyBorder="1" applyAlignment="1">
      <alignment horizontal="right" vertical="center"/>
    </xf>
    <xf numFmtId="164" fontId="19" fillId="6" borderId="6" xfId="0" applyNumberFormat="1" applyFont="1" applyFill="1" applyBorder="1" applyAlignment="1">
      <alignment horizontal="right" vertical="center"/>
    </xf>
    <xf numFmtId="164" fontId="5" fillId="6" borderId="52" xfId="0" applyNumberFormat="1" applyFont="1" applyFill="1" applyBorder="1" applyAlignment="1">
      <alignment horizontal="right" vertical="center"/>
    </xf>
    <xf numFmtId="164" fontId="7" fillId="42" borderId="6" xfId="0" applyNumberFormat="1" applyFont="1" applyFill="1" applyBorder="1" applyAlignment="1">
      <alignment horizontal="right" vertical="center"/>
    </xf>
    <xf numFmtId="0" fontId="0" fillId="42" borderId="0" xfId="0" applyFill="1"/>
    <xf numFmtId="164" fontId="7" fillId="0" borderId="6" xfId="0" applyNumberFormat="1" applyFont="1" applyFill="1" applyBorder="1" applyAlignment="1">
      <alignment horizontal="right" vertical="center"/>
    </xf>
    <xf numFmtId="164" fontId="5" fillId="42" borderId="15" xfId="0" applyNumberFormat="1" applyFont="1" applyFill="1" applyBorder="1" applyAlignment="1">
      <alignment horizontal="right" vertical="center"/>
    </xf>
    <xf numFmtId="164" fontId="20" fillId="6" borderId="8" xfId="0" applyNumberFormat="1" applyFont="1" applyFill="1" applyBorder="1" applyAlignment="1">
      <alignment horizontal="center" vertical="center"/>
    </xf>
    <xf numFmtId="164" fontId="6" fillId="0" borderId="8"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7" fillId="0" borderId="9"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5" fillId="0" borderId="8" xfId="0" applyFont="1" applyBorder="1" applyAlignment="1">
      <alignment horizontal="center"/>
    </xf>
    <xf numFmtId="164" fontId="7" fillId="0" borderId="31" xfId="0" applyNumberFormat="1" applyFont="1" applyFill="1" applyBorder="1" applyAlignment="1">
      <alignment horizontal="right" vertical="center"/>
    </xf>
    <xf numFmtId="164" fontId="5" fillId="0" borderId="32" xfId="0" applyNumberFormat="1" applyFont="1" applyFill="1" applyBorder="1" applyAlignment="1">
      <alignment horizontal="right" vertical="center"/>
    </xf>
    <xf numFmtId="164" fontId="5" fillId="0" borderId="52" xfId="0" applyNumberFormat="1" applyFont="1" applyFill="1" applyBorder="1" applyAlignment="1">
      <alignment horizontal="right" vertical="center"/>
    </xf>
    <xf numFmtId="164" fontId="19" fillId="0" borderId="32" xfId="0" applyNumberFormat="1" applyFont="1" applyFill="1" applyBorder="1" applyAlignment="1">
      <alignment horizontal="right" vertical="center"/>
    </xf>
    <xf numFmtId="164" fontId="6" fillId="0" borderId="18" xfId="0" applyNumberFormat="1" applyFont="1" applyFill="1" applyBorder="1" applyAlignment="1">
      <alignment horizontal="center" vertical="center"/>
    </xf>
    <xf numFmtId="0" fontId="0" fillId="42" borderId="0" xfId="0" applyFill="1" applyBorder="1"/>
    <xf numFmtId="0" fontId="0" fillId="42" borderId="9" xfId="0" applyFill="1" applyBorder="1" applyAlignment="1">
      <alignment horizontal="right"/>
    </xf>
    <xf numFmtId="164" fontId="5" fillId="0" borderId="33" xfId="0" applyNumberFormat="1" applyFont="1" applyFill="1" applyBorder="1" applyAlignment="1">
      <alignment horizontal="right" vertical="center"/>
    </xf>
    <xf numFmtId="164" fontId="19" fillId="0" borderId="33" xfId="0" applyNumberFormat="1" applyFont="1" applyFill="1" applyBorder="1" applyAlignment="1">
      <alignment horizontal="right" vertical="center"/>
    </xf>
    <xf numFmtId="164" fontId="6" fillId="0" borderId="33" xfId="0" applyNumberFormat="1" applyFont="1" applyFill="1" applyBorder="1" applyAlignment="1">
      <alignment horizontal="center" vertical="center"/>
    </xf>
    <xf numFmtId="164" fontId="19" fillId="42" borderId="5" xfId="0" applyNumberFormat="1" applyFont="1" applyFill="1" applyBorder="1" applyAlignment="1">
      <alignment horizontal="right" vertical="center"/>
    </xf>
    <xf numFmtId="164" fontId="7" fillId="0" borderId="11" xfId="0" applyNumberFormat="1" applyFont="1" applyFill="1" applyBorder="1" applyAlignment="1">
      <alignment horizontal="right" vertical="center"/>
    </xf>
    <xf numFmtId="164" fontId="5" fillId="42" borderId="6" xfId="0" applyNumberFormat="1" applyFont="1" applyFill="1" applyBorder="1" applyAlignment="1">
      <alignment horizontal="right" vertical="center"/>
    </xf>
    <xf numFmtId="164" fontId="5" fillId="42" borderId="7" xfId="0" applyNumberFormat="1" applyFont="1" applyFill="1" applyBorder="1" applyAlignment="1">
      <alignment horizontal="right" vertical="center"/>
    </xf>
    <xf numFmtId="164" fontId="5" fillId="42" borderId="13" xfId="0" applyNumberFormat="1" applyFont="1" applyFill="1" applyBorder="1" applyAlignment="1">
      <alignment horizontal="right" vertical="center"/>
    </xf>
    <xf numFmtId="164" fontId="7" fillId="0" borderId="19" xfId="0" applyNumberFormat="1" applyFont="1" applyFill="1" applyBorder="1" applyAlignment="1">
      <alignment horizontal="right" vertical="center"/>
    </xf>
    <xf numFmtId="164" fontId="6" fillId="41" borderId="7" xfId="0" applyNumberFormat="1" applyFont="1" applyFill="1" applyBorder="1" applyAlignment="1">
      <alignment horizontal="center" vertical="center"/>
    </xf>
    <xf numFmtId="2" fontId="5" fillId="42" borderId="6" xfId="0" applyNumberFormat="1" applyFont="1" applyFill="1" applyBorder="1" applyAlignment="1">
      <alignment horizontal="right" vertical="center"/>
    </xf>
    <xf numFmtId="164" fontId="6" fillId="41" borderId="10" xfId="0" applyNumberFormat="1" applyFont="1" applyFill="1" applyBorder="1" applyAlignment="1">
      <alignment horizontal="center" vertical="center"/>
    </xf>
    <xf numFmtId="1" fontId="20" fillId="0" borderId="6" xfId="0" applyNumberFormat="1" applyFont="1" applyFill="1" applyBorder="1" applyAlignment="1">
      <alignment horizontal="right" vertical="center"/>
    </xf>
    <xf numFmtId="0" fontId="9" fillId="6" borderId="7" xfId="0" applyFont="1" applyFill="1" applyBorder="1" applyAlignment="1">
      <alignment horizontal="center" vertical="center"/>
    </xf>
    <xf numFmtId="164" fontId="19" fillId="0" borderId="6" xfId="0" applyNumberFormat="1" applyFont="1" applyFill="1" applyBorder="1" applyAlignment="1">
      <alignment horizontal="center" vertical="center"/>
    </xf>
    <xf numFmtId="0" fontId="29" fillId="6" borderId="13" xfId="0" applyFont="1" applyFill="1" applyBorder="1" applyAlignment="1">
      <alignment horizontal="center" vertical="center"/>
    </xf>
    <xf numFmtId="169" fontId="5" fillId="0" borderId="13" xfId="0" applyNumberFormat="1" applyFont="1" applyFill="1" applyBorder="1" applyAlignment="1">
      <alignment horizontal="center"/>
    </xf>
    <xf numFmtId="169" fontId="5" fillId="0" borderId="3" xfId="0" applyNumberFormat="1" applyFont="1" applyFill="1" applyBorder="1" applyAlignment="1">
      <alignment horizontal="center" vertical="center"/>
    </xf>
    <xf numFmtId="169" fontId="9" fillId="0" borderId="7" xfId="0" applyNumberFormat="1" applyFont="1" applyFill="1" applyBorder="1" applyAlignment="1">
      <alignment horizontal="center"/>
    </xf>
    <xf numFmtId="166" fontId="19" fillId="0" borderId="13" xfId="0" applyNumberFormat="1" applyFont="1" applyFill="1" applyBorder="1" applyAlignment="1">
      <alignment horizontal="right"/>
    </xf>
    <xf numFmtId="164" fontId="2" fillId="0" borderId="0" xfId="0" applyNumberFormat="1" applyFont="1" applyBorder="1"/>
    <xf numFmtId="164" fontId="0" fillId="0" borderId="13" xfId="0" applyNumberFormat="1" applyBorder="1"/>
    <xf numFmtId="164" fontId="6" fillId="7" borderId="33" xfId="0" applyNumberFormat="1"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2" fontId="5" fillId="0" borderId="8" xfId="0" applyNumberFormat="1" applyFont="1" applyFill="1" applyBorder="1" applyAlignment="1">
      <alignment vertical="center"/>
    </xf>
    <xf numFmtId="164" fontId="7" fillId="0" borderId="10" xfId="0" quotePrefix="1" applyNumberFormat="1" applyFont="1" applyFill="1" applyBorder="1" applyAlignment="1">
      <alignment vertical="center"/>
    </xf>
    <xf numFmtId="1" fontId="6" fillId="0" borderId="33" xfId="0" applyNumberFormat="1" applyFont="1" applyFill="1" applyBorder="1" applyAlignment="1">
      <alignment horizontal="center" vertical="center"/>
    </xf>
    <xf numFmtId="164" fontId="7" fillId="0" borderId="8" xfId="0" quotePrefix="1" applyNumberFormat="1" applyFont="1" applyFill="1" applyBorder="1" applyAlignment="1">
      <alignment vertical="center"/>
    </xf>
    <xf numFmtId="164" fontId="7" fillId="0" borderId="19" xfId="0" quotePrefix="1" applyNumberFormat="1" applyFont="1" applyFill="1" applyBorder="1" applyAlignment="1">
      <alignment vertical="center"/>
    </xf>
    <xf numFmtId="164" fontId="5" fillId="0" borderId="21" xfId="0" applyNumberFormat="1" applyFont="1" applyFill="1" applyBorder="1" applyAlignment="1">
      <alignment horizontal="right" vertical="center"/>
    </xf>
    <xf numFmtId="0" fontId="9" fillId="0" borderId="12" xfId="0" applyFont="1" applyBorder="1" applyAlignment="1">
      <alignment wrapText="1"/>
    </xf>
    <xf numFmtId="0" fontId="29" fillId="7" borderId="9" xfId="0" applyFont="1" applyFill="1" applyBorder="1" applyAlignment="1">
      <alignment horizontal="center" wrapText="1"/>
    </xf>
    <xf numFmtId="164" fontId="5" fillId="42" borderId="9" xfId="0" applyNumberFormat="1" applyFont="1" applyFill="1" applyBorder="1" applyAlignment="1">
      <alignment horizontal="right" vertical="center"/>
    </xf>
    <xf numFmtId="0" fontId="5" fillId="0" borderId="0" xfId="0" applyFont="1" applyFill="1" applyAlignment="1">
      <alignment horizontal="center"/>
    </xf>
    <xf numFmtId="173" fontId="69" fillId="0" borderId="0" xfId="124" applyNumberFormat="1" applyFont="1" applyFill="1" applyAlignment="1">
      <alignment horizontal="right" wrapText="1"/>
    </xf>
    <xf numFmtId="173" fontId="70" fillId="0" borderId="0" xfId="124" applyNumberFormat="1" applyFont="1" applyFill="1"/>
    <xf numFmtId="173" fontId="70" fillId="0" borderId="8" xfId="124" applyNumberFormat="1" applyFont="1" applyFill="1" applyBorder="1"/>
    <xf numFmtId="164" fontId="6" fillId="6" borderId="32" xfId="0" applyNumberFormat="1" applyFont="1" applyFill="1" applyBorder="1" applyAlignment="1">
      <alignment horizontal="center" vertical="center"/>
    </xf>
    <xf numFmtId="164" fontId="6" fillId="42" borderId="9"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0"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10" xfId="0" applyNumberFormat="1" applyFont="1" applyFill="1" applyBorder="1" applyAlignment="1">
      <alignment horizontal="center" vertical="center"/>
    </xf>
    <xf numFmtId="164" fontId="19" fillId="0" borderId="7"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164" fontId="7" fillId="0" borderId="33"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7" fontId="27" fillId="0" borderId="12" xfId="0" applyNumberFormat="1" applyFont="1" applyFill="1" applyBorder="1" applyAlignment="1">
      <alignment horizontal="right" vertical="center"/>
    </xf>
    <xf numFmtId="167" fontId="27" fillId="0" borderId="3" xfId="0" applyNumberFormat="1" applyFont="1" applyFill="1" applyBorder="1" applyAlignment="1">
      <alignment horizontal="right" vertical="center"/>
    </xf>
    <xf numFmtId="167" fontId="71" fillId="0" borderId="5" xfId="0" applyNumberFormat="1" applyFont="1" applyFill="1" applyBorder="1" applyAlignment="1">
      <alignment horizontal="right" vertical="center"/>
    </xf>
    <xf numFmtId="167" fontId="71" fillId="0" borderId="7" xfId="0" applyNumberFormat="1" applyFont="1" applyFill="1" applyBorder="1" applyAlignment="1">
      <alignment horizontal="right" vertical="center"/>
    </xf>
    <xf numFmtId="0" fontId="0" fillId="42" borderId="5" xfId="0" applyFill="1" applyBorder="1"/>
    <xf numFmtId="0" fontId="7" fillId="6" borderId="10" xfId="0" applyFont="1" applyFill="1" applyBorder="1" applyAlignment="1">
      <alignment horizontal="center" vertical="center" wrapText="1"/>
    </xf>
    <xf numFmtId="169" fontId="6" fillId="6" borderId="33" xfId="0" applyNumberFormat="1" applyFont="1" applyFill="1" applyBorder="1" applyAlignment="1">
      <alignment horizontal="right" vertical="center"/>
    </xf>
    <xf numFmtId="164" fontId="7" fillId="0" borderId="5" xfId="0" applyNumberFormat="1" applyFont="1" applyFill="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vertical="center"/>
    </xf>
    <xf numFmtId="0" fontId="5" fillId="0" borderId="3" xfId="0" applyFont="1" applyBorder="1" applyAlignment="1"/>
    <xf numFmtId="164" fontId="65" fillId="0" borderId="0" xfId="0" quotePrefix="1" applyNumberFormat="1" applyFont="1" applyFill="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0" xfId="0" applyFont="1" applyBorder="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top" wrapText="1"/>
    </xf>
    <xf numFmtId="0" fontId="4" fillId="0" borderId="0" xfId="0" quotePrefix="1" applyNumberFormat="1" applyFont="1" applyBorder="1" applyAlignment="1">
      <alignment horizontal="center" vertical="center" wrapText="1"/>
    </xf>
    <xf numFmtId="0" fontId="0" fillId="0" borderId="0" xfId="0" applyAlignment="1">
      <alignment vertical="top" wrapText="1"/>
    </xf>
    <xf numFmtId="0" fontId="8" fillId="0" borderId="0" xfId="0" applyFont="1" applyBorder="1" applyAlignment="1">
      <alignment horizontal="center" vertical="top" wrapText="1"/>
    </xf>
    <xf numFmtId="0" fontId="23" fillId="0"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6" borderId="9"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Alignment="1">
      <alignment horizontal="left" vertical="top" wrapText="1"/>
    </xf>
    <xf numFmtId="0" fontId="5" fillId="0" borderId="0" xfId="0" quotePrefix="1" applyFont="1" applyAlignment="1">
      <alignment horizontal="left" vertical="top"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8" fillId="0" borderId="0" xfId="0" applyFont="1" applyAlignment="1">
      <alignment horizontal="center" vertical="center" wrapText="1"/>
    </xf>
    <xf numFmtId="0" fontId="13" fillId="0" borderId="0" xfId="0" applyFont="1" applyAlignment="1">
      <alignment horizontal="center" vertical="center"/>
    </xf>
    <xf numFmtId="0" fontId="2" fillId="0" borderId="0" xfId="0" applyFont="1" applyAlignment="1">
      <alignment horizontal="center" vertical="center"/>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24" fillId="0" borderId="0" xfId="0" applyFont="1" applyBorder="1" applyAlignment="1">
      <alignment horizontal="center" vertical="top" wrapText="1"/>
    </xf>
    <xf numFmtId="0" fontId="13"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6" fillId="0" borderId="0" xfId="0" applyFont="1" applyBorder="1" applyAlignment="1">
      <alignment horizontal="left" wrapText="1"/>
    </xf>
    <xf numFmtId="0" fontId="9" fillId="0" borderId="0" xfId="0" applyFont="1" applyBorder="1" applyAlignment="1">
      <alignment horizontal="left" wrapText="1"/>
    </xf>
    <xf numFmtId="0" fontId="7" fillId="0" borderId="3" xfId="0" applyFont="1" applyBorder="1" applyAlignment="1">
      <alignment horizontal="center" vertical="center"/>
    </xf>
    <xf numFmtId="0" fontId="7" fillId="0" borderId="0" xfId="0" quotePrefix="1" applyFont="1" applyFill="1" applyBorder="1" applyAlignment="1">
      <alignment horizontal="left" vertical="top" wrapText="1"/>
    </xf>
    <xf numFmtId="0" fontId="6" fillId="0" borderId="12" xfId="0" quotePrefix="1" applyFont="1" applyFill="1" applyBorder="1" applyAlignment="1">
      <alignment horizontal="left" wrapText="1"/>
    </xf>
    <xf numFmtId="0" fontId="9" fillId="0" borderId="12" xfId="0" quotePrefix="1" applyFont="1" applyFill="1" applyBorder="1" applyAlignment="1">
      <alignment horizontal="left" wrapText="1"/>
    </xf>
    <xf numFmtId="0" fontId="5" fillId="0" borderId="3" xfId="0" applyFont="1" applyBorder="1" applyAlignment="1">
      <alignment horizontal="right" indent="1"/>
    </xf>
    <xf numFmtId="0" fontId="5" fillId="0" borderId="3" xfId="0" applyFont="1" applyBorder="1" applyAlignment="1">
      <alignment horizontal="right" vertical="center"/>
    </xf>
    <xf numFmtId="0" fontId="5" fillId="0" borderId="0" xfId="0" applyFont="1" applyAlignment="1">
      <alignment horizontal="center"/>
    </xf>
    <xf numFmtId="0" fontId="29" fillId="7" borderId="5"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5" fillId="0" borderId="0" xfId="0" applyFont="1" applyAlignment="1">
      <alignment horizontal="left" vertical="top" wrapText="1"/>
    </xf>
    <xf numFmtId="0" fontId="24" fillId="0" borderId="0" xfId="0" applyFont="1" applyBorder="1" applyAlignment="1">
      <alignment horizontal="center" vertical="top"/>
    </xf>
    <xf numFmtId="0" fontId="6" fillId="0" borderId="12" xfId="0" quotePrefix="1" applyFont="1" applyFill="1" applyBorder="1" applyAlignment="1">
      <alignment wrapText="1"/>
    </xf>
    <xf numFmtId="0" fontId="9" fillId="0" borderId="12" xfId="0" quotePrefix="1" applyFont="1" applyFill="1" applyBorder="1" applyAlignment="1">
      <alignment wrapText="1"/>
    </xf>
    <xf numFmtId="0" fontId="8" fillId="0" borderId="0" xfId="0" applyFont="1" applyBorder="1" applyAlignment="1">
      <alignment horizontal="center" vertical="top"/>
    </xf>
    <xf numFmtId="49" fontId="6" fillId="0" borderId="0" xfId="0" applyNumberFormat="1" applyFont="1" applyBorder="1" applyAlignment="1">
      <alignment horizontal="left" wrapText="1"/>
    </xf>
    <xf numFmtId="0" fontId="6" fillId="0" borderId="12" xfId="0" applyFont="1" applyBorder="1" applyAlignment="1">
      <alignment wrapText="1"/>
    </xf>
    <xf numFmtId="0" fontId="8"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6" fillId="0" borderId="0" xfId="0" applyFont="1" applyBorder="1" applyAlignment="1">
      <alignment horizontal="left"/>
    </xf>
    <xf numFmtId="0" fontId="9" fillId="0" borderId="0" xfId="0" applyFont="1" applyBorder="1" applyAlignment="1">
      <alignment horizontal="left"/>
    </xf>
    <xf numFmtId="0" fontId="13" fillId="0" borderId="0" xfId="0" applyFont="1" applyFill="1" applyBorder="1" applyAlignment="1">
      <alignment horizontal="center" vertical="center"/>
    </xf>
    <xf numFmtId="0" fontId="8" fillId="0" borderId="0" xfId="0" applyFont="1" applyAlignment="1">
      <alignment horizontal="center" vertical="top"/>
    </xf>
    <xf numFmtId="0" fontId="9" fillId="7" borderId="9" xfId="0" applyFont="1" applyFill="1" applyBorder="1" applyAlignment="1">
      <alignment horizontal="center" vertical="top" wrapText="1"/>
    </xf>
    <xf numFmtId="0" fontId="0" fillId="7" borderId="10" xfId="0" applyFill="1" applyBorder="1" applyAlignment="1">
      <alignment horizontal="center" vertical="top" wrapText="1"/>
    </xf>
    <xf numFmtId="0" fontId="6" fillId="7" borderId="5" xfId="0" applyFont="1" applyFill="1" applyBorder="1" applyAlignment="1">
      <alignment horizontal="center" vertical="top" wrapText="1"/>
    </xf>
    <xf numFmtId="0" fontId="0" fillId="7" borderId="7" xfId="0" applyFill="1" applyBorder="1" applyAlignment="1">
      <alignment horizontal="center" vertical="top" wrapText="1"/>
    </xf>
    <xf numFmtId="0" fontId="9" fillId="7" borderId="5" xfId="0" applyFont="1" applyFill="1" applyBorder="1" applyAlignment="1">
      <alignment horizontal="center" vertical="top" wrapText="1"/>
    </xf>
    <xf numFmtId="0" fontId="9" fillId="7" borderId="7" xfId="0" applyFont="1" applyFill="1" applyBorder="1" applyAlignment="1">
      <alignment horizontal="center" vertical="top" wrapText="1"/>
    </xf>
    <xf numFmtId="0" fontId="6" fillId="0" borderId="0" xfId="0" applyFont="1" applyFill="1" applyBorder="1" applyAlignment="1">
      <alignment horizontal="left" wrapText="1"/>
    </xf>
    <xf numFmtId="0" fontId="5" fillId="0" borderId="0" xfId="0" applyFont="1" applyFill="1" applyBorder="1" applyAlignment="1">
      <alignment horizontal="left" wrapText="1"/>
    </xf>
    <xf numFmtId="0" fontId="0" fillId="7" borderId="6" xfId="0" applyFill="1" applyBorder="1" applyAlignment="1">
      <alignment horizontal="center" vertical="top" wrapText="1"/>
    </xf>
    <xf numFmtId="0" fontId="9" fillId="7" borderId="11" xfId="0" applyFont="1" applyFill="1" applyBorder="1" applyAlignment="1">
      <alignment horizontal="center" vertical="top" wrapText="1"/>
    </xf>
    <xf numFmtId="0" fontId="9" fillId="7" borderId="15" xfId="0" applyFont="1" applyFill="1" applyBorder="1" applyAlignment="1">
      <alignment horizontal="center" vertical="top" wrapText="1"/>
    </xf>
    <xf numFmtId="0" fontId="9" fillId="0" borderId="0" xfId="0" applyFont="1" applyFill="1" applyBorder="1" applyAlignment="1">
      <alignment horizontal="center" vertical="center"/>
    </xf>
  </cellXfs>
  <cellStyles count="125">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Column heading" xfId="52" xr:uid="{00000000-0005-0000-0000-000033000000}"/>
    <cellStyle name="Comma" xfId="53" builtinId="3"/>
    <cellStyle name="Corner heading" xfId="54" xr:uid="{00000000-0005-0000-0000-000035000000}"/>
    <cellStyle name="Data" xfId="55" xr:uid="{00000000-0005-0000-0000-000036000000}"/>
    <cellStyle name="Data no deci" xfId="56" xr:uid="{00000000-0005-0000-0000-000037000000}"/>
    <cellStyle name="Data Superscript" xfId="57" xr:uid="{00000000-0005-0000-0000-000038000000}"/>
    <cellStyle name="Data_1-1A-Regular" xfId="58" xr:uid="{00000000-0005-0000-0000-000039000000}"/>
    <cellStyle name="Explanatory Text" xfId="59" builtinId="53" customBuiltin="1"/>
    <cellStyle name="Good" xfId="60" builtinId="26" customBuiltin="1"/>
    <cellStyle name="Heading 1" xfId="61" builtinId="16" customBuiltin="1"/>
    <cellStyle name="Heading 2" xfId="62" builtinId="17" customBuiltin="1"/>
    <cellStyle name="Heading 3" xfId="63" builtinId="18" customBuiltin="1"/>
    <cellStyle name="Heading 4" xfId="64" builtinId="19" customBuiltin="1"/>
    <cellStyle name="Hed Side" xfId="65" xr:uid="{00000000-0005-0000-0000-000040000000}"/>
    <cellStyle name="Hed Side bold" xfId="66" xr:uid="{00000000-0005-0000-0000-000041000000}"/>
    <cellStyle name="Hed Side Indent" xfId="67" xr:uid="{00000000-0005-0000-0000-000042000000}"/>
    <cellStyle name="Hed Side Regular" xfId="68" xr:uid="{00000000-0005-0000-0000-000043000000}"/>
    <cellStyle name="Hed Side_1-1A-Regular" xfId="69" xr:uid="{00000000-0005-0000-0000-000044000000}"/>
    <cellStyle name="Hed Top" xfId="70" xr:uid="{00000000-0005-0000-0000-000045000000}"/>
    <cellStyle name="Hed Top - SECTION" xfId="71" xr:uid="{00000000-0005-0000-0000-000046000000}"/>
    <cellStyle name="Hed Top_3-new4" xfId="72" xr:uid="{00000000-0005-0000-0000-000047000000}"/>
    <cellStyle name="Hyperlink 2" xfId="119" xr:uid="{00000000-0005-0000-0000-000049000000}"/>
    <cellStyle name="Input" xfId="73" builtinId="20" customBuiltin="1"/>
    <cellStyle name="Linked Cell" xfId="74" builtinId="24" customBuiltin="1"/>
    <cellStyle name="Milliers 2" xfId="121" xr:uid="{00000000-0005-0000-0000-00004C000000}"/>
    <cellStyle name="Neutral" xfId="75" builtinId="28" customBuiltin="1"/>
    <cellStyle name="Normal" xfId="0" builtinId="0" customBuiltin="1"/>
    <cellStyle name="Normal 12" xfId="76" xr:uid="{00000000-0005-0000-0000-00004F000000}"/>
    <cellStyle name="Normal 2" xfId="77" xr:uid="{00000000-0005-0000-0000-000050000000}"/>
    <cellStyle name="Normal 2 2" xfId="78" xr:uid="{00000000-0005-0000-0000-000051000000}"/>
    <cellStyle name="Normal 2 2 2" xfId="79" xr:uid="{00000000-0005-0000-0000-000052000000}"/>
    <cellStyle name="Normal 2 3" xfId="120" xr:uid="{00000000-0005-0000-0000-000053000000}"/>
    <cellStyle name="Normal 3" xfId="80" xr:uid="{00000000-0005-0000-0000-000054000000}"/>
    <cellStyle name="Normal 3 2" xfId="123" xr:uid="{00000000-0005-0000-0000-000055000000}"/>
    <cellStyle name="Normal 4" xfId="117" xr:uid="{00000000-0005-0000-0000-000056000000}"/>
    <cellStyle name="Normal 5" xfId="124" xr:uid="{F7E78A79-C43B-42B8-851D-F4C70BC2890F}"/>
    <cellStyle name="Normal 9" xfId="81" xr:uid="{00000000-0005-0000-0000-000057000000}"/>
    <cellStyle name="Note 2" xfId="82" xr:uid="{00000000-0005-0000-0000-000058000000}"/>
    <cellStyle name="Note 3" xfId="83" xr:uid="{00000000-0005-0000-0000-000059000000}"/>
    <cellStyle name="Note 4" xfId="84" xr:uid="{00000000-0005-0000-0000-00005A000000}"/>
    <cellStyle name="NumberCellStyle" xfId="85" xr:uid="{00000000-0005-0000-0000-00005B000000}"/>
    <cellStyle name="Output" xfId="86" builtinId="21" customBuiltin="1"/>
    <cellStyle name="Percent 2" xfId="118" xr:uid="{00000000-0005-0000-0000-00005D000000}"/>
    <cellStyle name="Reference" xfId="87" xr:uid="{00000000-0005-0000-0000-00005E000000}"/>
    <cellStyle name="Row heading" xfId="88" xr:uid="{00000000-0005-0000-0000-00005F000000}"/>
    <cellStyle name="Source Hed" xfId="89" xr:uid="{00000000-0005-0000-0000-000060000000}"/>
    <cellStyle name="Source Letter" xfId="90" xr:uid="{00000000-0005-0000-0000-000061000000}"/>
    <cellStyle name="Source Superscript" xfId="91" xr:uid="{00000000-0005-0000-0000-000062000000}"/>
    <cellStyle name="Source Text" xfId="92" xr:uid="{00000000-0005-0000-0000-000063000000}"/>
    <cellStyle name="Standard 2" xfId="116" xr:uid="{00000000-0005-0000-0000-000064000000}"/>
    <cellStyle name="Standard 3" xfId="122" xr:uid="{00000000-0005-0000-0000-000065000000}"/>
    <cellStyle name="Standard_E00seit45" xfId="93" xr:uid="{00000000-0005-0000-0000-000066000000}"/>
    <cellStyle name="State" xfId="94" xr:uid="{00000000-0005-0000-0000-000067000000}"/>
    <cellStyle name="Superscript" xfId="95" xr:uid="{00000000-0005-0000-0000-000068000000}"/>
    <cellStyle name="Table Data" xfId="96" xr:uid="{00000000-0005-0000-0000-000069000000}"/>
    <cellStyle name="Table Head Top" xfId="97" xr:uid="{00000000-0005-0000-0000-00006A000000}"/>
    <cellStyle name="Table Hed Side" xfId="98" xr:uid="{00000000-0005-0000-0000-00006B000000}"/>
    <cellStyle name="Table Title" xfId="99" xr:uid="{00000000-0005-0000-0000-00006C000000}"/>
    <cellStyle name="Title" xfId="100" builtinId="15" customBuiltin="1"/>
    <cellStyle name="Title 2" xfId="101" xr:uid="{00000000-0005-0000-0000-00006E000000}"/>
    <cellStyle name="Title Text" xfId="102" xr:uid="{00000000-0005-0000-0000-00006F000000}"/>
    <cellStyle name="Title Text 1" xfId="103" xr:uid="{00000000-0005-0000-0000-000070000000}"/>
    <cellStyle name="Title Text 2" xfId="104" xr:uid="{00000000-0005-0000-0000-000071000000}"/>
    <cellStyle name="Title-1" xfId="105" xr:uid="{00000000-0005-0000-0000-000072000000}"/>
    <cellStyle name="Title-2" xfId="106" xr:uid="{00000000-0005-0000-0000-000073000000}"/>
    <cellStyle name="Title-3" xfId="107" xr:uid="{00000000-0005-0000-0000-000074000000}"/>
    <cellStyle name="Titre ligne" xfId="108" xr:uid="{00000000-0005-0000-0000-000075000000}"/>
    <cellStyle name="Total" xfId="109" builtinId="25" customBuiltin="1"/>
    <cellStyle name="Total intermediaire" xfId="110" xr:uid="{00000000-0005-0000-0000-000077000000}"/>
    <cellStyle name="Warning Text" xfId="111" builtinId="11" customBuiltin="1"/>
    <cellStyle name="Wrap" xfId="112" xr:uid="{00000000-0005-0000-0000-000079000000}"/>
    <cellStyle name="Wrap Bold" xfId="113" xr:uid="{00000000-0005-0000-0000-00007A000000}"/>
    <cellStyle name="Wrap Title" xfId="114" xr:uid="{00000000-0005-0000-0000-00007B000000}"/>
    <cellStyle name="Wrap_NTS99-~11" xfId="115" xr:uid="{00000000-0005-0000-0000-00007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FF99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EU-27</a:t>
            </a:r>
          </a:p>
          <a:p>
            <a:pPr>
              <a:defRPr sz="1200" b="0" i="0" u="none" strike="noStrike" baseline="0">
                <a:solidFill>
                  <a:srgbClr val="000000"/>
                </a:solidFill>
                <a:latin typeface="Arial"/>
                <a:ea typeface="Arial"/>
                <a:cs typeface="Arial"/>
              </a:defRPr>
            </a:pPr>
            <a:r>
              <a:rPr lang="en-US" sz="1200" b="1" i="0" u="none" strike="noStrike" baseline="0">
                <a:solidFill>
                  <a:srgbClr val="000000"/>
                </a:solidFill>
                <a:latin typeface="Arial"/>
                <a:cs typeface="Arial"/>
              </a:rPr>
              <a:t> Performance by mode for freight transport</a:t>
            </a:r>
            <a:endParaRPr lang="en-US" sz="1525"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900" b="1" i="0" u="none" strike="noStrike" baseline="0">
                <a:solidFill>
                  <a:srgbClr val="000000"/>
                </a:solidFill>
                <a:latin typeface="Arial"/>
                <a:cs typeface="Arial"/>
              </a:rPr>
              <a:t>1995 - 2021</a:t>
            </a:r>
          </a:p>
          <a:p>
            <a:pPr>
              <a:defRPr sz="1200" b="0" i="0" u="none" strike="noStrike" baseline="0">
                <a:solidFill>
                  <a:srgbClr val="000000"/>
                </a:solidFill>
                <a:latin typeface="Arial"/>
                <a:ea typeface="Arial"/>
                <a:cs typeface="Arial"/>
              </a:defRPr>
            </a:pPr>
            <a:endParaRPr lang="en-US" sz="9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r>
              <a:rPr lang="en-US" sz="725" b="1" i="0" u="none" strike="noStrike" baseline="0">
                <a:solidFill>
                  <a:srgbClr val="000000"/>
                </a:solidFill>
                <a:latin typeface="Arial"/>
                <a:cs typeface="Arial"/>
              </a:rPr>
              <a:t>billion tonne-kilometres</a:t>
            </a:r>
          </a:p>
        </c:rich>
      </c:tx>
      <c:layout>
        <c:manualLayout>
          <c:xMode val="edge"/>
          <c:yMode val="edge"/>
          <c:x val="0.22399994758591385"/>
          <c:y val="2.0450056730699595E-3"/>
        </c:manualLayout>
      </c:layout>
      <c:overlay val="0"/>
      <c:spPr>
        <a:noFill/>
        <a:ln w="25400">
          <a:noFill/>
        </a:ln>
      </c:spPr>
    </c:title>
    <c:autoTitleDeleted val="0"/>
    <c:plotArea>
      <c:layout>
        <c:manualLayout>
          <c:layoutTarget val="inner"/>
          <c:xMode val="edge"/>
          <c:yMode val="edge"/>
          <c:x val="4.1928543970591974E-2"/>
          <c:y val="0.15038858919972928"/>
          <c:w val="0.9072007087505537"/>
          <c:h val="0.73210780153174837"/>
        </c:manualLayout>
      </c:layout>
      <c:lineChart>
        <c:grouping val="standard"/>
        <c:varyColors val="0"/>
        <c:ser>
          <c:idx val="0"/>
          <c:order val="0"/>
          <c:tx>
            <c:strRef>
              <c:f>freight_graph!$B$38</c:f>
              <c:strCache>
                <c:ptCount val="1"/>
                <c:pt idx="0">
                  <c:v>Road</c:v>
                </c:pt>
              </c:strCache>
            </c:strRef>
          </c:tx>
          <c:spPr>
            <a:ln w="25400">
              <a:solidFill>
                <a:srgbClr val="993300"/>
              </a:solidFill>
              <a:prstDash val="solid"/>
            </a:ln>
          </c:spPr>
          <c:marker>
            <c:symbol val="x"/>
            <c:size val="5"/>
            <c:spPr>
              <a:solidFill>
                <a:srgbClr val="993300"/>
              </a:solidFill>
              <a:ln>
                <a:solidFill>
                  <a:srgbClr val="993300"/>
                </a:solidFill>
                <a:prstDash val="solid"/>
              </a:ln>
            </c:spPr>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freight_graph!$C$38:$AC$38</c:f>
              <c:numCache>
                <c:formatCode>0.0</c:formatCode>
                <c:ptCount val="27"/>
                <c:pt idx="0">
                  <c:v>1127.1600000000001</c:v>
                </c:pt>
                <c:pt idx="1">
                  <c:v>1136.3789999999997</c:v>
                </c:pt>
                <c:pt idx="2">
                  <c:v>1182.4780000000001</c:v>
                </c:pt>
                <c:pt idx="3">
                  <c:v>1242.2039999999997</c:v>
                </c:pt>
                <c:pt idx="4">
                  <c:v>1294.3619999999999</c:v>
                </c:pt>
                <c:pt idx="5">
                  <c:v>1343.867</c:v>
                </c:pt>
                <c:pt idx="6">
                  <c:v>1389.2530000000002</c:v>
                </c:pt>
                <c:pt idx="7">
                  <c:v>1438.8</c:v>
                </c:pt>
                <c:pt idx="8">
                  <c:v>1440.54</c:v>
                </c:pt>
                <c:pt idx="9">
                  <c:v>1588.2660000000001</c:v>
                </c:pt>
                <c:pt idx="10">
                  <c:v>1588.1540655743293</c:v>
                </c:pt>
                <c:pt idx="11">
                  <c:v>1638.7945822386714</c:v>
                </c:pt>
                <c:pt idx="12">
                  <c:v>1697.6440389755346</c:v>
                </c:pt>
                <c:pt idx="13">
                  <c:v>1676.4616408826394</c:v>
                </c:pt>
                <c:pt idx="14">
                  <c:v>1515.3165860635595</c:v>
                </c:pt>
                <c:pt idx="15">
                  <c:v>1558.2925344262567</c:v>
                </c:pt>
                <c:pt idx="16">
                  <c:v>1541.6311993737638</c:v>
                </c:pt>
                <c:pt idx="17">
                  <c:v>1481.6904120467425</c:v>
                </c:pt>
                <c:pt idx="18">
                  <c:v>1516.3640398284499</c:v>
                </c:pt>
                <c:pt idx="19">
                  <c:v>1527.4346235799926</c:v>
                </c:pt>
                <c:pt idx="20">
                  <c:v>1561.9876827709111</c:v>
                </c:pt>
                <c:pt idx="21">
                  <c:v>1619.7477300951773</c:v>
                </c:pt>
                <c:pt idx="22">
                  <c:v>1707.3138634168388</c:v>
                </c:pt>
                <c:pt idx="23">
                  <c:v>1707.4960000000001</c:v>
                </c:pt>
                <c:pt idx="24">
                  <c:v>1764.788</c:v>
                </c:pt>
                <c:pt idx="25">
                  <c:v>1745.3319999999999</c:v>
                </c:pt>
                <c:pt idx="26">
                  <c:v>1862.5149999999996</c:v>
                </c:pt>
              </c:numCache>
            </c:numRef>
          </c:val>
          <c:smooth val="0"/>
          <c:extLst>
            <c:ext xmlns:c16="http://schemas.microsoft.com/office/drawing/2014/chart" uri="{C3380CC4-5D6E-409C-BE32-E72D297353CC}">
              <c16:uniqueId val="{00000000-867E-43BB-9682-34496CE99106}"/>
            </c:ext>
          </c:extLst>
        </c:ser>
        <c:ser>
          <c:idx val="4"/>
          <c:order val="1"/>
          <c:tx>
            <c:strRef>
              <c:f>freight_graph!$B$39</c:f>
              <c:strCache>
                <c:ptCount val="1"/>
                <c:pt idx="0">
                  <c:v>Sea</c:v>
                </c:pt>
              </c:strCache>
            </c:strRef>
          </c:tx>
          <c:spPr>
            <a:ln w="25400">
              <a:solidFill>
                <a:srgbClr val="0000FF"/>
              </a:solidFill>
              <a:prstDash val="solid"/>
            </a:ln>
          </c:spPr>
          <c:marker>
            <c:symbol val="triangle"/>
            <c:size val="6"/>
            <c:spPr>
              <a:solidFill>
                <a:srgbClr val="0000FF"/>
              </a:solidFill>
              <a:ln>
                <a:solidFill>
                  <a:srgbClr val="0000FF"/>
                </a:solidFill>
                <a:prstDash val="solid"/>
              </a:ln>
            </c:spPr>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freight_graph!$C$39:$AC$39</c:f>
              <c:numCache>
                <c:formatCode>0.0</c:formatCode>
                <c:ptCount val="27"/>
                <c:pt idx="0">
                  <c:v>671.36542019370927</c:v>
                </c:pt>
                <c:pt idx="1">
                  <c:v>679.5670919936324</c:v>
                </c:pt>
                <c:pt idx="2">
                  <c:v>698.89960409345122</c:v>
                </c:pt>
                <c:pt idx="3">
                  <c:v>721.7471183932372</c:v>
                </c:pt>
                <c:pt idx="4">
                  <c:v>742.83713159303954</c:v>
                </c:pt>
                <c:pt idx="5">
                  <c:v>769.78548179278698</c:v>
                </c:pt>
                <c:pt idx="6">
                  <c:v>781.50215579267717</c:v>
                </c:pt>
                <c:pt idx="7">
                  <c:v>793.80466349256187</c:v>
                </c:pt>
                <c:pt idx="8">
                  <c:v>807.27883859243559</c:v>
                </c:pt>
                <c:pt idx="9">
                  <c:v>835.98468989216678</c:v>
                </c:pt>
                <c:pt idx="10">
                  <c:v>844.47159043293641</c:v>
                </c:pt>
                <c:pt idx="11">
                  <c:v>842.96922864308533</c:v>
                </c:pt>
                <c:pt idx="12">
                  <c:v>842.92936030820374</c:v>
                </c:pt>
                <c:pt idx="13">
                  <c:v>841.12354145165102</c:v>
                </c:pt>
                <c:pt idx="14">
                  <c:v>769.75738605850768</c:v>
                </c:pt>
                <c:pt idx="15">
                  <c:v>834.10070887932181</c:v>
                </c:pt>
                <c:pt idx="16">
                  <c:v>850.14405701893224</c:v>
                </c:pt>
                <c:pt idx="17">
                  <c:v>838.42273129871171</c:v>
                </c:pt>
                <c:pt idx="18">
                  <c:v>850.98288633212314</c:v>
                </c:pt>
                <c:pt idx="19">
                  <c:v>875.1199084423539</c:v>
                </c:pt>
                <c:pt idx="20">
                  <c:v>870.77096504305496</c:v>
                </c:pt>
                <c:pt idx="21">
                  <c:v>909.32038268673375</c:v>
                </c:pt>
                <c:pt idx="22">
                  <c:v>916.98868892735209</c:v>
                </c:pt>
                <c:pt idx="23">
                  <c:v>976.97412232437171</c:v>
                </c:pt>
                <c:pt idx="24">
                  <c:v>979.54274574293049</c:v>
                </c:pt>
                <c:pt idx="25">
                  <c:v>919.88758760004691</c:v>
                </c:pt>
                <c:pt idx="26" formatCode="0.00">
                  <c:v>932.6730464707955</c:v>
                </c:pt>
              </c:numCache>
            </c:numRef>
          </c:val>
          <c:smooth val="0"/>
          <c:extLst>
            <c:ext xmlns:c16="http://schemas.microsoft.com/office/drawing/2014/chart" uri="{C3380CC4-5D6E-409C-BE32-E72D297353CC}">
              <c16:uniqueId val="{00000001-867E-43BB-9682-34496CE99106}"/>
            </c:ext>
          </c:extLst>
        </c:ser>
        <c:ser>
          <c:idx val="1"/>
          <c:order val="2"/>
          <c:tx>
            <c:strRef>
              <c:f>freight_graph!$B$40</c:f>
              <c:strCache>
                <c:ptCount val="1"/>
                <c:pt idx="0">
                  <c:v>Rail</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freight_graph!$C$40:$AC$40</c:f>
              <c:numCache>
                <c:formatCode>0.0</c:formatCode>
                <c:ptCount val="27"/>
                <c:pt idx="0">
                  <c:v>374.81806800000004</c:v>
                </c:pt>
                <c:pt idx="1">
                  <c:v>378.76300000000009</c:v>
                </c:pt>
                <c:pt idx="2">
                  <c:v>394.35199999999992</c:v>
                </c:pt>
                <c:pt idx="3">
                  <c:v>377.03752500000002</c:v>
                </c:pt>
                <c:pt idx="4">
                  <c:v>367.11001500293986</c:v>
                </c:pt>
                <c:pt idx="5">
                  <c:v>387.9207546422241</c:v>
                </c:pt>
                <c:pt idx="6">
                  <c:v>369.25330225225701</c:v>
                </c:pt>
                <c:pt idx="7">
                  <c:v>368.16119255303101</c:v>
                </c:pt>
                <c:pt idx="8">
                  <c:v>376.30926875462399</c:v>
                </c:pt>
                <c:pt idx="9">
                  <c:v>390.03499999999997</c:v>
                </c:pt>
                <c:pt idx="10">
                  <c:v>394.59700000000004</c:v>
                </c:pt>
                <c:pt idx="11">
                  <c:v>416.24600000000004</c:v>
                </c:pt>
                <c:pt idx="12">
                  <c:v>430.72400000000005</c:v>
                </c:pt>
                <c:pt idx="13">
                  <c:v>421.68599999999992</c:v>
                </c:pt>
                <c:pt idx="14">
                  <c:v>344.36900000000003</c:v>
                </c:pt>
                <c:pt idx="15">
                  <c:v>374.95499999999998</c:v>
                </c:pt>
                <c:pt idx="16">
                  <c:v>401.12199999999984</c:v>
                </c:pt>
                <c:pt idx="17">
                  <c:v>385.18899999999996</c:v>
                </c:pt>
                <c:pt idx="18">
                  <c:v>384.31900000000007</c:v>
                </c:pt>
                <c:pt idx="19">
                  <c:v>388.93199999999996</c:v>
                </c:pt>
                <c:pt idx="20">
                  <c:v>398.51700000000011</c:v>
                </c:pt>
                <c:pt idx="21">
                  <c:v>407.45800000000008</c:v>
                </c:pt>
                <c:pt idx="22">
                  <c:v>411.27800000000002</c:v>
                </c:pt>
                <c:pt idx="23">
                  <c:v>418.31399999999996</c:v>
                </c:pt>
                <c:pt idx="24">
                  <c:v>407.92099999999999</c:v>
                </c:pt>
                <c:pt idx="25">
                  <c:v>377.30700000000007</c:v>
                </c:pt>
                <c:pt idx="26">
                  <c:v>409.57198254603679</c:v>
                </c:pt>
              </c:numCache>
            </c:numRef>
          </c:val>
          <c:smooth val="0"/>
          <c:extLst>
            <c:ext xmlns:c16="http://schemas.microsoft.com/office/drawing/2014/chart" uri="{C3380CC4-5D6E-409C-BE32-E72D297353CC}">
              <c16:uniqueId val="{00000002-867E-43BB-9682-34496CE99106}"/>
            </c:ext>
          </c:extLst>
        </c:ser>
        <c:ser>
          <c:idx val="2"/>
          <c:order val="3"/>
          <c:tx>
            <c:strRef>
              <c:f>freight_graph!$B$41</c:f>
              <c:strCache>
                <c:ptCount val="1"/>
                <c:pt idx="0">
                  <c:v>Inland Waterway</c:v>
                </c:pt>
              </c:strCache>
            </c:strRef>
          </c:tx>
          <c:spPr>
            <a:ln w="25400">
              <a:solidFill>
                <a:srgbClr val="00FF00"/>
              </a:solidFill>
              <a:prstDash val="solid"/>
            </a:ln>
          </c:spPr>
          <c:marker>
            <c:symbol val="star"/>
            <c:size val="10"/>
            <c:spPr>
              <a:noFill/>
              <a:ln>
                <a:solidFill>
                  <a:srgbClr val="00FF00"/>
                </a:solidFill>
                <a:prstDash val="solid"/>
              </a:ln>
            </c:spPr>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freight_graph!$C$41:$AC$41</c:f>
              <c:numCache>
                <c:formatCode>0.0</c:formatCode>
                <c:ptCount val="27"/>
                <c:pt idx="0">
                  <c:v>121.91820799999999</c:v>
                </c:pt>
                <c:pt idx="1">
                  <c:v>119.59849199999999</c:v>
                </c:pt>
                <c:pt idx="2">
                  <c:v>127.72012699999998</c:v>
                </c:pt>
                <c:pt idx="3">
                  <c:v>130.914354551</c:v>
                </c:pt>
                <c:pt idx="4">
                  <c:v>128.618899</c:v>
                </c:pt>
                <c:pt idx="5">
                  <c:v>133.7148856</c:v>
                </c:pt>
                <c:pt idx="6">
                  <c:v>132.4162436</c:v>
                </c:pt>
                <c:pt idx="7">
                  <c:v>132.41402299999999</c:v>
                </c:pt>
                <c:pt idx="8">
                  <c:v>123.43508519999999</c:v>
                </c:pt>
                <c:pt idx="9">
                  <c:v>136.76315100000005</c:v>
                </c:pt>
                <c:pt idx="10">
                  <c:v>138.61097439999998</c:v>
                </c:pt>
                <c:pt idx="11">
                  <c:v>138.41696909999999</c:v>
                </c:pt>
                <c:pt idx="12">
                  <c:v>145.40199999999999</c:v>
                </c:pt>
                <c:pt idx="13">
                  <c:v>146.90300000000002</c:v>
                </c:pt>
                <c:pt idx="14">
                  <c:v>132.60600000000002</c:v>
                </c:pt>
                <c:pt idx="15">
                  <c:v>155.36499999999998</c:v>
                </c:pt>
                <c:pt idx="16">
                  <c:v>141.82500000000002</c:v>
                </c:pt>
                <c:pt idx="17">
                  <c:v>149.822</c:v>
                </c:pt>
                <c:pt idx="18">
                  <c:v>152.58400000000003</c:v>
                </c:pt>
                <c:pt idx="19">
                  <c:v>150.70699999999997</c:v>
                </c:pt>
                <c:pt idx="20">
                  <c:v>147.35100000000003</c:v>
                </c:pt>
                <c:pt idx="21">
                  <c:v>146.60899999999995</c:v>
                </c:pt>
                <c:pt idx="22">
                  <c:v>147.22333333333333</c:v>
                </c:pt>
                <c:pt idx="23">
                  <c:v>131.30277777777778</c:v>
                </c:pt>
                <c:pt idx="24">
                  <c:v>139.69700000000003</c:v>
                </c:pt>
                <c:pt idx="25">
                  <c:v>131.74101000000002</c:v>
                </c:pt>
                <c:pt idx="26">
                  <c:v>136.07599999999999</c:v>
                </c:pt>
              </c:numCache>
            </c:numRef>
          </c:val>
          <c:smooth val="0"/>
          <c:extLst>
            <c:ext xmlns:c16="http://schemas.microsoft.com/office/drawing/2014/chart" uri="{C3380CC4-5D6E-409C-BE32-E72D297353CC}">
              <c16:uniqueId val="{00000003-867E-43BB-9682-34496CE99106}"/>
            </c:ext>
          </c:extLst>
        </c:ser>
        <c:ser>
          <c:idx val="3"/>
          <c:order val="4"/>
          <c:tx>
            <c:strRef>
              <c:f>freight_graph!$B$42</c:f>
              <c:strCache>
                <c:ptCount val="1"/>
                <c:pt idx="0">
                  <c:v>Oil Pipeline</c:v>
                </c:pt>
              </c:strCache>
            </c:strRef>
          </c:tx>
          <c:spPr>
            <a:ln w="25400">
              <a:solidFill>
                <a:srgbClr val="FF9999"/>
              </a:solidFill>
              <a:prstDash val="solid"/>
            </a:ln>
          </c:spPr>
          <c:marker>
            <c:symbol val="circle"/>
            <c:size val="5"/>
            <c:spPr>
              <a:noFill/>
              <a:ln>
                <a:solidFill>
                  <a:srgbClr val="FF9999"/>
                </a:solidFill>
                <a:prstDash val="solid"/>
              </a:ln>
            </c:spPr>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freight_graph!$C$42:$AC$42</c:f>
              <c:numCache>
                <c:formatCode>0.0</c:formatCode>
                <c:ptCount val="27"/>
                <c:pt idx="0">
                  <c:v>103.81029999999998</c:v>
                </c:pt>
                <c:pt idx="1">
                  <c:v>107.7071</c:v>
                </c:pt>
                <c:pt idx="2">
                  <c:v>107.66900000000001</c:v>
                </c:pt>
                <c:pt idx="3">
                  <c:v>114.67399999999999</c:v>
                </c:pt>
                <c:pt idx="4">
                  <c:v>113.21399999999998</c:v>
                </c:pt>
                <c:pt idx="5">
                  <c:v>115.68269999999998</c:v>
                </c:pt>
                <c:pt idx="6">
                  <c:v>122.3753</c:v>
                </c:pt>
                <c:pt idx="7">
                  <c:v>118.79659999999998</c:v>
                </c:pt>
                <c:pt idx="8">
                  <c:v>121.20380000000002</c:v>
                </c:pt>
                <c:pt idx="9">
                  <c:v>122.60236060000001</c:v>
                </c:pt>
                <c:pt idx="10">
                  <c:v>126.80850379999998</c:v>
                </c:pt>
                <c:pt idx="11">
                  <c:v>125.78924979999998</c:v>
                </c:pt>
                <c:pt idx="12">
                  <c:v>118.22248842182226</c:v>
                </c:pt>
                <c:pt idx="13">
                  <c:v>114.76496585313126</c:v>
                </c:pt>
                <c:pt idx="14">
                  <c:v>111.63421473696151</c:v>
                </c:pt>
                <c:pt idx="15">
                  <c:v>110.96844560300448</c:v>
                </c:pt>
                <c:pt idx="16">
                  <c:v>108.27031897026802</c:v>
                </c:pt>
                <c:pt idx="17">
                  <c:v>104.98250906969668</c:v>
                </c:pt>
                <c:pt idx="18">
                  <c:v>102.0834831637049</c:v>
                </c:pt>
                <c:pt idx="19">
                  <c:v>101.08568894404827</c:v>
                </c:pt>
                <c:pt idx="20">
                  <c:v>104.14976966869865</c:v>
                </c:pt>
                <c:pt idx="21">
                  <c:v>104.6967429921506</c:v>
                </c:pt>
                <c:pt idx="22">
                  <c:v>104.02069553496584</c:v>
                </c:pt>
                <c:pt idx="23">
                  <c:v>104.11186199860504</c:v>
                </c:pt>
                <c:pt idx="24">
                  <c:v>101.00951657524053</c:v>
                </c:pt>
                <c:pt idx="25">
                  <c:v>91.725137702937118</c:v>
                </c:pt>
                <c:pt idx="26">
                  <c:v>88.680765258492684</c:v>
                </c:pt>
              </c:numCache>
            </c:numRef>
          </c:val>
          <c:smooth val="0"/>
          <c:extLst>
            <c:ext xmlns:c16="http://schemas.microsoft.com/office/drawing/2014/chart" uri="{C3380CC4-5D6E-409C-BE32-E72D297353CC}">
              <c16:uniqueId val="{00000004-867E-43BB-9682-34496CE99106}"/>
            </c:ext>
          </c:extLst>
        </c:ser>
        <c:ser>
          <c:idx val="5"/>
          <c:order val="5"/>
          <c:tx>
            <c:strRef>
              <c:f>freight_graph!$B$43</c:f>
              <c:strCache>
                <c:ptCount val="1"/>
                <c:pt idx="0">
                  <c:v>Air</c:v>
                </c:pt>
              </c:strCache>
            </c:strRef>
          </c:tx>
          <c:spPr>
            <a:ln w="12700">
              <a:solidFill>
                <a:schemeClr val="tx2">
                  <a:lumMod val="40000"/>
                  <a:lumOff val="60000"/>
                </a:schemeClr>
              </a:solidFill>
              <a:prstDash val="solid"/>
            </a:ln>
          </c:spPr>
          <c:marker>
            <c:symbol val="none"/>
          </c:marker>
          <c:cat>
            <c:numRef>
              <c:f>freight_graph!$C$37:$AC$37</c:f>
              <c:numCache>
                <c:formatCode>0</c:formatCode>
                <c:ptCount val="27"/>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numCache>
            </c:numRef>
          </c:cat>
          <c:val>
            <c:numRef>
              <c:f>freight_graph!$C$43:$AC$43</c:f>
              <c:numCache>
                <c:formatCode>0.0</c:formatCode>
                <c:ptCount val="27"/>
                <c:pt idx="0">
                  <c:v>1.4182255053453219</c:v>
                </c:pt>
                <c:pt idx="1">
                  <c:v>1.4607722705056818</c:v>
                </c:pt>
                <c:pt idx="2">
                  <c:v>1.5458658008264012</c:v>
                </c:pt>
                <c:pt idx="3">
                  <c:v>1.5955036935134874</c:v>
                </c:pt>
                <c:pt idx="4">
                  <c:v>1.6309593311471202</c:v>
                </c:pt>
                <c:pt idx="5">
                  <c:v>1.7373262440480199</c:v>
                </c:pt>
                <c:pt idx="6">
                  <c:v>1.7444173715747466</c:v>
                </c:pt>
                <c:pt idx="7">
                  <c:v>1.7018706064143865</c:v>
                </c:pt>
                <c:pt idx="8">
                  <c:v>1.7160528614678396</c:v>
                </c:pt>
                <c:pt idx="9">
                  <c:v>1.7798730092083788</c:v>
                </c:pt>
                <c:pt idx="10">
                  <c:v>1.8295109018954654</c:v>
                </c:pt>
                <c:pt idx="11">
                  <c:v>1.8862399221092783</c:v>
                </c:pt>
                <c:pt idx="12">
                  <c:v>1.9500600698498178</c:v>
                </c:pt>
                <c:pt idx="13" formatCode="0.00">
                  <c:v>1.906975538018244</c:v>
                </c:pt>
                <c:pt idx="14" formatCode="0.00">
                  <c:v>1.8070863272403173</c:v>
                </c:pt>
                <c:pt idx="15" formatCode="0.00">
                  <c:v>1.833862590910702</c:v>
                </c:pt>
                <c:pt idx="16" formatCode="0.00">
                  <c:v>1.8310123472037942</c:v>
                </c:pt>
                <c:pt idx="17" formatCode="0.00">
                  <c:v>1.8080219558255548</c:v>
                </c:pt>
                <c:pt idx="18" formatCode="0.00">
                  <c:v>1.8149335026870554</c:v>
                </c:pt>
                <c:pt idx="19" formatCode="0.00">
                  <c:v>2.0986028896915276</c:v>
                </c:pt>
                <c:pt idx="20" formatCode="0.00">
                  <c:v>2.125887765383029</c:v>
                </c:pt>
                <c:pt idx="21" formatCode="0.00">
                  <c:v>2.1291379283381597</c:v>
                </c:pt>
                <c:pt idx="22" formatCode="0.00">
                  <c:v>2.1463251411191799</c:v>
                </c:pt>
                <c:pt idx="23" formatCode="0.00">
                  <c:v>2.1896022027464519</c:v>
                </c:pt>
                <c:pt idx="24" formatCode="0.00">
                  <c:v>2.2989394666626439</c:v>
                </c:pt>
                <c:pt idx="25" formatCode="0.00">
                  <c:v>2.0432546597783352</c:v>
                </c:pt>
                <c:pt idx="26" formatCode="0.00">
                  <c:v>2.3657939462328232</c:v>
                </c:pt>
              </c:numCache>
            </c:numRef>
          </c:val>
          <c:smooth val="0"/>
          <c:extLst>
            <c:ext xmlns:c16="http://schemas.microsoft.com/office/drawing/2014/chart" uri="{C3380CC4-5D6E-409C-BE32-E72D297353CC}">
              <c16:uniqueId val="{00000005-867E-43BB-9682-34496CE99106}"/>
            </c:ext>
          </c:extLst>
        </c:ser>
        <c:dLbls>
          <c:showLegendKey val="0"/>
          <c:showVal val="0"/>
          <c:showCatName val="0"/>
          <c:showSerName val="0"/>
          <c:showPercent val="0"/>
          <c:showBubbleSize val="0"/>
        </c:dLbls>
        <c:marker val="1"/>
        <c:smooth val="0"/>
        <c:axId val="311608672"/>
        <c:axId val="1"/>
      </c:lineChart>
      <c:catAx>
        <c:axId val="31160867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max val="22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11608672"/>
        <c:crosses val="autoZero"/>
        <c:crossBetween val="midCat"/>
        <c:majorUnit val="200"/>
      </c:valAx>
      <c:spPr>
        <a:solidFill>
          <a:srgbClr val="FFFFFF"/>
        </a:solidFill>
        <a:ln w="12700">
          <a:solidFill>
            <a:srgbClr val="808080"/>
          </a:solidFill>
          <a:prstDash val="solid"/>
        </a:ln>
      </c:spPr>
    </c:plotArea>
    <c:legend>
      <c:legendPos val="b"/>
      <c:layout>
        <c:manualLayout>
          <c:xMode val="edge"/>
          <c:yMode val="edge"/>
          <c:x val="0.22687020284019174"/>
          <c:y val="0.94613067996140432"/>
          <c:w val="0.46634250102623426"/>
          <c:h val="3.1325144356955381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CCFFCC"/>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31377</xdr:colOff>
      <xdr:row>0</xdr:row>
      <xdr:rowOff>9525</xdr:rowOff>
    </xdr:from>
    <xdr:to>
      <xdr:col>17</xdr:col>
      <xdr:colOff>452719</xdr:colOff>
      <xdr:row>30</xdr:row>
      <xdr:rowOff>20731</xdr:rowOff>
    </xdr:to>
    <xdr:graphicFrame macro="">
      <xdr:nvGraphicFramePr>
        <xdr:cNvPr id="1229" name="Chart 2">
          <a:extLst>
            <a:ext uri="{FF2B5EF4-FFF2-40B4-BE49-F238E27FC236}">
              <a16:creationId xmlns:a16="http://schemas.microsoft.com/office/drawing/2014/main" id="{00000000-0008-0000-0100-0000C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tats.oecd.org/OECDStat_Metadata/ShowMetadata.ashx?Dataset=ITF_GOODS_TRANSPORT&amp;ShowOnWeb=true&amp;Lang=en" TargetMode="External"/><Relationship Id="rId2" Type="http://schemas.openxmlformats.org/officeDocument/2006/relationships/hyperlink" Target="http://stats.oecd.org/OECDStat_Metadata/ShowMetadata.ashx?Dataset=ITF_GOODS_TRANSPORT&amp;Coords=%5bVARIABLE%5d.%5bT-GOODS-TOT-INLD%5d&amp;ShowOnWeb=true&amp;Lang=en" TargetMode="External"/><Relationship Id="rId1" Type="http://schemas.openxmlformats.org/officeDocument/2006/relationships/hyperlink" Target="http://stats.oecd.org/OECDStat_Metadata/ShowMetadata.ashx?Dataset=ITF_GOODS_TRANSPORT&amp;ShowOnWeb=true&amp;Lang=en"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41">
    <pageSetUpPr fitToPage="1"/>
  </sheetPr>
  <dimension ref="B1:E71"/>
  <sheetViews>
    <sheetView tabSelected="1" workbookViewId="0">
      <selection activeCell="M17" sqref="M17"/>
    </sheetView>
  </sheetViews>
  <sheetFormatPr defaultRowHeight="12.75" x14ac:dyDescent="0.2"/>
  <cols>
    <col min="1" max="1" width="0.85546875" style="5" customWidth="1"/>
    <col min="2" max="2" width="7.7109375" style="8" customWidth="1"/>
    <col min="3" max="3" width="2" style="10" customWidth="1"/>
    <col min="4" max="4" width="51.5703125" style="5" customWidth="1"/>
    <col min="5" max="5" width="12.140625" style="5" customWidth="1"/>
    <col min="6" max="16384" width="9.140625" style="5"/>
  </cols>
  <sheetData>
    <row r="1" spans="2:5" ht="20.100000000000001" customHeight="1" x14ac:dyDescent="0.2">
      <c r="B1" s="536" t="s">
        <v>52</v>
      </c>
      <c r="C1" s="536"/>
      <c r="D1" s="536"/>
      <c r="E1" s="536"/>
    </row>
    <row r="2" spans="2:5" ht="20.100000000000001" customHeight="1" x14ac:dyDescent="0.2">
      <c r="B2" s="537" t="s">
        <v>53</v>
      </c>
      <c r="C2" s="537"/>
      <c r="D2" s="537"/>
      <c r="E2" s="537"/>
    </row>
    <row r="3" spans="2:5" ht="20.100000000000001" customHeight="1" x14ac:dyDescent="0.2">
      <c r="B3" s="538" t="s">
        <v>86</v>
      </c>
      <c r="C3" s="538"/>
      <c r="D3" s="538"/>
      <c r="E3" s="538"/>
    </row>
    <row r="4" spans="2:5" ht="20.100000000000001" customHeight="1" x14ac:dyDescent="0.2">
      <c r="B4" s="539" t="s">
        <v>54</v>
      </c>
      <c r="C4" s="539"/>
      <c r="D4" s="539"/>
      <c r="E4" s="539"/>
    </row>
    <row r="5" spans="2:5" ht="20.100000000000001" customHeight="1" x14ac:dyDescent="0.2">
      <c r="B5" s="52"/>
      <c r="C5" s="52"/>
      <c r="D5" s="52"/>
      <c r="E5" s="52"/>
    </row>
    <row r="6" spans="2:5" ht="20.100000000000001" customHeight="1" x14ac:dyDescent="0.2"/>
    <row r="7" spans="2:5" ht="20.100000000000001" customHeight="1" x14ac:dyDescent="0.2">
      <c r="B7" s="536" t="s">
        <v>85</v>
      </c>
      <c r="C7" s="536"/>
      <c r="D7" s="536"/>
      <c r="E7" s="536"/>
    </row>
    <row r="8" spans="2:5" ht="20.100000000000001" customHeight="1" x14ac:dyDescent="0.2">
      <c r="B8" s="542">
        <v>2023</v>
      </c>
      <c r="C8" s="542"/>
      <c r="D8" s="542"/>
      <c r="E8" s="542"/>
    </row>
    <row r="9" spans="2:5" ht="20.100000000000001" customHeight="1" x14ac:dyDescent="0.2">
      <c r="B9" s="53"/>
      <c r="C9" s="53"/>
      <c r="D9" s="53"/>
      <c r="E9" s="53"/>
    </row>
    <row r="10" spans="2:5" ht="20.100000000000001" customHeight="1" x14ac:dyDescent="0.2">
      <c r="B10" s="540" t="s">
        <v>87</v>
      </c>
      <c r="C10" s="540"/>
      <c r="D10" s="540"/>
      <c r="E10" s="540"/>
    </row>
    <row r="11" spans="2:5" ht="20.100000000000001" customHeight="1" x14ac:dyDescent="0.2">
      <c r="B11" s="7"/>
      <c r="E11" s="7"/>
    </row>
    <row r="12" spans="2:5" ht="20.100000000000001" customHeight="1" x14ac:dyDescent="0.2">
      <c r="B12" s="541" t="s">
        <v>88</v>
      </c>
      <c r="C12" s="541"/>
      <c r="D12" s="541"/>
      <c r="E12" s="541"/>
    </row>
    <row r="13" spans="2:5" customFormat="1" ht="20.100000000000001" customHeight="1" x14ac:dyDescent="0.2">
      <c r="B13" s="541" t="s">
        <v>55</v>
      </c>
      <c r="C13" s="541"/>
      <c r="D13" s="541"/>
      <c r="E13" s="541"/>
    </row>
    <row r="14" spans="2:5" customFormat="1" ht="20.100000000000001" customHeight="1" x14ac:dyDescent="0.2">
      <c r="B14" s="541" t="s">
        <v>56</v>
      </c>
      <c r="C14" s="541"/>
      <c r="D14" s="541"/>
      <c r="E14" s="541"/>
    </row>
    <row r="15" spans="2:5" ht="20.100000000000001" customHeight="1" x14ac:dyDescent="0.2">
      <c r="B15" s="7"/>
      <c r="D15"/>
      <c r="E15" s="7"/>
    </row>
    <row r="16" spans="2:5" ht="20.100000000000001" customHeight="1" x14ac:dyDescent="0.2">
      <c r="B16" s="7"/>
      <c r="E16" s="7"/>
    </row>
    <row r="17" spans="2:5" ht="15" customHeight="1" x14ac:dyDescent="0.2">
      <c r="B17" s="48" t="s">
        <v>75</v>
      </c>
      <c r="C17" s="49"/>
      <c r="D17" s="253" t="s">
        <v>119</v>
      </c>
      <c r="E17" s="7"/>
    </row>
    <row r="18" spans="2:5" ht="15" customHeight="1" x14ac:dyDescent="0.2">
      <c r="B18" s="48" t="s">
        <v>76</v>
      </c>
      <c r="C18" s="49"/>
      <c r="D18" s="253" t="s">
        <v>120</v>
      </c>
      <c r="E18" s="7"/>
    </row>
    <row r="19" spans="2:5" ht="15" customHeight="1" x14ac:dyDescent="0.2">
      <c r="B19" s="48" t="s">
        <v>77</v>
      </c>
      <c r="C19" s="49"/>
      <c r="D19" s="253" t="s">
        <v>121</v>
      </c>
      <c r="E19" s="7"/>
    </row>
    <row r="20" spans="2:5" ht="15" customHeight="1" x14ac:dyDescent="0.2">
      <c r="B20" s="48" t="s">
        <v>78</v>
      </c>
      <c r="C20" s="49"/>
      <c r="D20" s="253" t="s">
        <v>122</v>
      </c>
      <c r="E20" s="7"/>
    </row>
    <row r="21" spans="2:5" customFormat="1" ht="15" customHeight="1" x14ac:dyDescent="0.2">
      <c r="B21" s="48" t="s">
        <v>79</v>
      </c>
      <c r="C21" s="49"/>
      <c r="D21" s="253" t="s">
        <v>123</v>
      </c>
    </row>
    <row r="22" spans="2:5" customFormat="1" ht="15" customHeight="1" x14ac:dyDescent="0.2">
      <c r="B22" s="48" t="s">
        <v>80</v>
      </c>
      <c r="C22" s="49"/>
      <c r="D22" s="253" t="s">
        <v>128</v>
      </c>
    </row>
    <row r="23" spans="2:5" customFormat="1" ht="15" customHeight="1" x14ac:dyDescent="0.2">
      <c r="B23" s="252" t="s">
        <v>103</v>
      </c>
      <c r="C23" s="49"/>
      <c r="D23" s="253" t="s">
        <v>106</v>
      </c>
    </row>
    <row r="24" spans="2:5" ht="15" customHeight="1" x14ac:dyDescent="0.2">
      <c r="B24" s="48" t="s">
        <v>81</v>
      </c>
      <c r="C24" s="50"/>
      <c r="D24" s="51" t="s">
        <v>50</v>
      </c>
    </row>
    <row r="25" spans="2:5" ht="15" customHeight="1" x14ac:dyDescent="0.2">
      <c r="B25" s="48" t="s">
        <v>82</v>
      </c>
      <c r="C25" s="50"/>
      <c r="D25" s="51" t="s">
        <v>37</v>
      </c>
      <c r="E25" s="7"/>
    </row>
    <row r="26" spans="2:5" ht="15" customHeight="1" x14ac:dyDescent="0.2">
      <c r="B26" s="48" t="s">
        <v>83</v>
      </c>
      <c r="C26" s="50"/>
      <c r="D26" s="51" t="s">
        <v>51</v>
      </c>
      <c r="E26" s="7"/>
    </row>
    <row r="27" spans="2:5" ht="15" customHeight="1" x14ac:dyDescent="0.2">
      <c r="B27" s="48" t="s">
        <v>84</v>
      </c>
      <c r="D27" s="253" t="s">
        <v>124</v>
      </c>
      <c r="E27" s="7"/>
    </row>
    <row r="28" spans="2:5" customFormat="1" ht="12.6" customHeight="1" x14ac:dyDescent="0.2">
      <c r="B28" s="7"/>
      <c r="C28" s="10"/>
      <c r="D28" s="5"/>
      <c r="E28" s="7"/>
    </row>
    <row r="29" spans="2:5" customFormat="1" ht="12.6" customHeight="1" x14ac:dyDescent="0.2">
      <c r="B29" s="7"/>
      <c r="C29" s="10"/>
      <c r="D29" s="5"/>
      <c r="E29" s="7"/>
    </row>
    <row r="30" spans="2:5" customFormat="1" ht="12.6" customHeight="1" x14ac:dyDescent="0.2">
      <c r="B30" s="7"/>
      <c r="C30" s="10"/>
      <c r="E30" s="7"/>
    </row>
    <row r="31" spans="2:5" customFormat="1" ht="12.6" customHeight="1" x14ac:dyDescent="0.2">
      <c r="B31" s="7"/>
      <c r="C31" s="10"/>
      <c r="E31" s="7"/>
    </row>
    <row r="32" spans="2:5" ht="12.6" customHeight="1" x14ac:dyDescent="0.2">
      <c r="B32" s="7"/>
      <c r="D32"/>
      <c r="E32" s="7"/>
    </row>
    <row r="33" spans="2:5" ht="12.6" customHeight="1" x14ac:dyDescent="0.2">
      <c r="B33" s="7"/>
      <c r="D33"/>
      <c r="E33" s="7"/>
    </row>
    <row r="34" spans="2:5" customFormat="1" x14ac:dyDescent="0.2"/>
    <row r="35" spans="2:5" ht="12.6" customHeight="1" x14ac:dyDescent="0.2">
      <c r="B35"/>
      <c r="C35"/>
      <c r="D35"/>
      <c r="E35"/>
    </row>
    <row r="36" spans="2:5" ht="12.6" customHeight="1" x14ac:dyDescent="0.25">
      <c r="B36" s="9"/>
      <c r="E36" s="7"/>
    </row>
    <row r="37" spans="2:5" x14ac:dyDescent="0.2">
      <c r="B37" s="7"/>
      <c r="E37" s="7"/>
    </row>
    <row r="38" spans="2:5" x14ac:dyDescent="0.2">
      <c r="B38" s="7"/>
      <c r="E38" s="7"/>
    </row>
    <row r="39" spans="2:5" x14ac:dyDescent="0.2">
      <c r="B39" s="7"/>
      <c r="E39" s="7"/>
    </row>
    <row r="40" spans="2:5" x14ac:dyDescent="0.2">
      <c r="C40"/>
    </row>
    <row r="41" spans="2:5" x14ac:dyDescent="0.2">
      <c r="B41"/>
      <c r="C41"/>
      <c r="D41"/>
      <c r="E41"/>
    </row>
    <row r="42" spans="2:5" ht="13.5" x14ac:dyDescent="0.25">
      <c r="B42" s="9"/>
      <c r="E42"/>
    </row>
    <row r="43" spans="2:5" x14ac:dyDescent="0.2">
      <c r="B43" s="7"/>
      <c r="E43" s="7"/>
    </row>
    <row r="44" spans="2:5" x14ac:dyDescent="0.2">
      <c r="B44" s="7"/>
      <c r="E44" s="7"/>
    </row>
    <row r="45" spans="2:5" x14ac:dyDescent="0.2">
      <c r="B45" s="7"/>
      <c r="E45" s="7"/>
    </row>
    <row r="46" spans="2:5" x14ac:dyDescent="0.2">
      <c r="B46" s="7"/>
      <c r="E46" s="7"/>
    </row>
    <row r="47" spans="2:5" x14ac:dyDescent="0.2">
      <c r="B47" s="7"/>
      <c r="E47" s="7"/>
    </row>
    <row r="48" spans="2:5" x14ac:dyDescent="0.2">
      <c r="B48" s="7"/>
      <c r="E48" s="7"/>
    </row>
    <row r="49" spans="2:5" x14ac:dyDescent="0.2">
      <c r="B49" s="7"/>
      <c r="E49" s="7"/>
    </row>
    <row r="51" spans="2:5" ht="13.5" x14ac:dyDescent="0.25">
      <c r="B51" s="9"/>
      <c r="E51"/>
    </row>
    <row r="52" spans="2:5" x14ac:dyDescent="0.2">
      <c r="B52" s="7"/>
      <c r="E52" s="7"/>
    </row>
    <row r="53" spans="2:5" x14ac:dyDescent="0.2">
      <c r="B53" s="7"/>
      <c r="E53" s="7"/>
    </row>
    <row r="54" spans="2:5" x14ac:dyDescent="0.2">
      <c r="B54" s="7"/>
      <c r="E54" s="7"/>
    </row>
    <row r="61" spans="2:5" x14ac:dyDescent="0.2">
      <c r="C61" s="13"/>
      <c r="D61" s="14"/>
    </row>
    <row r="68" spans="3:5" customFormat="1" x14ac:dyDescent="0.2"/>
    <row r="71" spans="3:5" x14ac:dyDescent="0.2">
      <c r="C71"/>
      <c r="D71"/>
      <c r="E71"/>
    </row>
  </sheetData>
  <mergeCells count="10">
    <mergeCell ref="B10:E10"/>
    <mergeCell ref="B12:E12"/>
    <mergeCell ref="B13:E13"/>
    <mergeCell ref="B14:E14"/>
    <mergeCell ref="B8:E8"/>
    <mergeCell ref="B1:E1"/>
    <mergeCell ref="B2:E2"/>
    <mergeCell ref="B3:E3"/>
    <mergeCell ref="B4:E4"/>
    <mergeCell ref="B7:E7"/>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5">
    <pageSetUpPr fitToPage="1"/>
  </sheetPr>
  <dimension ref="A1:AL52"/>
  <sheetViews>
    <sheetView zoomScale="85" zoomScaleNormal="85" workbookViewId="0">
      <selection activeCell="AD6" sqref="AD6"/>
    </sheetView>
  </sheetViews>
  <sheetFormatPr defaultRowHeight="12.75" x14ac:dyDescent="0.2"/>
  <cols>
    <col min="1" max="1" width="2.7109375" customWidth="1"/>
    <col min="2" max="2" width="4" style="3" customWidth="1"/>
    <col min="3" max="10" width="6.7109375" style="3" customWidth="1"/>
    <col min="11" max="14" width="6.7109375" style="3" hidden="1" customWidth="1"/>
    <col min="15" max="20" width="6.7109375" style="3" customWidth="1"/>
    <col min="21" max="26" width="7.28515625" style="3" customWidth="1"/>
    <col min="27" max="33" width="7.42578125" style="3" customWidth="1"/>
    <col min="34" max="36" width="6.28515625" style="3" customWidth="1"/>
    <col min="37" max="37" width="6.28515625" style="330" customWidth="1"/>
    <col min="38" max="38" width="4.7109375" style="3" customWidth="1"/>
    <col min="39" max="16384" width="9.140625" style="3"/>
  </cols>
  <sheetData>
    <row r="1" spans="1:38" ht="14.25" customHeight="1" x14ac:dyDescent="0.2">
      <c r="B1" s="41"/>
      <c r="C1" s="42"/>
      <c r="D1" s="42"/>
      <c r="E1" s="37"/>
      <c r="F1" s="37"/>
      <c r="G1" s="37"/>
      <c r="H1" s="37"/>
      <c r="I1" s="37"/>
      <c r="J1" s="37"/>
      <c r="K1" s="37"/>
      <c r="L1" s="37"/>
      <c r="M1" s="37"/>
      <c r="N1" s="37"/>
      <c r="O1" s="37"/>
      <c r="P1" s="37"/>
      <c r="R1"/>
      <c r="U1" s="38"/>
      <c r="V1" s="38"/>
      <c r="W1" s="38"/>
      <c r="X1" s="38"/>
      <c r="Y1" s="38"/>
      <c r="Z1" s="38"/>
      <c r="AA1" s="38"/>
      <c r="AB1" s="38"/>
      <c r="AC1" s="38"/>
      <c r="AD1" s="38"/>
      <c r="AE1" s="38"/>
      <c r="AF1" s="38"/>
      <c r="AG1" s="38"/>
      <c r="AH1" s="38"/>
      <c r="AI1" s="38"/>
      <c r="AJ1" s="38"/>
      <c r="AL1" s="38" t="s">
        <v>82</v>
      </c>
    </row>
    <row r="2" spans="1:38" s="45" customFormat="1" ht="30" customHeight="1" x14ac:dyDescent="0.2">
      <c r="A2" s="77"/>
      <c r="B2" s="591" t="s">
        <v>132</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row>
    <row r="3" spans="1:38" ht="12" customHeight="1" x14ac:dyDescent="0.2">
      <c r="B3" s="4"/>
      <c r="C3" s="4"/>
      <c r="E3" s="440"/>
      <c r="F3" s="27"/>
      <c r="G3" s="27"/>
      <c r="H3" s="27"/>
      <c r="I3" s="27"/>
      <c r="J3" s="29"/>
      <c r="K3" s="29"/>
      <c r="L3" s="29"/>
      <c r="M3" s="29"/>
      <c r="N3" s="29"/>
      <c r="O3" s="29"/>
      <c r="R3" s="532"/>
      <c r="T3" s="120"/>
      <c r="U3" s="120"/>
      <c r="W3" s="295"/>
      <c r="X3" s="533"/>
      <c r="Y3" s="21"/>
      <c r="Z3" s="21"/>
      <c r="AA3" s="21"/>
      <c r="AB3" s="21"/>
      <c r="AC3" s="21"/>
      <c r="AD3" s="295"/>
      <c r="AE3" s="295"/>
      <c r="AF3" s="295"/>
      <c r="AH3" s="534"/>
      <c r="AI3" s="534"/>
      <c r="AJ3" s="534" t="s">
        <v>95</v>
      </c>
      <c r="AK3" s="331"/>
      <c r="AL3" s="43"/>
    </row>
    <row r="4" spans="1:38" ht="20.100000000000001" customHeight="1" x14ac:dyDescent="0.2">
      <c r="B4" s="31"/>
      <c r="C4" s="99">
        <v>1970</v>
      </c>
      <c r="D4" s="99">
        <v>1980</v>
      </c>
      <c r="E4" s="82">
        <v>1990</v>
      </c>
      <c r="F4" s="82">
        <v>1991</v>
      </c>
      <c r="G4" s="82">
        <v>1992</v>
      </c>
      <c r="H4" s="82">
        <v>1993</v>
      </c>
      <c r="I4" s="82">
        <v>1994</v>
      </c>
      <c r="J4" s="82">
        <v>1995</v>
      </c>
      <c r="K4" s="82">
        <v>1996</v>
      </c>
      <c r="L4" s="82">
        <v>1997</v>
      </c>
      <c r="M4" s="82">
        <v>1998</v>
      </c>
      <c r="N4" s="82">
        <v>1999</v>
      </c>
      <c r="O4" s="82">
        <v>2000</v>
      </c>
      <c r="P4" s="82">
        <v>2001</v>
      </c>
      <c r="Q4" s="82">
        <v>2002</v>
      </c>
      <c r="R4" s="82">
        <v>2003</v>
      </c>
      <c r="S4" s="82">
        <v>2004</v>
      </c>
      <c r="T4" s="82">
        <v>2005</v>
      </c>
      <c r="U4" s="82">
        <v>2006</v>
      </c>
      <c r="V4" s="82">
        <v>2007</v>
      </c>
      <c r="W4" s="82">
        <v>2008</v>
      </c>
      <c r="X4" s="82">
        <v>2009</v>
      </c>
      <c r="Y4" s="82">
        <v>2010</v>
      </c>
      <c r="Z4" s="82">
        <v>2011</v>
      </c>
      <c r="AA4" s="82">
        <v>2012</v>
      </c>
      <c r="AB4" s="82">
        <v>2013</v>
      </c>
      <c r="AC4" s="82">
        <v>2014</v>
      </c>
      <c r="AD4" s="82">
        <v>2015</v>
      </c>
      <c r="AE4" s="82">
        <v>2016</v>
      </c>
      <c r="AF4" s="82">
        <v>2017</v>
      </c>
      <c r="AG4" s="82">
        <v>2018</v>
      </c>
      <c r="AH4" s="82">
        <v>2019</v>
      </c>
      <c r="AI4" s="82">
        <v>2020</v>
      </c>
      <c r="AJ4" s="135">
        <v>2021</v>
      </c>
      <c r="AK4" s="359" t="s">
        <v>148</v>
      </c>
      <c r="AL4" s="60"/>
    </row>
    <row r="5" spans="1:38" ht="9.9499999999999993" customHeight="1" x14ac:dyDescent="0.2">
      <c r="B5" s="31"/>
      <c r="C5" s="100"/>
      <c r="D5" s="101"/>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329"/>
      <c r="AK5" s="360" t="s">
        <v>63</v>
      </c>
      <c r="AL5" s="60"/>
    </row>
    <row r="6" spans="1:38" ht="9.9499999999999993" customHeight="1" x14ac:dyDescent="0.2">
      <c r="B6" s="270" t="s">
        <v>111</v>
      </c>
      <c r="C6" s="428">
        <v>112.476</v>
      </c>
      <c r="D6" s="428">
        <v>119.371</v>
      </c>
      <c r="E6" s="277">
        <v>118.53522714499999</v>
      </c>
      <c r="F6" s="277">
        <v>116.50840167300001</v>
      </c>
      <c r="G6" s="277">
        <v>114.86673840299999</v>
      </c>
      <c r="H6" s="277">
        <v>108.88724280999999</v>
      </c>
      <c r="I6" s="277">
        <v>118.58323084900002</v>
      </c>
      <c r="J6" s="277">
        <v>121.91820799999999</v>
      </c>
      <c r="K6" s="286">
        <v>119.59849199999999</v>
      </c>
      <c r="L6" s="286">
        <v>127.72012699999998</v>
      </c>
      <c r="M6" s="286">
        <v>130.914354551</v>
      </c>
      <c r="N6" s="286">
        <v>128.618899</v>
      </c>
      <c r="O6" s="286">
        <v>133.7148856</v>
      </c>
      <c r="P6" s="286">
        <v>132.4162436</v>
      </c>
      <c r="Q6" s="286">
        <v>132.41402299999999</v>
      </c>
      <c r="R6" s="286">
        <v>123.43508519999999</v>
      </c>
      <c r="S6" s="286">
        <v>136.76315100000005</v>
      </c>
      <c r="T6" s="286">
        <v>138.61097439999998</v>
      </c>
      <c r="U6" s="286">
        <v>138.41696909999999</v>
      </c>
      <c r="V6" s="286">
        <v>145.40199999999999</v>
      </c>
      <c r="W6" s="286">
        <v>146.90300000000002</v>
      </c>
      <c r="X6" s="286">
        <v>132.60600000000002</v>
      </c>
      <c r="Y6" s="286">
        <v>155.36499999999998</v>
      </c>
      <c r="Z6" s="286">
        <v>141.82500000000002</v>
      </c>
      <c r="AA6" s="286">
        <v>149.822</v>
      </c>
      <c r="AB6" s="286">
        <v>152.58400000000003</v>
      </c>
      <c r="AC6" s="286">
        <f t="shared" ref="AC6:AJ6" si="0">SUM(AC7:AC33)</f>
        <v>150.70699999999997</v>
      </c>
      <c r="AD6" s="286">
        <f t="shared" si="0"/>
        <v>147.35100000000003</v>
      </c>
      <c r="AE6" s="286">
        <f t="shared" si="0"/>
        <v>146.60899999999995</v>
      </c>
      <c r="AF6" s="286">
        <f t="shared" si="0"/>
        <v>147.22333333333333</v>
      </c>
      <c r="AG6" s="286">
        <f t="shared" si="0"/>
        <v>131.30277777777778</v>
      </c>
      <c r="AH6" s="286">
        <f t="shared" si="0"/>
        <v>139.69700000000003</v>
      </c>
      <c r="AI6" s="286">
        <f t="shared" si="0"/>
        <v>131.74101000000002</v>
      </c>
      <c r="AJ6" s="296">
        <f t="shared" si="0"/>
        <v>136.07599999999999</v>
      </c>
      <c r="AK6" s="273">
        <f>AJ6/AI6*100-100</f>
        <v>3.2905395214443587</v>
      </c>
      <c r="AL6" s="270" t="s">
        <v>111</v>
      </c>
    </row>
    <row r="7" spans="1:38" ht="12.75" customHeight="1" x14ac:dyDescent="0.2">
      <c r="A7" s="15"/>
      <c r="B7" s="17" t="s">
        <v>22</v>
      </c>
      <c r="C7" s="93">
        <v>6.734</v>
      </c>
      <c r="D7" s="93">
        <v>5.8520000000000003</v>
      </c>
      <c r="E7" s="157">
        <v>5.3888962219999996</v>
      </c>
      <c r="F7" s="157">
        <v>5.177006499</v>
      </c>
      <c r="G7" s="157">
        <v>5.0178630999999996</v>
      </c>
      <c r="H7" s="157">
        <v>4.9316739729999997</v>
      </c>
      <c r="I7" s="157">
        <v>5.4902624380000002</v>
      </c>
      <c r="J7" s="157">
        <v>5.7309999999999999</v>
      </c>
      <c r="K7" s="157">
        <v>5.7149999999999999</v>
      </c>
      <c r="L7" s="157">
        <v>5.8289999999999997</v>
      </c>
      <c r="M7" s="157">
        <v>6.0149999999999997</v>
      </c>
      <c r="N7" s="157">
        <v>6.3620000000000001</v>
      </c>
      <c r="O7" s="157">
        <v>7.2149999999999999</v>
      </c>
      <c r="P7" s="157">
        <v>7.6550000000000002</v>
      </c>
      <c r="Q7" s="157">
        <v>8.0730000000000004</v>
      </c>
      <c r="R7" s="157">
        <v>8.23</v>
      </c>
      <c r="S7" s="157">
        <v>8.3919999999999995</v>
      </c>
      <c r="T7" s="157">
        <v>8.5660000000000007</v>
      </c>
      <c r="U7" s="157">
        <v>8.9079999999999995</v>
      </c>
      <c r="V7" s="157">
        <v>9.0060000000000002</v>
      </c>
      <c r="W7" s="157">
        <v>8.7460000000000004</v>
      </c>
      <c r="X7" s="157">
        <v>7.0869999999999997</v>
      </c>
      <c r="Y7" s="157">
        <v>9.07</v>
      </c>
      <c r="Z7" s="157">
        <v>9.2509999999999994</v>
      </c>
      <c r="AA7" s="157">
        <v>10.42</v>
      </c>
      <c r="AB7" s="157">
        <v>10.365</v>
      </c>
      <c r="AC7" s="157">
        <v>10.451000000000001</v>
      </c>
      <c r="AD7" s="157">
        <v>10.426</v>
      </c>
      <c r="AE7" s="157">
        <v>10.331</v>
      </c>
      <c r="AF7" s="297">
        <v>11.098000000000001</v>
      </c>
      <c r="AG7" s="157">
        <v>7.9859999999999998</v>
      </c>
      <c r="AH7" s="157">
        <v>7.7670000000000003</v>
      </c>
      <c r="AI7" s="157">
        <v>7.3879999999999999</v>
      </c>
      <c r="AJ7" s="464">
        <v>8.18</v>
      </c>
      <c r="AK7" s="462">
        <f>AJ7/AI7*100-100</f>
        <v>10.72008662696264</v>
      </c>
      <c r="AL7" s="17" t="s">
        <v>22</v>
      </c>
    </row>
    <row r="8" spans="1:38" ht="12.75" customHeight="1" x14ac:dyDescent="0.2">
      <c r="A8" s="15"/>
      <c r="B8" s="85" t="s">
        <v>5</v>
      </c>
      <c r="C8" s="98">
        <v>1.83</v>
      </c>
      <c r="D8" s="98">
        <v>2.61</v>
      </c>
      <c r="E8" s="147">
        <v>1.61</v>
      </c>
      <c r="F8" s="147">
        <v>1.024</v>
      </c>
      <c r="G8" s="147">
        <v>0.83699999999999997</v>
      </c>
      <c r="H8" s="147">
        <v>0.46</v>
      </c>
      <c r="I8" s="147">
        <v>0.36</v>
      </c>
      <c r="J8" s="147">
        <v>0.52600000000000002</v>
      </c>
      <c r="K8" s="147">
        <v>0.505</v>
      </c>
      <c r="L8" s="147">
        <v>0.6</v>
      </c>
      <c r="M8" s="147">
        <v>0.56299999999999994</v>
      </c>
      <c r="N8" s="147">
        <v>0.187</v>
      </c>
      <c r="O8" s="147">
        <v>0.313</v>
      </c>
      <c r="P8" s="147">
        <v>0.41799999999999998</v>
      </c>
      <c r="Q8" s="147">
        <v>0.56100000000000005</v>
      </c>
      <c r="R8" s="147">
        <v>0.61299999999999999</v>
      </c>
      <c r="S8" s="147">
        <v>0.69699999999999995</v>
      </c>
      <c r="T8" s="147">
        <v>0.75700000000000001</v>
      </c>
      <c r="U8" s="147">
        <v>0.78500000000000003</v>
      </c>
      <c r="V8" s="153">
        <v>1.0109999999999999</v>
      </c>
      <c r="W8" s="153">
        <v>2.89</v>
      </c>
      <c r="X8" s="147">
        <v>5.4359999999999999</v>
      </c>
      <c r="Y8" s="147">
        <v>6.048</v>
      </c>
      <c r="Z8" s="147">
        <v>4.3099999999999996</v>
      </c>
      <c r="AA8" s="147">
        <v>5.3490000000000002</v>
      </c>
      <c r="AB8" s="147">
        <v>5.3739999999999997</v>
      </c>
      <c r="AC8" s="147">
        <v>5.0739999999999998</v>
      </c>
      <c r="AD8" s="147">
        <v>5.5949999999999998</v>
      </c>
      <c r="AE8" s="147">
        <v>5.4770000000000003</v>
      </c>
      <c r="AF8" s="147">
        <v>5.2789999999999999</v>
      </c>
      <c r="AG8" s="147">
        <v>4.8579999999999997</v>
      </c>
      <c r="AH8" s="147">
        <v>5.867</v>
      </c>
      <c r="AI8" s="147">
        <v>6.2560000000000002</v>
      </c>
      <c r="AJ8" s="148">
        <v>5.7919999999999998</v>
      </c>
      <c r="AK8" s="165">
        <f t="shared" ref="AK8:AK45" si="1">AJ8/AI8*100-100</f>
        <v>-7.4168797953964258</v>
      </c>
      <c r="AL8" s="85" t="s">
        <v>5</v>
      </c>
    </row>
    <row r="9" spans="1:38" ht="12.75" customHeight="1" x14ac:dyDescent="0.2">
      <c r="A9" s="15"/>
      <c r="B9" s="17" t="s">
        <v>7</v>
      </c>
      <c r="C9" s="92"/>
      <c r="D9" s="92"/>
      <c r="E9" s="55"/>
      <c r="F9" s="55"/>
      <c r="G9" s="55"/>
      <c r="H9" s="137"/>
      <c r="I9" s="55">
        <v>0.25259999999999999</v>
      </c>
      <c r="J9" s="55">
        <v>0.2757</v>
      </c>
      <c r="K9" s="55">
        <v>0.25650000000000001</v>
      </c>
      <c r="L9" s="55">
        <v>9.8400000000000001E-2</v>
      </c>
      <c r="M9" s="55">
        <v>0.100313551</v>
      </c>
      <c r="N9" s="55">
        <v>8.6999999999999994E-2</v>
      </c>
      <c r="O9" s="55">
        <v>8.8999999999999996E-2</v>
      </c>
      <c r="P9" s="55">
        <v>7.8E-2</v>
      </c>
      <c r="Q9" s="55">
        <v>0.08</v>
      </c>
      <c r="R9" s="55">
        <v>5.8000000000000003E-2</v>
      </c>
      <c r="S9" s="55">
        <v>4.8000000000000001E-2</v>
      </c>
      <c r="T9" s="55">
        <v>6.3E-2</v>
      </c>
      <c r="U9" s="55">
        <v>4.2999999999999997E-2</v>
      </c>
      <c r="V9" s="55">
        <v>3.5999999999999997E-2</v>
      </c>
      <c r="W9" s="55">
        <v>2.8000000000000001E-2</v>
      </c>
      <c r="X9" s="55">
        <v>3.3000000000000002E-2</v>
      </c>
      <c r="Y9" s="55">
        <v>4.2999999999999997E-2</v>
      </c>
      <c r="Z9" s="55">
        <v>4.2000000000000003E-2</v>
      </c>
      <c r="AA9" s="55">
        <v>3.7999999999999999E-2</v>
      </c>
      <c r="AB9" s="55">
        <v>2.5000000000000001E-2</v>
      </c>
      <c r="AC9" s="55">
        <v>2.7E-2</v>
      </c>
      <c r="AD9" s="55">
        <v>3.3000000000000002E-2</v>
      </c>
      <c r="AE9" s="55">
        <v>3.5999999999999997E-2</v>
      </c>
      <c r="AF9" s="55">
        <v>2.5000000000000001E-2</v>
      </c>
      <c r="AG9" s="55">
        <v>2.3E-2</v>
      </c>
      <c r="AH9" s="55">
        <v>3.2000000000000001E-2</v>
      </c>
      <c r="AI9" s="55">
        <v>1.7999999999999999E-2</v>
      </c>
      <c r="AJ9" s="159">
        <v>2.1999999999999999E-2</v>
      </c>
      <c r="AK9" s="166">
        <f t="shared" si="1"/>
        <v>22.222222222222229</v>
      </c>
      <c r="AL9" s="17" t="s">
        <v>7</v>
      </c>
    </row>
    <row r="10" spans="1:38" ht="12.75" customHeight="1" x14ac:dyDescent="0.2">
      <c r="A10" s="15"/>
      <c r="B10" s="85" t="s">
        <v>18</v>
      </c>
      <c r="C10" s="98" t="s">
        <v>35</v>
      </c>
      <c r="D10" s="98" t="s">
        <v>35</v>
      </c>
      <c r="E10" s="147" t="s">
        <v>35</v>
      </c>
      <c r="F10" s="147" t="s">
        <v>35</v>
      </c>
      <c r="G10" s="147" t="s">
        <v>35</v>
      </c>
      <c r="H10" s="147" t="s">
        <v>35</v>
      </c>
      <c r="I10" s="147" t="s">
        <v>35</v>
      </c>
      <c r="J10" s="147" t="s">
        <v>35</v>
      </c>
      <c r="K10" s="147" t="s">
        <v>35</v>
      </c>
      <c r="L10" s="147" t="s">
        <v>35</v>
      </c>
      <c r="M10" s="147" t="s">
        <v>35</v>
      </c>
      <c r="N10" s="147" t="s">
        <v>35</v>
      </c>
      <c r="O10" s="147" t="s">
        <v>35</v>
      </c>
      <c r="P10" s="147" t="s">
        <v>35</v>
      </c>
      <c r="Q10" s="147" t="s">
        <v>35</v>
      </c>
      <c r="R10" s="147" t="s">
        <v>35</v>
      </c>
      <c r="S10" s="147" t="s">
        <v>35</v>
      </c>
      <c r="T10" s="147" t="s">
        <v>35</v>
      </c>
      <c r="U10" s="147" t="s">
        <v>35</v>
      </c>
      <c r="V10" s="147" t="s">
        <v>35</v>
      </c>
      <c r="W10" s="147" t="s">
        <v>35</v>
      </c>
      <c r="X10" s="147" t="s">
        <v>35</v>
      </c>
      <c r="Y10" s="147" t="s">
        <v>35</v>
      </c>
      <c r="Z10" s="147" t="s">
        <v>35</v>
      </c>
      <c r="AA10" s="152" t="s">
        <v>35</v>
      </c>
      <c r="AB10" s="152" t="s">
        <v>35</v>
      </c>
      <c r="AC10" s="152" t="s">
        <v>35</v>
      </c>
      <c r="AD10" s="152" t="s">
        <v>35</v>
      </c>
      <c r="AE10" s="152" t="s">
        <v>35</v>
      </c>
      <c r="AF10" s="152" t="s">
        <v>35</v>
      </c>
      <c r="AG10" s="152" t="s">
        <v>35</v>
      </c>
      <c r="AH10" s="152" t="s">
        <v>35</v>
      </c>
      <c r="AI10" s="152" t="s">
        <v>35</v>
      </c>
      <c r="AJ10" s="178" t="s">
        <v>35</v>
      </c>
      <c r="AK10" s="420" t="s">
        <v>35</v>
      </c>
      <c r="AL10" s="85" t="s">
        <v>18</v>
      </c>
    </row>
    <row r="11" spans="1:38" ht="12.75" customHeight="1" x14ac:dyDescent="0.2">
      <c r="A11" s="15"/>
      <c r="B11" s="17" t="s">
        <v>23</v>
      </c>
      <c r="C11" s="92">
        <v>48.8</v>
      </c>
      <c r="D11" s="92">
        <v>51.4</v>
      </c>
      <c r="E11" s="55">
        <v>54.802999999999997</v>
      </c>
      <c r="F11" s="55">
        <v>55.973424604999998</v>
      </c>
      <c r="G11" s="55">
        <v>57.239443125999998</v>
      </c>
      <c r="H11" s="55">
        <v>57.559339868000002</v>
      </c>
      <c r="I11" s="55">
        <v>61.771966849999998</v>
      </c>
      <c r="J11" s="55">
        <v>63.981999999999999</v>
      </c>
      <c r="K11" s="55">
        <v>61.290999999999997</v>
      </c>
      <c r="L11" s="55">
        <v>62.152999999999999</v>
      </c>
      <c r="M11" s="55">
        <v>64.266999999999996</v>
      </c>
      <c r="N11" s="55">
        <v>62.692</v>
      </c>
      <c r="O11" s="55">
        <v>66.465000000000003</v>
      </c>
      <c r="P11" s="55">
        <v>64.817999999999998</v>
      </c>
      <c r="Q11" s="55">
        <v>64.165999999999997</v>
      </c>
      <c r="R11" s="55">
        <v>58.154000000000003</v>
      </c>
      <c r="S11" s="55">
        <v>63.667000000000002</v>
      </c>
      <c r="T11" s="55">
        <v>64.096000000000004</v>
      </c>
      <c r="U11" s="55">
        <v>63.975000000000001</v>
      </c>
      <c r="V11" s="55">
        <v>64.710999999999999</v>
      </c>
      <c r="W11" s="55">
        <v>64.055999999999997</v>
      </c>
      <c r="X11" s="55">
        <v>55.652000000000001</v>
      </c>
      <c r="Y11" s="55">
        <v>62.277999999999999</v>
      </c>
      <c r="Z11" s="55">
        <v>55.027000000000001</v>
      </c>
      <c r="AA11" s="55">
        <v>58.488</v>
      </c>
      <c r="AB11" s="55">
        <v>60.07</v>
      </c>
      <c r="AC11" s="55">
        <v>59.093000000000004</v>
      </c>
      <c r="AD11" s="55">
        <v>55.314999999999998</v>
      </c>
      <c r="AE11" s="55">
        <v>54.347000000000001</v>
      </c>
      <c r="AF11" s="55">
        <v>55.518000000000001</v>
      </c>
      <c r="AG11" s="55">
        <v>46.901000000000003</v>
      </c>
      <c r="AH11" s="55">
        <v>50.918999999999997</v>
      </c>
      <c r="AI11" s="55">
        <v>46.338000000000001</v>
      </c>
      <c r="AJ11" s="159">
        <v>48.197000000000003</v>
      </c>
      <c r="AK11" s="166">
        <f t="shared" si="1"/>
        <v>4.0118261470067722</v>
      </c>
      <c r="AL11" s="17" t="s">
        <v>23</v>
      </c>
    </row>
    <row r="12" spans="1:38" ht="12.75" customHeight="1" x14ac:dyDescent="0.2">
      <c r="A12" s="15"/>
      <c r="B12" s="85" t="s">
        <v>8</v>
      </c>
      <c r="C12" s="98">
        <v>0.01</v>
      </c>
      <c r="D12" s="98">
        <v>0.01</v>
      </c>
      <c r="E12" s="147">
        <v>0</v>
      </c>
      <c r="F12" s="147">
        <v>1E-3</v>
      </c>
      <c r="G12" s="147">
        <v>1E-3</v>
      </c>
      <c r="H12" s="147">
        <v>0</v>
      </c>
      <c r="I12" s="147">
        <v>1E-3</v>
      </c>
      <c r="J12" s="147">
        <v>0</v>
      </c>
      <c r="K12" s="147">
        <v>0</v>
      </c>
      <c r="L12" s="147">
        <v>0</v>
      </c>
      <c r="M12" s="147">
        <v>0</v>
      </c>
      <c r="N12" s="147">
        <v>2E-3</v>
      </c>
      <c r="O12" s="147" t="s">
        <v>35</v>
      </c>
      <c r="P12" s="147" t="s">
        <v>35</v>
      </c>
      <c r="Q12" s="147" t="s">
        <v>35</v>
      </c>
      <c r="R12" s="147" t="s">
        <v>35</v>
      </c>
      <c r="S12" s="147" t="s">
        <v>35</v>
      </c>
      <c r="T12" s="147" t="s">
        <v>35</v>
      </c>
      <c r="U12" s="147" t="s">
        <v>35</v>
      </c>
      <c r="V12" s="147" t="s">
        <v>35</v>
      </c>
      <c r="W12" s="147" t="s">
        <v>35</v>
      </c>
      <c r="X12" s="147" t="s">
        <v>35</v>
      </c>
      <c r="Y12" s="147" t="s">
        <v>35</v>
      </c>
      <c r="Z12" s="147" t="s">
        <v>35</v>
      </c>
      <c r="AA12" s="152" t="s">
        <v>35</v>
      </c>
      <c r="AB12" s="152" t="s">
        <v>35</v>
      </c>
      <c r="AC12" s="152" t="s">
        <v>35</v>
      </c>
      <c r="AD12" s="152" t="s">
        <v>35</v>
      </c>
      <c r="AE12" s="152" t="s">
        <v>35</v>
      </c>
      <c r="AF12" s="152" t="s">
        <v>35</v>
      </c>
      <c r="AG12" s="152" t="s">
        <v>35</v>
      </c>
      <c r="AH12" s="152" t="s">
        <v>35</v>
      </c>
      <c r="AI12" s="152" t="s">
        <v>35</v>
      </c>
      <c r="AJ12" s="178" t="s">
        <v>35</v>
      </c>
      <c r="AK12" s="420" t="s">
        <v>35</v>
      </c>
      <c r="AL12" s="85" t="s">
        <v>8</v>
      </c>
    </row>
    <row r="13" spans="1:38" ht="12.75" customHeight="1" x14ac:dyDescent="0.2">
      <c r="A13" s="15"/>
      <c r="B13" s="17" t="s">
        <v>26</v>
      </c>
      <c r="C13" s="93" t="s">
        <v>35</v>
      </c>
      <c r="D13" s="93" t="s">
        <v>35</v>
      </c>
      <c r="E13" s="157" t="s">
        <v>35</v>
      </c>
      <c r="F13" s="157" t="s">
        <v>35</v>
      </c>
      <c r="G13" s="157" t="s">
        <v>35</v>
      </c>
      <c r="H13" s="157" t="s">
        <v>35</v>
      </c>
      <c r="I13" s="157" t="s">
        <v>35</v>
      </c>
      <c r="J13" s="157" t="s">
        <v>35</v>
      </c>
      <c r="K13" s="157" t="s">
        <v>35</v>
      </c>
      <c r="L13" s="157" t="s">
        <v>35</v>
      </c>
      <c r="M13" s="157" t="s">
        <v>35</v>
      </c>
      <c r="N13" s="157" t="s">
        <v>35</v>
      </c>
      <c r="O13" s="157" t="s">
        <v>35</v>
      </c>
      <c r="P13" s="157" t="s">
        <v>35</v>
      </c>
      <c r="Q13" s="157" t="s">
        <v>35</v>
      </c>
      <c r="R13" s="157" t="s">
        <v>35</v>
      </c>
      <c r="S13" s="157" t="s">
        <v>35</v>
      </c>
      <c r="T13" s="157" t="s">
        <v>35</v>
      </c>
      <c r="U13" s="157" t="s">
        <v>35</v>
      </c>
      <c r="V13" s="157" t="s">
        <v>35</v>
      </c>
      <c r="W13" s="157" t="s">
        <v>35</v>
      </c>
      <c r="X13" s="157" t="s">
        <v>35</v>
      </c>
      <c r="Y13" s="157" t="s">
        <v>35</v>
      </c>
      <c r="Z13" s="157" t="s">
        <v>35</v>
      </c>
      <c r="AA13" s="144" t="s">
        <v>35</v>
      </c>
      <c r="AB13" s="144" t="s">
        <v>35</v>
      </c>
      <c r="AC13" s="144" t="s">
        <v>35</v>
      </c>
      <c r="AD13" s="144" t="s">
        <v>35</v>
      </c>
      <c r="AE13" s="144" t="s">
        <v>35</v>
      </c>
      <c r="AF13" s="144" t="s">
        <v>35</v>
      </c>
      <c r="AG13" s="144" t="s">
        <v>35</v>
      </c>
      <c r="AH13" s="144" t="s">
        <v>35</v>
      </c>
      <c r="AI13" s="144" t="s">
        <v>35</v>
      </c>
      <c r="AJ13" s="179" t="s">
        <v>35</v>
      </c>
      <c r="AK13" s="419" t="s">
        <v>35</v>
      </c>
      <c r="AL13" s="17" t="s">
        <v>26</v>
      </c>
    </row>
    <row r="14" spans="1:38" ht="12.75" customHeight="1" x14ac:dyDescent="0.2">
      <c r="A14" s="15"/>
      <c r="B14" s="85" t="s">
        <v>19</v>
      </c>
      <c r="C14" s="98" t="s">
        <v>35</v>
      </c>
      <c r="D14" s="98" t="s">
        <v>35</v>
      </c>
      <c r="E14" s="147" t="s">
        <v>35</v>
      </c>
      <c r="F14" s="147" t="s">
        <v>35</v>
      </c>
      <c r="G14" s="147" t="s">
        <v>35</v>
      </c>
      <c r="H14" s="147" t="s">
        <v>35</v>
      </c>
      <c r="I14" s="147" t="s">
        <v>35</v>
      </c>
      <c r="J14" s="147" t="s">
        <v>35</v>
      </c>
      <c r="K14" s="147" t="s">
        <v>35</v>
      </c>
      <c r="L14" s="147" t="s">
        <v>35</v>
      </c>
      <c r="M14" s="147" t="s">
        <v>35</v>
      </c>
      <c r="N14" s="147" t="s">
        <v>35</v>
      </c>
      <c r="O14" s="147" t="s">
        <v>35</v>
      </c>
      <c r="P14" s="147" t="s">
        <v>35</v>
      </c>
      <c r="Q14" s="147" t="s">
        <v>35</v>
      </c>
      <c r="R14" s="147" t="s">
        <v>35</v>
      </c>
      <c r="S14" s="147" t="s">
        <v>35</v>
      </c>
      <c r="T14" s="147" t="s">
        <v>35</v>
      </c>
      <c r="U14" s="147" t="s">
        <v>35</v>
      </c>
      <c r="V14" s="147" t="s">
        <v>35</v>
      </c>
      <c r="W14" s="147" t="s">
        <v>35</v>
      </c>
      <c r="X14" s="152" t="s">
        <v>112</v>
      </c>
      <c r="Y14" s="147" t="s">
        <v>35</v>
      </c>
      <c r="Z14" s="147" t="s">
        <v>35</v>
      </c>
      <c r="AA14" s="152" t="s">
        <v>35</v>
      </c>
      <c r="AB14" s="152" t="s">
        <v>35</v>
      </c>
      <c r="AC14" s="152" t="s">
        <v>35</v>
      </c>
      <c r="AD14" s="152" t="s">
        <v>35</v>
      </c>
      <c r="AE14" s="152" t="s">
        <v>35</v>
      </c>
      <c r="AF14" s="152" t="s">
        <v>35</v>
      </c>
      <c r="AG14" s="152" t="s">
        <v>35</v>
      </c>
      <c r="AH14" s="152" t="s">
        <v>35</v>
      </c>
      <c r="AI14" s="152" t="s">
        <v>35</v>
      </c>
      <c r="AJ14" s="178" t="s">
        <v>35</v>
      </c>
      <c r="AK14" s="420" t="s">
        <v>35</v>
      </c>
      <c r="AL14" s="85" t="s">
        <v>19</v>
      </c>
    </row>
    <row r="15" spans="1:38" ht="12.75" customHeight="1" x14ac:dyDescent="0.2">
      <c r="A15" s="15"/>
      <c r="B15" s="17" t="s">
        <v>24</v>
      </c>
      <c r="C15" s="93" t="s">
        <v>35</v>
      </c>
      <c r="D15" s="93" t="s">
        <v>35</v>
      </c>
      <c r="E15" s="157" t="s">
        <v>35</v>
      </c>
      <c r="F15" s="157" t="s">
        <v>35</v>
      </c>
      <c r="G15" s="157" t="s">
        <v>35</v>
      </c>
      <c r="H15" s="157" t="s">
        <v>35</v>
      </c>
      <c r="I15" s="157" t="s">
        <v>35</v>
      </c>
      <c r="J15" s="157" t="s">
        <v>35</v>
      </c>
      <c r="K15" s="157" t="s">
        <v>35</v>
      </c>
      <c r="L15" s="157" t="s">
        <v>35</v>
      </c>
      <c r="M15" s="157" t="s">
        <v>35</v>
      </c>
      <c r="N15" s="157" t="s">
        <v>35</v>
      </c>
      <c r="O15" s="157" t="s">
        <v>35</v>
      </c>
      <c r="P15" s="157" t="s">
        <v>35</v>
      </c>
      <c r="Q15" s="157" t="s">
        <v>35</v>
      </c>
      <c r="R15" s="157" t="s">
        <v>35</v>
      </c>
      <c r="S15" s="157" t="s">
        <v>35</v>
      </c>
      <c r="T15" s="157" t="s">
        <v>35</v>
      </c>
      <c r="U15" s="157" t="s">
        <v>35</v>
      </c>
      <c r="V15" s="157" t="s">
        <v>35</v>
      </c>
      <c r="W15" s="157" t="s">
        <v>35</v>
      </c>
      <c r="X15" s="157" t="s">
        <v>35</v>
      </c>
      <c r="Y15" s="157" t="s">
        <v>35</v>
      </c>
      <c r="Z15" s="157" t="s">
        <v>35</v>
      </c>
      <c r="AA15" s="144" t="s">
        <v>35</v>
      </c>
      <c r="AB15" s="144" t="s">
        <v>35</v>
      </c>
      <c r="AC15" s="144" t="s">
        <v>35</v>
      </c>
      <c r="AD15" s="144" t="s">
        <v>35</v>
      </c>
      <c r="AE15" s="144" t="s">
        <v>35</v>
      </c>
      <c r="AF15" s="144" t="s">
        <v>35</v>
      </c>
      <c r="AG15" s="144" t="s">
        <v>35</v>
      </c>
      <c r="AH15" s="144" t="s">
        <v>35</v>
      </c>
      <c r="AI15" s="144" t="s">
        <v>35</v>
      </c>
      <c r="AJ15" s="179" t="s">
        <v>35</v>
      </c>
      <c r="AK15" s="419" t="s">
        <v>35</v>
      </c>
      <c r="AL15" s="17" t="s">
        <v>24</v>
      </c>
    </row>
    <row r="16" spans="1:38" ht="12.75" customHeight="1" x14ac:dyDescent="0.2">
      <c r="A16" s="15"/>
      <c r="B16" s="85" t="s">
        <v>25</v>
      </c>
      <c r="C16" s="98">
        <v>12.228999999999999</v>
      </c>
      <c r="D16" s="95">
        <v>10.869</v>
      </c>
      <c r="E16" s="147">
        <v>7.5810330869999998</v>
      </c>
      <c r="F16" s="147">
        <v>8.3465465230000007</v>
      </c>
      <c r="G16" s="147">
        <v>8.6314321770000006</v>
      </c>
      <c r="H16" s="147">
        <v>7.6842289690000003</v>
      </c>
      <c r="I16" s="147">
        <v>7.235301561</v>
      </c>
      <c r="J16" s="147">
        <v>6.63</v>
      </c>
      <c r="K16" s="147">
        <v>6.0270000000000001</v>
      </c>
      <c r="L16" s="147">
        <v>7.0579999999999998</v>
      </c>
      <c r="M16" s="147">
        <v>7.9359999999999999</v>
      </c>
      <c r="N16" s="147">
        <v>8.4779999999999998</v>
      </c>
      <c r="O16" s="147">
        <v>9.11</v>
      </c>
      <c r="P16" s="147">
        <v>8.2940000000000005</v>
      </c>
      <c r="Q16" s="147">
        <v>8.2690000000000001</v>
      </c>
      <c r="R16" s="147">
        <v>8.0239999999999991</v>
      </c>
      <c r="S16" s="147">
        <v>8.4160000000000004</v>
      </c>
      <c r="T16" s="147">
        <v>8.9049999999999994</v>
      </c>
      <c r="U16" s="147">
        <v>9.0050000000000008</v>
      </c>
      <c r="V16" s="147">
        <v>9.2080000000000002</v>
      </c>
      <c r="W16" s="147">
        <v>8.91</v>
      </c>
      <c r="X16" s="147">
        <v>8.7110000000000003</v>
      </c>
      <c r="Y16" s="147">
        <v>9.4740000000000002</v>
      </c>
      <c r="Z16" s="147">
        <v>9.0350000000000001</v>
      </c>
      <c r="AA16" s="147">
        <v>8.9160000000000004</v>
      </c>
      <c r="AB16" s="147">
        <v>9.2129999999999992</v>
      </c>
      <c r="AC16" s="147">
        <v>8.8030000000000008</v>
      </c>
      <c r="AD16" s="147">
        <v>8.516</v>
      </c>
      <c r="AE16" s="147">
        <v>8.3070000000000004</v>
      </c>
      <c r="AF16" s="147">
        <v>7.5129999999999999</v>
      </c>
      <c r="AG16" s="147">
        <v>7.2640000000000002</v>
      </c>
      <c r="AH16" s="147">
        <v>8.0139999999999993</v>
      </c>
      <c r="AI16" s="147">
        <v>6.9880000000000004</v>
      </c>
      <c r="AJ16" s="148">
        <v>7.2060000000000004</v>
      </c>
      <c r="AK16" s="165">
        <f t="shared" si="1"/>
        <v>3.1196336576989125</v>
      </c>
      <c r="AL16" s="85" t="s">
        <v>25</v>
      </c>
    </row>
    <row r="17" spans="1:38" ht="12.75" customHeight="1" x14ac:dyDescent="0.2">
      <c r="A17" s="15"/>
      <c r="B17" s="182" t="s">
        <v>36</v>
      </c>
      <c r="C17" s="183">
        <v>0.3</v>
      </c>
      <c r="D17" s="183">
        <v>0.6</v>
      </c>
      <c r="E17" s="184">
        <v>0.5</v>
      </c>
      <c r="F17" s="184" t="s">
        <v>34</v>
      </c>
      <c r="G17" s="184" t="s">
        <v>34</v>
      </c>
      <c r="H17" s="184" t="s">
        <v>34</v>
      </c>
      <c r="I17" s="184" t="s">
        <v>34</v>
      </c>
      <c r="J17" s="184">
        <v>3.3000000000000002E-2</v>
      </c>
      <c r="K17" s="184">
        <v>2.1999999999999999E-2</v>
      </c>
      <c r="L17" s="184">
        <v>2.1999999999999999E-2</v>
      </c>
      <c r="M17" s="184">
        <v>5.2999999999999999E-2</v>
      </c>
      <c r="N17" s="184">
        <v>5.1999999999999998E-2</v>
      </c>
      <c r="O17" s="184">
        <v>6.3535999999999995E-2</v>
      </c>
      <c r="P17" s="184">
        <v>7.7483999999999997E-2</v>
      </c>
      <c r="Q17" s="184">
        <v>8.9745000000000005E-2</v>
      </c>
      <c r="R17" s="184">
        <v>0.10009999999999999</v>
      </c>
      <c r="S17" s="184">
        <v>0.1787</v>
      </c>
      <c r="T17" s="184">
        <v>0.1186</v>
      </c>
      <c r="U17" s="184">
        <v>0.1164</v>
      </c>
      <c r="V17" s="185">
        <v>0.109</v>
      </c>
      <c r="W17" s="184">
        <v>0.84199999999999997</v>
      </c>
      <c r="X17" s="184">
        <v>0.72699999999999998</v>
      </c>
      <c r="Y17" s="184">
        <v>0.94</v>
      </c>
      <c r="Z17" s="184">
        <v>0.69199999999999995</v>
      </c>
      <c r="AA17" s="184">
        <v>0.77200000000000002</v>
      </c>
      <c r="AB17" s="184">
        <v>0.77100000000000002</v>
      </c>
      <c r="AC17" s="184">
        <v>0.71599999999999997</v>
      </c>
      <c r="AD17" s="184">
        <v>0.879</v>
      </c>
      <c r="AE17" s="184">
        <v>0.83599999999999997</v>
      </c>
      <c r="AF17" s="184">
        <v>0.81299999999999994</v>
      </c>
      <c r="AG17" s="184">
        <v>0.67800000000000005</v>
      </c>
      <c r="AH17" s="184">
        <v>0.83499999999999996</v>
      </c>
      <c r="AI17" s="184">
        <v>0.90300000000000002</v>
      </c>
      <c r="AJ17" s="212">
        <v>0.84099999999999997</v>
      </c>
      <c r="AK17" s="431">
        <f t="shared" si="1"/>
        <v>-6.8660022148394262</v>
      </c>
      <c r="AL17" s="182" t="s">
        <v>36</v>
      </c>
    </row>
    <row r="18" spans="1:38" ht="12.75" customHeight="1" x14ac:dyDescent="0.2">
      <c r="A18" s="15"/>
      <c r="B18" s="85" t="s">
        <v>27</v>
      </c>
      <c r="C18" s="98">
        <v>0.35</v>
      </c>
      <c r="D18" s="98">
        <v>0.20300000000000001</v>
      </c>
      <c r="E18" s="147">
        <v>0.11799999999999999</v>
      </c>
      <c r="F18" s="147">
        <v>0.09</v>
      </c>
      <c r="G18" s="147">
        <v>7.0000000000000007E-2</v>
      </c>
      <c r="H18" s="147">
        <v>9.7000000000000003E-2</v>
      </c>
      <c r="I18" s="147">
        <v>0.108</v>
      </c>
      <c r="J18" s="147">
        <v>0.13530800000000001</v>
      </c>
      <c r="K18" s="147">
        <v>0.12509200000000001</v>
      </c>
      <c r="L18" s="147">
        <v>0.20142699999999999</v>
      </c>
      <c r="M18" s="147">
        <v>0.126141</v>
      </c>
      <c r="N18" s="147">
        <v>0.17729900000000001</v>
      </c>
      <c r="O18" s="147">
        <v>0.16956599999999999</v>
      </c>
      <c r="P18" s="147">
        <v>0.161024</v>
      </c>
      <c r="Q18" s="147">
        <v>9.0063000000000004E-2</v>
      </c>
      <c r="R18" s="147">
        <v>9.0819999999999998E-2</v>
      </c>
      <c r="S18" s="147">
        <v>0.10983</v>
      </c>
      <c r="T18" s="147">
        <v>8.8749999999999996E-2</v>
      </c>
      <c r="U18" s="147">
        <v>7.5974E-2</v>
      </c>
      <c r="V18" s="147">
        <v>9.2999999999999999E-2</v>
      </c>
      <c r="W18" s="147">
        <v>6.4000000000000001E-2</v>
      </c>
      <c r="X18" s="147">
        <v>5.3999999999999999E-2</v>
      </c>
      <c r="Y18" s="147">
        <v>0.108</v>
      </c>
      <c r="Z18" s="147">
        <v>0.14399999999999999</v>
      </c>
      <c r="AA18" s="152">
        <v>8.1000000000000003E-2</v>
      </c>
      <c r="AB18" s="152">
        <v>8.8999999999999996E-2</v>
      </c>
      <c r="AC18" s="152">
        <v>6.4000000000000001E-2</v>
      </c>
      <c r="AD18" s="152">
        <v>6.2E-2</v>
      </c>
      <c r="AE18" s="152">
        <v>6.7000000000000004E-2</v>
      </c>
      <c r="AF18" s="152">
        <v>6.0999999999999999E-2</v>
      </c>
      <c r="AG18" s="152">
        <v>7.3999999999999996E-2</v>
      </c>
      <c r="AH18" s="152">
        <v>5.5E-2</v>
      </c>
      <c r="AI18" s="152">
        <v>0.124</v>
      </c>
      <c r="AJ18" s="178">
        <v>0.14000000000000001</v>
      </c>
      <c r="AK18" s="165">
        <f t="shared" si="1"/>
        <v>12.90322580645163</v>
      </c>
      <c r="AL18" s="85" t="s">
        <v>27</v>
      </c>
    </row>
    <row r="19" spans="1:38" ht="12.75" customHeight="1" x14ac:dyDescent="0.2">
      <c r="A19" s="15"/>
      <c r="B19" s="17" t="s">
        <v>6</v>
      </c>
      <c r="C19" s="111" t="s">
        <v>35</v>
      </c>
      <c r="D19" s="111" t="s">
        <v>35</v>
      </c>
      <c r="E19" s="111" t="s">
        <v>35</v>
      </c>
      <c r="F19" s="55" t="s">
        <v>35</v>
      </c>
      <c r="G19" s="55" t="s">
        <v>35</v>
      </c>
      <c r="H19" s="55" t="s">
        <v>35</v>
      </c>
      <c r="I19" s="55" t="s">
        <v>35</v>
      </c>
      <c r="J19" s="55" t="s">
        <v>35</v>
      </c>
      <c r="K19" s="55" t="s">
        <v>35</v>
      </c>
      <c r="L19" s="55" t="s">
        <v>35</v>
      </c>
      <c r="M19" s="55" t="s">
        <v>35</v>
      </c>
      <c r="N19" s="55" t="s">
        <v>35</v>
      </c>
      <c r="O19" s="55" t="s">
        <v>35</v>
      </c>
      <c r="P19" s="55" t="s">
        <v>35</v>
      </c>
      <c r="Q19" s="55" t="s">
        <v>35</v>
      </c>
      <c r="R19" s="55" t="s">
        <v>35</v>
      </c>
      <c r="S19" s="55" t="s">
        <v>35</v>
      </c>
      <c r="T19" s="55" t="s">
        <v>35</v>
      </c>
      <c r="U19" s="55" t="s">
        <v>35</v>
      </c>
      <c r="V19" s="55" t="s">
        <v>35</v>
      </c>
      <c r="W19" s="55" t="s">
        <v>35</v>
      </c>
      <c r="X19" s="55" t="s">
        <v>35</v>
      </c>
      <c r="Y19" s="55" t="s">
        <v>35</v>
      </c>
      <c r="Z19" s="55" t="s">
        <v>35</v>
      </c>
      <c r="AA19" s="55" t="s">
        <v>35</v>
      </c>
      <c r="AB19" s="150" t="s">
        <v>35</v>
      </c>
      <c r="AC19" s="150" t="s">
        <v>35</v>
      </c>
      <c r="AD19" s="150" t="s">
        <v>35</v>
      </c>
      <c r="AE19" s="150" t="s">
        <v>35</v>
      </c>
      <c r="AF19" s="150" t="s">
        <v>35</v>
      </c>
      <c r="AG19" s="150" t="s">
        <v>35</v>
      </c>
      <c r="AH19" s="150" t="s">
        <v>35</v>
      </c>
      <c r="AI19" s="150" t="s">
        <v>35</v>
      </c>
      <c r="AJ19" s="170" t="s">
        <v>35</v>
      </c>
      <c r="AK19" s="348" t="s">
        <v>35</v>
      </c>
      <c r="AL19" s="17" t="s">
        <v>6</v>
      </c>
    </row>
    <row r="20" spans="1:38" ht="12.75" customHeight="1" x14ac:dyDescent="0.2">
      <c r="A20" s="15"/>
      <c r="B20" s="85" t="s">
        <v>10</v>
      </c>
      <c r="C20" s="146">
        <v>0.05</v>
      </c>
      <c r="D20" s="146">
        <v>0.09</v>
      </c>
      <c r="E20" s="146" t="s">
        <v>35</v>
      </c>
      <c r="F20" s="147" t="s">
        <v>35</v>
      </c>
      <c r="G20" s="147" t="s">
        <v>35</v>
      </c>
      <c r="H20" s="147" t="s">
        <v>35</v>
      </c>
      <c r="I20" s="147" t="s">
        <v>35</v>
      </c>
      <c r="J20" s="147" t="s">
        <v>35</v>
      </c>
      <c r="K20" s="147" t="s">
        <v>35</v>
      </c>
      <c r="L20" s="147" t="s">
        <v>35</v>
      </c>
      <c r="M20" s="147" t="s">
        <v>35</v>
      </c>
      <c r="N20" s="147" t="s">
        <v>35</v>
      </c>
      <c r="O20" s="147" t="s">
        <v>35</v>
      </c>
      <c r="P20" s="147" t="s">
        <v>35</v>
      </c>
      <c r="Q20" s="147" t="s">
        <v>35</v>
      </c>
      <c r="R20" s="147" t="s">
        <v>35</v>
      </c>
      <c r="S20" s="147" t="s">
        <v>35</v>
      </c>
      <c r="T20" s="147" t="s">
        <v>35</v>
      </c>
      <c r="U20" s="147" t="s">
        <v>35</v>
      </c>
      <c r="V20" s="147" t="s">
        <v>35</v>
      </c>
      <c r="W20" s="147" t="s">
        <v>35</v>
      </c>
      <c r="X20" s="147" t="s">
        <v>35</v>
      </c>
      <c r="Y20" s="147" t="s">
        <v>35</v>
      </c>
      <c r="Z20" s="147" t="s">
        <v>35</v>
      </c>
      <c r="AA20" s="147" t="s">
        <v>35</v>
      </c>
      <c r="AB20" s="152" t="s">
        <v>35</v>
      </c>
      <c r="AC20" s="152" t="s">
        <v>35</v>
      </c>
      <c r="AD20" s="152" t="s">
        <v>35</v>
      </c>
      <c r="AE20" s="152" t="s">
        <v>35</v>
      </c>
      <c r="AF20" s="152" t="s">
        <v>35</v>
      </c>
      <c r="AG20" s="152" t="s">
        <v>35</v>
      </c>
      <c r="AH20" s="152" t="s">
        <v>35</v>
      </c>
      <c r="AI20" s="152" t="s">
        <v>35</v>
      </c>
      <c r="AJ20" s="178" t="s">
        <v>35</v>
      </c>
      <c r="AK20" s="420" t="s">
        <v>35</v>
      </c>
      <c r="AL20" s="85" t="s">
        <v>10</v>
      </c>
    </row>
    <row r="21" spans="1:38" ht="12.75" customHeight="1" x14ac:dyDescent="0.2">
      <c r="A21" s="15"/>
      <c r="B21" s="17" t="s">
        <v>11</v>
      </c>
      <c r="C21" s="111">
        <v>0.12</v>
      </c>
      <c r="D21" s="111">
        <v>0.15</v>
      </c>
      <c r="E21" s="111">
        <v>0.16400000000000001</v>
      </c>
      <c r="F21" s="55">
        <v>0.14099999999999999</v>
      </c>
      <c r="G21" s="55">
        <v>4.4999999999999998E-2</v>
      </c>
      <c r="H21" s="55">
        <v>0.05</v>
      </c>
      <c r="I21" s="55">
        <v>0.03</v>
      </c>
      <c r="J21" s="55">
        <v>1.7999999999999999E-2</v>
      </c>
      <c r="K21" s="55">
        <v>7.0000000000000001E-3</v>
      </c>
      <c r="L21" s="55">
        <v>8.9999999999999993E-3</v>
      </c>
      <c r="M21" s="55">
        <v>1.4E-2</v>
      </c>
      <c r="N21" s="55">
        <v>3.0000000000000001E-3</v>
      </c>
      <c r="O21" s="55">
        <v>1.4835999999999998E-3</v>
      </c>
      <c r="P21" s="55">
        <v>5.3560000000000012E-4</v>
      </c>
      <c r="Q21" s="55">
        <v>5.1500000000000005E-4</v>
      </c>
      <c r="R21" s="55">
        <v>6.6519999999999991E-4</v>
      </c>
      <c r="S21" s="55">
        <v>6.2100000000000002E-4</v>
      </c>
      <c r="T21" s="55">
        <v>1.3244000000000001E-3</v>
      </c>
      <c r="U21" s="55">
        <v>1.7951E-3</v>
      </c>
      <c r="V21" s="55">
        <v>0.01</v>
      </c>
      <c r="W21" s="55">
        <v>1.2E-2</v>
      </c>
      <c r="X21" s="55">
        <v>3.0000000000000001E-3</v>
      </c>
      <c r="Y21" s="55">
        <v>3.0000000000000001E-3</v>
      </c>
      <c r="Z21" s="55">
        <v>3.0000000000000001E-3</v>
      </c>
      <c r="AA21" s="55">
        <v>1E-3</v>
      </c>
      <c r="AB21" s="55">
        <v>0</v>
      </c>
      <c r="AC21" s="55">
        <v>0</v>
      </c>
      <c r="AD21" s="55">
        <v>0</v>
      </c>
      <c r="AE21" s="55">
        <v>0</v>
      </c>
      <c r="AF21" s="55">
        <v>0</v>
      </c>
      <c r="AG21" s="55">
        <v>0</v>
      </c>
      <c r="AH21" s="55">
        <v>0</v>
      </c>
      <c r="AI21" s="55">
        <v>1.0000000000000001E-5</v>
      </c>
      <c r="AJ21" s="159">
        <v>3.0000000000000001E-3</v>
      </c>
      <c r="AK21" s="166"/>
      <c r="AL21" s="17" t="s">
        <v>11</v>
      </c>
    </row>
    <row r="22" spans="1:38" ht="12.75" customHeight="1" x14ac:dyDescent="0.2">
      <c r="A22" s="15"/>
      <c r="B22" s="85" t="s">
        <v>28</v>
      </c>
      <c r="C22" s="146">
        <v>0.30199999999999999</v>
      </c>
      <c r="D22" s="146">
        <v>0.33100000000000002</v>
      </c>
      <c r="E22" s="146">
        <v>0.36229783599999998</v>
      </c>
      <c r="F22" s="147">
        <v>0.34042404599999998</v>
      </c>
      <c r="G22" s="147">
        <v>0.33800000000000002</v>
      </c>
      <c r="H22" s="147">
        <v>0.32300000000000001</v>
      </c>
      <c r="I22" s="147">
        <v>0.317</v>
      </c>
      <c r="J22" s="147">
        <v>0.33800000000000002</v>
      </c>
      <c r="K22" s="147">
        <v>0.32100000000000001</v>
      </c>
      <c r="L22" s="147">
        <v>0.35599999999999998</v>
      </c>
      <c r="M22" s="147">
        <v>0.36899999999999999</v>
      </c>
      <c r="N22" s="147">
        <v>0.35099999999999998</v>
      </c>
      <c r="O22" s="147">
        <v>0.378</v>
      </c>
      <c r="P22" s="147">
        <v>0.371</v>
      </c>
      <c r="Q22" s="147">
        <v>0.37</v>
      </c>
      <c r="R22" s="147">
        <v>0.316</v>
      </c>
      <c r="S22" s="147">
        <v>0.37</v>
      </c>
      <c r="T22" s="147">
        <v>0.34200000000000003</v>
      </c>
      <c r="U22" s="147">
        <v>0.38100000000000001</v>
      </c>
      <c r="V22" s="147">
        <v>0.34499999999999997</v>
      </c>
      <c r="W22" s="147">
        <v>0.36699999999999999</v>
      </c>
      <c r="X22" s="147">
        <v>0.27900000000000003</v>
      </c>
      <c r="Y22" s="147">
        <v>0.35899999999999999</v>
      </c>
      <c r="Z22" s="147">
        <v>0.30499999999999999</v>
      </c>
      <c r="AA22" s="147">
        <v>0.28999999999999998</v>
      </c>
      <c r="AB22" s="147">
        <v>0.313</v>
      </c>
      <c r="AC22" s="147">
        <v>0.28499999999999998</v>
      </c>
      <c r="AD22" s="147">
        <v>0.23499999999999999</v>
      </c>
      <c r="AE22" s="147">
        <v>0.19</v>
      </c>
      <c r="AF22" s="147">
        <v>0.19500000000000001</v>
      </c>
      <c r="AG22" s="147">
        <v>0.20499999999999999</v>
      </c>
      <c r="AH22" s="147">
        <v>0.22800000000000001</v>
      </c>
      <c r="AI22" s="147">
        <v>0.20100000000000001</v>
      </c>
      <c r="AJ22" s="148">
        <v>0.217</v>
      </c>
      <c r="AK22" s="165">
        <f t="shared" si="1"/>
        <v>7.9601990049751095</v>
      </c>
      <c r="AL22" s="85" t="s">
        <v>28</v>
      </c>
    </row>
    <row r="23" spans="1:38" ht="12.75" customHeight="1" x14ac:dyDescent="0.2">
      <c r="A23" s="15"/>
      <c r="B23" s="17" t="s">
        <v>9</v>
      </c>
      <c r="C23" s="149">
        <v>1.76</v>
      </c>
      <c r="D23" s="149">
        <v>2.15</v>
      </c>
      <c r="E23" s="149">
        <v>2.04</v>
      </c>
      <c r="F23" s="150">
        <v>1.72</v>
      </c>
      <c r="G23" s="150">
        <v>1.6</v>
      </c>
      <c r="H23" s="150">
        <v>1.62</v>
      </c>
      <c r="I23" s="150">
        <v>1.35</v>
      </c>
      <c r="J23" s="150">
        <v>1.2110000000000001</v>
      </c>
      <c r="K23" s="150">
        <v>1.397</v>
      </c>
      <c r="L23" s="150">
        <v>1.4410000000000001</v>
      </c>
      <c r="M23" s="150">
        <v>1.56</v>
      </c>
      <c r="N23" s="150">
        <v>0.95799999999999996</v>
      </c>
      <c r="O23" s="150">
        <v>0.89100000000000001</v>
      </c>
      <c r="P23" s="150">
        <v>1.087</v>
      </c>
      <c r="Q23" s="150">
        <v>1.407</v>
      </c>
      <c r="R23" s="150">
        <v>1.5169999999999999</v>
      </c>
      <c r="S23" s="150">
        <v>1.9039999999999999</v>
      </c>
      <c r="T23" s="150">
        <v>2.11</v>
      </c>
      <c r="U23" s="150">
        <v>1.913</v>
      </c>
      <c r="V23" s="150">
        <v>2.2120000000000002</v>
      </c>
      <c r="W23" s="150">
        <v>2.25</v>
      </c>
      <c r="X23" s="150">
        <v>1.831</v>
      </c>
      <c r="Y23" s="150">
        <v>2.3929999999999998</v>
      </c>
      <c r="Z23" s="150">
        <v>1.84</v>
      </c>
      <c r="AA23" s="150">
        <v>1.982</v>
      </c>
      <c r="AB23" s="150">
        <v>1.9239999999999999</v>
      </c>
      <c r="AC23" s="150">
        <v>1.8109999999999999</v>
      </c>
      <c r="AD23" s="150">
        <v>1.8240000000000001</v>
      </c>
      <c r="AE23" s="150">
        <v>1.9750000000000001</v>
      </c>
      <c r="AF23" s="150">
        <v>1.992</v>
      </c>
      <c r="AG23" s="150">
        <v>1.6080000000000001</v>
      </c>
      <c r="AH23" s="150">
        <v>2.12</v>
      </c>
      <c r="AI23" s="150">
        <v>1.998</v>
      </c>
      <c r="AJ23" s="170">
        <v>1.873</v>
      </c>
      <c r="AK23" s="166">
        <f t="shared" si="1"/>
        <v>-6.2562562562562505</v>
      </c>
      <c r="AL23" s="17" t="s">
        <v>9</v>
      </c>
    </row>
    <row r="24" spans="1:38" ht="12.75" customHeight="1" x14ac:dyDescent="0.2">
      <c r="A24" s="15"/>
      <c r="B24" s="54" t="s">
        <v>12</v>
      </c>
      <c r="C24" s="154" t="s">
        <v>35</v>
      </c>
      <c r="D24" s="154" t="s">
        <v>35</v>
      </c>
      <c r="E24" s="154" t="s">
        <v>35</v>
      </c>
      <c r="F24" s="155" t="s">
        <v>35</v>
      </c>
      <c r="G24" s="155" t="s">
        <v>35</v>
      </c>
      <c r="H24" s="155" t="s">
        <v>35</v>
      </c>
      <c r="I24" s="155" t="s">
        <v>35</v>
      </c>
      <c r="J24" s="155" t="s">
        <v>35</v>
      </c>
      <c r="K24" s="155" t="s">
        <v>35</v>
      </c>
      <c r="L24" s="155" t="s">
        <v>35</v>
      </c>
      <c r="M24" s="155" t="s">
        <v>35</v>
      </c>
      <c r="N24" s="155" t="s">
        <v>35</v>
      </c>
      <c r="O24" s="155" t="s">
        <v>35</v>
      </c>
      <c r="P24" s="155" t="s">
        <v>35</v>
      </c>
      <c r="Q24" s="155" t="s">
        <v>35</v>
      </c>
      <c r="R24" s="155" t="s">
        <v>35</v>
      </c>
      <c r="S24" s="155" t="s">
        <v>35</v>
      </c>
      <c r="T24" s="155" t="s">
        <v>35</v>
      </c>
      <c r="U24" s="155" t="s">
        <v>35</v>
      </c>
      <c r="V24" s="155" t="s">
        <v>35</v>
      </c>
      <c r="W24" s="155" t="s">
        <v>35</v>
      </c>
      <c r="X24" s="155" t="s">
        <v>35</v>
      </c>
      <c r="Y24" s="155" t="s">
        <v>35</v>
      </c>
      <c r="Z24" s="155" t="s">
        <v>35</v>
      </c>
      <c r="AA24" s="155" t="s">
        <v>35</v>
      </c>
      <c r="AB24" s="155" t="s">
        <v>35</v>
      </c>
      <c r="AC24" s="155" t="s">
        <v>35</v>
      </c>
      <c r="AD24" s="155" t="s">
        <v>35</v>
      </c>
      <c r="AE24" s="155" t="s">
        <v>35</v>
      </c>
      <c r="AF24" s="152" t="s">
        <v>35</v>
      </c>
      <c r="AG24" s="152" t="s">
        <v>35</v>
      </c>
      <c r="AH24" s="152" t="s">
        <v>35</v>
      </c>
      <c r="AI24" s="152" t="s">
        <v>35</v>
      </c>
      <c r="AJ24" s="178" t="s">
        <v>35</v>
      </c>
      <c r="AK24" s="420" t="s">
        <v>35</v>
      </c>
      <c r="AL24" s="54" t="s">
        <v>12</v>
      </c>
    </row>
    <row r="25" spans="1:38" ht="12.75" customHeight="1" x14ac:dyDescent="0.2">
      <c r="A25" s="15"/>
      <c r="B25" s="17" t="s">
        <v>20</v>
      </c>
      <c r="C25" s="111">
        <v>30.617999999999999</v>
      </c>
      <c r="D25" s="111">
        <v>33.478999999999999</v>
      </c>
      <c r="E25" s="111">
        <v>35.661000000000001</v>
      </c>
      <c r="F25" s="55">
        <v>34.755000000000003</v>
      </c>
      <c r="G25" s="55">
        <v>33.53</v>
      </c>
      <c r="H25" s="55">
        <v>32.058</v>
      </c>
      <c r="I25" s="55">
        <v>36.011000000000003</v>
      </c>
      <c r="J25" s="55">
        <v>35.457000000000001</v>
      </c>
      <c r="K25" s="55">
        <v>35.512999999999998</v>
      </c>
      <c r="L25" s="55">
        <v>40.985999999999997</v>
      </c>
      <c r="M25" s="55">
        <v>40.683</v>
      </c>
      <c r="N25" s="55">
        <v>41.427999999999997</v>
      </c>
      <c r="O25" s="55">
        <v>41.271000000000001</v>
      </c>
      <c r="P25" s="55">
        <v>41.792999999999999</v>
      </c>
      <c r="Q25" s="55">
        <v>40.982999999999997</v>
      </c>
      <c r="R25" s="55">
        <v>39.030999999999999</v>
      </c>
      <c r="S25" s="55">
        <v>43.048999999999999</v>
      </c>
      <c r="T25" s="55">
        <v>42.232999999999997</v>
      </c>
      <c r="U25" s="55">
        <v>42.215000000000003</v>
      </c>
      <c r="V25" s="55">
        <v>46.485999999999997</v>
      </c>
      <c r="W25" s="55">
        <v>46.234000000000002</v>
      </c>
      <c r="X25" s="55">
        <v>37.863</v>
      </c>
      <c r="Y25" s="55">
        <v>46.561999999999998</v>
      </c>
      <c r="Z25" s="55">
        <v>46.462000000000003</v>
      </c>
      <c r="AA25" s="150">
        <v>47.533000000000001</v>
      </c>
      <c r="AB25" s="150">
        <v>48.627000000000002</v>
      </c>
      <c r="AC25" s="150">
        <v>49.295000000000002</v>
      </c>
      <c r="AD25" s="150">
        <v>48.534999999999997</v>
      </c>
      <c r="AE25" s="150">
        <v>48.798000000000002</v>
      </c>
      <c r="AF25" s="150">
        <v>49.015000000000001</v>
      </c>
      <c r="AG25" s="150">
        <v>46.892000000000003</v>
      </c>
      <c r="AH25" s="150">
        <v>46.993000000000002</v>
      </c>
      <c r="AI25" s="150">
        <v>45.165999999999997</v>
      </c>
      <c r="AJ25" s="170">
        <v>47.393999999999998</v>
      </c>
      <c r="AK25" s="166">
        <f t="shared" si="1"/>
        <v>4.9329141389540894</v>
      </c>
      <c r="AL25" s="17" t="s">
        <v>20</v>
      </c>
    </row>
    <row r="26" spans="1:38" ht="12.75" customHeight="1" x14ac:dyDescent="0.2">
      <c r="A26" s="15"/>
      <c r="B26" s="85" t="s">
        <v>29</v>
      </c>
      <c r="C26" s="146">
        <v>1.2929999999999999</v>
      </c>
      <c r="D26" s="146">
        <v>1.5569999999999999</v>
      </c>
      <c r="E26" s="146">
        <v>1.663</v>
      </c>
      <c r="F26" s="147">
        <v>1.48</v>
      </c>
      <c r="G26" s="147">
        <v>1.4370000000000001</v>
      </c>
      <c r="H26" s="147">
        <v>1.454</v>
      </c>
      <c r="I26" s="147">
        <v>1.82</v>
      </c>
      <c r="J26" s="147">
        <v>2.0459999999999998</v>
      </c>
      <c r="K26" s="147">
        <v>2.101</v>
      </c>
      <c r="L26" s="147">
        <v>2.0870000000000002</v>
      </c>
      <c r="M26" s="147">
        <v>2.2799999999999998</v>
      </c>
      <c r="N26" s="147">
        <v>2.2309999999999999</v>
      </c>
      <c r="O26" s="155">
        <v>2.444</v>
      </c>
      <c r="P26" s="155">
        <v>2.5569999999999999</v>
      </c>
      <c r="Q26" s="155">
        <v>2.8460000000000001</v>
      </c>
      <c r="R26" s="155">
        <v>2.2759999999999998</v>
      </c>
      <c r="S26" s="147">
        <v>1.7470000000000001</v>
      </c>
      <c r="T26" s="147">
        <v>1.7529999999999999</v>
      </c>
      <c r="U26" s="147">
        <v>1.837</v>
      </c>
      <c r="V26" s="147">
        <v>2.597</v>
      </c>
      <c r="W26" s="147">
        <v>2.359</v>
      </c>
      <c r="X26" s="147">
        <v>2.0030000000000001</v>
      </c>
      <c r="Y26" s="147">
        <v>2.375</v>
      </c>
      <c r="Z26" s="147">
        <v>2.1230000000000002</v>
      </c>
      <c r="AA26" s="152">
        <v>2.1909999999999998</v>
      </c>
      <c r="AB26" s="152">
        <v>2.3530000000000002</v>
      </c>
      <c r="AC26" s="152">
        <v>2.177</v>
      </c>
      <c r="AD26" s="152">
        <v>1.806</v>
      </c>
      <c r="AE26" s="152">
        <v>1.962</v>
      </c>
      <c r="AF26" s="152">
        <v>2.0219999999999998</v>
      </c>
      <c r="AG26" s="152">
        <v>1.4890000000000001</v>
      </c>
      <c r="AH26" s="152">
        <v>1.7150000000000001</v>
      </c>
      <c r="AI26" s="152">
        <v>1.6060000000000001</v>
      </c>
      <c r="AJ26" s="178">
        <v>1.506</v>
      </c>
      <c r="AK26" s="165">
        <f t="shared" si="1"/>
        <v>-6.2266500622665006</v>
      </c>
      <c r="AL26" s="85" t="s">
        <v>29</v>
      </c>
    </row>
    <row r="27" spans="1:38" ht="12.75" customHeight="1" x14ac:dyDescent="0.2">
      <c r="A27" s="15"/>
      <c r="B27" s="182" t="s">
        <v>13</v>
      </c>
      <c r="C27" s="183">
        <v>2.2999999999999998</v>
      </c>
      <c r="D27" s="183">
        <v>2.33</v>
      </c>
      <c r="E27" s="184">
        <v>1.034</v>
      </c>
      <c r="F27" s="184">
        <v>0.74</v>
      </c>
      <c r="G27" s="184">
        <v>0.75</v>
      </c>
      <c r="H27" s="184">
        <v>0.66</v>
      </c>
      <c r="I27" s="184">
        <v>0.79</v>
      </c>
      <c r="J27" s="184">
        <v>0.88</v>
      </c>
      <c r="K27" s="184">
        <v>0.85</v>
      </c>
      <c r="L27" s="184">
        <v>0.93</v>
      </c>
      <c r="M27" s="184">
        <v>1.1000000000000001</v>
      </c>
      <c r="N27" s="184">
        <v>1.028</v>
      </c>
      <c r="O27" s="184">
        <v>1.173</v>
      </c>
      <c r="P27" s="184">
        <v>1.264</v>
      </c>
      <c r="Q27" s="184">
        <v>1.1259999999999999</v>
      </c>
      <c r="R27" s="185">
        <v>0.872</v>
      </c>
      <c r="S27" s="184">
        <v>0.37</v>
      </c>
      <c r="T27" s="184">
        <v>0.32700000000000001</v>
      </c>
      <c r="U27" s="184">
        <v>0.28899999999999998</v>
      </c>
      <c r="V27" s="184">
        <v>0.27700000000000002</v>
      </c>
      <c r="W27" s="184">
        <v>0.27700000000000002</v>
      </c>
      <c r="X27" s="184">
        <v>0.20200000000000001</v>
      </c>
      <c r="Y27" s="184">
        <v>0.13</v>
      </c>
      <c r="Z27" s="184">
        <v>0.161</v>
      </c>
      <c r="AA27" s="184">
        <v>0.13100000000000001</v>
      </c>
      <c r="AB27" s="184">
        <v>9.0999999999999998E-2</v>
      </c>
      <c r="AC27" s="184">
        <v>0.11</v>
      </c>
      <c r="AD27" s="184">
        <v>8.7999999999999995E-2</v>
      </c>
      <c r="AE27" s="184">
        <v>0.108</v>
      </c>
      <c r="AF27" s="184">
        <v>0.115</v>
      </c>
      <c r="AG27" s="184">
        <v>0.125</v>
      </c>
      <c r="AH27" s="184">
        <v>8.6999999999999994E-2</v>
      </c>
      <c r="AI27" s="184">
        <v>7.6999999999999999E-2</v>
      </c>
      <c r="AJ27" s="212">
        <v>5.3999999999999999E-2</v>
      </c>
      <c r="AK27" s="431">
        <f t="shared" si="1"/>
        <v>-29.870129870129873</v>
      </c>
      <c r="AL27" s="182" t="s">
        <v>13</v>
      </c>
    </row>
    <row r="28" spans="1:38" ht="12.75" customHeight="1" x14ac:dyDescent="0.2">
      <c r="A28" s="15"/>
      <c r="B28" s="54" t="s">
        <v>30</v>
      </c>
      <c r="C28" s="154" t="s">
        <v>35</v>
      </c>
      <c r="D28" s="154" t="s">
        <v>35</v>
      </c>
      <c r="E28" s="154" t="s">
        <v>35</v>
      </c>
      <c r="F28" s="155" t="s">
        <v>35</v>
      </c>
      <c r="G28" s="155" t="s">
        <v>35</v>
      </c>
      <c r="H28" s="155" t="s">
        <v>35</v>
      </c>
      <c r="I28" s="155" t="s">
        <v>35</v>
      </c>
      <c r="J28" s="155" t="s">
        <v>35</v>
      </c>
      <c r="K28" s="155" t="s">
        <v>35</v>
      </c>
      <c r="L28" s="155" t="s">
        <v>35</v>
      </c>
      <c r="M28" s="155" t="s">
        <v>35</v>
      </c>
      <c r="N28" s="155" t="s">
        <v>35</v>
      </c>
      <c r="O28" s="155" t="s">
        <v>35</v>
      </c>
      <c r="P28" s="155" t="s">
        <v>35</v>
      </c>
      <c r="Q28" s="155" t="s">
        <v>35</v>
      </c>
      <c r="R28" s="155" t="s">
        <v>35</v>
      </c>
      <c r="S28" s="155" t="s">
        <v>35</v>
      </c>
      <c r="T28" s="155" t="s">
        <v>35</v>
      </c>
      <c r="U28" s="155" t="s">
        <v>35</v>
      </c>
      <c r="V28" s="155" t="s">
        <v>35</v>
      </c>
      <c r="W28" s="155" t="s">
        <v>35</v>
      </c>
      <c r="X28" s="155" t="s">
        <v>35</v>
      </c>
      <c r="Y28" s="155" t="s">
        <v>35</v>
      </c>
      <c r="Z28" s="155" t="s">
        <v>35</v>
      </c>
      <c r="AA28" s="155" t="s">
        <v>35</v>
      </c>
      <c r="AB28" s="155" t="s">
        <v>35</v>
      </c>
      <c r="AC28" s="155" t="s">
        <v>35</v>
      </c>
      <c r="AD28" s="155" t="s">
        <v>35</v>
      </c>
      <c r="AE28" s="155" t="s">
        <v>35</v>
      </c>
      <c r="AF28" s="152" t="s">
        <v>35</v>
      </c>
      <c r="AG28" s="152" t="s">
        <v>35</v>
      </c>
      <c r="AH28" s="152" t="s">
        <v>35</v>
      </c>
      <c r="AI28" s="152" t="s">
        <v>35</v>
      </c>
      <c r="AJ28" s="178" t="s">
        <v>35</v>
      </c>
      <c r="AK28" s="420" t="s">
        <v>35</v>
      </c>
      <c r="AL28" s="54" t="s">
        <v>30</v>
      </c>
    </row>
    <row r="29" spans="1:38" ht="12.75" customHeight="1" x14ac:dyDescent="0.2">
      <c r="A29" s="15"/>
      <c r="B29" s="182" t="s">
        <v>14</v>
      </c>
      <c r="C29" s="183">
        <v>1.35</v>
      </c>
      <c r="D29" s="183">
        <v>2.35</v>
      </c>
      <c r="E29" s="184">
        <v>2.09</v>
      </c>
      <c r="F29" s="184">
        <v>2.0299999999999998</v>
      </c>
      <c r="G29" s="184">
        <v>1.89</v>
      </c>
      <c r="H29" s="184">
        <v>1.59</v>
      </c>
      <c r="I29" s="184">
        <v>1.9</v>
      </c>
      <c r="J29" s="184">
        <v>3.11</v>
      </c>
      <c r="K29" s="184">
        <v>3.77</v>
      </c>
      <c r="L29" s="184">
        <v>4.33</v>
      </c>
      <c r="M29" s="184">
        <v>4.2030000000000003</v>
      </c>
      <c r="N29" s="184">
        <v>2.802</v>
      </c>
      <c r="O29" s="185">
        <v>2.6339999999999999</v>
      </c>
      <c r="P29" s="184">
        <v>2.746</v>
      </c>
      <c r="Q29" s="184">
        <v>3.641</v>
      </c>
      <c r="R29" s="185">
        <v>3.5209999999999999</v>
      </c>
      <c r="S29" s="184">
        <v>6.9550000000000001</v>
      </c>
      <c r="T29" s="184">
        <v>8.4350000000000005</v>
      </c>
      <c r="U29" s="184">
        <v>8.157</v>
      </c>
      <c r="V29" s="184">
        <v>8.1950000000000003</v>
      </c>
      <c r="W29" s="185">
        <v>8.6869999999999994</v>
      </c>
      <c r="X29" s="184">
        <v>11.765000000000001</v>
      </c>
      <c r="Y29" s="184">
        <v>14.317</v>
      </c>
      <c r="Z29" s="184">
        <v>11.409000000000001</v>
      </c>
      <c r="AA29" s="184">
        <v>12.52</v>
      </c>
      <c r="AB29" s="184">
        <v>12.242000000000001</v>
      </c>
      <c r="AC29" s="184">
        <v>11.76</v>
      </c>
      <c r="AD29" s="184">
        <v>13.167999999999999</v>
      </c>
      <c r="AE29" s="184">
        <v>13.153</v>
      </c>
      <c r="AF29" s="184">
        <v>12.516999999999999</v>
      </c>
      <c r="AG29" s="184">
        <v>12.260999999999999</v>
      </c>
      <c r="AH29" s="184">
        <v>13.957000000000001</v>
      </c>
      <c r="AI29" s="184">
        <v>13.638</v>
      </c>
      <c r="AJ29" s="212">
        <v>13.522</v>
      </c>
      <c r="AK29" s="431">
        <f t="shared" si="1"/>
        <v>-0.85056459891478653</v>
      </c>
      <c r="AL29" s="182" t="s">
        <v>14</v>
      </c>
    </row>
    <row r="30" spans="1:38" ht="12.75" customHeight="1" x14ac:dyDescent="0.2">
      <c r="A30" s="15"/>
      <c r="B30" s="54" t="s">
        <v>16</v>
      </c>
      <c r="C30" s="154" t="s">
        <v>35</v>
      </c>
      <c r="D30" s="154" t="s">
        <v>35</v>
      </c>
      <c r="E30" s="154" t="s">
        <v>35</v>
      </c>
      <c r="F30" s="155" t="s">
        <v>35</v>
      </c>
      <c r="G30" s="155" t="s">
        <v>35</v>
      </c>
      <c r="H30" s="155" t="s">
        <v>35</v>
      </c>
      <c r="I30" s="155" t="s">
        <v>35</v>
      </c>
      <c r="J30" s="155" t="s">
        <v>35</v>
      </c>
      <c r="K30" s="155" t="s">
        <v>35</v>
      </c>
      <c r="L30" s="155" t="s">
        <v>35</v>
      </c>
      <c r="M30" s="155" t="s">
        <v>35</v>
      </c>
      <c r="N30" s="155" t="s">
        <v>35</v>
      </c>
      <c r="O30" s="155" t="s">
        <v>35</v>
      </c>
      <c r="P30" s="155" t="s">
        <v>35</v>
      </c>
      <c r="Q30" s="155" t="s">
        <v>35</v>
      </c>
      <c r="R30" s="155" t="s">
        <v>35</v>
      </c>
      <c r="S30" s="155" t="s">
        <v>35</v>
      </c>
      <c r="T30" s="155" t="s">
        <v>35</v>
      </c>
      <c r="U30" s="155" t="s">
        <v>35</v>
      </c>
      <c r="V30" s="155" t="s">
        <v>35</v>
      </c>
      <c r="W30" s="155" t="s">
        <v>35</v>
      </c>
      <c r="X30" s="155" t="s">
        <v>35</v>
      </c>
      <c r="Y30" s="155" t="s">
        <v>35</v>
      </c>
      <c r="Z30" s="155" t="s">
        <v>35</v>
      </c>
      <c r="AA30" s="155" t="s">
        <v>35</v>
      </c>
      <c r="AB30" s="155" t="s">
        <v>35</v>
      </c>
      <c r="AC30" s="155" t="s">
        <v>35</v>
      </c>
      <c r="AD30" s="155" t="s">
        <v>35</v>
      </c>
      <c r="AE30" s="155" t="s">
        <v>35</v>
      </c>
      <c r="AF30" s="152" t="s">
        <v>35</v>
      </c>
      <c r="AG30" s="152" t="s">
        <v>35</v>
      </c>
      <c r="AH30" s="152" t="s">
        <v>35</v>
      </c>
      <c r="AI30" s="152" t="s">
        <v>35</v>
      </c>
      <c r="AJ30" s="178" t="s">
        <v>35</v>
      </c>
      <c r="AK30" s="420" t="s">
        <v>35</v>
      </c>
      <c r="AL30" s="54" t="s">
        <v>16</v>
      </c>
    </row>
    <row r="31" spans="1:38" ht="12.75" customHeight="1" x14ac:dyDescent="0.2">
      <c r="A31" s="15"/>
      <c r="B31" s="182" t="s">
        <v>15</v>
      </c>
      <c r="C31" s="183"/>
      <c r="D31" s="183"/>
      <c r="E31" s="184"/>
      <c r="F31" s="184"/>
      <c r="G31" s="184"/>
      <c r="H31" s="184"/>
      <c r="I31" s="184">
        <v>0.84609999999999996</v>
      </c>
      <c r="J31" s="184">
        <v>1.4681999999999999</v>
      </c>
      <c r="K31" s="184">
        <v>1.5979000000000001</v>
      </c>
      <c r="L31" s="184">
        <v>1.5193000000000001</v>
      </c>
      <c r="M31" s="184">
        <v>1.5268999999999999</v>
      </c>
      <c r="N31" s="184">
        <v>1.6626000000000001</v>
      </c>
      <c r="O31" s="184">
        <v>1.3793</v>
      </c>
      <c r="P31" s="184">
        <v>0.99519999999999997</v>
      </c>
      <c r="Q31" s="184">
        <v>0.59970000000000001</v>
      </c>
      <c r="R31" s="184">
        <v>0.52249999999999996</v>
      </c>
      <c r="S31" s="184">
        <v>0.74099999999999999</v>
      </c>
      <c r="T31" s="184">
        <v>0.74029999999999996</v>
      </c>
      <c r="U31" s="184">
        <v>0.64880000000000004</v>
      </c>
      <c r="V31" s="184">
        <v>1.004</v>
      </c>
      <c r="W31" s="184">
        <v>1.101</v>
      </c>
      <c r="X31" s="184">
        <v>0.89900000000000002</v>
      </c>
      <c r="Y31" s="184">
        <v>1.1890000000000001</v>
      </c>
      <c r="Z31" s="184">
        <v>0.93100000000000005</v>
      </c>
      <c r="AA31" s="184">
        <v>0.98599999999999999</v>
      </c>
      <c r="AB31" s="184">
        <v>1.006</v>
      </c>
      <c r="AC31" s="184">
        <v>0.90500000000000003</v>
      </c>
      <c r="AD31" s="184">
        <v>0.74099999999999999</v>
      </c>
      <c r="AE31" s="184">
        <v>0.90300000000000002</v>
      </c>
      <c r="AF31" s="184">
        <v>0.93300000000000005</v>
      </c>
      <c r="AG31" s="184">
        <v>0.77800000000000002</v>
      </c>
      <c r="AH31" s="184">
        <v>0.93700000000000006</v>
      </c>
      <c r="AI31" s="184">
        <v>0.83399999999999996</v>
      </c>
      <c r="AJ31" s="212">
        <v>0.83899999999999997</v>
      </c>
      <c r="AK31" s="431">
        <f t="shared" si="1"/>
        <v>0.59952038369304717</v>
      </c>
      <c r="AL31" s="182" t="s">
        <v>15</v>
      </c>
    </row>
    <row r="32" spans="1:38" ht="12.75" customHeight="1" x14ac:dyDescent="0.2">
      <c r="A32" s="15"/>
      <c r="B32" s="85" t="s">
        <v>31</v>
      </c>
      <c r="C32" s="151">
        <v>2</v>
      </c>
      <c r="D32" s="151">
        <v>1.8</v>
      </c>
      <c r="E32" s="151">
        <v>1.1000000000000001</v>
      </c>
      <c r="F32" s="152">
        <v>0.8</v>
      </c>
      <c r="G32" s="152">
        <v>0.5</v>
      </c>
      <c r="H32" s="152">
        <v>0.4</v>
      </c>
      <c r="I32" s="186">
        <v>0.3</v>
      </c>
      <c r="J32" s="152">
        <v>7.6999999999999999E-2</v>
      </c>
      <c r="K32" s="152">
        <v>0.1</v>
      </c>
      <c r="L32" s="152">
        <v>0.1</v>
      </c>
      <c r="M32" s="152">
        <v>0.11799999999999999</v>
      </c>
      <c r="N32" s="152">
        <v>0.11799999999999999</v>
      </c>
      <c r="O32" s="152">
        <v>0.11799999999999999</v>
      </c>
      <c r="P32" s="152">
        <v>0.10100000000000001</v>
      </c>
      <c r="Q32" s="152">
        <v>0.112</v>
      </c>
      <c r="R32" s="152">
        <v>0.109</v>
      </c>
      <c r="S32" s="152">
        <v>0.11799999999999999</v>
      </c>
      <c r="T32" s="152">
        <v>7.4999999999999997E-2</v>
      </c>
      <c r="U32" s="152">
        <v>6.6000000000000003E-2</v>
      </c>
      <c r="V32" s="152">
        <v>0.10199999999999999</v>
      </c>
      <c r="W32" s="152">
        <v>0.08</v>
      </c>
      <c r="X32" s="152">
        <v>6.0999999999999999E-2</v>
      </c>
      <c r="Y32" s="152">
        <v>7.5999999999999998E-2</v>
      </c>
      <c r="Z32" s="152">
        <v>0.09</v>
      </c>
      <c r="AA32" s="152">
        <v>0.124</v>
      </c>
      <c r="AB32" s="152">
        <v>0.121</v>
      </c>
      <c r="AC32" s="152">
        <v>0.13600000000000001</v>
      </c>
      <c r="AD32" s="152">
        <v>0.128</v>
      </c>
      <c r="AE32" s="152">
        <v>0.10299999999999999</v>
      </c>
      <c r="AF32" s="155">
        <f>AVERAGE(AC32:AE32)</f>
        <v>0.12233333333333334</v>
      </c>
      <c r="AG32" s="155">
        <f>AVERAGE(AD32:AF32)</f>
        <v>0.11777777777777777</v>
      </c>
      <c r="AH32" s="152">
        <v>0.122</v>
      </c>
      <c r="AI32" s="152">
        <v>0.127</v>
      </c>
      <c r="AJ32" s="178">
        <v>0.14799999999999999</v>
      </c>
      <c r="AK32" s="165">
        <f t="shared" si="1"/>
        <v>16.535433070866134</v>
      </c>
      <c r="AL32" s="85" t="s">
        <v>31</v>
      </c>
    </row>
    <row r="33" spans="1:38" ht="12.75" customHeight="1" x14ac:dyDescent="0.2">
      <c r="A33" s="15"/>
      <c r="B33" s="304" t="s">
        <v>32</v>
      </c>
      <c r="C33" s="305" t="s">
        <v>35</v>
      </c>
      <c r="D33" s="305" t="s">
        <v>35</v>
      </c>
      <c r="E33" s="306" t="s">
        <v>35</v>
      </c>
      <c r="F33" s="306" t="s">
        <v>35</v>
      </c>
      <c r="G33" s="306" t="s">
        <v>35</v>
      </c>
      <c r="H33" s="306" t="s">
        <v>35</v>
      </c>
      <c r="I33" s="306" t="s">
        <v>35</v>
      </c>
      <c r="J33" s="306" t="s">
        <v>35</v>
      </c>
      <c r="K33" s="306" t="s">
        <v>35</v>
      </c>
      <c r="L33" s="306" t="s">
        <v>35</v>
      </c>
      <c r="M33" s="306" t="s">
        <v>35</v>
      </c>
      <c r="N33" s="306" t="s">
        <v>35</v>
      </c>
      <c r="O33" s="306" t="s">
        <v>35</v>
      </c>
      <c r="P33" s="306" t="s">
        <v>35</v>
      </c>
      <c r="Q33" s="306" t="s">
        <v>35</v>
      </c>
      <c r="R33" s="306" t="s">
        <v>35</v>
      </c>
      <c r="S33" s="306" t="s">
        <v>35</v>
      </c>
      <c r="T33" s="306" t="s">
        <v>35</v>
      </c>
      <c r="U33" s="306" t="s">
        <v>35</v>
      </c>
      <c r="V33" s="306" t="s">
        <v>35</v>
      </c>
      <c r="W33" s="306" t="s">
        <v>35</v>
      </c>
      <c r="X33" s="306" t="s">
        <v>35</v>
      </c>
      <c r="Y33" s="306" t="s">
        <v>35</v>
      </c>
      <c r="Z33" s="306" t="s">
        <v>35</v>
      </c>
      <c r="AA33" s="307" t="s">
        <v>35</v>
      </c>
      <c r="AB33" s="307" t="s">
        <v>35</v>
      </c>
      <c r="AC33" s="307" t="s">
        <v>35</v>
      </c>
      <c r="AD33" s="307" t="s">
        <v>35</v>
      </c>
      <c r="AE33" s="307">
        <v>1.6E-2</v>
      </c>
      <c r="AF33" s="307">
        <v>5.0000000000000001E-3</v>
      </c>
      <c r="AG33" s="307">
        <v>4.2999999999999997E-2</v>
      </c>
      <c r="AH33" s="307">
        <v>4.9000000000000002E-2</v>
      </c>
      <c r="AI33" s="307">
        <v>7.9000000000000001E-2</v>
      </c>
      <c r="AJ33" s="423">
        <v>0.14199999999999999</v>
      </c>
      <c r="AK33" s="485">
        <f t="shared" si="1"/>
        <v>79.746835443037952</v>
      </c>
      <c r="AL33" s="304" t="s">
        <v>32</v>
      </c>
    </row>
    <row r="34" spans="1:38" ht="12.75" customHeight="1" x14ac:dyDescent="0.2">
      <c r="A34" s="15"/>
      <c r="B34" s="188" t="s">
        <v>3</v>
      </c>
      <c r="C34" s="479" t="s">
        <v>35</v>
      </c>
      <c r="D34" s="479" t="s">
        <v>35</v>
      </c>
      <c r="E34" s="192" t="s">
        <v>35</v>
      </c>
      <c r="F34" s="192" t="s">
        <v>35</v>
      </c>
      <c r="G34" s="192" t="s">
        <v>35</v>
      </c>
      <c r="H34" s="192" t="s">
        <v>35</v>
      </c>
      <c r="I34" s="192" t="s">
        <v>35</v>
      </c>
      <c r="J34" s="192" t="s">
        <v>35</v>
      </c>
      <c r="K34" s="192" t="s">
        <v>35</v>
      </c>
      <c r="L34" s="192" t="s">
        <v>35</v>
      </c>
      <c r="M34" s="192" t="s">
        <v>35</v>
      </c>
      <c r="N34" s="192" t="s">
        <v>35</v>
      </c>
      <c r="O34" s="192" t="s">
        <v>35</v>
      </c>
      <c r="P34" s="192" t="s">
        <v>35</v>
      </c>
      <c r="Q34" s="192" t="s">
        <v>35</v>
      </c>
      <c r="R34" s="192" t="s">
        <v>35</v>
      </c>
      <c r="S34" s="192" t="s">
        <v>35</v>
      </c>
      <c r="T34" s="192" t="s">
        <v>35</v>
      </c>
      <c r="U34" s="192" t="s">
        <v>35</v>
      </c>
      <c r="V34" s="192" t="s">
        <v>35</v>
      </c>
      <c r="W34" s="192" t="s">
        <v>35</v>
      </c>
      <c r="X34" s="192" t="s">
        <v>35</v>
      </c>
      <c r="Y34" s="192" t="s">
        <v>35</v>
      </c>
      <c r="Z34" s="192" t="s">
        <v>35</v>
      </c>
      <c r="AA34" s="192" t="s">
        <v>35</v>
      </c>
      <c r="AB34" s="192" t="s">
        <v>35</v>
      </c>
      <c r="AC34" s="192" t="s">
        <v>35</v>
      </c>
      <c r="AD34" s="192" t="s">
        <v>35</v>
      </c>
      <c r="AE34" s="192" t="s">
        <v>35</v>
      </c>
      <c r="AF34" s="192" t="s">
        <v>35</v>
      </c>
      <c r="AG34" s="192" t="s">
        <v>35</v>
      </c>
      <c r="AH34" s="192" t="s">
        <v>35</v>
      </c>
      <c r="AI34" s="192" t="s">
        <v>35</v>
      </c>
      <c r="AJ34" s="507" t="s">
        <v>35</v>
      </c>
      <c r="AK34" s="421" t="s">
        <v>35</v>
      </c>
      <c r="AL34" s="188" t="s">
        <v>3</v>
      </c>
    </row>
    <row r="35" spans="1:38" ht="12.75" customHeight="1" x14ac:dyDescent="0.2">
      <c r="A35" s="15"/>
      <c r="B35" s="17" t="s">
        <v>33</v>
      </c>
      <c r="C35" s="92" t="s">
        <v>35</v>
      </c>
      <c r="D35" s="92" t="s">
        <v>35</v>
      </c>
      <c r="E35" s="55" t="s">
        <v>35</v>
      </c>
      <c r="F35" s="55" t="s">
        <v>35</v>
      </c>
      <c r="G35" s="55" t="s">
        <v>35</v>
      </c>
      <c r="H35" s="55" t="s">
        <v>35</v>
      </c>
      <c r="I35" s="55" t="s">
        <v>35</v>
      </c>
      <c r="J35" s="55" t="s">
        <v>35</v>
      </c>
      <c r="K35" s="55" t="s">
        <v>35</v>
      </c>
      <c r="L35" s="55" t="s">
        <v>35</v>
      </c>
      <c r="M35" s="55" t="s">
        <v>35</v>
      </c>
      <c r="N35" s="55" t="s">
        <v>35</v>
      </c>
      <c r="O35" s="55" t="s">
        <v>35</v>
      </c>
      <c r="P35" s="55" t="s">
        <v>35</v>
      </c>
      <c r="Q35" s="55" t="s">
        <v>35</v>
      </c>
      <c r="R35" s="55" t="s">
        <v>35</v>
      </c>
      <c r="S35" s="55" t="s">
        <v>35</v>
      </c>
      <c r="T35" s="55" t="s">
        <v>35</v>
      </c>
      <c r="U35" s="55" t="s">
        <v>35</v>
      </c>
      <c r="V35" s="55" t="s">
        <v>35</v>
      </c>
      <c r="W35" s="55" t="s">
        <v>35</v>
      </c>
      <c r="X35" s="55" t="s">
        <v>35</v>
      </c>
      <c r="Y35" s="55" t="s">
        <v>35</v>
      </c>
      <c r="Z35" s="55" t="s">
        <v>35</v>
      </c>
      <c r="AA35" s="150" t="s">
        <v>35</v>
      </c>
      <c r="AB35" s="150" t="s">
        <v>35</v>
      </c>
      <c r="AC35" s="150" t="s">
        <v>35</v>
      </c>
      <c r="AD35" s="150" t="s">
        <v>35</v>
      </c>
      <c r="AE35" s="150" t="s">
        <v>35</v>
      </c>
      <c r="AF35" s="150" t="s">
        <v>35</v>
      </c>
      <c r="AG35" s="150" t="s">
        <v>35</v>
      </c>
      <c r="AH35" s="150" t="s">
        <v>35</v>
      </c>
      <c r="AI35" s="55" t="s">
        <v>35</v>
      </c>
      <c r="AJ35" s="159" t="s">
        <v>35</v>
      </c>
      <c r="AK35" s="348" t="s">
        <v>35</v>
      </c>
      <c r="AL35" s="17" t="s">
        <v>33</v>
      </c>
    </row>
    <row r="36" spans="1:38" ht="12.75" customHeight="1" x14ac:dyDescent="0.2">
      <c r="A36" s="15"/>
      <c r="B36" s="208" t="s">
        <v>4</v>
      </c>
      <c r="C36" s="480">
        <v>0.13900000000000001</v>
      </c>
      <c r="D36" s="480">
        <v>0.125</v>
      </c>
      <c r="E36" s="481">
        <v>0.19600000000000001</v>
      </c>
      <c r="F36" s="262">
        <v>0.19</v>
      </c>
      <c r="G36" s="262">
        <v>0.18</v>
      </c>
      <c r="H36" s="262">
        <v>0.17</v>
      </c>
      <c r="I36" s="262">
        <v>0.16</v>
      </c>
      <c r="J36" s="262">
        <v>4.7199999999999999E-2</v>
      </c>
      <c r="K36" s="262">
        <v>4.36E-2</v>
      </c>
      <c r="L36" s="262">
        <v>4.87E-2</v>
      </c>
      <c r="M36" s="262">
        <v>4.9000000000000002E-2</v>
      </c>
      <c r="N36" s="262">
        <v>4.1700000000000001E-2</v>
      </c>
      <c r="O36" s="262">
        <v>5.21E-2</v>
      </c>
      <c r="P36" s="262">
        <v>5.5500000000000001E-2</v>
      </c>
      <c r="Q36" s="262">
        <v>5.21E-2</v>
      </c>
      <c r="R36" s="262">
        <v>4.4400000000000002E-2</v>
      </c>
      <c r="S36" s="262">
        <v>4.5100000000000001E-2</v>
      </c>
      <c r="T36" s="262">
        <v>4.6600000000000003E-2</v>
      </c>
      <c r="U36" s="262">
        <v>4.2000000000000003E-2</v>
      </c>
      <c r="V36" s="262">
        <v>4.53E-2</v>
      </c>
      <c r="W36" s="262">
        <v>4.265E-2</v>
      </c>
      <c r="X36" s="262">
        <v>4.1000000000000002E-2</v>
      </c>
      <c r="Y36" s="262">
        <v>4.0090000000000001E-2</v>
      </c>
      <c r="Z36" s="262">
        <v>3.6400000000000002E-2</v>
      </c>
      <c r="AA36" s="262">
        <v>0.05</v>
      </c>
      <c r="AB36" s="262">
        <v>4.9000000000000002E-2</v>
      </c>
      <c r="AC36" s="262">
        <v>4.2999999999999997E-2</v>
      </c>
      <c r="AD36" s="262">
        <v>4.7E-2</v>
      </c>
      <c r="AE36" s="262">
        <v>0.03</v>
      </c>
      <c r="AF36" s="262">
        <v>4.1100000000000005E-2</v>
      </c>
      <c r="AG36" s="262">
        <f>33/1000</f>
        <v>3.3000000000000002E-2</v>
      </c>
      <c r="AH36" s="262">
        <f>43/1000</f>
        <v>4.2999999999999997E-2</v>
      </c>
      <c r="AI36" s="262">
        <f>38/1000</f>
        <v>3.7999999999999999E-2</v>
      </c>
      <c r="AJ36" s="246">
        <f>0.04031</f>
        <v>4.0309999999999999E-2</v>
      </c>
      <c r="AK36" s="227">
        <f>AJ36/AI36*100-100</f>
        <v>6.0789473684210549</v>
      </c>
      <c r="AL36" s="188" t="s">
        <v>4</v>
      </c>
    </row>
    <row r="37" spans="1:38" s="388" customFormat="1" ht="12.75" customHeight="1" x14ac:dyDescent="0.2">
      <c r="A37" s="508"/>
      <c r="B37" s="17" t="s">
        <v>145</v>
      </c>
      <c r="C37" s="92"/>
      <c r="D37" s="92"/>
      <c r="E37" s="55"/>
      <c r="F37" s="55"/>
      <c r="G37" s="55"/>
      <c r="H37" s="55"/>
      <c r="I37" s="55"/>
      <c r="J37" s="55"/>
      <c r="K37" s="55"/>
      <c r="L37" s="55"/>
      <c r="M37" s="55"/>
      <c r="N37" s="55"/>
      <c r="O37" s="55"/>
      <c r="P37" s="55"/>
      <c r="Q37" s="55"/>
      <c r="R37" s="55"/>
      <c r="S37" s="55"/>
      <c r="T37" s="55"/>
      <c r="U37" s="55"/>
      <c r="V37" s="55"/>
      <c r="W37" s="55"/>
      <c r="X37" s="55"/>
      <c r="Y37" s="55"/>
      <c r="Z37" s="55"/>
      <c r="AA37" s="150"/>
      <c r="AB37" s="150"/>
      <c r="AC37" s="150"/>
      <c r="AD37" s="150"/>
      <c r="AE37" s="150"/>
      <c r="AF37" s="150"/>
      <c r="AG37" s="150"/>
      <c r="AH37" s="181"/>
      <c r="AI37" s="150"/>
      <c r="AJ37" s="170"/>
      <c r="AK37" s="166"/>
      <c r="AL37" s="16" t="s">
        <v>145</v>
      </c>
    </row>
    <row r="38" spans="1:38" ht="12.75" customHeight="1" x14ac:dyDescent="0.2">
      <c r="A38" s="15"/>
      <c r="B38" s="188" t="s">
        <v>96</v>
      </c>
      <c r="C38" s="457" t="s">
        <v>35</v>
      </c>
      <c r="D38" s="457" t="s">
        <v>35</v>
      </c>
      <c r="E38" s="190" t="s">
        <v>35</v>
      </c>
      <c r="F38" s="190" t="s">
        <v>35</v>
      </c>
      <c r="G38" s="190" t="s">
        <v>35</v>
      </c>
      <c r="H38" s="190" t="s">
        <v>35</v>
      </c>
      <c r="I38" s="190" t="s">
        <v>35</v>
      </c>
      <c r="J38" s="190" t="s">
        <v>35</v>
      </c>
      <c r="K38" s="190" t="s">
        <v>35</v>
      </c>
      <c r="L38" s="190" t="s">
        <v>35</v>
      </c>
      <c r="M38" s="190" t="s">
        <v>35</v>
      </c>
      <c r="N38" s="190" t="s">
        <v>35</v>
      </c>
      <c r="O38" s="190" t="s">
        <v>35</v>
      </c>
      <c r="P38" s="190" t="s">
        <v>35</v>
      </c>
      <c r="Q38" s="190" t="s">
        <v>35</v>
      </c>
      <c r="R38" s="190" t="s">
        <v>35</v>
      </c>
      <c r="S38" s="190" t="s">
        <v>35</v>
      </c>
      <c r="T38" s="190" t="s">
        <v>35</v>
      </c>
      <c r="U38" s="190" t="s">
        <v>35</v>
      </c>
      <c r="V38" s="190" t="s">
        <v>35</v>
      </c>
      <c r="W38" s="190" t="s">
        <v>35</v>
      </c>
      <c r="X38" s="190" t="s">
        <v>35</v>
      </c>
      <c r="Y38" s="190" t="s">
        <v>35</v>
      </c>
      <c r="Z38" s="190" t="s">
        <v>35</v>
      </c>
      <c r="AA38" s="190" t="s">
        <v>35</v>
      </c>
      <c r="AB38" s="190" t="s">
        <v>35</v>
      </c>
      <c r="AC38" s="190" t="s">
        <v>35</v>
      </c>
      <c r="AD38" s="190" t="s">
        <v>35</v>
      </c>
      <c r="AE38" s="190" t="s">
        <v>35</v>
      </c>
      <c r="AF38" s="190" t="s">
        <v>35</v>
      </c>
      <c r="AG38" s="190" t="s">
        <v>35</v>
      </c>
      <c r="AH38" s="192" t="s">
        <v>35</v>
      </c>
      <c r="AI38" s="192" t="s">
        <v>35</v>
      </c>
      <c r="AJ38" s="211" t="s">
        <v>35</v>
      </c>
      <c r="AK38" s="402"/>
      <c r="AL38" s="188" t="s">
        <v>96</v>
      </c>
    </row>
    <row r="39" spans="1:38" s="388" customFormat="1" ht="12.75" customHeight="1" x14ac:dyDescent="0.2">
      <c r="A39" s="508"/>
      <c r="B39" s="17" t="s">
        <v>146</v>
      </c>
      <c r="C39" s="459"/>
      <c r="D39" s="459"/>
      <c r="E39" s="55"/>
      <c r="F39" s="55"/>
      <c r="G39" s="55"/>
      <c r="H39" s="55"/>
      <c r="I39" s="55"/>
      <c r="J39" s="55"/>
      <c r="K39" s="55"/>
      <c r="L39" s="55"/>
      <c r="M39" s="55"/>
      <c r="N39" s="55"/>
      <c r="O39" s="55">
        <v>0</v>
      </c>
      <c r="P39" s="55">
        <v>3.0000000000000001E-3</v>
      </c>
      <c r="Q39" s="55">
        <v>0</v>
      </c>
      <c r="R39" s="55">
        <v>0</v>
      </c>
      <c r="S39" s="55">
        <v>0</v>
      </c>
      <c r="T39" s="55">
        <v>0</v>
      </c>
      <c r="U39" s="55">
        <v>1E-3</v>
      </c>
      <c r="V39" s="55">
        <v>1E-3</v>
      </c>
      <c r="W39" s="509">
        <v>0.1</v>
      </c>
      <c r="X39" s="509">
        <v>0.4</v>
      </c>
      <c r="Y39" s="509">
        <v>0.4</v>
      </c>
      <c r="Z39" s="509">
        <v>0.5</v>
      </c>
      <c r="AA39" s="509">
        <v>0.4</v>
      </c>
      <c r="AB39" s="509">
        <v>0.5</v>
      </c>
      <c r="AC39" s="509">
        <v>0.8</v>
      </c>
      <c r="AD39" s="509">
        <v>0.4</v>
      </c>
      <c r="AE39" s="509">
        <v>0.3</v>
      </c>
      <c r="AF39" s="509">
        <v>0.3</v>
      </c>
      <c r="AG39" s="510">
        <v>0.3</v>
      </c>
      <c r="AH39" s="510">
        <v>0.3</v>
      </c>
      <c r="AI39" s="510">
        <v>0.5</v>
      </c>
      <c r="AJ39" s="511">
        <v>0.3</v>
      </c>
      <c r="AK39" s="166">
        <f>AJ39/AI39*100-100</f>
        <v>-40</v>
      </c>
      <c r="AL39" s="17" t="s">
        <v>146</v>
      </c>
    </row>
    <row r="40" spans="1:38" ht="12.75" customHeight="1" x14ac:dyDescent="0.2">
      <c r="A40" s="15"/>
      <c r="B40" s="188" t="s">
        <v>2</v>
      </c>
      <c r="C40" s="479" t="s">
        <v>35</v>
      </c>
      <c r="D40" s="479" t="s">
        <v>35</v>
      </c>
      <c r="E40" s="192" t="s">
        <v>35</v>
      </c>
      <c r="F40" s="192" t="s">
        <v>35</v>
      </c>
      <c r="G40" s="192" t="s">
        <v>35</v>
      </c>
      <c r="H40" s="192" t="s">
        <v>35</v>
      </c>
      <c r="I40" s="192" t="s">
        <v>35</v>
      </c>
      <c r="J40" s="192" t="s">
        <v>35</v>
      </c>
      <c r="K40" s="192"/>
      <c r="L40" s="192"/>
      <c r="M40" s="192"/>
      <c r="N40" s="192"/>
      <c r="O40" s="192" t="s">
        <v>35</v>
      </c>
      <c r="P40" s="192" t="s">
        <v>35</v>
      </c>
      <c r="Q40" s="192" t="s">
        <v>35</v>
      </c>
      <c r="R40" s="192" t="s">
        <v>35</v>
      </c>
      <c r="S40" s="192" t="s">
        <v>35</v>
      </c>
      <c r="T40" s="192" t="s">
        <v>35</v>
      </c>
      <c r="U40" s="192" t="s">
        <v>35</v>
      </c>
      <c r="V40" s="192" t="s">
        <v>35</v>
      </c>
      <c r="W40" s="192" t="s">
        <v>35</v>
      </c>
      <c r="X40" s="192" t="s">
        <v>35</v>
      </c>
      <c r="Y40" s="192" t="s">
        <v>35</v>
      </c>
      <c r="Z40" s="192" t="s">
        <v>35</v>
      </c>
      <c r="AA40" s="192" t="s">
        <v>35</v>
      </c>
      <c r="AB40" s="192" t="s">
        <v>35</v>
      </c>
      <c r="AC40" s="192" t="s">
        <v>35</v>
      </c>
      <c r="AD40" s="192" t="s">
        <v>35</v>
      </c>
      <c r="AE40" s="192" t="s">
        <v>35</v>
      </c>
      <c r="AF40" s="192" t="s">
        <v>35</v>
      </c>
      <c r="AG40" s="192" t="s">
        <v>35</v>
      </c>
      <c r="AH40" s="192" t="s">
        <v>35</v>
      </c>
      <c r="AI40" s="192" t="s">
        <v>35</v>
      </c>
      <c r="AJ40" s="211" t="s">
        <v>35</v>
      </c>
      <c r="AK40" s="421" t="s">
        <v>35</v>
      </c>
      <c r="AL40" s="188" t="s">
        <v>2</v>
      </c>
    </row>
    <row r="41" spans="1:38" s="388" customFormat="1" ht="12.75" customHeight="1" x14ac:dyDescent="0.2">
      <c r="A41" s="150"/>
      <c r="B41" s="17" t="s">
        <v>99</v>
      </c>
      <c r="C41" s="459" t="s">
        <v>35</v>
      </c>
      <c r="D41" s="459" t="s">
        <v>35</v>
      </c>
      <c r="E41" s="55" t="s">
        <v>35</v>
      </c>
      <c r="F41" s="55" t="s">
        <v>35</v>
      </c>
      <c r="G41" s="55" t="s">
        <v>35</v>
      </c>
      <c r="H41" s="55" t="s">
        <v>35</v>
      </c>
      <c r="I41" s="55" t="s">
        <v>35</v>
      </c>
      <c r="J41" s="55" t="s">
        <v>35</v>
      </c>
      <c r="K41" s="55" t="s">
        <v>35</v>
      </c>
      <c r="L41" s="55" t="s">
        <v>35</v>
      </c>
      <c r="M41" s="55" t="s">
        <v>35</v>
      </c>
      <c r="N41" s="55" t="s">
        <v>35</v>
      </c>
      <c r="O41" s="55" t="s">
        <v>35</v>
      </c>
      <c r="P41" s="55" t="s">
        <v>35</v>
      </c>
      <c r="Q41" s="55" t="s">
        <v>35</v>
      </c>
      <c r="R41" s="55" t="s">
        <v>35</v>
      </c>
      <c r="S41" s="55" t="s">
        <v>35</v>
      </c>
      <c r="T41" s="55" t="s">
        <v>35</v>
      </c>
      <c r="U41" s="55" t="s">
        <v>35</v>
      </c>
      <c r="V41" s="55" t="s">
        <v>35</v>
      </c>
      <c r="W41" s="55" t="s">
        <v>35</v>
      </c>
      <c r="X41" s="55" t="s">
        <v>35</v>
      </c>
      <c r="Y41" s="55" t="s">
        <v>35</v>
      </c>
      <c r="Z41" s="55" t="s">
        <v>35</v>
      </c>
      <c r="AA41" s="55" t="s">
        <v>35</v>
      </c>
      <c r="AB41" s="55" t="s">
        <v>35</v>
      </c>
      <c r="AC41" s="55" t="s">
        <v>35</v>
      </c>
      <c r="AD41" s="55" t="s">
        <v>35</v>
      </c>
      <c r="AE41" s="55" t="s">
        <v>35</v>
      </c>
      <c r="AF41" s="55" t="s">
        <v>35</v>
      </c>
      <c r="AG41" s="55" t="s">
        <v>35</v>
      </c>
      <c r="AH41" s="55" t="s">
        <v>35</v>
      </c>
      <c r="AI41" s="55" t="s">
        <v>35</v>
      </c>
      <c r="AJ41" s="159" t="s">
        <v>35</v>
      </c>
      <c r="AK41" s="348" t="s">
        <v>35</v>
      </c>
      <c r="AL41" s="17" t="s">
        <v>99</v>
      </c>
    </row>
    <row r="42" spans="1:38" ht="12.75" customHeight="1" x14ac:dyDescent="0.2">
      <c r="A42" s="15"/>
      <c r="B42" s="188" t="s">
        <v>97</v>
      </c>
      <c r="C42" s="479">
        <v>3.504</v>
      </c>
      <c r="D42" s="479">
        <v>4.22</v>
      </c>
      <c r="E42" s="192">
        <v>3.2320000000000002</v>
      </c>
      <c r="F42" s="192">
        <v>2.9159999999999999</v>
      </c>
      <c r="G42" s="192">
        <v>2.57</v>
      </c>
      <c r="H42" s="192">
        <v>0.28399999999999997</v>
      </c>
      <c r="I42" s="192">
        <v>0.26700000000000002</v>
      </c>
      <c r="J42" s="192">
        <v>0.33600000000000002</v>
      </c>
      <c r="K42" s="192">
        <v>1.3220000000000001</v>
      </c>
      <c r="L42" s="192">
        <v>1.825</v>
      </c>
      <c r="M42" s="192">
        <v>1.5940000000000001</v>
      </c>
      <c r="N42" s="192">
        <v>0.77800000000000002</v>
      </c>
      <c r="O42" s="192">
        <v>0.98</v>
      </c>
      <c r="P42" s="192">
        <v>0.98299999999999998</v>
      </c>
      <c r="Q42" s="192">
        <v>1.0820000000000001</v>
      </c>
      <c r="R42" s="192">
        <v>0.83399999999999996</v>
      </c>
      <c r="S42" s="192">
        <v>1.115</v>
      </c>
      <c r="T42" s="192">
        <v>1.6220000000000001</v>
      </c>
      <c r="U42" s="192">
        <v>1.64</v>
      </c>
      <c r="V42" s="192">
        <v>1.5840000000000001</v>
      </c>
      <c r="W42" s="192">
        <v>1.369</v>
      </c>
      <c r="X42" s="192">
        <v>1.1140000000000001</v>
      </c>
      <c r="Y42" s="192">
        <v>0.875</v>
      </c>
      <c r="Z42" s="192">
        <v>0.96299999999999997</v>
      </c>
      <c r="AA42" s="192">
        <v>0.60499999999999998</v>
      </c>
      <c r="AB42" s="192">
        <v>0.70099999999999996</v>
      </c>
      <c r="AC42" s="192">
        <v>0.75900000000000001</v>
      </c>
      <c r="AD42" s="192">
        <v>0.85899999999999999</v>
      </c>
      <c r="AE42" s="192">
        <v>0.92600000000000005</v>
      </c>
      <c r="AF42" s="192">
        <v>0.71960000000000002</v>
      </c>
      <c r="AG42" s="192">
        <v>0.57999999999999996</v>
      </c>
      <c r="AH42" s="192">
        <f>727/1000</f>
        <v>0.72699999999999998</v>
      </c>
      <c r="AI42" s="192">
        <f>558/1000</f>
        <v>0.55800000000000005</v>
      </c>
      <c r="AJ42" s="211">
        <f>1.883</f>
        <v>1.883</v>
      </c>
      <c r="AK42" s="402">
        <f t="shared" si="1"/>
        <v>237.45519713261649</v>
      </c>
      <c r="AL42" s="188" t="s">
        <v>97</v>
      </c>
    </row>
    <row r="43" spans="1:38" s="388" customFormat="1" ht="12.75" customHeight="1" x14ac:dyDescent="0.2">
      <c r="A43" s="508"/>
      <c r="B43" s="17" t="s">
        <v>17</v>
      </c>
      <c r="C43" s="92" t="s">
        <v>35</v>
      </c>
      <c r="D43" s="92" t="s">
        <v>35</v>
      </c>
      <c r="E43" s="55" t="s">
        <v>35</v>
      </c>
      <c r="F43" s="55" t="s">
        <v>35</v>
      </c>
      <c r="G43" s="55" t="s">
        <v>35</v>
      </c>
      <c r="H43" s="55" t="s">
        <v>35</v>
      </c>
      <c r="I43" s="55" t="s">
        <v>35</v>
      </c>
      <c r="J43" s="55" t="s">
        <v>35</v>
      </c>
      <c r="K43" s="55" t="s">
        <v>35</v>
      </c>
      <c r="L43" s="55" t="s">
        <v>35</v>
      </c>
      <c r="M43" s="55" t="s">
        <v>35</v>
      </c>
      <c r="N43" s="55" t="s">
        <v>35</v>
      </c>
      <c r="O43" s="55" t="s">
        <v>35</v>
      </c>
      <c r="P43" s="55" t="s">
        <v>35</v>
      </c>
      <c r="Q43" s="55" t="s">
        <v>35</v>
      </c>
      <c r="R43" s="55" t="s">
        <v>35</v>
      </c>
      <c r="S43" s="55" t="s">
        <v>35</v>
      </c>
      <c r="T43" s="55" t="s">
        <v>35</v>
      </c>
      <c r="U43" s="55" t="s">
        <v>35</v>
      </c>
      <c r="V43" s="55" t="s">
        <v>35</v>
      </c>
      <c r="W43" s="55" t="s">
        <v>35</v>
      </c>
      <c r="X43" s="55" t="s">
        <v>35</v>
      </c>
      <c r="Y43" s="55" t="s">
        <v>35</v>
      </c>
      <c r="Z43" s="55" t="s">
        <v>35</v>
      </c>
      <c r="AA43" s="150" t="s">
        <v>35</v>
      </c>
      <c r="AB43" s="150" t="s">
        <v>35</v>
      </c>
      <c r="AC43" s="150" t="s">
        <v>35</v>
      </c>
      <c r="AD43" s="150" t="s">
        <v>35</v>
      </c>
      <c r="AE43" s="150" t="s">
        <v>35</v>
      </c>
      <c r="AF43" s="150" t="s">
        <v>35</v>
      </c>
      <c r="AG43" s="150" t="s">
        <v>35</v>
      </c>
      <c r="AH43" s="55" t="s">
        <v>35</v>
      </c>
      <c r="AI43" s="150" t="s">
        <v>35</v>
      </c>
      <c r="AJ43" s="170" t="s">
        <v>35</v>
      </c>
      <c r="AK43" s="348" t="s">
        <v>35</v>
      </c>
      <c r="AL43" s="17" t="s">
        <v>17</v>
      </c>
    </row>
    <row r="44" spans="1:38" ht="12.75" customHeight="1" x14ac:dyDescent="0.2">
      <c r="A44" s="15"/>
      <c r="B44" s="208" t="s">
        <v>144</v>
      </c>
      <c r="C44" s="209"/>
      <c r="D44" s="209"/>
      <c r="E44" s="193"/>
      <c r="F44" s="193"/>
      <c r="G44" s="193"/>
      <c r="H44" s="193"/>
      <c r="I44" s="193"/>
      <c r="J44" s="193"/>
      <c r="K44" s="193"/>
      <c r="L44" s="193"/>
      <c r="M44" s="193"/>
      <c r="N44" s="193"/>
      <c r="O44" s="193">
        <v>5.8979999999999997</v>
      </c>
      <c r="P44" s="193">
        <v>3.722</v>
      </c>
      <c r="Q44" s="193">
        <v>4.1859999999999999</v>
      </c>
      <c r="R44" s="193">
        <v>4.7229999999999999</v>
      </c>
      <c r="S44" s="193">
        <v>5.6050000000000004</v>
      </c>
      <c r="T44" s="193">
        <v>6.3150000000000004</v>
      </c>
      <c r="U44" s="193">
        <v>6.3070000000000004</v>
      </c>
      <c r="V44" s="193">
        <v>5.67</v>
      </c>
      <c r="W44" s="193">
        <v>4.4980000000000002</v>
      </c>
      <c r="X44" s="193">
        <v>2.7450000000000001</v>
      </c>
      <c r="Y44" s="193">
        <v>3.8370000000000002</v>
      </c>
      <c r="Z44" s="193">
        <v>2.218</v>
      </c>
      <c r="AA44" s="262">
        <v>1.748</v>
      </c>
      <c r="AB44" s="262">
        <v>1.387</v>
      </c>
      <c r="AC44" s="262">
        <v>1.3580000000000001</v>
      </c>
      <c r="AD44" s="262">
        <v>1.5720000000000001</v>
      </c>
      <c r="AE44" s="262">
        <v>1.4650000000000001</v>
      </c>
      <c r="AF44" s="262">
        <v>1.423</v>
      </c>
      <c r="AG44" s="262">
        <v>1.54</v>
      </c>
      <c r="AH44" s="193">
        <v>1.6140000000000001</v>
      </c>
      <c r="AI44" s="262">
        <v>1.373</v>
      </c>
      <c r="AJ44" s="298">
        <f>AVERAGE(AG44:AI44)</f>
        <v>1.5090000000000001</v>
      </c>
      <c r="AK44" s="227">
        <f>AJ44/AI44*100-100</f>
        <v>9.9053168244719814</v>
      </c>
      <c r="AL44" s="208" t="s">
        <v>144</v>
      </c>
    </row>
    <row r="45" spans="1:38" s="388" customFormat="1" ht="13.5" customHeight="1" x14ac:dyDescent="0.2">
      <c r="A45" s="57"/>
      <c r="B45" s="18" t="s">
        <v>21</v>
      </c>
      <c r="C45" s="451">
        <v>0.3</v>
      </c>
      <c r="D45" s="451">
        <v>0.4</v>
      </c>
      <c r="E45" s="56">
        <v>0.3</v>
      </c>
      <c r="F45" s="56">
        <v>0.2</v>
      </c>
      <c r="G45" s="56">
        <v>0.19</v>
      </c>
      <c r="H45" s="56">
        <v>0.2</v>
      </c>
      <c r="I45" s="56">
        <v>0.2</v>
      </c>
      <c r="J45" s="56">
        <v>0.2</v>
      </c>
      <c r="K45" s="56">
        <v>0.18</v>
      </c>
      <c r="L45" s="56">
        <v>0.15</v>
      </c>
      <c r="M45" s="56">
        <v>0.15</v>
      </c>
      <c r="N45" s="56">
        <v>0.16</v>
      </c>
      <c r="O45" s="56">
        <v>0.21</v>
      </c>
      <c r="P45" s="56">
        <v>0.19</v>
      </c>
      <c r="Q45" s="56">
        <v>0.18</v>
      </c>
      <c r="R45" s="56">
        <v>0.18</v>
      </c>
      <c r="S45" s="56">
        <v>0.15</v>
      </c>
      <c r="T45" s="56">
        <v>0.17</v>
      </c>
      <c r="U45" s="482">
        <v>0.16</v>
      </c>
      <c r="V45" s="56">
        <v>0.16200000000000001</v>
      </c>
      <c r="W45" s="56">
        <v>0.16400000000000001</v>
      </c>
      <c r="X45" s="56">
        <v>0.13300000000000001</v>
      </c>
      <c r="Y45" s="214">
        <v>0.156</v>
      </c>
      <c r="Z45" s="214">
        <v>0.14399999999999999</v>
      </c>
      <c r="AA45" s="214">
        <v>0.16500000000000001</v>
      </c>
      <c r="AB45" s="214">
        <v>0.21099999999999999</v>
      </c>
      <c r="AC45" s="214">
        <v>0.16900000000000001</v>
      </c>
      <c r="AD45" s="214">
        <v>0.12</v>
      </c>
      <c r="AE45" s="214">
        <v>0.108</v>
      </c>
      <c r="AF45" s="214">
        <v>9.9000000000000005E-2</v>
      </c>
      <c r="AG45" s="214">
        <v>9.2999999999999999E-2</v>
      </c>
      <c r="AH45" s="214">
        <v>0.187</v>
      </c>
      <c r="AI45" s="214">
        <f>0.087</f>
        <v>8.6999999999999994E-2</v>
      </c>
      <c r="AJ45" s="263">
        <f>0.069</f>
        <v>6.9000000000000006E-2</v>
      </c>
      <c r="AK45" s="422">
        <f t="shared" si="1"/>
        <v>-20.689655172413779</v>
      </c>
      <c r="AL45" s="18" t="s">
        <v>21</v>
      </c>
    </row>
    <row r="46" spans="1:38" ht="12.75" customHeight="1" x14ac:dyDescent="0.2">
      <c r="B46" s="593" t="s">
        <v>158</v>
      </c>
      <c r="C46" s="593"/>
      <c r="D46" s="593"/>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row>
    <row r="47" spans="1:38" s="45" customFormat="1" ht="12.75" customHeight="1" x14ac:dyDescent="0.2">
      <c r="A47" s="77"/>
      <c r="B47" s="592" t="s">
        <v>137</v>
      </c>
      <c r="C47" s="592"/>
      <c r="D47" s="592"/>
      <c r="E47" s="592"/>
      <c r="F47" s="592"/>
      <c r="G47" s="592"/>
      <c r="H47" s="592"/>
      <c r="I47" s="592"/>
      <c r="J47" s="592"/>
      <c r="K47" s="592"/>
      <c r="L47" s="592"/>
      <c r="M47" s="592"/>
      <c r="N47" s="592"/>
      <c r="O47" s="592"/>
      <c r="P47" s="592"/>
      <c r="Q47" s="592"/>
      <c r="R47" s="592"/>
      <c r="S47" s="592"/>
      <c r="T47" s="3"/>
      <c r="U47" s="3"/>
      <c r="V47" s="3"/>
      <c r="W47" s="3"/>
      <c r="X47" s="3"/>
      <c r="Y47" s="3"/>
      <c r="Z47" s="3"/>
      <c r="AA47" s="3"/>
      <c r="AB47" s="3"/>
      <c r="AC47" s="3"/>
      <c r="AD47" s="3"/>
      <c r="AE47" s="3"/>
      <c r="AF47" s="3"/>
      <c r="AG47" s="3"/>
      <c r="AH47" s="3"/>
      <c r="AI47" s="3"/>
      <c r="AJ47" s="3"/>
      <c r="AK47" s="330"/>
      <c r="AL47" s="3"/>
    </row>
    <row r="48" spans="1:38" x14ac:dyDescent="0.2">
      <c r="B48" s="122" t="s">
        <v>67</v>
      </c>
      <c r="C48" s="124"/>
      <c r="D48" s="124"/>
      <c r="E48" s="124"/>
      <c r="F48" s="124"/>
      <c r="G48" s="124"/>
      <c r="H48" s="124"/>
      <c r="I48" s="124"/>
      <c r="J48" s="124"/>
      <c r="K48" s="124"/>
      <c r="L48" s="124"/>
      <c r="M48" s="124"/>
      <c r="N48" s="124"/>
      <c r="O48" s="124"/>
      <c r="P48" s="124"/>
      <c r="Q48" s="124"/>
      <c r="R48" s="124"/>
      <c r="S48" s="124"/>
      <c r="T48" s="123"/>
      <c r="U48" s="123"/>
      <c r="V48" s="123"/>
      <c r="AK48" s="332"/>
      <c r="AL48" s="123"/>
    </row>
    <row r="49" spans="2:16" x14ac:dyDescent="0.2">
      <c r="B49" s="45" t="s">
        <v>108</v>
      </c>
      <c r="C49"/>
      <c r="D49"/>
      <c r="E49"/>
      <c r="F49"/>
      <c r="G49"/>
      <c r="H49"/>
      <c r="I49"/>
      <c r="J49"/>
      <c r="K49"/>
      <c r="L49"/>
      <c r="M49"/>
      <c r="N49"/>
      <c r="O49"/>
      <c r="P49"/>
    </row>
    <row r="50" spans="2:16" x14ac:dyDescent="0.2">
      <c r="B50" s="11" t="s">
        <v>93</v>
      </c>
      <c r="C50"/>
      <c r="D50"/>
      <c r="E50"/>
      <c r="F50"/>
      <c r="G50"/>
      <c r="H50"/>
      <c r="I50"/>
      <c r="J50"/>
      <c r="K50"/>
      <c r="L50"/>
      <c r="M50"/>
      <c r="N50" s="130">
        <v>2000</v>
      </c>
      <c r="O50"/>
    </row>
    <row r="51" spans="2:16" x14ac:dyDescent="0.2">
      <c r="B51" s="11" t="s">
        <v>94</v>
      </c>
    </row>
    <row r="52" spans="2:16" x14ac:dyDescent="0.2">
      <c r="B52" s="11" t="s">
        <v>89</v>
      </c>
    </row>
  </sheetData>
  <mergeCells count="3">
    <mergeCell ref="B2:AL2"/>
    <mergeCell ref="B47:S47"/>
    <mergeCell ref="B46:AL46"/>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6">
    <pageSetUpPr fitToPage="1"/>
  </sheetPr>
  <dimension ref="A1:AM51"/>
  <sheetViews>
    <sheetView workbookViewId="0">
      <selection activeCell="A39" sqref="A39"/>
    </sheetView>
  </sheetViews>
  <sheetFormatPr defaultRowHeight="11.25" x14ac:dyDescent="0.2"/>
  <cols>
    <col min="1" max="1" width="8" style="44" customWidth="1"/>
    <col min="2" max="2" width="5.42578125" style="3" customWidth="1"/>
    <col min="3" max="4" width="6.7109375" style="3" customWidth="1"/>
    <col min="5" max="5" width="7" style="3" customWidth="1"/>
    <col min="6" max="20" width="6.7109375" style="3" customWidth="1"/>
    <col min="21" max="32" width="7.28515625" style="3" customWidth="1"/>
    <col min="33" max="33" width="7.140625" style="3" customWidth="1"/>
    <col min="34" max="36" width="6" style="3" customWidth="1"/>
    <col min="37" max="37" width="6.28515625" style="333" customWidth="1"/>
    <col min="38" max="38" width="5.140625" style="3" customWidth="1"/>
    <col min="39" max="39" width="5.140625" style="388" customWidth="1"/>
    <col min="40" max="16384" width="9.140625" style="3"/>
  </cols>
  <sheetData>
    <row r="1" spans="1:39" ht="14.25" customHeight="1" x14ac:dyDescent="0.2">
      <c r="B1" s="41"/>
      <c r="C1" s="42"/>
      <c r="D1" s="42"/>
      <c r="E1" s="37"/>
      <c r="F1" s="37"/>
      <c r="G1" s="37"/>
      <c r="H1" s="37"/>
      <c r="I1" s="37"/>
      <c r="J1" s="37"/>
      <c r="K1" s="37"/>
      <c r="L1" s="37"/>
      <c r="M1" s="37"/>
      <c r="N1" s="37"/>
      <c r="O1" s="37"/>
      <c r="P1" s="37"/>
      <c r="R1"/>
      <c r="U1" s="38"/>
      <c r="V1" s="38"/>
      <c r="W1" s="38"/>
      <c r="X1" s="38"/>
      <c r="Y1" s="38"/>
      <c r="Z1" s="38"/>
      <c r="AA1" s="38"/>
      <c r="AB1" s="38"/>
      <c r="AC1" s="38"/>
      <c r="AD1" s="38"/>
      <c r="AE1" s="38"/>
      <c r="AF1" s="38"/>
      <c r="AG1" s="38"/>
      <c r="AH1" s="38"/>
      <c r="AI1" s="38"/>
      <c r="AJ1" s="38"/>
      <c r="AL1" s="38" t="s">
        <v>83</v>
      </c>
    </row>
    <row r="2" spans="1:39" s="45" customFormat="1" ht="30" customHeight="1" x14ac:dyDescent="0.2">
      <c r="A2" s="47"/>
      <c r="B2" s="594" t="s">
        <v>133</v>
      </c>
      <c r="C2" s="595"/>
      <c r="D2" s="595"/>
      <c r="E2" s="595"/>
      <c r="F2" s="595"/>
      <c r="G2" s="595"/>
      <c r="H2" s="595"/>
      <c r="I2" s="595"/>
      <c r="J2" s="595"/>
      <c r="K2" s="595"/>
      <c r="L2" s="595"/>
      <c r="M2" s="595"/>
      <c r="N2" s="595"/>
      <c r="O2" s="595"/>
      <c r="P2" s="595"/>
      <c r="Q2" s="595"/>
      <c r="R2" s="595"/>
      <c r="S2" s="595"/>
      <c r="T2" s="595"/>
      <c r="U2" s="595"/>
      <c r="V2" s="595"/>
      <c r="W2" s="595"/>
      <c r="X2" s="595"/>
      <c r="Y2" s="595"/>
      <c r="Z2" s="595"/>
      <c r="AA2" s="595"/>
      <c r="AB2" s="595"/>
      <c r="AC2" s="595"/>
      <c r="AD2" s="595"/>
      <c r="AE2" s="595"/>
      <c r="AF2" s="595"/>
      <c r="AG2" s="595"/>
      <c r="AH2" s="595"/>
      <c r="AI2" s="595"/>
      <c r="AJ2" s="595"/>
      <c r="AK2" s="595"/>
      <c r="AL2" s="595"/>
      <c r="AM2" s="388"/>
    </row>
    <row r="3" spans="1:39" ht="12.75" x14ac:dyDescent="0.2">
      <c r="B3" s="4"/>
      <c r="C3" s="4"/>
      <c r="E3" s="27"/>
      <c r="F3" s="27"/>
      <c r="G3" s="27"/>
      <c r="H3" s="27"/>
      <c r="I3" s="27"/>
      <c r="J3" s="29"/>
      <c r="K3" s="29"/>
      <c r="L3" s="29"/>
      <c r="M3" s="29"/>
      <c r="N3" s="29"/>
      <c r="O3" s="29"/>
      <c r="R3" s="1"/>
      <c r="W3" s="283"/>
      <c r="X3" s="284"/>
      <c r="Y3" s="157"/>
      <c r="Z3" s="21"/>
      <c r="AA3" s="21"/>
      <c r="AB3" s="21"/>
      <c r="AC3" s="21"/>
      <c r="AD3" s="21"/>
      <c r="AE3" s="283"/>
      <c r="AF3" s="295"/>
      <c r="AG3" s="583" t="s">
        <v>95</v>
      </c>
      <c r="AH3" s="583"/>
      <c r="AI3" s="583"/>
      <c r="AJ3" s="583"/>
      <c r="AK3" s="334"/>
      <c r="AL3" s="43"/>
    </row>
    <row r="4" spans="1:39" ht="20.100000000000001" customHeight="1" x14ac:dyDescent="0.2">
      <c r="B4" s="31"/>
      <c r="C4" s="99">
        <v>1970</v>
      </c>
      <c r="D4" s="99">
        <v>1980</v>
      </c>
      <c r="E4" s="82">
        <v>1990</v>
      </c>
      <c r="F4" s="82">
        <v>1991</v>
      </c>
      <c r="G4" s="82">
        <v>1992</v>
      </c>
      <c r="H4" s="82">
        <v>1993</v>
      </c>
      <c r="I4" s="82">
        <v>1994</v>
      </c>
      <c r="J4" s="82">
        <v>1995</v>
      </c>
      <c r="K4" s="82">
        <v>1996</v>
      </c>
      <c r="L4" s="82">
        <v>1997</v>
      </c>
      <c r="M4" s="82">
        <v>1998</v>
      </c>
      <c r="N4" s="82">
        <v>1999</v>
      </c>
      <c r="O4" s="82">
        <v>2000</v>
      </c>
      <c r="P4" s="82">
        <v>2001</v>
      </c>
      <c r="Q4" s="82">
        <v>2002</v>
      </c>
      <c r="R4" s="82">
        <v>2003</v>
      </c>
      <c r="S4" s="82">
        <v>2004</v>
      </c>
      <c r="T4" s="82">
        <v>2005</v>
      </c>
      <c r="U4" s="82">
        <v>2006</v>
      </c>
      <c r="V4" s="82">
        <v>2007</v>
      </c>
      <c r="W4" s="82">
        <v>2008</v>
      </c>
      <c r="X4" s="82">
        <v>2009</v>
      </c>
      <c r="Y4" s="82">
        <v>2010</v>
      </c>
      <c r="Z4" s="82">
        <v>2011</v>
      </c>
      <c r="AA4" s="82">
        <v>2012</v>
      </c>
      <c r="AB4" s="82">
        <v>2013</v>
      </c>
      <c r="AC4" s="82">
        <v>2014</v>
      </c>
      <c r="AD4" s="82">
        <v>2015</v>
      </c>
      <c r="AE4" s="82">
        <v>2016</v>
      </c>
      <c r="AF4" s="82">
        <v>2017</v>
      </c>
      <c r="AG4" s="82">
        <v>2018</v>
      </c>
      <c r="AH4" s="82">
        <v>2019</v>
      </c>
      <c r="AI4" s="82">
        <v>2020</v>
      </c>
      <c r="AJ4" s="82">
        <v>2021</v>
      </c>
      <c r="AK4" s="319" t="s">
        <v>148</v>
      </c>
      <c r="AL4" s="60"/>
    </row>
    <row r="5" spans="1:39" ht="9.9499999999999993" customHeight="1" x14ac:dyDescent="0.2">
      <c r="B5" s="31"/>
      <c r="C5" s="100"/>
      <c r="D5" s="101"/>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320" t="s">
        <v>63</v>
      </c>
      <c r="AL5" s="60"/>
    </row>
    <row r="6" spans="1:39" ht="12.75" customHeight="1" x14ac:dyDescent="0.2">
      <c r="B6" s="270" t="s">
        <v>111</v>
      </c>
      <c r="C6" s="285"/>
      <c r="D6" s="285"/>
      <c r="E6" s="286"/>
      <c r="F6" s="286"/>
      <c r="G6" s="286"/>
      <c r="H6" s="286"/>
      <c r="I6" s="277">
        <v>103.47499999999999</v>
      </c>
      <c r="J6" s="277">
        <v>103.81029999999998</v>
      </c>
      <c r="K6" s="277">
        <v>107.7071</v>
      </c>
      <c r="L6" s="277">
        <v>107.66900000000001</v>
      </c>
      <c r="M6" s="277">
        <v>114.67399999999999</v>
      </c>
      <c r="N6" s="277">
        <v>113.21399999999998</v>
      </c>
      <c r="O6" s="277">
        <v>115.68269999999998</v>
      </c>
      <c r="P6" s="277">
        <v>122.3753</v>
      </c>
      <c r="Q6" s="277">
        <v>118.79659999999998</v>
      </c>
      <c r="R6" s="277">
        <v>121.20380000000002</v>
      </c>
      <c r="S6" s="277">
        <v>122.60236060000001</v>
      </c>
      <c r="T6" s="277">
        <v>126.80850379999998</v>
      </c>
      <c r="U6" s="277">
        <v>125.78924979999998</v>
      </c>
      <c r="V6" s="277">
        <v>118.22248842182226</v>
      </c>
      <c r="W6" s="277">
        <v>114.76496585313126</v>
      </c>
      <c r="X6" s="277">
        <v>111.63421473696151</v>
      </c>
      <c r="Y6" s="277">
        <v>110.96844560300448</v>
      </c>
      <c r="Z6" s="277">
        <f>SUM(Z7:Z33)</f>
        <v>108.27031897026802</v>
      </c>
      <c r="AA6" s="277">
        <f t="shared" ref="AA6:AJ6" si="0">SUM(AA7:AA33)</f>
        <v>104.98250906969668</v>
      </c>
      <c r="AB6" s="277">
        <f t="shared" si="0"/>
        <v>102.0834831637049</v>
      </c>
      <c r="AC6" s="277">
        <f t="shared" si="0"/>
        <v>101.08568894404827</v>
      </c>
      <c r="AD6" s="277">
        <f t="shared" si="0"/>
        <v>104.14976966869865</v>
      </c>
      <c r="AE6" s="277">
        <f t="shared" si="0"/>
        <v>104.6967429921506</v>
      </c>
      <c r="AF6" s="277">
        <f t="shared" si="0"/>
        <v>104.02069553496584</v>
      </c>
      <c r="AG6" s="277">
        <f t="shared" si="0"/>
        <v>104.11186199860504</v>
      </c>
      <c r="AH6" s="277">
        <f t="shared" si="0"/>
        <v>101.00951657524053</v>
      </c>
      <c r="AI6" s="277">
        <f>SUM(AI7:AI33)</f>
        <v>91.725137702937118</v>
      </c>
      <c r="AJ6" s="447">
        <f t="shared" si="0"/>
        <v>88.680765258492684</v>
      </c>
      <c r="AK6" s="512">
        <f>AJ6/AI6*100-100</f>
        <v>-3.3190164884832285</v>
      </c>
      <c r="AL6" s="270" t="s">
        <v>111</v>
      </c>
    </row>
    <row r="7" spans="1:39" ht="12.75" customHeight="1" x14ac:dyDescent="0.2">
      <c r="A7" s="15"/>
      <c r="B7" s="17" t="s">
        <v>22</v>
      </c>
      <c r="C7" s="93">
        <v>0.27</v>
      </c>
      <c r="D7" s="93">
        <v>1.802</v>
      </c>
      <c r="E7" s="157">
        <v>1.024</v>
      </c>
      <c r="F7" s="157">
        <v>1.1299999999999999</v>
      </c>
      <c r="G7" s="157">
        <v>1.1679999999999999</v>
      </c>
      <c r="H7" s="157">
        <v>1.2629999999999999</v>
      </c>
      <c r="I7" s="157">
        <v>1.37</v>
      </c>
      <c r="J7" s="157">
        <v>1.37</v>
      </c>
      <c r="K7" s="157">
        <v>1.45</v>
      </c>
      <c r="L7" s="157">
        <v>1.526</v>
      </c>
      <c r="M7" s="157">
        <v>1.57</v>
      </c>
      <c r="N7" s="157">
        <v>1.577</v>
      </c>
      <c r="O7" s="157">
        <v>1.6240000000000001</v>
      </c>
      <c r="P7" s="157">
        <v>1.544</v>
      </c>
      <c r="Q7" s="157">
        <v>1.5109999999999999</v>
      </c>
      <c r="R7" s="157">
        <v>1.518</v>
      </c>
      <c r="S7" s="157">
        <v>1.5329999999999999</v>
      </c>
      <c r="T7" s="157">
        <v>1.5169999999999999</v>
      </c>
      <c r="U7" s="157">
        <v>1.5720000000000001</v>
      </c>
      <c r="V7" s="163">
        <v>1.4693124218222637</v>
      </c>
      <c r="W7" s="163">
        <v>1.4604484531312809</v>
      </c>
      <c r="X7" s="163">
        <v>1.5250113322259891</v>
      </c>
      <c r="Y7" s="163">
        <v>1.5165343017285184</v>
      </c>
      <c r="Z7" s="163">
        <v>1.3965357700971579</v>
      </c>
      <c r="AA7" s="163">
        <v>1.6315054983427759</v>
      </c>
      <c r="AB7" s="163">
        <v>1.6930081637049001</v>
      </c>
      <c r="AC7" s="163">
        <f>AVERAGE(Z7:AB7)</f>
        <v>1.5736831440482781</v>
      </c>
      <c r="AD7" s="163">
        <f>AVERAGE(AA7:AC7)</f>
        <v>1.6327322686986514</v>
      </c>
      <c r="AE7" s="163">
        <f>AVERAGE(AB7:AD7)</f>
        <v>1.63314119215061</v>
      </c>
      <c r="AF7" s="197">
        <v>1.6131855349658466</v>
      </c>
      <c r="AG7" s="197">
        <f>AVERAGE(AD7:AF7)</f>
        <v>1.626352998605036</v>
      </c>
      <c r="AH7" s="197">
        <f>AVERAGE(AE7:AG7)</f>
        <v>1.6242265752404974</v>
      </c>
      <c r="AI7" s="197">
        <f>AVERAGE(AF7:AH7)</f>
        <v>1.6212550362704601</v>
      </c>
      <c r="AJ7" s="395">
        <f>AVERAGE(AF7:AH7)</f>
        <v>1.6212550362704601</v>
      </c>
      <c r="AK7" s="462">
        <f t="shared" ref="AK7:AK44" si="1">AJ7/AI7*100-100</f>
        <v>0</v>
      </c>
      <c r="AL7" s="171" t="s">
        <v>22</v>
      </c>
    </row>
    <row r="8" spans="1:39" ht="12.75" customHeight="1" x14ac:dyDescent="0.2">
      <c r="A8" s="15"/>
      <c r="B8" s="85" t="s">
        <v>5</v>
      </c>
      <c r="C8" s="98">
        <v>0</v>
      </c>
      <c r="D8" s="98">
        <v>0.75</v>
      </c>
      <c r="E8" s="147">
        <v>0.64</v>
      </c>
      <c r="F8" s="147">
        <v>0.45400000000000001</v>
      </c>
      <c r="G8" s="147">
        <v>0.25900000000000001</v>
      </c>
      <c r="H8" s="147">
        <v>0.3</v>
      </c>
      <c r="I8" s="147">
        <v>0.36</v>
      </c>
      <c r="J8" s="147">
        <v>0.41</v>
      </c>
      <c r="K8" s="147">
        <v>0.36</v>
      </c>
      <c r="L8" s="147">
        <v>0.26</v>
      </c>
      <c r="M8" s="147">
        <v>0.24399999999999999</v>
      </c>
      <c r="N8" s="147">
        <v>0.33</v>
      </c>
      <c r="O8" s="147">
        <v>0.379</v>
      </c>
      <c r="P8" s="147">
        <v>0.33900000000000002</v>
      </c>
      <c r="Q8" s="147">
        <v>0.28599999999999998</v>
      </c>
      <c r="R8" s="147">
        <v>0.28199999999999997</v>
      </c>
      <c r="S8" s="147">
        <v>0.27400000000000002</v>
      </c>
      <c r="T8" s="147">
        <v>0.35199999999999998</v>
      </c>
      <c r="U8" s="147">
        <v>0.35659999999999997</v>
      </c>
      <c r="V8" s="147">
        <v>0.41959999999999997</v>
      </c>
      <c r="W8" s="147">
        <v>0.41980000000000001</v>
      </c>
      <c r="X8" s="147">
        <v>0.4365</v>
      </c>
      <c r="Y8" s="147">
        <v>0.41449999999999998</v>
      </c>
      <c r="Z8" s="147">
        <v>0.48080000000000001</v>
      </c>
      <c r="AA8" s="147">
        <v>0.57289999999999996</v>
      </c>
      <c r="AB8" s="147">
        <v>0.63300000000000001</v>
      </c>
      <c r="AC8" s="147">
        <v>0.58299999999999996</v>
      </c>
      <c r="AD8" s="147">
        <v>0.66100000000000003</v>
      </c>
      <c r="AE8" s="147">
        <v>0.71</v>
      </c>
      <c r="AF8" s="147">
        <v>0.70579999999999998</v>
      </c>
      <c r="AG8" s="147">
        <v>0.67079999999999995</v>
      </c>
      <c r="AH8" s="147">
        <f>735/1000</f>
        <v>0.73499999999999999</v>
      </c>
      <c r="AI8" s="152">
        <f>0.559</f>
        <v>0.55900000000000005</v>
      </c>
      <c r="AJ8" s="178">
        <v>0.56200000000000006</v>
      </c>
      <c r="AK8" s="165">
        <f t="shared" si="1"/>
        <v>0.53667262969587171</v>
      </c>
      <c r="AL8" s="315" t="s">
        <v>5</v>
      </c>
    </row>
    <row r="9" spans="1:39" ht="12.75" customHeight="1" x14ac:dyDescent="0.2">
      <c r="A9" s="15"/>
      <c r="B9" s="17" t="s">
        <v>7</v>
      </c>
      <c r="C9" s="92"/>
      <c r="D9" s="92"/>
      <c r="E9" s="55"/>
      <c r="F9" s="55"/>
      <c r="G9" s="55"/>
      <c r="H9" s="137">
        <v>1.98</v>
      </c>
      <c r="I9" s="55">
        <v>2.1800000000000002</v>
      </c>
      <c r="J9" s="55">
        <v>2.2759999999999998</v>
      </c>
      <c r="K9" s="55">
        <v>2.27</v>
      </c>
      <c r="L9" s="55">
        <v>2.11</v>
      </c>
      <c r="M9" s="55">
        <v>2.0779999999999998</v>
      </c>
      <c r="N9" s="55">
        <v>1.7949999999999999</v>
      </c>
      <c r="O9" s="55">
        <v>1.6120000000000001</v>
      </c>
      <c r="P9" s="55">
        <v>1.661</v>
      </c>
      <c r="Q9" s="55">
        <v>1.7170000000000001</v>
      </c>
      <c r="R9" s="55">
        <v>1.82</v>
      </c>
      <c r="S9" s="55">
        <v>1.9019999999999999</v>
      </c>
      <c r="T9" s="55">
        <v>2.2589999999999999</v>
      </c>
      <c r="U9" s="55">
        <v>2.2909999999999999</v>
      </c>
      <c r="V9" s="55">
        <v>2.0790000000000002</v>
      </c>
      <c r="W9" s="55">
        <v>2.3149999999999999</v>
      </c>
      <c r="X9" s="55">
        <v>2.1560000000000001</v>
      </c>
      <c r="Y9" s="55">
        <v>2.1909999999999998</v>
      </c>
      <c r="Z9" s="55">
        <v>1.9537</v>
      </c>
      <c r="AA9" s="55">
        <v>1.907</v>
      </c>
      <c r="AB9" s="55">
        <v>1.9330000000000001</v>
      </c>
      <c r="AC9" s="55">
        <v>2.0630000000000002</v>
      </c>
      <c r="AD9" s="55">
        <v>2.0230000000000001</v>
      </c>
      <c r="AE9" s="55">
        <v>1.5880000000000001</v>
      </c>
      <c r="AF9" s="55">
        <v>2.165</v>
      </c>
      <c r="AG9" s="55">
        <v>2.1070000000000002</v>
      </c>
      <c r="AH9" s="55">
        <f>2050/1000</f>
        <v>2.0499999999999998</v>
      </c>
      <c r="AI9" s="55">
        <f>1.674</f>
        <v>1.6739999999999999</v>
      </c>
      <c r="AJ9" s="159">
        <v>1.8919999999999999</v>
      </c>
      <c r="AK9" s="166">
        <f t="shared" si="1"/>
        <v>13.022700119474308</v>
      </c>
      <c r="AL9" s="171" t="s">
        <v>7</v>
      </c>
    </row>
    <row r="10" spans="1:39" ht="12.75" customHeight="1" x14ac:dyDescent="0.2">
      <c r="A10" s="15"/>
      <c r="B10" s="85" t="s">
        <v>18</v>
      </c>
      <c r="C10" s="98"/>
      <c r="D10" s="98"/>
      <c r="E10" s="147">
        <v>2.016</v>
      </c>
      <c r="F10" s="147">
        <v>2.3610000000000002</v>
      </c>
      <c r="G10" s="147">
        <v>2.6240000000000001</v>
      </c>
      <c r="H10" s="147">
        <v>2.7970000000000002</v>
      </c>
      <c r="I10" s="147">
        <v>3.0870000000000002</v>
      </c>
      <c r="J10" s="147">
        <v>3.109</v>
      </c>
      <c r="K10" s="147">
        <v>3.4609999999999999</v>
      </c>
      <c r="L10" s="147">
        <v>3.823</v>
      </c>
      <c r="M10" s="147">
        <v>3.9209999999999998</v>
      </c>
      <c r="N10" s="147">
        <v>4.2709999999999999</v>
      </c>
      <c r="O10" s="147">
        <v>4.6900000000000004</v>
      </c>
      <c r="P10" s="147">
        <v>4.6950000000000003</v>
      </c>
      <c r="Q10" s="147">
        <v>5.1029999999999998</v>
      </c>
      <c r="R10" s="147">
        <v>5.1539999999999999</v>
      </c>
      <c r="S10" s="147">
        <v>5.2539999999999996</v>
      </c>
      <c r="T10" s="147">
        <v>5.125</v>
      </c>
      <c r="U10" s="147">
        <v>4.8719999999999999</v>
      </c>
      <c r="V10" s="147">
        <v>4.6269999999999998</v>
      </c>
      <c r="W10" s="147">
        <v>4.2089999999999996</v>
      </c>
      <c r="X10" s="147">
        <v>3.895</v>
      </c>
      <c r="Y10" s="147">
        <v>3.5470000000000002</v>
      </c>
      <c r="Z10" s="147">
        <v>3.2650000000000001</v>
      </c>
      <c r="AA10" s="152">
        <v>3.0779999999999998</v>
      </c>
      <c r="AB10" s="152">
        <v>2.7389999999999999</v>
      </c>
      <c r="AC10" s="152">
        <v>2.4089999999999998</v>
      </c>
      <c r="AD10" s="152">
        <v>2.258</v>
      </c>
      <c r="AE10" s="152">
        <v>2.0259999999999998</v>
      </c>
      <c r="AF10" s="152">
        <f>2316/1000</f>
        <v>2.3159999999999998</v>
      </c>
      <c r="AG10" s="152">
        <f>2062/1000</f>
        <v>2.0619999999999998</v>
      </c>
      <c r="AH10" s="152">
        <f>1484/1000</f>
        <v>1.484</v>
      </c>
      <c r="AI10" s="152">
        <f>0.975</f>
        <v>0.97499999999999998</v>
      </c>
      <c r="AJ10" s="178">
        <v>0.91100000000000003</v>
      </c>
      <c r="AK10" s="165">
        <f t="shared" si="1"/>
        <v>-6.564102564102555</v>
      </c>
      <c r="AL10" s="315" t="s">
        <v>18</v>
      </c>
    </row>
    <row r="11" spans="1:39" ht="12.75" customHeight="1" x14ac:dyDescent="0.2">
      <c r="A11" s="15"/>
      <c r="B11" s="17" t="s">
        <v>23</v>
      </c>
      <c r="C11" s="92">
        <v>16.899999999999999</v>
      </c>
      <c r="D11" s="92">
        <v>14.3</v>
      </c>
      <c r="E11" s="55">
        <v>13.3</v>
      </c>
      <c r="F11" s="195">
        <v>15.7</v>
      </c>
      <c r="G11" s="55">
        <v>15.7</v>
      </c>
      <c r="H11" s="55">
        <v>16.100000000000001</v>
      </c>
      <c r="I11" s="145">
        <v>16.8</v>
      </c>
      <c r="J11" s="55">
        <v>14.757</v>
      </c>
      <c r="K11" s="55">
        <v>14.5</v>
      </c>
      <c r="L11" s="55">
        <v>13.151</v>
      </c>
      <c r="M11" s="55">
        <v>14.849</v>
      </c>
      <c r="N11" s="55">
        <v>14.965999999999999</v>
      </c>
      <c r="O11" s="55">
        <v>15.032999999999999</v>
      </c>
      <c r="P11" s="55">
        <v>15.760999999999999</v>
      </c>
      <c r="Q11" s="55">
        <v>15.205</v>
      </c>
      <c r="R11" s="55">
        <v>15.407</v>
      </c>
      <c r="S11" s="55">
        <v>16.236000000000001</v>
      </c>
      <c r="T11" s="55">
        <v>16.741</v>
      </c>
      <c r="U11" s="55">
        <v>15.843999999999999</v>
      </c>
      <c r="V11" s="55">
        <v>15.824</v>
      </c>
      <c r="W11" s="55">
        <v>15.67</v>
      </c>
      <c r="X11" s="55">
        <v>15.95</v>
      </c>
      <c r="Y11" s="55">
        <v>16.259</v>
      </c>
      <c r="Z11" s="55">
        <v>15.622999999999999</v>
      </c>
      <c r="AA11" s="55">
        <v>16.207000000000001</v>
      </c>
      <c r="AB11" s="55">
        <v>18.18</v>
      </c>
      <c r="AC11" s="55">
        <v>17.541</v>
      </c>
      <c r="AD11" s="55">
        <v>17.713000000000001</v>
      </c>
      <c r="AE11" s="55">
        <v>18.760999999999999</v>
      </c>
      <c r="AF11" s="55">
        <v>18.239999999999998</v>
      </c>
      <c r="AG11" s="55">
        <v>17.234000000000002</v>
      </c>
      <c r="AH11" s="55">
        <f>17649/1000</f>
        <v>17.649000000000001</v>
      </c>
      <c r="AI11" s="55">
        <f>16.686</f>
        <v>16.686</v>
      </c>
      <c r="AJ11" s="159">
        <v>15.696999999999999</v>
      </c>
      <c r="AK11" s="166">
        <f t="shared" si="1"/>
        <v>-5.9271245355387805</v>
      </c>
      <c r="AL11" s="171" t="s">
        <v>23</v>
      </c>
    </row>
    <row r="12" spans="1:39" ht="12.75" customHeight="1" x14ac:dyDescent="0.2">
      <c r="A12" s="15"/>
      <c r="B12" s="85" t="s">
        <v>8</v>
      </c>
      <c r="C12" s="98" t="s">
        <v>35</v>
      </c>
      <c r="D12" s="98" t="s">
        <v>35</v>
      </c>
      <c r="E12" s="147" t="s">
        <v>35</v>
      </c>
      <c r="F12" s="147" t="s">
        <v>35</v>
      </c>
      <c r="G12" s="147" t="s">
        <v>35</v>
      </c>
      <c r="H12" s="147" t="s">
        <v>35</v>
      </c>
      <c r="I12" s="147" t="s">
        <v>35</v>
      </c>
      <c r="J12" s="147" t="s">
        <v>35</v>
      </c>
      <c r="K12" s="147" t="s">
        <v>35</v>
      </c>
      <c r="L12" s="147" t="s">
        <v>35</v>
      </c>
      <c r="M12" s="147" t="s">
        <v>35</v>
      </c>
      <c r="N12" s="147" t="s">
        <v>35</v>
      </c>
      <c r="O12" s="147" t="s">
        <v>35</v>
      </c>
      <c r="P12" s="147" t="s">
        <v>35</v>
      </c>
      <c r="Q12" s="147" t="s">
        <v>35</v>
      </c>
      <c r="R12" s="147" t="s">
        <v>35</v>
      </c>
      <c r="S12" s="147" t="s">
        <v>35</v>
      </c>
      <c r="T12" s="147" t="s">
        <v>35</v>
      </c>
      <c r="U12" s="147" t="s">
        <v>35</v>
      </c>
      <c r="V12" s="147" t="s">
        <v>35</v>
      </c>
      <c r="W12" s="147" t="s">
        <v>35</v>
      </c>
      <c r="X12" s="147" t="s">
        <v>35</v>
      </c>
      <c r="Y12" s="147" t="s">
        <v>35</v>
      </c>
      <c r="Z12" s="147" t="s">
        <v>35</v>
      </c>
      <c r="AA12" s="152" t="s">
        <v>35</v>
      </c>
      <c r="AB12" s="152" t="s">
        <v>35</v>
      </c>
      <c r="AC12" s="152" t="s">
        <v>35</v>
      </c>
      <c r="AD12" s="152" t="s">
        <v>35</v>
      </c>
      <c r="AE12" s="152" t="s">
        <v>35</v>
      </c>
      <c r="AF12" s="152" t="s">
        <v>35</v>
      </c>
      <c r="AG12" s="152" t="s">
        <v>35</v>
      </c>
      <c r="AH12" s="152" t="s">
        <v>35</v>
      </c>
      <c r="AI12" s="152" t="s">
        <v>35</v>
      </c>
      <c r="AJ12" s="178" t="s">
        <v>35</v>
      </c>
      <c r="AK12" s="165" t="s">
        <v>35</v>
      </c>
      <c r="AL12" s="315" t="s">
        <v>8</v>
      </c>
    </row>
    <row r="13" spans="1:39" ht="12.75" customHeight="1" x14ac:dyDescent="0.2">
      <c r="A13" s="15"/>
      <c r="B13" s="17" t="s">
        <v>26</v>
      </c>
      <c r="C13" s="93" t="s">
        <v>35</v>
      </c>
      <c r="D13" s="93" t="s">
        <v>35</v>
      </c>
      <c r="E13" s="157" t="s">
        <v>35</v>
      </c>
      <c r="F13" s="157" t="s">
        <v>35</v>
      </c>
      <c r="G13" s="157" t="s">
        <v>35</v>
      </c>
      <c r="H13" s="157" t="s">
        <v>35</v>
      </c>
      <c r="I13" s="157" t="s">
        <v>35</v>
      </c>
      <c r="J13" s="157" t="s">
        <v>35</v>
      </c>
      <c r="K13" s="157" t="s">
        <v>35</v>
      </c>
      <c r="L13" s="157" t="s">
        <v>35</v>
      </c>
      <c r="M13" s="157" t="s">
        <v>35</v>
      </c>
      <c r="N13" s="157" t="s">
        <v>35</v>
      </c>
      <c r="O13" s="157" t="s">
        <v>35</v>
      </c>
      <c r="P13" s="157" t="s">
        <v>35</v>
      </c>
      <c r="Q13" s="157" t="s">
        <v>35</v>
      </c>
      <c r="R13" s="157" t="s">
        <v>35</v>
      </c>
      <c r="S13" s="157" t="s">
        <v>35</v>
      </c>
      <c r="T13" s="157" t="s">
        <v>35</v>
      </c>
      <c r="U13" s="157" t="s">
        <v>35</v>
      </c>
      <c r="V13" s="157" t="s">
        <v>35</v>
      </c>
      <c r="W13" s="157" t="s">
        <v>35</v>
      </c>
      <c r="X13" s="157" t="s">
        <v>35</v>
      </c>
      <c r="Y13" s="157" t="s">
        <v>35</v>
      </c>
      <c r="Z13" s="157" t="s">
        <v>35</v>
      </c>
      <c r="AA13" s="144" t="s">
        <v>35</v>
      </c>
      <c r="AB13" s="144" t="s">
        <v>35</v>
      </c>
      <c r="AC13" s="144" t="s">
        <v>35</v>
      </c>
      <c r="AD13" s="144" t="s">
        <v>35</v>
      </c>
      <c r="AE13" s="144" t="s">
        <v>35</v>
      </c>
      <c r="AF13" s="144" t="s">
        <v>35</v>
      </c>
      <c r="AG13" s="144" t="s">
        <v>35</v>
      </c>
      <c r="AH13" s="144" t="s">
        <v>35</v>
      </c>
      <c r="AI13" s="144" t="s">
        <v>35</v>
      </c>
      <c r="AJ13" s="179" t="s">
        <v>35</v>
      </c>
      <c r="AK13" s="462" t="s">
        <v>35</v>
      </c>
      <c r="AL13" s="171" t="s">
        <v>26</v>
      </c>
    </row>
    <row r="14" spans="1:39" ht="12.75" customHeight="1" x14ac:dyDescent="0.2">
      <c r="A14" s="15"/>
      <c r="B14" s="85" t="s">
        <v>19</v>
      </c>
      <c r="C14" s="98" t="s">
        <v>35</v>
      </c>
      <c r="D14" s="98" t="s">
        <v>35</v>
      </c>
      <c r="E14" s="147" t="s">
        <v>35</v>
      </c>
      <c r="F14" s="147" t="s">
        <v>35</v>
      </c>
      <c r="G14" s="147" t="s">
        <v>35</v>
      </c>
      <c r="H14" s="147" t="s">
        <v>35</v>
      </c>
      <c r="I14" s="147" t="s">
        <v>35</v>
      </c>
      <c r="J14" s="147" t="s">
        <v>35</v>
      </c>
      <c r="K14" s="147" t="s">
        <v>35</v>
      </c>
      <c r="L14" s="147" t="s">
        <v>35</v>
      </c>
      <c r="M14" s="147" t="s">
        <v>35</v>
      </c>
      <c r="N14" s="147" t="s">
        <v>35</v>
      </c>
      <c r="O14" s="147" t="s">
        <v>35</v>
      </c>
      <c r="P14" s="147" t="s">
        <v>35</v>
      </c>
      <c r="Q14" s="147">
        <v>0.02</v>
      </c>
      <c r="R14" s="147">
        <v>0.06</v>
      </c>
      <c r="S14" s="194">
        <v>0.19700000000000001</v>
      </c>
      <c r="T14" s="147">
        <v>0.22900000000000001</v>
      </c>
      <c r="U14" s="147">
        <v>0.253</v>
      </c>
      <c r="V14" s="147">
        <v>0.254</v>
      </c>
      <c r="W14" s="152">
        <v>0.254</v>
      </c>
      <c r="X14" s="155">
        <v>0.18513600473552563</v>
      </c>
      <c r="Y14" s="155">
        <v>0.18896090127596751</v>
      </c>
      <c r="Z14" s="155">
        <v>0.24139480017087667</v>
      </c>
      <c r="AA14" s="384">
        <v>0.2116849713538852</v>
      </c>
      <c r="AB14" s="152">
        <v>1.5939999999999999E-2</v>
      </c>
      <c r="AC14" s="152">
        <v>1.8499999999999999E-2</v>
      </c>
      <c r="AD14" s="152">
        <v>2.24E-2</v>
      </c>
      <c r="AE14" s="152">
        <v>2.4820000000000002E-2</v>
      </c>
      <c r="AF14" s="152">
        <v>2.6629999999999997E-2</v>
      </c>
      <c r="AG14" s="152">
        <f>31/1000</f>
        <v>3.1E-2</v>
      </c>
      <c r="AH14" s="152">
        <f>30.8/1000</f>
        <v>3.0800000000000001E-2</v>
      </c>
      <c r="AI14" s="155">
        <f>AVERAGE(AF14:AH14)</f>
        <v>2.9476666666666668E-2</v>
      </c>
      <c r="AJ14" s="174">
        <f>AVERAGE(AG14:AI14)</f>
        <v>3.0425555555555556E-2</v>
      </c>
      <c r="AK14" s="420">
        <f t="shared" si="1"/>
        <v>3.2191187002902382</v>
      </c>
      <c r="AL14" s="385" t="s">
        <v>19</v>
      </c>
    </row>
    <row r="15" spans="1:39" ht="12.75" customHeight="1" x14ac:dyDescent="0.2">
      <c r="A15" s="15"/>
      <c r="B15" s="17" t="s">
        <v>24</v>
      </c>
      <c r="C15" s="93">
        <v>1.0229999999999999</v>
      </c>
      <c r="D15" s="93">
        <v>3.0049999999999999</v>
      </c>
      <c r="E15" s="157">
        <v>4.2149999999999999</v>
      </c>
      <c r="F15" s="157">
        <v>4.78</v>
      </c>
      <c r="G15" s="157">
        <v>5.266</v>
      </c>
      <c r="H15" s="157">
        <v>5.4089999999999998</v>
      </c>
      <c r="I15" s="157">
        <v>5.4790000000000001</v>
      </c>
      <c r="J15" s="157">
        <v>5.8869999999999996</v>
      </c>
      <c r="K15" s="157">
        <v>6.1130000000000004</v>
      </c>
      <c r="L15" s="157">
        <v>6.5339999999999998</v>
      </c>
      <c r="M15" s="157">
        <v>6.8719999999999999</v>
      </c>
      <c r="N15" s="157">
        <v>7.0309999999999997</v>
      </c>
      <c r="O15" s="157">
        <v>7.4660000000000002</v>
      </c>
      <c r="P15" s="157">
        <v>7.7629999999999999</v>
      </c>
      <c r="Q15" s="157">
        <v>7.8029999999999999</v>
      </c>
      <c r="R15" s="157">
        <v>7.319</v>
      </c>
      <c r="S15" s="157">
        <v>8.2789999999999999</v>
      </c>
      <c r="T15" s="157">
        <v>9.2279999999999998</v>
      </c>
      <c r="U15" s="157">
        <v>9.2240000000000002</v>
      </c>
      <c r="V15" s="157">
        <v>8.9359999999999999</v>
      </c>
      <c r="W15" s="157">
        <v>9.141</v>
      </c>
      <c r="X15" s="157">
        <v>8.23</v>
      </c>
      <c r="Y15" s="157">
        <v>8.1820000000000004</v>
      </c>
      <c r="Z15" s="157">
        <v>8.6010000000000009</v>
      </c>
      <c r="AA15" s="144">
        <v>8.9</v>
      </c>
      <c r="AB15" s="144">
        <v>8.6910000000000007</v>
      </c>
      <c r="AC15" s="144">
        <v>8.9670000000000005</v>
      </c>
      <c r="AD15" s="144">
        <v>10.115</v>
      </c>
      <c r="AE15" s="144">
        <v>9.99</v>
      </c>
      <c r="AF15" s="144">
        <v>9.7129999999999992</v>
      </c>
      <c r="AG15" s="144">
        <v>9.9489999999999998</v>
      </c>
      <c r="AH15" s="144">
        <f>10464/1000</f>
        <v>10.464</v>
      </c>
      <c r="AI15" s="144">
        <f>7.763</f>
        <v>7.7629999999999999</v>
      </c>
      <c r="AJ15" s="179">
        <v>7.7859999999999996</v>
      </c>
      <c r="AK15" s="462">
        <f t="shared" si="1"/>
        <v>0.29627721241787697</v>
      </c>
      <c r="AL15" s="171" t="s">
        <v>24</v>
      </c>
    </row>
    <row r="16" spans="1:39" ht="12.75" customHeight="1" x14ac:dyDescent="0.2">
      <c r="A16" s="15"/>
      <c r="B16" s="85" t="s">
        <v>25</v>
      </c>
      <c r="C16" s="98">
        <v>28.184000000000001</v>
      </c>
      <c r="D16" s="98">
        <v>34.673999999999999</v>
      </c>
      <c r="E16" s="147">
        <v>19.609000000000002</v>
      </c>
      <c r="F16" s="147">
        <v>22.501000000000001</v>
      </c>
      <c r="G16" s="147">
        <v>23.381</v>
      </c>
      <c r="H16" s="147">
        <v>23.312000000000001</v>
      </c>
      <c r="I16" s="147">
        <v>22.187000000000001</v>
      </c>
      <c r="J16" s="147">
        <v>22.274999999999999</v>
      </c>
      <c r="K16" s="147">
        <v>21.908999999999999</v>
      </c>
      <c r="L16" s="147">
        <v>22.088999999999999</v>
      </c>
      <c r="M16" s="147">
        <v>21.582000000000001</v>
      </c>
      <c r="N16" s="147">
        <v>21.321999999999999</v>
      </c>
      <c r="O16" s="147">
        <v>21.669</v>
      </c>
      <c r="P16" s="147">
        <v>22.14</v>
      </c>
      <c r="Q16" s="147">
        <v>20.954000000000001</v>
      </c>
      <c r="R16" s="147">
        <v>22.146999999999998</v>
      </c>
      <c r="S16" s="147">
        <v>20.559000000000001</v>
      </c>
      <c r="T16" s="147">
        <v>20.856000000000002</v>
      </c>
      <c r="U16" s="147">
        <v>22.2</v>
      </c>
      <c r="V16" s="147">
        <v>21.140999999999998</v>
      </c>
      <c r="W16" s="147">
        <v>20.917999999999999</v>
      </c>
      <c r="X16" s="147">
        <v>19.481000000000002</v>
      </c>
      <c r="Y16" s="147">
        <v>17.606999999999999</v>
      </c>
      <c r="Z16" s="147">
        <v>17.207000000000001</v>
      </c>
      <c r="AA16" s="147">
        <v>15.151</v>
      </c>
      <c r="AB16" s="147">
        <v>11.521000000000001</v>
      </c>
      <c r="AC16" s="147">
        <v>11.055</v>
      </c>
      <c r="AD16" s="147">
        <v>11.443</v>
      </c>
      <c r="AE16" s="147">
        <v>11.372999999999999</v>
      </c>
      <c r="AF16" s="147">
        <v>11.180999999999999</v>
      </c>
      <c r="AG16" s="147">
        <v>12.449</v>
      </c>
      <c r="AH16" s="147">
        <f>11807/1000</f>
        <v>11.807</v>
      </c>
      <c r="AI16" s="147">
        <f>9.514</f>
        <v>9.5139999999999993</v>
      </c>
      <c r="AJ16" s="148">
        <v>9.3170000000000002</v>
      </c>
      <c r="AK16" s="165">
        <f t="shared" si="1"/>
        <v>-2.07063275173428</v>
      </c>
      <c r="AL16" s="315" t="s">
        <v>25</v>
      </c>
    </row>
    <row r="17" spans="1:38" ht="12.75" customHeight="1" x14ac:dyDescent="0.2">
      <c r="A17" s="15"/>
      <c r="B17" s="182" t="s">
        <v>36</v>
      </c>
      <c r="C17" s="183" t="s">
        <v>34</v>
      </c>
      <c r="D17" s="183" t="s">
        <v>34</v>
      </c>
      <c r="E17" s="184">
        <v>3.6</v>
      </c>
      <c r="F17" s="184" t="s">
        <v>34</v>
      </c>
      <c r="G17" s="184"/>
      <c r="H17" s="184"/>
      <c r="I17" s="184"/>
      <c r="J17" s="184" t="s">
        <v>34</v>
      </c>
      <c r="K17" s="184"/>
      <c r="L17" s="184">
        <v>0.72499999999999998</v>
      </c>
      <c r="M17" s="184">
        <v>0.95099999999999996</v>
      </c>
      <c r="N17" s="184">
        <v>0.623</v>
      </c>
      <c r="O17" s="184">
        <v>0.42799999999999999</v>
      </c>
      <c r="P17" s="184">
        <v>0.89700000000000002</v>
      </c>
      <c r="Q17" s="184">
        <v>1.286</v>
      </c>
      <c r="R17" s="184">
        <v>1.335</v>
      </c>
      <c r="S17" s="184">
        <v>1.5149999999999999</v>
      </c>
      <c r="T17" s="184">
        <v>1.5069999999999999</v>
      </c>
      <c r="U17" s="184">
        <v>1.2549999999999999</v>
      </c>
      <c r="V17" s="184">
        <v>1.4059999999999999</v>
      </c>
      <c r="W17" s="184">
        <v>1.3080000000000001</v>
      </c>
      <c r="X17" s="184">
        <v>1.4450000000000001</v>
      </c>
      <c r="Y17" s="184">
        <v>1.3</v>
      </c>
      <c r="Z17" s="184">
        <v>1.028</v>
      </c>
      <c r="AA17" s="184">
        <v>0.83799999999999997</v>
      </c>
      <c r="AB17" s="184">
        <v>1.127</v>
      </c>
      <c r="AC17" s="184">
        <v>1.1140000000000001</v>
      </c>
      <c r="AD17" s="184">
        <v>1.395</v>
      </c>
      <c r="AE17" s="184">
        <v>1.589</v>
      </c>
      <c r="AF17" s="184">
        <v>1.768</v>
      </c>
      <c r="AG17" s="184">
        <v>1.9850000000000001</v>
      </c>
      <c r="AH17" s="184">
        <f>1389/1000</f>
        <v>1.389</v>
      </c>
      <c r="AI17" s="184">
        <f>1.64</f>
        <v>1.64</v>
      </c>
      <c r="AJ17" s="212">
        <v>1.671</v>
      </c>
      <c r="AK17" s="431">
        <f t="shared" si="1"/>
        <v>1.8902439024390389</v>
      </c>
      <c r="AL17" s="396" t="s">
        <v>36</v>
      </c>
    </row>
    <row r="18" spans="1:38" ht="12.75" customHeight="1" x14ac:dyDescent="0.2">
      <c r="A18" s="15"/>
      <c r="B18" s="85" t="s">
        <v>27</v>
      </c>
      <c r="C18" s="98">
        <v>7</v>
      </c>
      <c r="D18" s="98">
        <v>9</v>
      </c>
      <c r="E18" s="147">
        <v>9.1999999999999993</v>
      </c>
      <c r="F18" s="147">
        <v>9.3000000000000007</v>
      </c>
      <c r="G18" s="147">
        <v>9.4</v>
      </c>
      <c r="H18" s="147">
        <v>9.5</v>
      </c>
      <c r="I18" s="147">
        <v>9.6</v>
      </c>
      <c r="J18" s="147">
        <v>9.65</v>
      </c>
      <c r="K18" s="147">
        <v>10.1</v>
      </c>
      <c r="L18" s="147">
        <v>9.7970000000000006</v>
      </c>
      <c r="M18" s="147">
        <v>10.624000000000001</v>
      </c>
      <c r="N18" s="147">
        <v>10.409000000000001</v>
      </c>
      <c r="O18" s="147">
        <v>10.317</v>
      </c>
      <c r="P18" s="147">
        <v>10.69</v>
      </c>
      <c r="Q18" s="147">
        <v>10.692</v>
      </c>
      <c r="R18" s="147">
        <v>10.656000000000001</v>
      </c>
      <c r="S18" s="147">
        <v>10.699</v>
      </c>
      <c r="T18" s="147">
        <v>11.423</v>
      </c>
      <c r="U18" s="147">
        <v>11.446999999999999</v>
      </c>
      <c r="V18" s="147">
        <v>11.388</v>
      </c>
      <c r="W18" s="147">
        <v>11.266</v>
      </c>
      <c r="X18" s="147">
        <v>10.497</v>
      </c>
      <c r="Y18" s="147">
        <v>10.4</v>
      </c>
      <c r="Z18" s="147">
        <v>9.9540000000000006</v>
      </c>
      <c r="AA18" s="152">
        <v>10.066000000000001</v>
      </c>
      <c r="AB18" s="152">
        <v>10.023999999999999</v>
      </c>
      <c r="AC18" s="152">
        <v>9.5549999999999997</v>
      </c>
      <c r="AD18" s="152">
        <v>9.2129999999999992</v>
      </c>
      <c r="AE18" s="152">
        <v>9.9770000000000003</v>
      </c>
      <c r="AF18" s="152">
        <v>10.194000000000001</v>
      </c>
      <c r="AG18" s="152">
        <v>10.329000000000001</v>
      </c>
      <c r="AH18" s="152">
        <f>10099/1000</f>
        <v>10.099</v>
      </c>
      <c r="AI18" s="152">
        <f>9.057</f>
        <v>9.0570000000000004</v>
      </c>
      <c r="AJ18" s="178">
        <v>9.2669999999999995</v>
      </c>
      <c r="AK18" s="165">
        <f t="shared" si="1"/>
        <v>2.3186485591255348</v>
      </c>
      <c r="AL18" s="315" t="s">
        <v>27</v>
      </c>
    </row>
    <row r="19" spans="1:38" ht="12.75" customHeight="1" x14ac:dyDescent="0.2">
      <c r="A19" s="15"/>
      <c r="B19" s="17" t="s">
        <v>6</v>
      </c>
      <c r="C19" s="111" t="s">
        <v>35</v>
      </c>
      <c r="D19" s="111" t="s">
        <v>35</v>
      </c>
      <c r="E19" s="111" t="s">
        <v>35</v>
      </c>
      <c r="F19" s="55" t="s">
        <v>35</v>
      </c>
      <c r="G19" s="55" t="s">
        <v>35</v>
      </c>
      <c r="H19" s="55" t="s">
        <v>35</v>
      </c>
      <c r="I19" s="55" t="s">
        <v>35</v>
      </c>
      <c r="J19" s="55" t="s">
        <v>35</v>
      </c>
      <c r="K19" s="55" t="s">
        <v>35</v>
      </c>
      <c r="L19" s="55" t="s">
        <v>35</v>
      </c>
      <c r="M19" s="55" t="s">
        <v>35</v>
      </c>
      <c r="N19" s="55" t="s">
        <v>35</v>
      </c>
      <c r="O19" s="55" t="s">
        <v>35</v>
      </c>
      <c r="P19" s="55" t="s">
        <v>35</v>
      </c>
      <c r="Q19" s="55" t="s">
        <v>35</v>
      </c>
      <c r="R19" s="55" t="s">
        <v>35</v>
      </c>
      <c r="S19" s="55" t="s">
        <v>35</v>
      </c>
      <c r="T19" s="55" t="s">
        <v>35</v>
      </c>
      <c r="U19" s="55" t="s">
        <v>35</v>
      </c>
      <c r="V19" s="55" t="s">
        <v>35</v>
      </c>
      <c r="W19" s="55" t="s">
        <v>35</v>
      </c>
      <c r="X19" s="55" t="s">
        <v>35</v>
      </c>
      <c r="Y19" s="55" t="s">
        <v>35</v>
      </c>
      <c r="Z19" s="55" t="s">
        <v>35</v>
      </c>
      <c r="AA19" s="55" t="s">
        <v>35</v>
      </c>
      <c r="AB19" s="150" t="s">
        <v>35</v>
      </c>
      <c r="AC19" s="150" t="s">
        <v>35</v>
      </c>
      <c r="AD19" s="150" t="s">
        <v>35</v>
      </c>
      <c r="AE19" s="150" t="s">
        <v>35</v>
      </c>
      <c r="AF19" s="144" t="s">
        <v>35</v>
      </c>
      <c r="AG19" s="144" t="s">
        <v>35</v>
      </c>
      <c r="AH19" s="144" t="s">
        <v>35</v>
      </c>
      <c r="AI19" s="144" t="s">
        <v>35</v>
      </c>
      <c r="AJ19" s="179" t="s">
        <v>35</v>
      </c>
      <c r="AK19" s="462" t="s">
        <v>35</v>
      </c>
      <c r="AL19" s="171" t="s">
        <v>6</v>
      </c>
    </row>
    <row r="20" spans="1:38" ht="12.75" customHeight="1" x14ac:dyDescent="0.2">
      <c r="A20" s="15"/>
      <c r="B20" s="85" t="s">
        <v>10</v>
      </c>
      <c r="C20" s="146" t="s">
        <v>0</v>
      </c>
      <c r="D20" s="146" t="s">
        <v>0</v>
      </c>
      <c r="E20" s="146" t="s">
        <v>0</v>
      </c>
      <c r="F20" s="147" t="s">
        <v>0</v>
      </c>
      <c r="G20" s="147" t="s">
        <v>0</v>
      </c>
      <c r="H20" s="147" t="s">
        <v>1</v>
      </c>
      <c r="I20" s="147">
        <v>4.5999999999999996</v>
      </c>
      <c r="J20" s="147">
        <v>5.3159999999999998</v>
      </c>
      <c r="K20" s="147">
        <v>6.06</v>
      </c>
      <c r="L20" s="147">
        <v>6.3620000000000001</v>
      </c>
      <c r="M20" s="147">
        <v>6.569</v>
      </c>
      <c r="N20" s="147">
        <v>6.0549999999999997</v>
      </c>
      <c r="O20" s="147">
        <v>6.4669999999999996</v>
      </c>
      <c r="P20" s="147">
        <v>7.524</v>
      </c>
      <c r="Q20" s="147">
        <v>5.0709999999999997</v>
      </c>
      <c r="R20" s="147">
        <v>3.15</v>
      </c>
      <c r="S20" s="147">
        <v>3.2519999999999998</v>
      </c>
      <c r="T20" s="147">
        <v>3.3809999999999998</v>
      </c>
      <c r="U20" s="147">
        <v>3.6280000000000001</v>
      </c>
      <c r="V20" s="147">
        <v>2.7109999999999999</v>
      </c>
      <c r="W20" s="147">
        <v>2.097</v>
      </c>
      <c r="X20" s="147">
        <v>1.573</v>
      </c>
      <c r="Y20" s="147">
        <v>2.35</v>
      </c>
      <c r="Z20" s="147">
        <v>2.4159999999999999</v>
      </c>
      <c r="AA20" s="147">
        <v>2.6309999999999998</v>
      </c>
      <c r="AB20" s="147">
        <v>2.2789999999999999</v>
      </c>
      <c r="AC20" s="147">
        <v>2.3759999999999999</v>
      </c>
      <c r="AD20" s="147">
        <v>1.9650000000000001</v>
      </c>
      <c r="AE20" s="147">
        <v>1.5069999999999999</v>
      </c>
      <c r="AF20" s="147">
        <v>1.411</v>
      </c>
      <c r="AG20" s="147">
        <v>1.109</v>
      </c>
      <c r="AH20" s="152">
        <f>923.4/1000</f>
        <v>0.9234</v>
      </c>
      <c r="AI20" s="152">
        <f>0.516</f>
        <v>0.51600000000000001</v>
      </c>
      <c r="AJ20" s="178">
        <v>0.20169999999999999</v>
      </c>
      <c r="AK20" s="165">
        <f t="shared" si="1"/>
        <v>-60.910852713178301</v>
      </c>
      <c r="AL20" s="315" t="s">
        <v>10</v>
      </c>
    </row>
    <row r="21" spans="1:38" ht="12.75" customHeight="1" x14ac:dyDescent="0.2">
      <c r="A21" s="15"/>
      <c r="B21" s="17" t="s">
        <v>11</v>
      </c>
      <c r="C21" s="111" t="s">
        <v>0</v>
      </c>
      <c r="D21" s="111" t="s">
        <v>0</v>
      </c>
      <c r="E21" s="111" t="s">
        <v>0</v>
      </c>
      <c r="F21" s="55" t="s">
        <v>0</v>
      </c>
      <c r="G21" s="55" t="s">
        <v>0</v>
      </c>
      <c r="H21" s="55">
        <v>2</v>
      </c>
      <c r="I21" s="55">
        <v>1.9</v>
      </c>
      <c r="J21" s="55">
        <v>2.0059999999999998</v>
      </c>
      <c r="K21" s="55">
        <v>2.3079999999999998</v>
      </c>
      <c r="L21" s="55">
        <v>2.6560000000000001</v>
      </c>
      <c r="M21" s="55">
        <v>2.964</v>
      </c>
      <c r="N21" s="55">
        <v>2.6269999999999998</v>
      </c>
      <c r="O21" s="55">
        <v>3.4566999999999997</v>
      </c>
      <c r="P21" s="55">
        <v>4.7796000000000003</v>
      </c>
      <c r="Q21" s="55">
        <v>4.8916000000000004</v>
      </c>
      <c r="R21" s="55">
        <v>5.0848000000000004</v>
      </c>
      <c r="S21" s="55">
        <v>4.2873999999999999</v>
      </c>
      <c r="T21" s="55">
        <v>4.4059999999999997</v>
      </c>
      <c r="U21" s="55">
        <v>2.67</v>
      </c>
      <c r="V21" s="55">
        <v>1.032</v>
      </c>
      <c r="W21" s="55">
        <v>0.52700000000000002</v>
      </c>
      <c r="X21" s="55">
        <v>0.4103</v>
      </c>
      <c r="Y21" s="55">
        <v>0.5786</v>
      </c>
      <c r="Z21" s="55">
        <v>0.59139999999999993</v>
      </c>
      <c r="AA21" s="150">
        <v>0.63219999999999998</v>
      </c>
      <c r="AB21" s="150">
        <v>0.56299999999999994</v>
      </c>
      <c r="AC21" s="150">
        <v>0.56699999999999995</v>
      </c>
      <c r="AD21" s="150">
        <v>0.496</v>
      </c>
      <c r="AE21" s="150">
        <v>0.40600000000000003</v>
      </c>
      <c r="AF21" s="150">
        <v>0.39100000000000001</v>
      </c>
      <c r="AG21" s="150">
        <v>0.32639999999999997</v>
      </c>
      <c r="AH21" s="150">
        <f>329.5/1000</f>
        <v>0.32950000000000002</v>
      </c>
      <c r="AI21" s="150">
        <f>0.209</f>
        <v>0.20899999999999999</v>
      </c>
      <c r="AJ21" s="170">
        <v>0.13009999999999999</v>
      </c>
      <c r="AK21" s="166">
        <f t="shared" si="1"/>
        <v>-37.751196172248804</v>
      </c>
      <c r="AL21" s="171" t="s">
        <v>11</v>
      </c>
    </row>
    <row r="22" spans="1:38" ht="12.75" customHeight="1" x14ac:dyDescent="0.2">
      <c r="A22" s="15"/>
      <c r="B22" s="85" t="s">
        <v>28</v>
      </c>
      <c r="C22" s="146" t="s">
        <v>35</v>
      </c>
      <c r="D22" s="146" t="s">
        <v>35</v>
      </c>
      <c r="E22" s="146" t="s">
        <v>35</v>
      </c>
      <c r="F22" s="147" t="s">
        <v>35</v>
      </c>
      <c r="G22" s="147" t="s">
        <v>35</v>
      </c>
      <c r="H22" s="147" t="s">
        <v>35</v>
      </c>
      <c r="I22" s="147" t="s">
        <v>35</v>
      </c>
      <c r="J22" s="147" t="s">
        <v>35</v>
      </c>
      <c r="K22" s="147" t="s">
        <v>35</v>
      </c>
      <c r="L22" s="147" t="s">
        <v>35</v>
      </c>
      <c r="M22" s="147" t="s">
        <v>35</v>
      </c>
      <c r="N22" s="147" t="s">
        <v>35</v>
      </c>
      <c r="O22" s="147" t="s">
        <v>35</v>
      </c>
      <c r="P22" s="147" t="s">
        <v>35</v>
      </c>
      <c r="Q22" s="147" t="s">
        <v>35</v>
      </c>
      <c r="R22" s="147" t="s">
        <v>35</v>
      </c>
      <c r="S22" s="147" t="s">
        <v>35</v>
      </c>
      <c r="T22" s="147" t="s">
        <v>35</v>
      </c>
      <c r="U22" s="147" t="s">
        <v>35</v>
      </c>
      <c r="V22" s="147" t="s">
        <v>35</v>
      </c>
      <c r="W22" s="147" t="s">
        <v>35</v>
      </c>
      <c r="X22" s="147" t="s">
        <v>35</v>
      </c>
      <c r="Y22" s="147" t="s">
        <v>35</v>
      </c>
      <c r="Z22" s="147" t="s">
        <v>35</v>
      </c>
      <c r="AA22" s="147" t="s">
        <v>35</v>
      </c>
      <c r="AB22" s="152" t="s">
        <v>35</v>
      </c>
      <c r="AC22" s="152" t="s">
        <v>35</v>
      </c>
      <c r="AD22" s="152" t="s">
        <v>35</v>
      </c>
      <c r="AE22" s="152" t="s">
        <v>35</v>
      </c>
      <c r="AF22" s="152" t="s">
        <v>35</v>
      </c>
      <c r="AG22" s="152" t="s">
        <v>35</v>
      </c>
      <c r="AH22" s="152" t="s">
        <v>35</v>
      </c>
      <c r="AI22" s="152" t="s">
        <v>35</v>
      </c>
      <c r="AJ22" s="178" t="s">
        <v>35</v>
      </c>
      <c r="AK22" s="165" t="s">
        <v>35</v>
      </c>
      <c r="AL22" s="315" t="s">
        <v>28</v>
      </c>
    </row>
    <row r="23" spans="1:38" ht="12.75" customHeight="1" x14ac:dyDescent="0.2">
      <c r="A23" s="15"/>
      <c r="B23" s="17" t="s">
        <v>9</v>
      </c>
      <c r="C23" s="149" t="s">
        <v>34</v>
      </c>
      <c r="D23" s="149" t="s">
        <v>34</v>
      </c>
      <c r="E23" s="149">
        <v>5.2869999999999999</v>
      </c>
      <c r="F23" s="150" t="s">
        <v>34</v>
      </c>
      <c r="G23" s="150" t="s">
        <v>34</v>
      </c>
      <c r="H23" s="150" t="s">
        <v>34</v>
      </c>
      <c r="I23" s="150" t="s">
        <v>34</v>
      </c>
      <c r="J23" s="150">
        <v>2.1812999999999998</v>
      </c>
      <c r="K23" s="150">
        <v>2.3511000000000002</v>
      </c>
      <c r="L23" s="150">
        <v>1.81</v>
      </c>
      <c r="M23" s="150">
        <v>1.9370000000000001</v>
      </c>
      <c r="N23" s="150">
        <v>2.3159999999999998</v>
      </c>
      <c r="O23" s="150">
        <v>2.2629999999999999</v>
      </c>
      <c r="P23" s="150">
        <v>2.5209999999999999</v>
      </c>
      <c r="Q23" s="150">
        <v>2.4449999999999998</v>
      </c>
      <c r="R23" s="150">
        <v>2.4159999999999999</v>
      </c>
      <c r="S23" s="150">
        <v>2.5459999999999998</v>
      </c>
      <c r="T23" s="150">
        <v>2.6829999999999998</v>
      </c>
      <c r="U23" s="150">
        <v>3.0409999999999999</v>
      </c>
      <c r="V23" s="150">
        <v>2.9870000000000001</v>
      </c>
      <c r="W23" s="150">
        <v>2.9746999999999999</v>
      </c>
      <c r="X23" s="150">
        <v>3.0104000000000002</v>
      </c>
      <c r="Y23" s="150">
        <v>3.2136999999999998</v>
      </c>
      <c r="Z23" s="150">
        <v>3.1190000000000002</v>
      </c>
      <c r="AA23" s="150">
        <v>2.7597100000000001</v>
      </c>
      <c r="AB23" s="150">
        <v>2.7024599999999999</v>
      </c>
      <c r="AC23" s="150">
        <v>2.7970000000000002</v>
      </c>
      <c r="AD23" s="150">
        <v>2.46488</v>
      </c>
      <c r="AE23" s="150">
        <v>2.2796400000000001</v>
      </c>
      <c r="AF23" s="150">
        <v>2.3830800000000001</v>
      </c>
      <c r="AG23" s="150">
        <v>2.4969699999999997</v>
      </c>
      <c r="AH23" s="150">
        <f>2453/1000</f>
        <v>2.4529999999999998</v>
      </c>
      <c r="AI23" s="150">
        <f>2.38</f>
        <v>2.38</v>
      </c>
      <c r="AJ23" s="170">
        <v>2.2561260000000001</v>
      </c>
      <c r="AK23" s="166">
        <f t="shared" si="1"/>
        <v>-5.2047899159663729</v>
      </c>
      <c r="AL23" s="171" t="s">
        <v>9</v>
      </c>
    </row>
    <row r="24" spans="1:38" ht="12.75" customHeight="1" x14ac:dyDescent="0.2">
      <c r="A24" s="15"/>
      <c r="B24" s="54" t="s">
        <v>12</v>
      </c>
      <c r="C24" s="154" t="s">
        <v>35</v>
      </c>
      <c r="D24" s="154" t="s">
        <v>35</v>
      </c>
      <c r="E24" s="154" t="s">
        <v>35</v>
      </c>
      <c r="F24" s="155" t="s">
        <v>35</v>
      </c>
      <c r="G24" s="155" t="s">
        <v>35</v>
      </c>
      <c r="H24" s="155" t="s">
        <v>35</v>
      </c>
      <c r="I24" s="155" t="s">
        <v>35</v>
      </c>
      <c r="J24" s="155" t="s">
        <v>35</v>
      </c>
      <c r="K24" s="155" t="s">
        <v>35</v>
      </c>
      <c r="L24" s="155" t="s">
        <v>35</v>
      </c>
      <c r="M24" s="155" t="s">
        <v>35</v>
      </c>
      <c r="N24" s="155" t="s">
        <v>35</v>
      </c>
      <c r="O24" s="155" t="s">
        <v>35</v>
      </c>
      <c r="P24" s="155" t="s">
        <v>35</v>
      </c>
      <c r="Q24" s="155" t="s">
        <v>35</v>
      </c>
      <c r="R24" s="155" t="s">
        <v>35</v>
      </c>
      <c r="S24" s="155" t="s">
        <v>35</v>
      </c>
      <c r="T24" s="155" t="s">
        <v>35</v>
      </c>
      <c r="U24" s="155" t="s">
        <v>35</v>
      </c>
      <c r="V24" s="155" t="s">
        <v>35</v>
      </c>
      <c r="W24" s="155" t="s">
        <v>35</v>
      </c>
      <c r="X24" s="155" t="s">
        <v>35</v>
      </c>
      <c r="Y24" s="155" t="s">
        <v>35</v>
      </c>
      <c r="Z24" s="155" t="s">
        <v>35</v>
      </c>
      <c r="AA24" s="155" t="s">
        <v>35</v>
      </c>
      <c r="AB24" s="155" t="s">
        <v>35</v>
      </c>
      <c r="AC24" s="155" t="s">
        <v>35</v>
      </c>
      <c r="AD24" s="155" t="s">
        <v>35</v>
      </c>
      <c r="AE24" s="155" t="s">
        <v>35</v>
      </c>
      <c r="AF24" s="152" t="s">
        <v>35</v>
      </c>
      <c r="AG24" s="152" t="s">
        <v>35</v>
      </c>
      <c r="AH24" s="152" t="s">
        <v>35</v>
      </c>
      <c r="AI24" s="152" t="s">
        <v>35</v>
      </c>
      <c r="AJ24" s="178" t="s">
        <v>35</v>
      </c>
      <c r="AK24" s="165" t="s">
        <v>35</v>
      </c>
      <c r="AL24" s="261" t="s">
        <v>12</v>
      </c>
    </row>
    <row r="25" spans="1:38" ht="12.75" customHeight="1" x14ac:dyDescent="0.2">
      <c r="A25" s="15"/>
      <c r="B25" s="17" t="s">
        <v>20</v>
      </c>
      <c r="C25" s="111">
        <v>4.0750000000000002</v>
      </c>
      <c r="D25" s="111">
        <v>5.0439999999999996</v>
      </c>
      <c r="E25" s="111">
        <v>4.8730000000000002</v>
      </c>
      <c r="F25" s="55">
        <v>5.43</v>
      </c>
      <c r="G25" s="55">
        <v>5.5030000000000001</v>
      </c>
      <c r="H25" s="55">
        <v>5.4909999999999997</v>
      </c>
      <c r="I25" s="55">
        <v>5.6210000000000004</v>
      </c>
      <c r="J25" s="55">
        <v>5.2779999999999996</v>
      </c>
      <c r="K25" s="55">
        <v>5.96</v>
      </c>
      <c r="L25" s="55">
        <v>6.04</v>
      </c>
      <c r="M25" s="55">
        <v>6.0430000000000001</v>
      </c>
      <c r="N25" s="55">
        <v>6.008</v>
      </c>
      <c r="O25" s="55">
        <v>5.8689999999999998</v>
      </c>
      <c r="P25" s="55">
        <v>5.827</v>
      </c>
      <c r="Q25" s="55">
        <v>6.0170000000000003</v>
      </c>
      <c r="R25" s="55">
        <v>6.1310000000000002</v>
      </c>
      <c r="S25" s="55">
        <v>6.09</v>
      </c>
      <c r="T25" s="55">
        <v>5.9390000000000001</v>
      </c>
      <c r="U25" s="55">
        <v>5.8280000000000003</v>
      </c>
      <c r="V25" s="55">
        <v>5.5830000000000002</v>
      </c>
      <c r="W25" s="55">
        <v>5.9669999999999996</v>
      </c>
      <c r="X25" s="55">
        <v>5.6219999999999999</v>
      </c>
      <c r="Y25" s="55">
        <v>5.6470000000000002</v>
      </c>
      <c r="Z25" s="55">
        <v>5.5019999999999998</v>
      </c>
      <c r="AA25" s="150">
        <v>5.5720000000000001</v>
      </c>
      <c r="AB25" s="150">
        <v>5.4050000000000002</v>
      </c>
      <c r="AC25" s="150">
        <v>5.8369999999999997</v>
      </c>
      <c r="AD25" s="150">
        <v>6.0439999999999996</v>
      </c>
      <c r="AE25" s="150">
        <v>6.0469999999999997</v>
      </c>
      <c r="AF25" s="150">
        <v>6.1429999999999998</v>
      </c>
      <c r="AG25" s="150">
        <v>5.5350000000000001</v>
      </c>
      <c r="AH25" s="150">
        <f>5840/1000</f>
        <v>5.84</v>
      </c>
      <c r="AI25" s="150">
        <f>5.194</f>
        <v>5.194</v>
      </c>
      <c r="AJ25" s="170">
        <f>6.209</f>
        <v>6.2089999999999996</v>
      </c>
      <c r="AK25" s="166">
        <f t="shared" si="1"/>
        <v>19.541778975741238</v>
      </c>
      <c r="AL25" s="171" t="s">
        <v>20</v>
      </c>
    </row>
    <row r="26" spans="1:38" ht="12.75" customHeight="1" x14ac:dyDescent="0.2">
      <c r="A26" s="15"/>
      <c r="B26" s="85" t="s">
        <v>29</v>
      </c>
      <c r="C26" s="146">
        <v>3.62</v>
      </c>
      <c r="D26" s="146">
        <v>7.0540000000000003</v>
      </c>
      <c r="E26" s="146">
        <v>6.37</v>
      </c>
      <c r="F26" s="147">
        <v>6.6539999999999999</v>
      </c>
      <c r="G26" s="147">
        <v>6.7009999999999996</v>
      </c>
      <c r="H26" s="147">
        <v>6.7210000000000001</v>
      </c>
      <c r="I26" s="147">
        <v>6.99</v>
      </c>
      <c r="J26" s="147">
        <v>6.766</v>
      </c>
      <c r="K26" s="147">
        <v>7.0730000000000004</v>
      </c>
      <c r="L26" s="147">
        <v>8.02</v>
      </c>
      <c r="M26" s="147">
        <v>8.1639999999999997</v>
      </c>
      <c r="N26" s="147">
        <v>7.6310000000000002</v>
      </c>
      <c r="O26" s="155">
        <v>7.5629999999999997</v>
      </c>
      <c r="P26" s="155">
        <v>8.0709999999999997</v>
      </c>
      <c r="Q26" s="155">
        <v>7.9610000000000003</v>
      </c>
      <c r="R26" s="155">
        <v>7.7629999999999999</v>
      </c>
      <c r="S26" s="147">
        <v>7.5709999999999997</v>
      </c>
      <c r="T26" s="147">
        <v>7.78</v>
      </c>
      <c r="U26" s="147">
        <v>7.6390000000000002</v>
      </c>
      <c r="V26" s="147">
        <v>7.226</v>
      </c>
      <c r="W26" s="147">
        <v>7.5209999999999999</v>
      </c>
      <c r="X26" s="147">
        <v>7.3040000000000003</v>
      </c>
      <c r="Y26" s="147">
        <v>7</v>
      </c>
      <c r="Z26" s="147">
        <v>7.2279999999999998</v>
      </c>
      <c r="AA26" s="152">
        <v>7.1459999999999999</v>
      </c>
      <c r="AB26" s="152">
        <v>8.3919999999999995</v>
      </c>
      <c r="AC26" s="152">
        <v>8.2590000000000003</v>
      </c>
      <c r="AD26" s="152">
        <v>8.4749999999999996</v>
      </c>
      <c r="AE26" s="152">
        <v>8.4730000000000008</v>
      </c>
      <c r="AF26" s="152">
        <v>8.3960000000000008</v>
      </c>
      <c r="AG26" s="152">
        <v>8.577</v>
      </c>
      <c r="AH26" s="152">
        <f>8567/1000</f>
        <v>8.5670000000000002</v>
      </c>
      <c r="AI26" s="152">
        <f>7.715</f>
        <v>7.7149999999999999</v>
      </c>
      <c r="AJ26" s="178">
        <v>7.6950000000000003</v>
      </c>
      <c r="AK26" s="165">
        <f t="shared" si="1"/>
        <v>-0.25923525599480968</v>
      </c>
      <c r="AL26" s="315" t="s">
        <v>29</v>
      </c>
    </row>
    <row r="27" spans="1:38" ht="12.75" customHeight="1" x14ac:dyDescent="0.2">
      <c r="A27" s="15"/>
      <c r="B27" s="182" t="s">
        <v>13</v>
      </c>
      <c r="C27" s="183">
        <v>6.98</v>
      </c>
      <c r="D27" s="183">
        <v>17.12</v>
      </c>
      <c r="E27" s="184">
        <v>13.887</v>
      </c>
      <c r="F27" s="184">
        <v>10.39</v>
      </c>
      <c r="G27" s="184">
        <v>11.93</v>
      </c>
      <c r="H27" s="184">
        <v>12.2</v>
      </c>
      <c r="I27" s="184">
        <v>14.3</v>
      </c>
      <c r="J27" s="184">
        <v>13.493</v>
      </c>
      <c r="K27" s="184">
        <v>15.33</v>
      </c>
      <c r="L27" s="184">
        <v>14.97</v>
      </c>
      <c r="M27" s="184">
        <v>18.448</v>
      </c>
      <c r="N27" s="184">
        <v>19.417000000000002</v>
      </c>
      <c r="O27" s="184">
        <v>20.353999999999999</v>
      </c>
      <c r="P27" s="184">
        <v>21.092700000000001</v>
      </c>
      <c r="Q27" s="184">
        <v>20.853999999999999</v>
      </c>
      <c r="R27" s="184">
        <v>23.870999999999999</v>
      </c>
      <c r="S27" s="184">
        <v>24.806000000000001</v>
      </c>
      <c r="T27" s="184">
        <v>25.388000000000002</v>
      </c>
      <c r="U27" s="184">
        <v>25.588099999999997</v>
      </c>
      <c r="V27" s="184">
        <v>23.513000000000002</v>
      </c>
      <c r="W27" s="184">
        <v>21.247299999999999</v>
      </c>
      <c r="X27" s="184">
        <v>22.908000000000001</v>
      </c>
      <c r="Y27" s="184">
        <v>24.157</v>
      </c>
      <c r="Z27" s="184">
        <v>23.460999999999999</v>
      </c>
      <c r="AA27" s="184">
        <v>22.324999999999999</v>
      </c>
      <c r="AB27" s="184">
        <v>20.111999999999998</v>
      </c>
      <c r="AC27" s="184">
        <v>20.542999999999999</v>
      </c>
      <c r="AD27" s="184">
        <v>21.843</v>
      </c>
      <c r="AE27" s="184">
        <v>22.204000000000001</v>
      </c>
      <c r="AF27" s="184">
        <v>21.08</v>
      </c>
      <c r="AG27" s="184">
        <v>21.314</v>
      </c>
      <c r="AH27" s="184">
        <f>19394/1000</f>
        <v>19.393999999999998</v>
      </c>
      <c r="AI27" s="184">
        <f>20.436</f>
        <v>20.436</v>
      </c>
      <c r="AJ27" s="212">
        <v>17.442</v>
      </c>
      <c r="AK27" s="431">
        <f t="shared" si="1"/>
        <v>-14.650616559013514</v>
      </c>
      <c r="AL27" s="396" t="s">
        <v>13</v>
      </c>
    </row>
    <row r="28" spans="1:38" ht="12.75" customHeight="1" x14ac:dyDescent="0.2">
      <c r="A28" s="15"/>
      <c r="B28" s="85" t="s">
        <v>30</v>
      </c>
      <c r="C28" s="151" t="s">
        <v>35</v>
      </c>
      <c r="D28" s="151" t="s">
        <v>35</v>
      </c>
      <c r="E28" s="151"/>
      <c r="F28" s="152" t="s">
        <v>35</v>
      </c>
      <c r="G28" s="152" t="s">
        <v>35</v>
      </c>
      <c r="H28" s="152" t="s">
        <v>35</v>
      </c>
      <c r="I28" s="152" t="s">
        <v>35</v>
      </c>
      <c r="J28" s="152" t="s">
        <v>35</v>
      </c>
      <c r="K28" s="152" t="s">
        <v>35</v>
      </c>
      <c r="L28" s="152" t="s">
        <v>35</v>
      </c>
      <c r="M28" s="152" t="s">
        <v>35</v>
      </c>
      <c r="N28" s="152" t="s">
        <v>35</v>
      </c>
      <c r="O28" s="152">
        <v>0.5</v>
      </c>
      <c r="P28" s="152">
        <v>0.5</v>
      </c>
      <c r="Q28" s="152">
        <v>0.5</v>
      </c>
      <c r="R28" s="152">
        <v>0.5</v>
      </c>
      <c r="S28" s="152">
        <v>0.50396059999999998</v>
      </c>
      <c r="T28" s="152">
        <v>0.48450380000000004</v>
      </c>
      <c r="U28" s="152">
        <v>0.4535498</v>
      </c>
      <c r="V28" s="152">
        <v>0.477576</v>
      </c>
      <c r="W28" s="152">
        <v>0.44971740000000004</v>
      </c>
      <c r="X28" s="152">
        <v>0.41286740000000005</v>
      </c>
      <c r="Y28" s="152">
        <v>0.3826504</v>
      </c>
      <c r="Z28" s="152">
        <v>0.36348840000000004</v>
      </c>
      <c r="AA28" s="152">
        <v>0.35950860000000001</v>
      </c>
      <c r="AB28" s="152">
        <v>0.35007500000000003</v>
      </c>
      <c r="AC28" s="152">
        <f>2.517*0.1474</f>
        <v>0.3710058</v>
      </c>
      <c r="AD28" s="152">
        <f>2.651*0.1474</f>
        <v>0.39075739999999998</v>
      </c>
      <c r="AE28" s="152">
        <f>2.657*0.1474</f>
        <v>0.39164180000000004</v>
      </c>
      <c r="AF28" s="152">
        <v>0.41599999999999998</v>
      </c>
      <c r="AG28" s="152">
        <v>0.44033899999999998</v>
      </c>
      <c r="AH28" s="152">
        <f>452.59/1000</f>
        <v>0.45258999999999999</v>
      </c>
      <c r="AI28" s="152">
        <f>0.309</f>
        <v>0.309</v>
      </c>
      <c r="AJ28" s="178">
        <v>0.33268999999999999</v>
      </c>
      <c r="AK28" s="165">
        <f t="shared" si="1"/>
        <v>7.6666666666666714</v>
      </c>
      <c r="AL28" s="315" t="s">
        <v>30</v>
      </c>
    </row>
    <row r="29" spans="1:38" ht="12.75" customHeight="1" x14ac:dyDescent="0.2">
      <c r="A29" s="15"/>
      <c r="B29" s="182" t="s">
        <v>14</v>
      </c>
      <c r="C29" s="183">
        <v>1.84</v>
      </c>
      <c r="D29" s="183">
        <v>5.19</v>
      </c>
      <c r="E29" s="184">
        <v>5.0620000000000003</v>
      </c>
      <c r="F29" s="184">
        <v>3.18</v>
      </c>
      <c r="G29" s="184">
        <v>2.5579999999999998</v>
      </c>
      <c r="H29" s="184">
        <v>2.4710000000000001</v>
      </c>
      <c r="I29" s="184">
        <v>2.8010000000000002</v>
      </c>
      <c r="J29" s="184">
        <v>2.9359999999999999</v>
      </c>
      <c r="K29" s="184">
        <v>2.6619999999999999</v>
      </c>
      <c r="L29" s="184">
        <v>2.2959999999999998</v>
      </c>
      <c r="M29" s="184">
        <v>2.258</v>
      </c>
      <c r="N29" s="184">
        <v>1.6359999999999999</v>
      </c>
      <c r="O29" s="184">
        <v>1.3919999999999999</v>
      </c>
      <c r="P29" s="184">
        <v>1.77</v>
      </c>
      <c r="Q29" s="184">
        <v>1.78</v>
      </c>
      <c r="R29" s="184">
        <v>1.59</v>
      </c>
      <c r="S29" s="184">
        <v>1.8979999999999999</v>
      </c>
      <c r="T29" s="184">
        <v>2.21</v>
      </c>
      <c r="U29" s="184">
        <v>2.0270000000000001</v>
      </c>
      <c r="V29" s="184">
        <v>1.849</v>
      </c>
      <c r="W29" s="184">
        <v>1.72</v>
      </c>
      <c r="X29" s="184">
        <v>1.2430000000000001</v>
      </c>
      <c r="Y29" s="184">
        <v>0.996</v>
      </c>
      <c r="Z29" s="187">
        <v>0.879</v>
      </c>
      <c r="AA29" s="187">
        <v>0.78500000000000003</v>
      </c>
      <c r="AB29" s="187">
        <v>0.82899999999999996</v>
      </c>
      <c r="AC29" s="187">
        <v>0.98399999999999999</v>
      </c>
      <c r="AD29" s="187">
        <v>1.0289999999999999</v>
      </c>
      <c r="AE29" s="187">
        <v>1.131</v>
      </c>
      <c r="AF29" s="187">
        <v>1.087</v>
      </c>
      <c r="AG29" s="187">
        <v>1.08</v>
      </c>
      <c r="AH29" s="187">
        <f>1168/1000</f>
        <v>1.1679999999999999</v>
      </c>
      <c r="AI29" s="187">
        <f>1.07</f>
        <v>1.07</v>
      </c>
      <c r="AJ29" s="213">
        <v>1.087</v>
      </c>
      <c r="AK29" s="431">
        <f t="shared" si="1"/>
        <v>1.5887850467289724</v>
      </c>
      <c r="AL29" s="396" t="s">
        <v>14</v>
      </c>
    </row>
    <row r="30" spans="1:38" ht="12.75" customHeight="1" x14ac:dyDescent="0.2">
      <c r="A30" s="15"/>
      <c r="B30" s="54" t="s">
        <v>16</v>
      </c>
      <c r="C30" s="154" t="s">
        <v>35</v>
      </c>
      <c r="D30" s="154" t="s">
        <v>35</v>
      </c>
      <c r="E30" s="154" t="s">
        <v>35</v>
      </c>
      <c r="F30" s="155" t="s">
        <v>35</v>
      </c>
      <c r="G30" s="155" t="s">
        <v>35</v>
      </c>
      <c r="H30" s="155" t="s">
        <v>35</v>
      </c>
      <c r="I30" s="155" t="s">
        <v>35</v>
      </c>
      <c r="J30" s="155" t="s">
        <v>35</v>
      </c>
      <c r="K30" s="155" t="s">
        <v>35</v>
      </c>
      <c r="L30" s="155" t="s">
        <v>35</v>
      </c>
      <c r="M30" s="155" t="s">
        <v>35</v>
      </c>
      <c r="N30" s="155" t="s">
        <v>35</v>
      </c>
      <c r="O30" s="155" t="s">
        <v>35</v>
      </c>
      <c r="P30" s="155" t="s">
        <v>35</v>
      </c>
      <c r="Q30" s="155" t="s">
        <v>35</v>
      </c>
      <c r="R30" s="155" t="s">
        <v>35</v>
      </c>
      <c r="S30" s="155" t="s">
        <v>35</v>
      </c>
      <c r="T30" s="155" t="s">
        <v>35</v>
      </c>
      <c r="U30" s="155" t="s">
        <v>35</v>
      </c>
      <c r="V30" s="155" t="s">
        <v>35</v>
      </c>
      <c r="W30" s="155" t="s">
        <v>35</v>
      </c>
      <c r="X30" s="155" t="s">
        <v>35</v>
      </c>
      <c r="Y30" s="155" t="s">
        <v>35</v>
      </c>
      <c r="Z30" s="155" t="s">
        <v>35</v>
      </c>
      <c r="AA30" s="155" t="s">
        <v>35</v>
      </c>
      <c r="AB30" s="155" t="s">
        <v>35</v>
      </c>
      <c r="AC30" s="155" t="s">
        <v>35</v>
      </c>
      <c r="AD30" s="155" t="s">
        <v>35</v>
      </c>
      <c r="AE30" s="155" t="s">
        <v>35</v>
      </c>
      <c r="AF30" s="152" t="s">
        <v>35</v>
      </c>
      <c r="AG30" s="152" t="s">
        <v>35</v>
      </c>
      <c r="AH30" s="152" t="s">
        <v>35</v>
      </c>
      <c r="AI30" s="152" t="s">
        <v>35</v>
      </c>
      <c r="AJ30" s="178" t="s">
        <v>35</v>
      </c>
      <c r="AK30" s="165" t="s">
        <v>35</v>
      </c>
      <c r="AL30" s="261" t="s">
        <v>16</v>
      </c>
    </row>
    <row r="31" spans="1:38" ht="12.75" customHeight="1" x14ac:dyDescent="0.2">
      <c r="A31" s="15"/>
      <c r="B31" s="182" t="s">
        <v>15</v>
      </c>
      <c r="C31" s="183"/>
      <c r="D31" s="183"/>
      <c r="E31" s="184"/>
      <c r="F31" s="184"/>
      <c r="G31" s="184"/>
      <c r="H31" s="184">
        <v>5.4</v>
      </c>
      <c r="I31" s="184">
        <v>6.2</v>
      </c>
      <c r="J31" s="196">
        <v>6.1</v>
      </c>
      <c r="K31" s="196">
        <v>5.8</v>
      </c>
      <c r="L31" s="196">
        <v>5.5</v>
      </c>
      <c r="M31" s="196">
        <v>5.6</v>
      </c>
      <c r="N31" s="196">
        <v>5.2</v>
      </c>
      <c r="O31" s="196">
        <v>4.5999999999999996</v>
      </c>
      <c r="P31" s="196">
        <v>4.8</v>
      </c>
      <c r="Q31" s="196">
        <v>4.7</v>
      </c>
      <c r="R31" s="196">
        <v>5</v>
      </c>
      <c r="S31" s="196">
        <v>5.2</v>
      </c>
      <c r="T31" s="196">
        <v>5.3</v>
      </c>
      <c r="U31" s="196">
        <v>5.6</v>
      </c>
      <c r="V31" s="196">
        <v>5.3</v>
      </c>
      <c r="W31" s="196">
        <v>5.3</v>
      </c>
      <c r="X31" s="196">
        <v>5.35</v>
      </c>
      <c r="Y31" s="196">
        <v>5.0374999999999996</v>
      </c>
      <c r="Z31" s="196">
        <v>4.96</v>
      </c>
      <c r="AA31" s="196">
        <v>4.2089999999999996</v>
      </c>
      <c r="AB31" s="196">
        <f>4.894</f>
        <v>4.8940000000000001</v>
      </c>
      <c r="AC31" s="196">
        <v>4.4725000000000001</v>
      </c>
      <c r="AD31" s="196">
        <v>4.9660000000000002</v>
      </c>
      <c r="AE31" s="196">
        <v>4.5854999999999997</v>
      </c>
      <c r="AF31" s="196">
        <v>4.7910000000000004</v>
      </c>
      <c r="AG31" s="196">
        <v>4.79</v>
      </c>
      <c r="AH31" s="196">
        <f>4.55</f>
        <v>4.55</v>
      </c>
      <c r="AI31" s="196">
        <v>4.3774059999999997</v>
      </c>
      <c r="AJ31" s="215">
        <f>AVERAGE(AG31:AI31)</f>
        <v>4.5724686666666665</v>
      </c>
      <c r="AK31" s="431">
        <f t="shared" si="1"/>
        <v>4.4561246241876233</v>
      </c>
      <c r="AL31" s="171" t="s">
        <v>15</v>
      </c>
    </row>
    <row r="32" spans="1:38" ht="12.75" customHeight="1" x14ac:dyDescent="0.2">
      <c r="A32" s="15"/>
      <c r="B32" s="85" t="s">
        <v>31</v>
      </c>
      <c r="C32" s="151" t="s">
        <v>35</v>
      </c>
      <c r="D32" s="151" t="s">
        <v>35</v>
      </c>
      <c r="E32" s="151" t="s">
        <v>35</v>
      </c>
      <c r="F32" s="152" t="s">
        <v>35</v>
      </c>
      <c r="G32" s="152" t="s">
        <v>35</v>
      </c>
      <c r="H32" s="152" t="s">
        <v>35</v>
      </c>
      <c r="I32" s="152" t="s">
        <v>35</v>
      </c>
      <c r="J32" s="152" t="s">
        <v>35</v>
      </c>
      <c r="K32" s="152" t="s">
        <v>35</v>
      </c>
      <c r="L32" s="152" t="s">
        <v>35</v>
      </c>
      <c r="M32" s="152" t="s">
        <v>35</v>
      </c>
      <c r="N32" s="152" t="s">
        <v>35</v>
      </c>
      <c r="O32" s="152" t="s">
        <v>35</v>
      </c>
      <c r="P32" s="152" t="s">
        <v>35</v>
      </c>
      <c r="Q32" s="152" t="s">
        <v>35</v>
      </c>
      <c r="R32" s="152" t="s">
        <v>35</v>
      </c>
      <c r="S32" s="152" t="s">
        <v>35</v>
      </c>
      <c r="T32" s="152" t="s">
        <v>35</v>
      </c>
      <c r="U32" s="152" t="s">
        <v>35</v>
      </c>
      <c r="V32" s="152" t="s">
        <v>35</v>
      </c>
      <c r="W32" s="152" t="s">
        <v>35</v>
      </c>
      <c r="X32" s="152" t="s">
        <v>35</v>
      </c>
      <c r="Y32" s="152" t="s">
        <v>35</v>
      </c>
      <c r="Z32" s="152" t="s">
        <v>35</v>
      </c>
      <c r="AA32" s="152" t="s">
        <v>35</v>
      </c>
      <c r="AB32" s="152" t="s">
        <v>35</v>
      </c>
      <c r="AC32" s="152" t="s">
        <v>35</v>
      </c>
      <c r="AD32" s="152" t="s">
        <v>35</v>
      </c>
      <c r="AE32" s="152" t="s">
        <v>35</v>
      </c>
      <c r="AF32" s="152" t="s">
        <v>35</v>
      </c>
      <c r="AG32" s="152" t="s">
        <v>35</v>
      </c>
      <c r="AH32" s="152" t="s">
        <v>35</v>
      </c>
      <c r="AI32" s="152" t="s">
        <v>35</v>
      </c>
      <c r="AJ32" s="178" t="s">
        <v>35</v>
      </c>
      <c r="AK32" s="165" t="s">
        <v>35</v>
      </c>
      <c r="AL32" s="315" t="s">
        <v>31</v>
      </c>
    </row>
    <row r="33" spans="1:38" ht="12.75" customHeight="1" x14ac:dyDescent="0.2">
      <c r="A33" s="15"/>
      <c r="B33" s="304" t="s">
        <v>32</v>
      </c>
      <c r="C33" s="305" t="s">
        <v>35</v>
      </c>
      <c r="D33" s="305" t="s">
        <v>35</v>
      </c>
      <c r="E33" s="306" t="s">
        <v>35</v>
      </c>
      <c r="F33" s="306" t="s">
        <v>35</v>
      </c>
      <c r="G33" s="306" t="s">
        <v>35</v>
      </c>
      <c r="H33" s="306" t="s">
        <v>35</v>
      </c>
      <c r="I33" s="306" t="s">
        <v>35</v>
      </c>
      <c r="J33" s="306" t="s">
        <v>35</v>
      </c>
      <c r="K33" s="306" t="s">
        <v>35</v>
      </c>
      <c r="L33" s="306" t="s">
        <v>35</v>
      </c>
      <c r="M33" s="306" t="s">
        <v>35</v>
      </c>
      <c r="N33" s="306" t="s">
        <v>35</v>
      </c>
      <c r="O33" s="306" t="s">
        <v>35</v>
      </c>
      <c r="P33" s="306" t="s">
        <v>35</v>
      </c>
      <c r="Q33" s="306" t="s">
        <v>35</v>
      </c>
      <c r="R33" s="306" t="s">
        <v>35</v>
      </c>
      <c r="S33" s="306" t="s">
        <v>35</v>
      </c>
      <c r="T33" s="306" t="s">
        <v>35</v>
      </c>
      <c r="U33" s="306" t="s">
        <v>35</v>
      </c>
      <c r="V33" s="306" t="s">
        <v>35</v>
      </c>
      <c r="W33" s="306" t="s">
        <v>35</v>
      </c>
      <c r="X33" s="306" t="s">
        <v>35</v>
      </c>
      <c r="Y33" s="306" t="s">
        <v>35</v>
      </c>
      <c r="Z33" s="306" t="s">
        <v>35</v>
      </c>
      <c r="AA33" s="307" t="s">
        <v>35</v>
      </c>
      <c r="AB33" s="307" t="s">
        <v>35</v>
      </c>
      <c r="AC33" s="307" t="s">
        <v>35</v>
      </c>
      <c r="AD33" s="307" t="s">
        <v>35</v>
      </c>
      <c r="AE33" s="307" t="s">
        <v>35</v>
      </c>
      <c r="AF33" s="310" t="s">
        <v>35</v>
      </c>
      <c r="AG33" s="310" t="s">
        <v>35</v>
      </c>
      <c r="AH33" s="214" t="s">
        <v>35</v>
      </c>
      <c r="AI33" s="310" t="s">
        <v>35</v>
      </c>
      <c r="AJ33" s="465" t="s">
        <v>35</v>
      </c>
      <c r="AK33" s="462" t="s">
        <v>35</v>
      </c>
      <c r="AL33" s="483" t="s">
        <v>32</v>
      </c>
    </row>
    <row r="34" spans="1:38" ht="12.75" customHeight="1" x14ac:dyDescent="0.2">
      <c r="A34" s="15"/>
      <c r="B34" s="188" t="s">
        <v>3</v>
      </c>
      <c r="C34" s="189" t="s">
        <v>35</v>
      </c>
      <c r="D34" s="189" t="s">
        <v>35</v>
      </c>
      <c r="E34" s="190" t="s">
        <v>35</v>
      </c>
      <c r="F34" s="190" t="s">
        <v>35</v>
      </c>
      <c r="G34" s="190" t="s">
        <v>35</v>
      </c>
      <c r="H34" s="190" t="s">
        <v>35</v>
      </c>
      <c r="I34" s="190" t="s">
        <v>35</v>
      </c>
      <c r="J34" s="190" t="s">
        <v>35</v>
      </c>
      <c r="K34" s="190" t="s">
        <v>35</v>
      </c>
      <c r="L34" s="190" t="s">
        <v>35</v>
      </c>
      <c r="M34" s="190" t="s">
        <v>35</v>
      </c>
      <c r="N34" s="190" t="s">
        <v>35</v>
      </c>
      <c r="O34" s="190" t="s">
        <v>35</v>
      </c>
      <c r="P34" s="190" t="s">
        <v>35</v>
      </c>
      <c r="Q34" s="190" t="s">
        <v>35</v>
      </c>
      <c r="R34" s="190" t="s">
        <v>35</v>
      </c>
      <c r="S34" s="190" t="s">
        <v>35</v>
      </c>
      <c r="T34" s="190" t="s">
        <v>35</v>
      </c>
      <c r="U34" s="190" t="s">
        <v>35</v>
      </c>
      <c r="V34" s="190" t="s">
        <v>35</v>
      </c>
      <c r="W34" s="190" t="s">
        <v>35</v>
      </c>
      <c r="X34" s="190" t="s">
        <v>35</v>
      </c>
      <c r="Y34" s="190" t="s">
        <v>35</v>
      </c>
      <c r="Z34" s="190" t="s">
        <v>35</v>
      </c>
      <c r="AA34" s="192" t="s">
        <v>35</v>
      </c>
      <c r="AB34" s="192" t="s">
        <v>35</v>
      </c>
      <c r="AC34" s="192" t="s">
        <v>35</v>
      </c>
      <c r="AD34" s="192" t="s">
        <v>35</v>
      </c>
      <c r="AE34" s="192" t="s">
        <v>35</v>
      </c>
      <c r="AF34" s="192" t="s">
        <v>35</v>
      </c>
      <c r="AG34" s="192" t="s">
        <v>35</v>
      </c>
      <c r="AH34" s="192" t="s">
        <v>35</v>
      </c>
      <c r="AI34" s="192" t="s">
        <v>35</v>
      </c>
      <c r="AJ34" s="211" t="s">
        <v>35</v>
      </c>
      <c r="AK34" s="316" t="s">
        <v>35</v>
      </c>
      <c r="AL34" s="385" t="s">
        <v>3</v>
      </c>
    </row>
    <row r="35" spans="1:38" ht="12.75" customHeight="1" x14ac:dyDescent="0.2">
      <c r="A35" s="15"/>
      <c r="B35" s="17" t="s">
        <v>33</v>
      </c>
      <c r="C35" s="92" t="s">
        <v>35</v>
      </c>
      <c r="D35" s="92" t="s">
        <v>35</v>
      </c>
      <c r="E35" s="55">
        <v>2.0550000000000002</v>
      </c>
      <c r="F35" s="55">
        <v>2.5049999999999999</v>
      </c>
      <c r="G35" s="55">
        <v>3.0710000000000002</v>
      </c>
      <c r="H35" s="55">
        <v>3.39</v>
      </c>
      <c r="I35" s="55">
        <v>4.0490000000000004</v>
      </c>
      <c r="J35" s="55">
        <v>5.2610000000000001</v>
      </c>
      <c r="K35" s="55">
        <v>5.1260000000000003</v>
      </c>
      <c r="L35" s="55">
        <v>4.16</v>
      </c>
      <c r="M35" s="55">
        <v>4.1360000000000001</v>
      </c>
      <c r="N35" s="55">
        <v>3.9809999999999999</v>
      </c>
      <c r="O35" s="55">
        <v>3.4849999999999999</v>
      </c>
      <c r="P35" s="55">
        <v>3.681</v>
      </c>
      <c r="Q35" s="55">
        <v>3.601</v>
      </c>
      <c r="R35" s="55">
        <v>3.4940000000000002</v>
      </c>
      <c r="S35" s="55">
        <v>4.7210000000000001</v>
      </c>
      <c r="T35" s="55">
        <v>4.59</v>
      </c>
      <c r="U35" s="55">
        <v>4.5289999999999999</v>
      </c>
      <c r="V35" s="55">
        <v>4.1920000000000002</v>
      </c>
      <c r="W35" s="55">
        <v>3.827</v>
      </c>
      <c r="X35" s="55">
        <v>3.8540000000000001</v>
      </c>
      <c r="Y35" s="55">
        <v>3.4649999999999999</v>
      </c>
      <c r="Z35" s="55">
        <v>3.3719999999999999</v>
      </c>
      <c r="AA35" s="150">
        <v>3.1150000000000002</v>
      </c>
      <c r="AB35" s="150">
        <v>2.7240000000000002</v>
      </c>
      <c r="AC35" s="150">
        <v>2.8450000000000002</v>
      </c>
      <c r="AD35" s="150">
        <v>3.3769999999999998</v>
      </c>
      <c r="AE35" s="150">
        <v>3.8130000000000002</v>
      </c>
      <c r="AF35" s="150">
        <f>4768/1000</f>
        <v>4.7679999999999998</v>
      </c>
      <c r="AG35" s="150">
        <f>4518/1000</f>
        <v>4.5179999999999998</v>
      </c>
      <c r="AH35" s="150">
        <f>5185/1000</f>
        <v>5.1849999999999996</v>
      </c>
      <c r="AI35" s="150">
        <f>9.383</f>
        <v>9.3829999999999991</v>
      </c>
      <c r="AJ35" s="170">
        <f>10.285</f>
        <v>10.285</v>
      </c>
      <c r="AK35" s="348">
        <f>AJ35/AI35*100-100</f>
        <v>9.6131301289566409</v>
      </c>
      <c r="AL35" s="171" t="s">
        <v>33</v>
      </c>
    </row>
    <row r="36" spans="1:38" ht="12.75" customHeight="1" x14ac:dyDescent="0.2">
      <c r="A36" s="15"/>
      <c r="B36" s="208" t="s">
        <v>4</v>
      </c>
      <c r="C36" s="209">
        <v>1.2</v>
      </c>
      <c r="D36" s="209">
        <v>1.1000000000000001</v>
      </c>
      <c r="E36" s="216">
        <v>1.2</v>
      </c>
      <c r="F36" s="193">
        <v>1.2270000000000001</v>
      </c>
      <c r="G36" s="193">
        <v>1.2649999999999999</v>
      </c>
      <c r="H36" s="193">
        <v>1.2210000000000001</v>
      </c>
      <c r="I36" s="193">
        <v>1.2110000000000001</v>
      </c>
      <c r="J36" s="217">
        <v>1.248</v>
      </c>
      <c r="K36" s="193">
        <v>1.202</v>
      </c>
      <c r="L36" s="193">
        <v>0.28899999999999998</v>
      </c>
      <c r="M36" s="193">
        <v>0.23400000000000001</v>
      </c>
      <c r="N36" s="193">
        <v>0.23300000000000001</v>
      </c>
      <c r="O36" s="193">
        <v>0.216</v>
      </c>
      <c r="P36" s="193">
        <v>0.23</v>
      </c>
      <c r="Q36" s="193">
        <v>0.22600000000000001</v>
      </c>
      <c r="R36" s="193">
        <v>0.222</v>
      </c>
      <c r="S36" s="193">
        <v>0.23799999999999999</v>
      </c>
      <c r="T36" s="193">
        <v>0.22600000000000001</v>
      </c>
      <c r="U36" s="193">
        <v>0.25600000000000001</v>
      </c>
      <c r="V36" s="193">
        <v>0.217</v>
      </c>
      <c r="W36" s="193">
        <v>0.248</v>
      </c>
      <c r="X36" s="193">
        <v>0.23300000000000001</v>
      </c>
      <c r="Y36" s="193">
        <v>0.218</v>
      </c>
      <c r="Z36" s="193">
        <v>0.20300000000000001</v>
      </c>
      <c r="AA36" s="193">
        <v>0.183</v>
      </c>
      <c r="AB36" s="193">
        <v>0.22800000000000001</v>
      </c>
      <c r="AC36" s="193">
        <v>0.23400000000000001</v>
      </c>
      <c r="AD36" s="287">
        <v>0.113</v>
      </c>
      <c r="AE36" s="262">
        <v>0.109</v>
      </c>
      <c r="AF36" s="262">
        <v>0.107</v>
      </c>
      <c r="AG36" s="262">
        <v>0.112</v>
      </c>
      <c r="AH36" s="262">
        <f>105/1000</f>
        <v>0.105</v>
      </c>
      <c r="AI36" s="262">
        <f>0.1</f>
        <v>0.1</v>
      </c>
      <c r="AJ36" s="246">
        <f>0.086</f>
        <v>8.5999999999999993E-2</v>
      </c>
      <c r="AK36" s="227">
        <f>AJ36/AI36*100-100</f>
        <v>-14.000000000000014</v>
      </c>
      <c r="AL36" s="317" t="s">
        <v>4</v>
      </c>
    </row>
    <row r="37" spans="1:38" ht="12.75" customHeight="1" x14ac:dyDescent="0.2">
      <c r="A37" s="15"/>
      <c r="B37" s="188" t="s">
        <v>145</v>
      </c>
      <c r="C37" s="189"/>
      <c r="D37" s="189"/>
      <c r="E37" s="190"/>
      <c r="F37" s="190"/>
      <c r="G37" s="190"/>
      <c r="H37" s="190"/>
      <c r="I37" s="190"/>
      <c r="J37" s="190"/>
      <c r="K37" s="190"/>
      <c r="L37" s="190"/>
      <c r="M37" s="190"/>
      <c r="N37" s="190"/>
      <c r="O37" s="190"/>
      <c r="P37" s="190"/>
      <c r="Q37" s="190"/>
      <c r="R37" s="190"/>
      <c r="S37" s="190"/>
      <c r="T37" s="190"/>
      <c r="U37" s="190"/>
      <c r="V37" s="190"/>
      <c r="W37" s="190"/>
      <c r="X37" s="190"/>
      <c r="Y37" s="192"/>
      <c r="Z37" s="192"/>
      <c r="AA37" s="192"/>
      <c r="AB37" s="204"/>
      <c r="AC37" s="204"/>
      <c r="AD37" s="204"/>
      <c r="AE37" s="204"/>
      <c r="AF37" s="204"/>
      <c r="AG37" s="204"/>
      <c r="AH37" s="204"/>
      <c r="AI37" s="207"/>
      <c r="AJ37" s="446"/>
      <c r="AK37" s="513"/>
      <c r="AL37" s="402" t="s">
        <v>145</v>
      </c>
    </row>
    <row r="38" spans="1:38" ht="12.75" customHeight="1" x14ac:dyDescent="0.2">
      <c r="A38" s="15"/>
      <c r="B38" s="17" t="s">
        <v>96</v>
      </c>
      <c r="C38" s="389" t="s">
        <v>35</v>
      </c>
      <c r="D38" s="389" t="s">
        <v>35</v>
      </c>
      <c r="E38" s="150" t="s">
        <v>35</v>
      </c>
      <c r="F38" s="150" t="s">
        <v>35</v>
      </c>
      <c r="G38" s="150" t="s">
        <v>35</v>
      </c>
      <c r="H38" s="150" t="s">
        <v>35</v>
      </c>
      <c r="I38" s="150" t="s">
        <v>35</v>
      </c>
      <c r="J38" s="150" t="s">
        <v>35</v>
      </c>
      <c r="K38" s="55" t="s">
        <v>35</v>
      </c>
      <c r="L38" s="55" t="s">
        <v>35</v>
      </c>
      <c r="M38" s="55" t="s">
        <v>35</v>
      </c>
      <c r="N38" s="55" t="s">
        <v>35</v>
      </c>
      <c r="O38" s="150" t="s">
        <v>35</v>
      </c>
      <c r="P38" s="150" t="s">
        <v>35</v>
      </c>
      <c r="Q38" s="150" t="s">
        <v>35</v>
      </c>
      <c r="R38" s="150" t="s">
        <v>35</v>
      </c>
      <c r="S38" s="150" t="s">
        <v>35</v>
      </c>
      <c r="T38" s="150" t="s">
        <v>35</v>
      </c>
      <c r="U38" s="150" t="s">
        <v>35</v>
      </c>
      <c r="V38" s="150" t="s">
        <v>35</v>
      </c>
      <c r="W38" s="150" t="s">
        <v>35</v>
      </c>
      <c r="X38" s="150" t="s">
        <v>35</v>
      </c>
      <c r="Y38" s="150" t="s">
        <v>35</v>
      </c>
      <c r="Z38" s="150" t="s">
        <v>35</v>
      </c>
      <c r="AA38" s="150" t="s">
        <v>35</v>
      </c>
      <c r="AB38" s="150" t="s">
        <v>35</v>
      </c>
      <c r="AC38" s="150" t="s">
        <v>35</v>
      </c>
      <c r="AD38" s="150" t="s">
        <v>35</v>
      </c>
      <c r="AE38" s="150" t="s">
        <v>35</v>
      </c>
      <c r="AF38" s="150" t="s">
        <v>35</v>
      </c>
      <c r="AG38" s="150" t="s">
        <v>35</v>
      </c>
      <c r="AH38" s="150" t="s">
        <v>35</v>
      </c>
      <c r="AI38" s="144" t="s">
        <v>35</v>
      </c>
      <c r="AJ38" s="179" t="s">
        <v>35</v>
      </c>
      <c r="AK38" s="462" t="s">
        <v>35</v>
      </c>
      <c r="AL38" s="166" t="s">
        <v>96</v>
      </c>
    </row>
    <row r="39" spans="1:38" ht="12.75" customHeight="1" x14ac:dyDescent="0.2">
      <c r="A39" s="15"/>
      <c r="B39" s="188" t="s">
        <v>146</v>
      </c>
      <c r="C39" s="484"/>
      <c r="D39" s="484"/>
      <c r="E39" s="192"/>
      <c r="F39" s="192"/>
      <c r="G39" s="192"/>
      <c r="H39" s="192"/>
      <c r="I39" s="192"/>
      <c r="J39" s="192"/>
      <c r="K39" s="190"/>
      <c r="L39" s="190"/>
      <c r="M39" s="190"/>
      <c r="N39" s="190"/>
      <c r="O39" s="192"/>
      <c r="P39" s="192"/>
      <c r="Q39" s="192"/>
      <c r="R39" s="192"/>
      <c r="S39" s="192"/>
      <c r="T39" s="192"/>
      <c r="U39" s="192"/>
      <c r="V39" s="192"/>
      <c r="W39" s="192"/>
      <c r="X39" s="192"/>
      <c r="Y39" s="192">
        <v>0.35099999999999998</v>
      </c>
      <c r="Z39" s="192">
        <f>0.456</f>
        <v>0.45600000000000002</v>
      </c>
      <c r="AA39" s="192">
        <f>1.211</f>
        <v>1.2110000000000001</v>
      </c>
      <c r="AB39" s="192">
        <f>1.223</f>
        <v>1.2230000000000001</v>
      </c>
      <c r="AC39" s="192">
        <f>1.111</f>
        <v>1.111</v>
      </c>
      <c r="AD39" s="192"/>
      <c r="AE39" s="192"/>
      <c r="AF39" s="192"/>
      <c r="AG39" s="192"/>
      <c r="AH39" s="192"/>
      <c r="AI39" s="192"/>
      <c r="AJ39" s="211"/>
      <c r="AK39" s="402"/>
      <c r="AL39" s="402" t="s">
        <v>146</v>
      </c>
    </row>
    <row r="40" spans="1:38" ht="12.75" customHeight="1" x14ac:dyDescent="0.2">
      <c r="A40" s="15"/>
      <c r="B40" s="17" t="s">
        <v>2</v>
      </c>
      <c r="C40" s="92" t="s">
        <v>35</v>
      </c>
      <c r="D40" s="92" t="s">
        <v>35</v>
      </c>
      <c r="E40" s="55" t="s">
        <v>35</v>
      </c>
      <c r="F40" s="55" t="s">
        <v>35</v>
      </c>
      <c r="G40" s="55" t="s">
        <v>35</v>
      </c>
      <c r="H40" s="55" t="s">
        <v>35</v>
      </c>
      <c r="I40" s="55" t="s">
        <v>35</v>
      </c>
      <c r="J40" s="55" t="s">
        <v>35</v>
      </c>
      <c r="K40" s="55" t="s">
        <v>35</v>
      </c>
      <c r="L40" s="55" t="s">
        <v>35</v>
      </c>
      <c r="M40" s="55" t="s">
        <v>35</v>
      </c>
      <c r="N40" s="55" t="s">
        <v>35</v>
      </c>
      <c r="O40" s="55" t="s">
        <v>35</v>
      </c>
      <c r="P40" s="55" t="s">
        <v>35</v>
      </c>
      <c r="Q40" s="55">
        <v>0.04</v>
      </c>
      <c r="R40" s="55">
        <v>0.121</v>
      </c>
      <c r="S40" s="55">
        <v>0.12</v>
      </c>
      <c r="T40" s="55">
        <v>0.14899999999999999</v>
      </c>
      <c r="U40" s="55">
        <v>0.17</v>
      </c>
      <c r="V40" s="55">
        <v>0.16400000000000001</v>
      </c>
      <c r="W40" s="55">
        <v>0.16400000000000001</v>
      </c>
      <c r="X40" s="55">
        <v>0.14399999999999999</v>
      </c>
      <c r="Y40" s="55">
        <v>0.123</v>
      </c>
      <c r="Z40" s="55">
        <v>9.8000000000000004E-2</v>
      </c>
      <c r="AA40" s="150">
        <v>3.6999999999999998E-2</v>
      </c>
      <c r="AB40" s="137" t="s">
        <v>35</v>
      </c>
      <c r="AC40" s="150">
        <v>6.0000000000000001E-3</v>
      </c>
      <c r="AD40" s="150">
        <v>6.0000000000000001E-3</v>
      </c>
      <c r="AE40" s="150">
        <v>0.01</v>
      </c>
      <c r="AF40" s="150">
        <v>1.2999999999999999E-2</v>
      </c>
      <c r="AG40" s="150">
        <v>1.2E-2</v>
      </c>
      <c r="AH40" s="150">
        <f>36/1000</f>
        <v>3.5999999999999997E-2</v>
      </c>
      <c r="AI40" s="150">
        <f>0.041</f>
        <v>4.1000000000000002E-2</v>
      </c>
      <c r="AJ40" s="170">
        <f>0.0535</f>
        <v>5.3499999999999999E-2</v>
      </c>
      <c r="AK40" s="166">
        <f t="shared" si="1"/>
        <v>30.487804878048763</v>
      </c>
      <c r="AL40" s="166" t="s">
        <v>2</v>
      </c>
    </row>
    <row r="41" spans="1:38" ht="12.75" customHeight="1" x14ac:dyDescent="0.2">
      <c r="A41" s="15"/>
      <c r="B41" s="188" t="s">
        <v>99</v>
      </c>
      <c r="C41" s="189" t="s">
        <v>35</v>
      </c>
      <c r="D41" s="189" t="s">
        <v>35</v>
      </c>
      <c r="E41" s="190" t="s">
        <v>35</v>
      </c>
      <c r="F41" s="190" t="s">
        <v>35</v>
      </c>
      <c r="G41" s="190" t="s">
        <v>35</v>
      </c>
      <c r="H41" s="190" t="s">
        <v>35</v>
      </c>
      <c r="I41" s="190" t="s">
        <v>35</v>
      </c>
      <c r="J41" s="190" t="s">
        <v>35</v>
      </c>
      <c r="K41" s="190" t="s">
        <v>35</v>
      </c>
      <c r="L41" s="190" t="s">
        <v>35</v>
      </c>
      <c r="M41" s="190" t="s">
        <v>35</v>
      </c>
      <c r="N41" s="190" t="s">
        <v>35</v>
      </c>
      <c r="O41" s="190" t="s">
        <v>35</v>
      </c>
      <c r="P41" s="190" t="s">
        <v>35</v>
      </c>
      <c r="Q41" s="190" t="s">
        <v>35</v>
      </c>
      <c r="R41" s="190" t="s">
        <v>35</v>
      </c>
      <c r="S41" s="190" t="s">
        <v>35</v>
      </c>
      <c r="T41" s="190" t="s">
        <v>35</v>
      </c>
      <c r="U41" s="190" t="s">
        <v>35</v>
      </c>
      <c r="V41" s="190" t="s">
        <v>35</v>
      </c>
      <c r="W41" s="190" t="s">
        <v>35</v>
      </c>
      <c r="X41" s="190" t="s">
        <v>35</v>
      </c>
      <c r="Y41" s="192" t="s">
        <v>35</v>
      </c>
      <c r="Z41" s="192" t="s">
        <v>35</v>
      </c>
      <c r="AA41" s="192" t="s">
        <v>35</v>
      </c>
      <c r="AB41" s="192" t="s">
        <v>35</v>
      </c>
      <c r="AC41" s="192" t="s">
        <v>35</v>
      </c>
      <c r="AD41" s="192" t="s">
        <v>35</v>
      </c>
      <c r="AE41" s="192" t="s">
        <v>35</v>
      </c>
      <c r="AF41" s="192" t="s">
        <v>35</v>
      </c>
      <c r="AG41" s="192" t="s">
        <v>35</v>
      </c>
      <c r="AH41" s="192" t="s">
        <v>35</v>
      </c>
      <c r="AI41" s="192" t="s">
        <v>35</v>
      </c>
      <c r="AJ41" s="211" t="s">
        <v>35</v>
      </c>
      <c r="AK41" s="402" t="s">
        <v>35</v>
      </c>
      <c r="AL41" s="402" t="s">
        <v>99</v>
      </c>
    </row>
    <row r="42" spans="1:38" ht="12.75" customHeight="1" x14ac:dyDescent="0.2">
      <c r="A42" s="15"/>
      <c r="B42" s="17" t="s">
        <v>97</v>
      </c>
      <c r="C42" s="92" t="s">
        <v>35</v>
      </c>
      <c r="D42" s="92" t="s">
        <v>35</v>
      </c>
      <c r="E42" s="55" t="s">
        <v>35</v>
      </c>
      <c r="F42" s="55" t="s">
        <v>35</v>
      </c>
      <c r="G42" s="55" t="s">
        <v>35</v>
      </c>
      <c r="H42" s="55" t="s">
        <v>35</v>
      </c>
      <c r="I42" s="55" t="s">
        <v>35</v>
      </c>
      <c r="J42" s="55" t="s">
        <v>35</v>
      </c>
      <c r="K42" s="55" t="s">
        <v>35</v>
      </c>
      <c r="L42" s="55" t="s">
        <v>35</v>
      </c>
      <c r="M42" s="55" t="s">
        <v>35</v>
      </c>
      <c r="N42" s="55" t="s">
        <v>35</v>
      </c>
      <c r="O42" s="55" t="s">
        <v>35</v>
      </c>
      <c r="P42" s="55" t="s">
        <v>35</v>
      </c>
      <c r="Q42" s="55" t="s">
        <v>35</v>
      </c>
      <c r="R42" s="55" t="s">
        <v>35</v>
      </c>
      <c r="S42" s="55" t="s">
        <v>35</v>
      </c>
      <c r="T42" s="55" t="s">
        <v>35</v>
      </c>
      <c r="U42" s="55">
        <v>0.47</v>
      </c>
      <c r="V42" s="55">
        <v>0.45200000000000001</v>
      </c>
      <c r="W42" s="55">
        <v>0.46200000000000002</v>
      </c>
      <c r="X42" s="55">
        <v>0.40200000000000002</v>
      </c>
      <c r="Y42" s="55">
        <v>0.38100000000000001</v>
      </c>
      <c r="Z42" s="55">
        <v>0.311</v>
      </c>
      <c r="AA42" s="55">
        <v>0.29499999999999998</v>
      </c>
      <c r="AB42" s="150">
        <v>0.38100000000000001</v>
      </c>
      <c r="AC42" s="150">
        <v>0.35499999999999998</v>
      </c>
      <c r="AD42" s="150">
        <v>0.40500000000000003</v>
      </c>
      <c r="AE42" s="150">
        <v>0.44700000000000001</v>
      </c>
      <c r="AF42" s="150">
        <v>0.48099999999999998</v>
      </c>
      <c r="AG42" s="150">
        <f>1056/1000</f>
        <v>1.056</v>
      </c>
      <c r="AH42" s="150">
        <f>933/1000</f>
        <v>0.93300000000000005</v>
      </c>
      <c r="AI42" s="150">
        <f>0.496</f>
        <v>0.496</v>
      </c>
      <c r="AJ42" s="170">
        <v>0.52700000000000002</v>
      </c>
      <c r="AK42" s="166">
        <f t="shared" si="1"/>
        <v>6.25</v>
      </c>
      <c r="AL42" s="171" t="s">
        <v>97</v>
      </c>
    </row>
    <row r="43" spans="1:38" ht="12.75" customHeight="1" x14ac:dyDescent="0.2">
      <c r="A43" s="466"/>
      <c r="B43" s="448" t="s">
        <v>17</v>
      </c>
      <c r="C43" s="449">
        <v>1.3</v>
      </c>
      <c r="D43" s="449">
        <v>13.8</v>
      </c>
      <c r="E43" s="190" t="s">
        <v>34</v>
      </c>
      <c r="F43" s="190" t="s">
        <v>0</v>
      </c>
      <c r="G43" s="190">
        <v>3.1</v>
      </c>
      <c r="H43" s="190">
        <v>3.1</v>
      </c>
      <c r="I43" s="190">
        <v>3.1</v>
      </c>
      <c r="J43" s="190">
        <v>3.2</v>
      </c>
      <c r="K43" s="190">
        <v>4</v>
      </c>
      <c r="L43" s="190">
        <v>21</v>
      </c>
      <c r="M43" s="190">
        <v>39.700000000000003</v>
      </c>
      <c r="N43" s="190">
        <v>43.478000000000002</v>
      </c>
      <c r="O43" s="190">
        <v>53.134</v>
      </c>
      <c r="P43" s="190">
        <v>43.518000000000001</v>
      </c>
      <c r="Q43" s="190">
        <v>47.691000000000003</v>
      </c>
      <c r="R43" s="190">
        <v>18.127734</v>
      </c>
      <c r="S43" s="190">
        <v>11.927372999999999</v>
      </c>
      <c r="T43" s="190">
        <v>5.735652</v>
      </c>
      <c r="U43" s="190">
        <v>5.8407600000000004</v>
      </c>
      <c r="V43" s="190">
        <v>12.893485</v>
      </c>
      <c r="W43" s="190">
        <v>36.397748999999997</v>
      </c>
      <c r="X43" s="190">
        <v>45.111153000000002</v>
      </c>
      <c r="Y43" s="190">
        <v>39.636437999999998</v>
      </c>
      <c r="Z43" s="190">
        <v>44.69</v>
      </c>
      <c r="AA43" s="192">
        <f>37268707/1000000</f>
        <v>37.268706999999999</v>
      </c>
      <c r="AB43" s="192">
        <v>26.713999999999999</v>
      </c>
      <c r="AC43" s="192">
        <v>15.331</v>
      </c>
      <c r="AD43" s="192">
        <v>52.514451999999999</v>
      </c>
      <c r="AE43" s="192">
        <v>52.683</v>
      </c>
      <c r="AF43" s="192">
        <v>52.095254000000004</v>
      </c>
      <c r="AG43" s="192">
        <v>38.65</v>
      </c>
      <c r="AH43" s="192">
        <f>54238/1000</f>
        <v>54.238</v>
      </c>
      <c r="AI43" s="192">
        <f>53.99</f>
        <v>53.99</v>
      </c>
      <c r="AJ43" s="211">
        <v>52.624000000000002</v>
      </c>
      <c r="AK43" s="402">
        <f t="shared" si="1"/>
        <v>-2.5300981663270932</v>
      </c>
      <c r="AL43" s="385" t="s">
        <v>17</v>
      </c>
    </row>
    <row r="44" spans="1:38" ht="12.75" customHeight="1" x14ac:dyDescent="0.2">
      <c r="A44" s="15"/>
      <c r="B44" s="18" t="s">
        <v>144</v>
      </c>
      <c r="C44" s="94"/>
      <c r="D44" s="94"/>
      <c r="E44" s="56">
        <v>50.610999999999997</v>
      </c>
      <c r="F44" s="56">
        <v>37.835999999999999</v>
      </c>
      <c r="G44" s="56">
        <v>38.402000000000001</v>
      </c>
      <c r="H44" s="56">
        <v>34.305999999999997</v>
      </c>
      <c r="I44" s="56">
        <v>36.581000000000003</v>
      </c>
      <c r="J44" s="56">
        <v>37.567</v>
      </c>
      <c r="K44" s="56">
        <v>37.229999999999997</v>
      </c>
      <c r="L44" s="56">
        <v>36.604999999999997</v>
      </c>
      <c r="M44" s="56">
        <v>38.555999999999997</v>
      </c>
      <c r="N44" s="56">
        <v>38.39</v>
      </c>
      <c r="O44" s="56">
        <v>36.600999999999999</v>
      </c>
      <c r="P44" s="56">
        <v>37.404000000000003</v>
      </c>
      <c r="Q44" s="56">
        <v>32.026000000000003</v>
      </c>
      <c r="R44" s="56">
        <v>35.999000000000002</v>
      </c>
      <c r="S44" s="56">
        <v>37.409999999999997</v>
      </c>
      <c r="T44" s="56">
        <v>32.106000000000002</v>
      </c>
      <c r="U44" s="56">
        <v>29.599</v>
      </c>
      <c r="V44" s="56">
        <v>36.249000000000002</v>
      </c>
      <c r="W44" s="56">
        <v>32.119999999999997</v>
      </c>
      <c r="X44" s="56">
        <v>28.256</v>
      </c>
      <c r="Y44" s="56">
        <v>18.687999999999999</v>
      </c>
      <c r="Z44" s="56">
        <v>14.292</v>
      </c>
      <c r="AA44" s="214">
        <v>10.606999999999999</v>
      </c>
      <c r="AB44" s="214">
        <v>11.198</v>
      </c>
      <c r="AC44" s="214">
        <v>10.795</v>
      </c>
      <c r="AD44" s="214">
        <v>10.83</v>
      </c>
      <c r="AE44" s="214">
        <v>9.8629999999999995</v>
      </c>
      <c r="AF44" s="214">
        <v>10.358000000000001</v>
      </c>
      <c r="AG44" s="214">
        <v>9.9030000000000005</v>
      </c>
      <c r="AH44" s="214">
        <v>9.8819999999999997</v>
      </c>
      <c r="AI44" s="214">
        <v>10.311999999999999</v>
      </c>
      <c r="AJ44" s="104">
        <f>AVERAGE(AG44:AI44)</f>
        <v>10.032333333333334</v>
      </c>
      <c r="AK44" s="422">
        <f t="shared" si="1"/>
        <v>-2.7120506852857318</v>
      </c>
      <c r="AL44" s="324" t="s">
        <v>144</v>
      </c>
    </row>
    <row r="45" spans="1:38" ht="14.25" customHeight="1" x14ac:dyDescent="0.2">
      <c r="B45" s="450" t="s">
        <v>21</v>
      </c>
      <c r="C45" s="451">
        <v>2.665</v>
      </c>
      <c r="D45" s="451">
        <v>10.077999999999999</v>
      </c>
      <c r="E45" s="452">
        <v>11.1</v>
      </c>
      <c r="F45" s="452">
        <v>11.07</v>
      </c>
      <c r="G45" s="452">
        <v>11</v>
      </c>
      <c r="H45" s="452">
        <v>11.6</v>
      </c>
      <c r="I45" s="452">
        <v>12</v>
      </c>
      <c r="J45" s="452">
        <v>11.1</v>
      </c>
      <c r="K45" s="452">
        <v>11.622999999999999</v>
      </c>
      <c r="L45" s="452">
        <v>11.234999999999999</v>
      </c>
      <c r="M45" s="452">
        <v>11.666</v>
      </c>
      <c r="N45" s="452">
        <v>11.637</v>
      </c>
      <c r="O45" s="452">
        <v>11.423999999999999</v>
      </c>
      <c r="P45" s="452">
        <v>11.561999999999999</v>
      </c>
      <c r="Q45" s="452">
        <v>10.935</v>
      </c>
      <c r="R45" s="452">
        <v>10.484</v>
      </c>
      <c r="S45" s="452">
        <v>10.657</v>
      </c>
      <c r="T45" s="452">
        <v>10.78</v>
      </c>
      <c r="U45" s="452">
        <v>10.776999999999999</v>
      </c>
      <c r="V45" s="452">
        <v>10.228999999999999</v>
      </c>
      <c r="W45" s="452">
        <v>10.18</v>
      </c>
      <c r="X45" s="452">
        <v>10.185</v>
      </c>
      <c r="Y45" s="468">
        <v>10.164999999999999</v>
      </c>
      <c r="Z45" s="468">
        <v>10.1</v>
      </c>
      <c r="AA45" s="468">
        <v>9.9139999999999997</v>
      </c>
      <c r="AB45" s="470">
        <v>9.9614106898867565</v>
      </c>
      <c r="AC45" s="470">
        <f t="shared" ref="AC45:AH45" si="2">AVERAGE(Z45:AB45)</f>
        <v>9.9918035632955853</v>
      </c>
      <c r="AD45" s="470">
        <f t="shared" si="2"/>
        <v>9.9557380843941132</v>
      </c>
      <c r="AE45" s="142">
        <f t="shared" si="2"/>
        <v>9.9696507791921523</v>
      </c>
      <c r="AF45" s="142">
        <f t="shared" si="2"/>
        <v>9.9723974756272824</v>
      </c>
      <c r="AG45" s="142">
        <f t="shared" si="2"/>
        <v>9.9659287797378493</v>
      </c>
      <c r="AH45" s="142">
        <f t="shared" si="2"/>
        <v>9.9693256781857613</v>
      </c>
      <c r="AI45" s="470">
        <f t="shared" ref="AI45" si="3">AVERAGE(AF45:AH45)</f>
        <v>9.9692173111836322</v>
      </c>
      <c r="AJ45" s="475">
        <f t="shared" ref="AJ45" si="4">AVERAGE(AG45:AI45)</f>
        <v>9.9681572563690821</v>
      </c>
      <c r="AK45" s="476">
        <f>AJ45/AI45*100-100</f>
        <v>-1.0633280241179932E-2</v>
      </c>
      <c r="AL45" s="471" t="s">
        <v>21</v>
      </c>
    </row>
    <row r="46" spans="1:38" ht="12.75" customHeight="1" x14ac:dyDescent="0.2">
      <c r="B46" s="126" t="s">
        <v>139</v>
      </c>
      <c r="C46" s="61"/>
      <c r="D46" s="61"/>
      <c r="E46" s="61"/>
      <c r="F46" s="61"/>
      <c r="G46" s="61"/>
      <c r="H46" s="61"/>
      <c r="I46" s="61"/>
      <c r="J46" s="61"/>
      <c r="K46" s="61"/>
      <c r="L46" s="61"/>
      <c r="M46" s="61"/>
      <c r="N46" s="61"/>
      <c r="O46" s="61"/>
      <c r="P46" s="61"/>
      <c r="Q46" s="61"/>
      <c r="R46" s="61"/>
      <c r="S46" s="61"/>
    </row>
    <row r="47" spans="1:38" ht="15" customHeight="1" x14ac:dyDescent="0.2">
      <c r="B47" s="596" t="s">
        <v>137</v>
      </c>
      <c r="C47" s="597"/>
      <c r="D47" s="597"/>
      <c r="E47" s="597"/>
      <c r="F47" s="597"/>
      <c r="G47" s="597"/>
      <c r="H47" s="597"/>
      <c r="I47" s="597"/>
      <c r="J47" s="597"/>
      <c r="K47" s="597"/>
      <c r="L47" s="597"/>
      <c r="M47" s="597"/>
      <c r="N47" s="597"/>
      <c r="O47" s="597"/>
      <c r="P47" s="597"/>
      <c r="Q47" s="597"/>
      <c r="R47" s="597"/>
      <c r="S47" s="597"/>
      <c r="AD47" s="269"/>
      <c r="AE47" s="269"/>
      <c r="AF47" s="269"/>
      <c r="AG47" s="269"/>
      <c r="AH47" s="269"/>
      <c r="AI47" s="269"/>
      <c r="AJ47" s="269"/>
      <c r="AK47" s="269"/>
      <c r="AL47" s="269"/>
    </row>
    <row r="48" spans="1:38" ht="12.75" customHeight="1" x14ac:dyDescent="0.2">
      <c r="B48" s="288" t="s">
        <v>101</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2:38" ht="16.5" customHeight="1" x14ac:dyDescent="0.2">
      <c r="B49" s="90" t="s">
        <v>73</v>
      </c>
      <c r="C49" s="45"/>
      <c r="D49" s="45"/>
      <c r="E49" s="45"/>
      <c r="F49" s="45"/>
      <c r="G49" s="45"/>
      <c r="H49" s="45"/>
      <c r="I49" s="45"/>
      <c r="J49" s="45"/>
      <c r="K49" s="45"/>
      <c r="L49" s="45"/>
      <c r="M49" s="45"/>
      <c r="N49" s="45"/>
      <c r="O49" s="45"/>
      <c r="P49" s="45"/>
      <c r="Q49" s="45"/>
      <c r="R49" s="45"/>
      <c r="S49" s="45"/>
      <c r="T49" s="45"/>
      <c r="U49" s="45"/>
      <c r="V49" s="45"/>
      <c r="W49" s="45"/>
      <c r="X49" s="45"/>
      <c r="AA49" s="45"/>
      <c r="AB49" s="45"/>
      <c r="AC49" s="45"/>
      <c r="AD49" s="45"/>
      <c r="AE49" s="45"/>
      <c r="AF49" s="45"/>
      <c r="AG49" s="45"/>
      <c r="AH49" s="45"/>
      <c r="AI49" s="45"/>
      <c r="AJ49" s="45"/>
      <c r="AK49" s="335"/>
      <c r="AL49" s="45"/>
    </row>
    <row r="50" spans="2:38" x14ac:dyDescent="0.2">
      <c r="B50" s="90" t="s">
        <v>74</v>
      </c>
      <c r="C50" s="45"/>
      <c r="D50" s="45"/>
      <c r="E50" s="45"/>
      <c r="F50" s="45"/>
      <c r="G50" s="45"/>
      <c r="H50" s="45"/>
      <c r="I50" s="45"/>
      <c r="J50" s="45"/>
      <c r="K50" s="45"/>
      <c r="L50" s="45"/>
      <c r="M50" s="45"/>
      <c r="N50" s="45"/>
      <c r="AC50" s="45"/>
      <c r="AD50" s="45"/>
      <c r="AE50" s="45"/>
      <c r="AF50" s="45"/>
      <c r="AG50" s="45"/>
      <c r="AH50" s="45"/>
      <c r="AI50" s="45"/>
      <c r="AJ50" s="45"/>
      <c r="AK50" s="335"/>
      <c r="AL50" s="45"/>
    </row>
    <row r="51" spans="2:38" x14ac:dyDescent="0.2">
      <c r="B51" s="180" t="s">
        <v>109</v>
      </c>
    </row>
  </sheetData>
  <mergeCells count="3">
    <mergeCell ref="AG3:AJ3"/>
    <mergeCell ref="B2:AL2"/>
    <mergeCell ref="B47:S47"/>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9">
    <pageSetUpPr fitToPage="1"/>
  </sheetPr>
  <dimension ref="A1:H107"/>
  <sheetViews>
    <sheetView workbookViewId="0">
      <selection activeCell="S71" sqref="S71"/>
    </sheetView>
  </sheetViews>
  <sheetFormatPr defaultRowHeight="12.75" x14ac:dyDescent="0.2"/>
  <cols>
    <col min="1" max="1" width="2.28515625" customWidth="1"/>
    <col min="2" max="2" width="6.140625" customWidth="1"/>
    <col min="3" max="3" width="12.42578125" customWidth="1"/>
    <col min="4" max="7" width="8.7109375" customWidth="1"/>
    <col min="8" max="8" width="1.85546875" customWidth="1"/>
  </cols>
  <sheetData>
    <row r="1" spans="1:7" ht="14.25" customHeight="1" x14ac:dyDescent="0.2">
      <c r="B1" s="63"/>
      <c r="C1" s="30"/>
      <c r="D1" s="30"/>
      <c r="E1" s="30"/>
      <c r="F1" s="30"/>
      <c r="G1" s="20" t="s">
        <v>84</v>
      </c>
    </row>
    <row r="2" spans="1:7" s="77" customFormat="1" ht="30" customHeight="1" x14ac:dyDescent="0.2">
      <c r="A2" s="78"/>
      <c r="B2" s="599" t="s">
        <v>57</v>
      </c>
      <c r="C2" s="599"/>
      <c r="D2" s="599"/>
      <c r="E2" s="599"/>
      <c r="F2" s="599"/>
      <c r="G2" s="599"/>
    </row>
    <row r="3" spans="1:7" ht="15" customHeight="1" x14ac:dyDescent="0.2">
      <c r="B3" s="565" t="s">
        <v>134</v>
      </c>
      <c r="C3" s="565"/>
      <c r="D3" s="565"/>
      <c r="E3" s="565"/>
      <c r="F3" s="565"/>
      <c r="G3" s="565"/>
    </row>
    <row r="4" spans="1:7" ht="12" customHeight="1" x14ac:dyDescent="0.2">
      <c r="B4" s="552" t="s">
        <v>95</v>
      </c>
      <c r="C4" s="552"/>
      <c r="D4" s="552"/>
      <c r="E4" s="552"/>
      <c r="F4" s="552"/>
      <c r="G4" s="552"/>
    </row>
    <row r="5" spans="1:7" x14ac:dyDescent="0.2">
      <c r="B5" s="34"/>
      <c r="C5" s="64" t="s">
        <v>58</v>
      </c>
      <c r="D5" s="600" t="s">
        <v>41</v>
      </c>
      <c r="E5" s="602" t="s">
        <v>46</v>
      </c>
      <c r="F5" s="604" t="s">
        <v>44</v>
      </c>
      <c r="G5" s="65" t="s">
        <v>43</v>
      </c>
    </row>
    <row r="6" spans="1:7" ht="21.75" customHeight="1" x14ac:dyDescent="0.2">
      <c r="B6" s="34"/>
      <c r="C6" s="66"/>
      <c r="D6" s="601"/>
      <c r="E6" s="603"/>
      <c r="F6" s="605"/>
      <c r="G6" s="67"/>
    </row>
    <row r="7" spans="1:7" ht="12.75" customHeight="1" x14ac:dyDescent="0.2">
      <c r="B7" s="114">
        <v>1990</v>
      </c>
      <c r="C7" s="229">
        <v>2432.1716885860001</v>
      </c>
      <c r="D7" s="230">
        <v>1509.566117888</v>
      </c>
      <c r="E7" s="230">
        <v>515.84209138100005</v>
      </c>
      <c r="F7" s="231">
        <v>1519.8948615309998</v>
      </c>
      <c r="G7" s="232">
        <f>SUM(C7:F7)</f>
        <v>5977.4747593860002</v>
      </c>
    </row>
    <row r="8" spans="1:7" ht="12.75" customHeight="1" x14ac:dyDescent="0.2">
      <c r="B8" s="113">
        <v>1991</v>
      </c>
      <c r="C8" s="233">
        <v>2301.7294085389999</v>
      </c>
      <c r="D8" s="234">
        <v>1516.7287420810001</v>
      </c>
      <c r="E8" s="234">
        <v>504.12566753099998</v>
      </c>
      <c r="F8" s="235">
        <v>1505.3230224200001</v>
      </c>
      <c r="G8" s="232">
        <f t="shared" ref="G8:G32" si="0">SUM(C8:F8)</f>
        <v>5827.9068405710004</v>
      </c>
    </row>
    <row r="9" spans="1:7" ht="12.75" customHeight="1" x14ac:dyDescent="0.2">
      <c r="B9" s="113">
        <v>1992</v>
      </c>
      <c r="C9" s="233">
        <v>2404.2785201790002</v>
      </c>
      <c r="D9" s="234">
        <v>1557.470729593</v>
      </c>
      <c r="E9" s="234">
        <v>515.98823460999995</v>
      </c>
      <c r="F9" s="235">
        <v>1532.1247979270001</v>
      </c>
      <c r="G9" s="232">
        <f t="shared" si="0"/>
        <v>6009.8622823090009</v>
      </c>
    </row>
    <row r="10" spans="1:7" ht="12.75" customHeight="1" x14ac:dyDescent="0.2">
      <c r="B10" s="113">
        <v>1993</v>
      </c>
      <c r="C10" s="233">
        <v>2326.3572368350001</v>
      </c>
      <c r="D10" s="234">
        <v>1619.560432342</v>
      </c>
      <c r="E10" s="234">
        <v>496.87486100899997</v>
      </c>
      <c r="F10" s="235">
        <v>1542.7934658480001</v>
      </c>
      <c r="G10" s="232">
        <f t="shared" si="0"/>
        <v>5985.5859960339994</v>
      </c>
    </row>
    <row r="11" spans="1:7" ht="12.75" customHeight="1" x14ac:dyDescent="0.2">
      <c r="B11" s="113">
        <v>1994</v>
      </c>
      <c r="C11" s="233">
        <v>2481.788407902</v>
      </c>
      <c r="D11" s="234">
        <v>1752.9902224479999</v>
      </c>
      <c r="E11" s="234">
        <v>519.78781256900004</v>
      </c>
      <c r="F11" s="235">
        <v>1538.8902946570001</v>
      </c>
      <c r="G11" s="232">
        <f t="shared" si="0"/>
        <v>6293.4567375759998</v>
      </c>
    </row>
    <row r="12" spans="1:7" ht="12.75" customHeight="1" x14ac:dyDescent="0.2">
      <c r="B12" s="115">
        <v>1995</v>
      </c>
      <c r="C12" s="236">
        <v>2239.7313750789999</v>
      </c>
      <c r="D12" s="237">
        <v>1906.26833622</v>
      </c>
      <c r="E12" s="237">
        <v>534.39790155399999</v>
      </c>
      <c r="F12" s="238">
        <v>1564.130801688</v>
      </c>
      <c r="G12" s="232">
        <f t="shared" si="0"/>
        <v>6244.5284145410005</v>
      </c>
    </row>
    <row r="13" spans="1:7" ht="12.75" customHeight="1" thickBot="1" x14ac:dyDescent="0.25">
      <c r="B13" s="69">
        <v>1996</v>
      </c>
      <c r="C13" s="233">
        <v>2356.3125804759998</v>
      </c>
      <c r="D13" s="239">
        <v>1979.6859641859999</v>
      </c>
      <c r="E13" s="239">
        <v>518.47398348000002</v>
      </c>
      <c r="F13" s="240">
        <v>1611.229067385</v>
      </c>
      <c r="G13" s="232">
        <f t="shared" si="0"/>
        <v>6465.7015955269999</v>
      </c>
    </row>
    <row r="14" spans="1:7" ht="12.75" customHeight="1" thickTop="1" x14ac:dyDescent="0.2">
      <c r="B14" s="69">
        <v>1997</v>
      </c>
      <c r="C14" s="233">
        <v>2682.6569609409999</v>
      </c>
      <c r="D14" s="239">
        <v>1969.394619315</v>
      </c>
      <c r="E14" s="239">
        <v>520.025934054</v>
      </c>
      <c r="F14" s="432">
        <v>1604.203359243</v>
      </c>
      <c r="G14" s="365">
        <f t="shared" si="0"/>
        <v>6776.2808735529998</v>
      </c>
    </row>
    <row r="15" spans="1:7" ht="12.75" customHeight="1" x14ac:dyDescent="0.2">
      <c r="B15" s="69">
        <v>1998</v>
      </c>
      <c r="C15" s="233">
        <v>2832.9436534339998</v>
      </c>
      <c r="D15" s="239">
        <v>2010.0928076569999</v>
      </c>
      <c r="E15" s="239">
        <v>521.20646767100004</v>
      </c>
      <c r="F15" s="240">
        <v>1540.4650870129999</v>
      </c>
      <c r="G15" s="232">
        <f t="shared" si="0"/>
        <v>6904.7080157749997</v>
      </c>
    </row>
    <row r="16" spans="1:7" ht="12.75" customHeight="1" x14ac:dyDescent="0.2">
      <c r="B16" s="69">
        <v>1999</v>
      </c>
      <c r="C16" s="233">
        <v>2871.184778719</v>
      </c>
      <c r="D16" s="239">
        <v>2092.813379234</v>
      </c>
      <c r="E16" s="239">
        <v>528.17316357899995</v>
      </c>
      <c r="F16" s="240">
        <v>1476.726814784</v>
      </c>
      <c r="G16" s="232">
        <f t="shared" si="0"/>
        <v>6968.8981363160001</v>
      </c>
    </row>
    <row r="17" spans="2:7" ht="12.75" customHeight="1" x14ac:dyDescent="0.2">
      <c r="B17" s="69">
        <v>2000</v>
      </c>
      <c r="C17" s="233">
        <v>2929.097513277</v>
      </c>
      <c r="D17" s="239">
        <v>2140.261019604</v>
      </c>
      <c r="E17" s="239">
        <v>526.228772445</v>
      </c>
      <c r="F17" s="240">
        <v>1412.9885425549999</v>
      </c>
      <c r="G17" s="232">
        <f t="shared" si="0"/>
        <v>7008.5758478810003</v>
      </c>
    </row>
    <row r="18" spans="2:7" ht="12.75" customHeight="1" x14ac:dyDescent="0.2">
      <c r="B18" s="69">
        <v>2001</v>
      </c>
      <c r="C18" s="233">
        <v>3002.9604851399999</v>
      </c>
      <c r="D18" s="239">
        <v>2183.3477226590003</v>
      </c>
      <c r="E18" s="239">
        <v>504.73345400700003</v>
      </c>
      <c r="F18" s="240">
        <v>1349.250270326</v>
      </c>
      <c r="G18" s="232">
        <f t="shared" si="0"/>
        <v>7040.2919321319996</v>
      </c>
    </row>
    <row r="19" spans="2:7" ht="12.75" customHeight="1" x14ac:dyDescent="0.2">
      <c r="B19" s="69">
        <v>2002</v>
      </c>
      <c r="C19" s="233">
        <v>3237.5279707010004</v>
      </c>
      <c r="D19" s="239">
        <v>2200.1943432389999</v>
      </c>
      <c r="E19" s="239">
        <v>506.27474678300001</v>
      </c>
      <c r="F19" s="240">
        <v>1285.5119980959998</v>
      </c>
      <c r="G19" s="232">
        <f t="shared" si="0"/>
        <v>7229.5090588190005</v>
      </c>
    </row>
    <row r="20" spans="2:7" ht="12.75" customHeight="1" x14ac:dyDescent="0.2">
      <c r="B20" s="69">
        <v>2003</v>
      </c>
      <c r="C20" s="233">
        <v>3294.7244815199997</v>
      </c>
      <c r="D20" s="239">
        <v>2265.0565334200001</v>
      </c>
      <c r="E20" s="239">
        <v>475.80468650999995</v>
      </c>
      <c r="F20" s="240">
        <v>1278.3074572129999</v>
      </c>
      <c r="G20" s="232">
        <f t="shared" si="0"/>
        <v>7313.8931586629988</v>
      </c>
    </row>
    <row r="21" spans="2:7" ht="12.75" customHeight="1" x14ac:dyDescent="0.2">
      <c r="B21" s="69">
        <v>2004</v>
      </c>
      <c r="C21" s="233">
        <v>3330.1503359879998</v>
      </c>
      <c r="D21" s="239">
        <v>2427.3470563119999</v>
      </c>
      <c r="E21" s="239">
        <v>496.24707291300001</v>
      </c>
      <c r="F21" s="240">
        <v>1271.10291633</v>
      </c>
      <c r="G21" s="232">
        <f t="shared" si="0"/>
        <v>7524.8473815429998</v>
      </c>
    </row>
    <row r="22" spans="2:7" ht="12.75" customHeight="1" x14ac:dyDescent="0.2">
      <c r="B22" s="69">
        <v>2005</v>
      </c>
      <c r="C22" s="233">
        <v>3275.6405549750002</v>
      </c>
      <c r="D22" s="239">
        <v>2476.7335399200001</v>
      </c>
      <c r="E22" s="239">
        <v>476.450140272</v>
      </c>
      <c r="F22" s="240">
        <v>1263.8983754469998</v>
      </c>
      <c r="G22" s="232">
        <f t="shared" si="0"/>
        <v>7492.7226106139997</v>
      </c>
    </row>
    <row r="23" spans="2:7" ht="12.75" customHeight="1" x14ac:dyDescent="0.2">
      <c r="B23" s="69">
        <v>2006</v>
      </c>
      <c r="C23" s="233">
        <v>3197.3377178840001</v>
      </c>
      <c r="D23" s="239">
        <v>2586.9205707200003</v>
      </c>
      <c r="E23" s="239">
        <v>488.54922286699997</v>
      </c>
      <c r="F23" s="240">
        <v>1256.6938345629999</v>
      </c>
      <c r="G23" s="232">
        <f t="shared" si="0"/>
        <v>7529.5013460339997</v>
      </c>
    </row>
    <row r="24" spans="2:7" ht="12.75" customHeight="1" x14ac:dyDescent="0.2">
      <c r="B24" s="69">
        <v>2007</v>
      </c>
      <c r="C24" s="233">
        <v>3264.7978569029997</v>
      </c>
      <c r="D24" s="239">
        <v>2584.9466881459998</v>
      </c>
      <c r="E24" s="239">
        <v>472.31520667300003</v>
      </c>
      <c r="F24" s="240">
        <v>1249.4892936799999</v>
      </c>
      <c r="G24" s="232">
        <f t="shared" si="0"/>
        <v>7571.5490454019991</v>
      </c>
    </row>
    <row r="25" spans="2:7" ht="12.75" customHeight="1" x14ac:dyDescent="0.2">
      <c r="B25" s="69">
        <v>2008</v>
      </c>
      <c r="C25" s="241">
        <v>2738.507064506</v>
      </c>
      <c r="D25" s="239">
        <v>2594.7153629270001</v>
      </c>
      <c r="E25" s="239">
        <v>454.35550319700002</v>
      </c>
      <c r="F25" s="240">
        <v>1432.7041757879999</v>
      </c>
      <c r="G25" s="232">
        <f t="shared" si="0"/>
        <v>7220.2821064179998</v>
      </c>
    </row>
    <row r="26" spans="2:7" ht="12.75" customHeight="1" x14ac:dyDescent="0.2">
      <c r="B26" s="69">
        <v>2009</v>
      </c>
      <c r="C26" s="242">
        <v>2999.1689423509997</v>
      </c>
      <c r="D26" s="239">
        <v>2236.9900255749999</v>
      </c>
      <c r="E26" s="239">
        <v>406.93633228799996</v>
      </c>
      <c r="F26" s="240">
        <v>1382.9615885799999</v>
      </c>
      <c r="G26" s="232">
        <f t="shared" si="0"/>
        <v>7026.056888793999</v>
      </c>
    </row>
    <row r="27" spans="2:7" ht="12.75" customHeight="1" thickBot="1" x14ac:dyDescent="0.25">
      <c r="B27" s="69">
        <v>2010</v>
      </c>
      <c r="C27" s="241">
        <v>2672.8608560100001</v>
      </c>
      <c r="D27" s="243">
        <v>2468.8190299829998</v>
      </c>
      <c r="E27" s="239">
        <v>450.60249835600001</v>
      </c>
      <c r="F27" s="244">
        <v>1395.7131633179999</v>
      </c>
      <c r="G27" s="364">
        <f t="shared" si="0"/>
        <v>6987.9955476670002</v>
      </c>
    </row>
    <row r="28" spans="2:7" ht="12.75" customHeight="1" thickTop="1" thickBot="1" x14ac:dyDescent="0.25">
      <c r="B28" s="69">
        <v>2011</v>
      </c>
      <c r="C28" s="243">
        <v>2409.7668205680002</v>
      </c>
      <c r="D28" s="243">
        <v>2524.6658911</v>
      </c>
      <c r="E28" s="248">
        <v>464.165203201</v>
      </c>
      <c r="F28" s="247">
        <v>1486.371802507</v>
      </c>
      <c r="G28" s="232">
        <f t="shared" si="0"/>
        <v>6884.9697173759996</v>
      </c>
    </row>
    <row r="29" spans="2:7" ht="12.75" customHeight="1" thickTop="1" x14ac:dyDescent="0.2">
      <c r="B29" s="69">
        <v>2012</v>
      </c>
      <c r="C29" s="264">
        <v>2684.3753897859997</v>
      </c>
      <c r="D29" s="243">
        <v>2500.300413081</v>
      </c>
      <c r="E29" s="248">
        <v>462.01685393500003</v>
      </c>
      <c r="F29" s="248">
        <v>1251.0106631359999</v>
      </c>
      <c r="G29" s="365">
        <f t="shared" si="0"/>
        <v>6897.7033199379985</v>
      </c>
    </row>
    <row r="30" spans="2:7" ht="12.75" customHeight="1" x14ac:dyDescent="0.2">
      <c r="B30" s="69">
        <v>2013</v>
      </c>
      <c r="C30" s="243">
        <v>2926.4822663560003</v>
      </c>
      <c r="D30" s="243">
        <v>2541.354834669</v>
      </c>
      <c r="E30" s="248">
        <v>438.19915753000004</v>
      </c>
      <c r="F30" s="248">
        <v>1195.4785647420001</v>
      </c>
      <c r="G30" s="232">
        <f t="shared" si="0"/>
        <v>7101.5148232970005</v>
      </c>
    </row>
    <row r="31" spans="2:7" ht="12.75" customHeight="1" x14ac:dyDescent="0.2">
      <c r="B31" s="289">
        <v>2014</v>
      </c>
      <c r="C31" s="241">
        <v>2856.9189972549998</v>
      </c>
      <c r="D31" s="243">
        <v>2702.7430946689997</v>
      </c>
      <c r="E31" s="248">
        <v>482.74773086700003</v>
      </c>
      <c r="F31" s="299">
        <v>1247.7392812529999</v>
      </c>
      <c r="G31" s="232">
        <f t="shared" si="0"/>
        <v>7290.1491040439996</v>
      </c>
    </row>
    <row r="32" spans="2:7" ht="12.75" customHeight="1" x14ac:dyDescent="0.2">
      <c r="B32" s="289">
        <v>2015</v>
      </c>
      <c r="C32" s="300">
        <v>2899.4472150309998</v>
      </c>
      <c r="D32" s="243">
        <v>2537.845061216</v>
      </c>
      <c r="E32" s="248">
        <v>457.89622806300002</v>
      </c>
      <c r="F32" s="248">
        <v>1288.5717140500001</v>
      </c>
      <c r="G32" s="232">
        <f t="shared" si="0"/>
        <v>7183.7602183600002</v>
      </c>
    </row>
    <row r="33" spans="1:7" ht="14.25" customHeight="1" x14ac:dyDescent="0.2">
      <c r="B33" s="289">
        <v>2016</v>
      </c>
      <c r="C33" s="241">
        <v>3008.8253343669999</v>
      </c>
      <c r="D33" s="243">
        <v>2314.6985121840003</v>
      </c>
      <c r="E33" s="243">
        <v>444.99197073399995</v>
      </c>
      <c r="F33" s="248">
        <v>1269.7776509949999</v>
      </c>
      <c r="G33" s="232">
        <f>SUM(C33:F33)</f>
        <v>7038.2934682799996</v>
      </c>
    </row>
    <row r="34" spans="1:7" ht="14.25" customHeight="1" x14ac:dyDescent="0.2">
      <c r="B34" s="289">
        <v>2017</v>
      </c>
      <c r="C34" s="241">
        <f>3293.073</f>
        <v>3293.0729999999999</v>
      </c>
      <c r="D34" s="243">
        <v>2445.138278982</v>
      </c>
      <c r="E34" s="243">
        <v>454.98825520000003</v>
      </c>
      <c r="F34" s="248">
        <v>1299.2325304660001</v>
      </c>
      <c r="G34" s="232">
        <f t="shared" ref="G34:G38" si="1">SUM(C34:F34)</f>
        <v>7492.4320646480001</v>
      </c>
    </row>
    <row r="35" spans="1:7" ht="14.25" customHeight="1" x14ac:dyDescent="0.2">
      <c r="B35" s="289">
        <v>2018</v>
      </c>
      <c r="C35" s="241">
        <f>3287.616</f>
        <v>3287.616</v>
      </c>
      <c r="D35" s="243">
        <v>2525.2236005250002</v>
      </c>
      <c r="E35" s="243">
        <v>462.945396329</v>
      </c>
      <c r="F35" s="248">
        <v>1447.3734095660002</v>
      </c>
      <c r="G35" s="232">
        <f t="shared" si="1"/>
        <v>7723.1584064199997</v>
      </c>
    </row>
    <row r="36" spans="1:7" ht="14.25" customHeight="1" x14ac:dyDescent="0.2">
      <c r="A36" s="302"/>
      <c r="B36" s="426">
        <v>2019</v>
      </c>
      <c r="C36" s="241">
        <f>3324.98</f>
        <v>3324.98</v>
      </c>
      <c r="D36" s="243">
        <v>2357.122387806</v>
      </c>
      <c r="E36" s="243">
        <v>425.24803508899998</v>
      </c>
      <c r="F36" s="248">
        <v>1522.742229362</v>
      </c>
      <c r="G36" s="232">
        <f t="shared" si="1"/>
        <v>7630.0926522570007</v>
      </c>
    </row>
    <row r="37" spans="1:7" ht="14.25" customHeight="1" x14ac:dyDescent="0.2">
      <c r="B37" s="69">
        <v>2020</v>
      </c>
      <c r="C37" s="241">
        <f>3290.032</f>
        <v>3290.0320000000002</v>
      </c>
      <c r="D37" s="243">
        <v>2102.0885833720004</v>
      </c>
      <c r="E37" s="243">
        <v>409.66443656199999</v>
      </c>
      <c r="F37" s="248">
        <v>1426.302462012</v>
      </c>
      <c r="G37" s="232">
        <f t="shared" si="1"/>
        <v>7228.0874819460005</v>
      </c>
    </row>
    <row r="38" spans="1:7" ht="14.25" customHeight="1" x14ac:dyDescent="0.2">
      <c r="A38" s="302"/>
      <c r="B38" s="489">
        <v>2021</v>
      </c>
      <c r="C38" s="490">
        <f>3129.047</f>
        <v>3129.047</v>
      </c>
      <c r="D38" s="413">
        <f>2239.406</f>
        <v>2239.4059999999999</v>
      </c>
      <c r="E38" s="413">
        <f>426.74</f>
        <v>426.74</v>
      </c>
      <c r="F38" s="491">
        <v>1472.0861958739999</v>
      </c>
      <c r="G38" s="492">
        <f t="shared" si="1"/>
        <v>7267.279195873999</v>
      </c>
    </row>
    <row r="39" spans="1:7" ht="17.25" customHeight="1" x14ac:dyDescent="0.2">
      <c r="C39" s="228"/>
    </row>
    <row r="40" spans="1:7" ht="17.25" customHeight="1" x14ac:dyDescent="0.2">
      <c r="B40" s="198" t="s">
        <v>102</v>
      </c>
      <c r="C40" s="70"/>
      <c r="D40" s="70"/>
      <c r="E40" s="70"/>
      <c r="F40" s="70"/>
      <c r="G40" s="70"/>
    </row>
    <row r="41" spans="1:7" ht="12" customHeight="1" x14ac:dyDescent="0.2">
      <c r="B41" s="606" t="s">
        <v>138</v>
      </c>
      <c r="C41" s="607"/>
      <c r="D41" s="607"/>
      <c r="E41" s="607"/>
      <c r="F41" s="607"/>
      <c r="G41" s="607"/>
    </row>
    <row r="42" spans="1:7" x14ac:dyDescent="0.2">
      <c r="B42" s="598" t="s">
        <v>59</v>
      </c>
      <c r="C42" s="598"/>
      <c r="D42" s="598"/>
      <c r="E42" s="598"/>
      <c r="F42" s="598"/>
      <c r="G42" s="598"/>
    </row>
    <row r="43" spans="1:7" ht="23.25" customHeight="1" x14ac:dyDescent="0.2">
      <c r="B43" s="553" t="s">
        <v>60</v>
      </c>
      <c r="C43" s="553"/>
      <c r="D43" s="553"/>
      <c r="E43" s="553"/>
      <c r="F43" s="553"/>
      <c r="G43" s="553"/>
    </row>
    <row r="44" spans="1:7" ht="12.75" customHeight="1" x14ac:dyDescent="0.2">
      <c r="B44" s="34"/>
      <c r="C44" s="71" t="s">
        <v>40</v>
      </c>
      <c r="D44" s="65" t="s">
        <v>41</v>
      </c>
      <c r="E44" s="602" t="s">
        <v>46</v>
      </c>
      <c r="F44" s="609" t="s">
        <v>44</v>
      </c>
      <c r="G44" s="71" t="s">
        <v>43</v>
      </c>
    </row>
    <row r="45" spans="1:7" ht="12.75" customHeight="1" x14ac:dyDescent="0.2">
      <c r="B45" s="34"/>
      <c r="C45" s="116"/>
      <c r="D45" s="117" t="s">
        <v>34</v>
      </c>
      <c r="E45" s="608"/>
      <c r="F45" s="610"/>
      <c r="G45" s="97"/>
    </row>
    <row r="46" spans="1:7" ht="12.75" customHeight="1" x14ac:dyDescent="0.2">
      <c r="B46" s="68">
        <v>2001</v>
      </c>
      <c r="C46" s="91">
        <f t="shared" ref="C46:G57" si="2">(C18/C17-1)*100</f>
        <v>2.5216972643687718</v>
      </c>
      <c r="D46" s="91">
        <f t="shared" si="2"/>
        <v>2.0131517913162034</v>
      </c>
      <c r="E46" s="91">
        <f t="shared" si="2"/>
        <v>-4.0847858504822865</v>
      </c>
      <c r="F46" s="91">
        <f t="shared" si="2"/>
        <v>-4.5108838684386532</v>
      </c>
      <c r="G46" s="118">
        <f t="shared" si="2"/>
        <v>0.4525325107323841</v>
      </c>
    </row>
    <row r="47" spans="1:7" ht="12.75" customHeight="1" x14ac:dyDescent="0.2">
      <c r="B47" s="69">
        <v>2002</v>
      </c>
      <c r="C47" s="58">
        <f t="shared" si="2"/>
        <v>7.8112078637646354</v>
      </c>
      <c r="D47" s="58">
        <f t="shared" si="2"/>
        <v>0.77159585736910064</v>
      </c>
      <c r="E47" s="58">
        <f t="shared" si="2"/>
        <v>0.30536766758055833</v>
      </c>
      <c r="F47" s="58">
        <f t="shared" si="2"/>
        <v>-4.7239769842402861</v>
      </c>
      <c r="G47" s="73">
        <f t="shared" si="2"/>
        <v>2.6876318270753874</v>
      </c>
    </row>
    <row r="48" spans="1:7" ht="12.75" customHeight="1" x14ac:dyDescent="0.2">
      <c r="B48" s="69">
        <v>2003</v>
      </c>
      <c r="C48" s="58">
        <f t="shared" si="2"/>
        <v>1.7666723295247655</v>
      </c>
      <c r="D48" s="58">
        <f t="shared" si="2"/>
        <v>2.9480209500726939</v>
      </c>
      <c r="E48" s="58">
        <f t="shared" si="2"/>
        <v>-6.018483139167941</v>
      </c>
      <c r="F48" s="58">
        <f t="shared" si="2"/>
        <v>-0.56044135672562723</v>
      </c>
      <c r="G48" s="73">
        <f t="shared" si="2"/>
        <v>1.167217568405432</v>
      </c>
    </row>
    <row r="49" spans="2:7" ht="12.75" customHeight="1" x14ac:dyDescent="0.2">
      <c r="B49" s="69">
        <v>2004</v>
      </c>
      <c r="C49" s="58">
        <f t="shared" si="2"/>
        <v>1.0752296486914892</v>
      </c>
      <c r="D49" s="58">
        <f t="shared" si="2"/>
        <v>7.1649656641001425</v>
      </c>
      <c r="E49" s="58">
        <f t="shared" si="2"/>
        <v>4.2963818942061582</v>
      </c>
      <c r="F49" s="58">
        <f t="shared" si="2"/>
        <v>-0.56360000423587575</v>
      </c>
      <c r="G49" s="73">
        <f t="shared" si="2"/>
        <v>2.8842945652020502</v>
      </c>
    </row>
    <row r="50" spans="2:7" ht="12.75" customHeight="1" x14ac:dyDescent="0.2">
      <c r="B50" s="69">
        <v>2005</v>
      </c>
      <c r="C50" s="58">
        <f t="shared" si="2"/>
        <v>-1.6368564633232219</v>
      </c>
      <c r="D50" s="58">
        <f t="shared" si="2"/>
        <v>2.0345868333733863</v>
      </c>
      <c r="E50" s="58">
        <f t="shared" si="2"/>
        <v>-3.9893298563537738</v>
      </c>
      <c r="F50" s="58">
        <f t="shared" si="2"/>
        <v>-0.56679445782419347</v>
      </c>
      <c r="G50" s="73">
        <f t="shared" si="2"/>
        <v>-0.42691591337514767</v>
      </c>
    </row>
    <row r="51" spans="2:7" ht="12.75" customHeight="1" x14ac:dyDescent="0.2">
      <c r="B51" s="69">
        <v>2006</v>
      </c>
      <c r="C51" s="58">
        <f t="shared" si="2"/>
        <v>-2.3904587752180184</v>
      </c>
      <c r="D51" s="58">
        <f t="shared" si="2"/>
        <v>4.4488851555488429</v>
      </c>
      <c r="E51" s="58">
        <f t="shared" si="2"/>
        <v>2.5394226115859064</v>
      </c>
      <c r="F51" s="58">
        <f t="shared" si="2"/>
        <v>-0.57002532988080779</v>
      </c>
      <c r="G51" s="73">
        <f t="shared" si="2"/>
        <v>0.49085942895976675</v>
      </c>
    </row>
    <row r="52" spans="2:7" ht="12.75" customHeight="1" x14ac:dyDescent="0.2">
      <c r="B52" s="69">
        <v>2007</v>
      </c>
      <c r="C52" s="58">
        <f t="shared" si="2"/>
        <v>2.1098846906808744</v>
      </c>
      <c r="D52" s="58">
        <f t="shared" si="2"/>
        <v>-7.6302403573647037E-2</v>
      </c>
      <c r="E52" s="58">
        <f t="shared" si="2"/>
        <v>-3.3229028794135251</v>
      </c>
      <c r="F52" s="58">
        <f t="shared" si="2"/>
        <v>-0.57329324652135583</v>
      </c>
      <c r="G52" s="171">
        <f t="shared" si="2"/>
        <v>0.55843936318766829</v>
      </c>
    </row>
    <row r="53" spans="2:7" ht="12.75" customHeight="1" x14ac:dyDescent="0.2">
      <c r="B53" s="69">
        <v>2008</v>
      </c>
      <c r="C53" s="58">
        <f t="shared" si="2"/>
        <v>-16.120164722732365</v>
      </c>
      <c r="D53" s="58">
        <f t="shared" si="2"/>
        <v>0.37790623790414646</v>
      </c>
      <c r="E53" s="58">
        <f t="shared" si="2"/>
        <v>-3.802482584143041</v>
      </c>
      <c r="F53" s="58">
        <f t="shared" si="2"/>
        <v>14.66318143218297</v>
      </c>
      <c r="G53" s="171">
        <f t="shared" si="2"/>
        <v>-4.6393008468632253</v>
      </c>
    </row>
    <row r="54" spans="2:7" ht="12.75" customHeight="1" x14ac:dyDescent="0.2">
      <c r="B54" s="69">
        <v>2009</v>
      </c>
      <c r="C54" s="58">
        <f t="shared" si="2"/>
        <v>9.5183934788213076</v>
      </c>
      <c r="D54" s="58">
        <f t="shared" si="2"/>
        <v>-13.786688993449514</v>
      </c>
      <c r="E54" s="58">
        <f t="shared" si="2"/>
        <v>-10.436578972928167</v>
      </c>
      <c r="F54" s="58">
        <f t="shared" si="2"/>
        <v>-3.4719370578117581</v>
      </c>
      <c r="G54" s="171">
        <f t="shared" si="2"/>
        <v>-2.6899948611614044</v>
      </c>
    </row>
    <row r="55" spans="2:7" ht="12.75" customHeight="1" thickBot="1" x14ac:dyDescent="0.25">
      <c r="B55" s="69">
        <v>2010</v>
      </c>
      <c r="C55" s="225">
        <f t="shared" si="2"/>
        <v>-10.879950166635567</v>
      </c>
      <c r="D55" s="225">
        <f t="shared" si="2"/>
        <v>10.363434872643662</v>
      </c>
      <c r="E55" s="225">
        <f t="shared" si="2"/>
        <v>10.730466317049391</v>
      </c>
      <c r="F55" s="225">
        <f t="shared" si="2"/>
        <v>0.92204836658500433</v>
      </c>
      <c r="G55" s="171">
        <f t="shared" si="2"/>
        <v>-0.54171695062280589</v>
      </c>
    </row>
    <row r="56" spans="2:7" ht="12.75" customHeight="1" thickTop="1" thickBot="1" x14ac:dyDescent="0.25">
      <c r="B56" s="69">
        <v>2011</v>
      </c>
      <c r="C56" s="226">
        <f t="shared" si="2"/>
        <v>-9.8431624246516964</v>
      </c>
      <c r="D56" s="225">
        <f t="shared" si="2"/>
        <v>2.2620880849814506</v>
      </c>
      <c r="E56" s="225">
        <f t="shared" si="2"/>
        <v>3.0099044933134644</v>
      </c>
      <c r="F56" s="265">
        <f t="shared" si="2"/>
        <v>6.4955064960109166</v>
      </c>
      <c r="G56" s="266">
        <f t="shared" si="2"/>
        <v>-1.4743259292057886</v>
      </c>
    </row>
    <row r="57" spans="2:7" ht="12.75" customHeight="1" thickTop="1" x14ac:dyDescent="0.2">
      <c r="B57" s="69">
        <v>2012</v>
      </c>
      <c r="C57" s="249">
        <f t="shared" si="2"/>
        <v>11.395649026044442</v>
      </c>
      <c r="D57" s="225">
        <f t="shared" si="2"/>
        <v>-0.96509712849108809</v>
      </c>
      <c r="E57" s="225">
        <f t="shared" si="2"/>
        <v>-0.46284151659461426</v>
      </c>
      <c r="F57" s="225">
        <f t="shared" si="2"/>
        <v>-15.834607395944033</v>
      </c>
      <c r="G57" s="171">
        <f t="shared" si="2"/>
        <v>0.18494783687810212</v>
      </c>
    </row>
    <row r="58" spans="2:7" ht="12.75" customHeight="1" x14ac:dyDescent="0.2">
      <c r="B58" s="69">
        <v>2013</v>
      </c>
      <c r="C58" s="226">
        <f>(C30/C29-1)*100</f>
        <v>9.0191139991527614</v>
      </c>
      <c r="D58" s="225">
        <f t="shared" ref="D58:G58" si="3">(D30/D29-1)*100</f>
        <v>1.6419795546652072</v>
      </c>
      <c r="E58" s="225">
        <f t="shared" si="3"/>
        <v>-5.1551574801102067</v>
      </c>
      <c r="F58" s="225">
        <f t="shared" si="3"/>
        <v>-4.4389788217147119</v>
      </c>
      <c r="G58" s="171">
        <f t="shared" si="3"/>
        <v>2.9547734065319853</v>
      </c>
    </row>
    <row r="59" spans="2:7" ht="16.5" customHeight="1" x14ac:dyDescent="0.2">
      <c r="B59" s="69">
        <v>2014</v>
      </c>
      <c r="C59" s="290">
        <f>(C31/C30-1)*100</f>
        <v>-2.3770268455314936</v>
      </c>
      <c r="D59" s="225">
        <f t="shared" ref="D59:G59" si="4">(D31/D30-1)*100</f>
        <v>6.3504811606136746</v>
      </c>
      <c r="E59" s="225">
        <f t="shared" si="4"/>
        <v>10.166284569807772</v>
      </c>
      <c r="F59" s="225">
        <f t="shared" si="4"/>
        <v>4.3715310380557426</v>
      </c>
      <c r="G59" s="171">
        <f t="shared" si="4"/>
        <v>2.6562541294453457</v>
      </c>
    </row>
    <row r="60" spans="2:7" ht="15" customHeight="1" x14ac:dyDescent="0.2">
      <c r="B60" s="69">
        <v>2015</v>
      </c>
      <c r="C60" s="290">
        <f t="shared" ref="C60:G60" si="5">(C32/C31-1)*100</f>
        <v>1.4886042557336054</v>
      </c>
      <c r="D60" s="225">
        <f t="shared" si="5"/>
        <v>-6.1011360561146644</v>
      </c>
      <c r="E60" s="225">
        <f t="shared" si="5"/>
        <v>-5.1479274194344722</v>
      </c>
      <c r="F60" s="225">
        <f t="shared" si="5"/>
        <v>3.2725132093297304</v>
      </c>
      <c r="G60" s="171">
        <f t="shared" si="5"/>
        <v>-1.4593512994814262</v>
      </c>
    </row>
    <row r="61" spans="2:7" ht="15" customHeight="1" x14ac:dyDescent="0.2">
      <c r="B61" s="69">
        <v>2016</v>
      </c>
      <c r="C61" s="290">
        <f t="shared" ref="C61:G61" si="6">(C33/C32-1)*100</f>
        <v>3.77237836126052</v>
      </c>
      <c r="D61" s="225">
        <f t="shared" si="6"/>
        <v>-8.7927569906525278</v>
      </c>
      <c r="E61" s="225">
        <f t="shared" si="6"/>
        <v>-2.8181619629381705</v>
      </c>
      <c r="F61" s="225">
        <f t="shared" si="6"/>
        <v>-1.4585189826905376</v>
      </c>
      <c r="G61" s="171">
        <f t="shared" si="6"/>
        <v>-2.0249388295035531</v>
      </c>
    </row>
    <row r="62" spans="2:7" ht="15" customHeight="1" x14ac:dyDescent="0.2">
      <c r="B62" s="69">
        <v>2017</v>
      </c>
      <c r="C62" s="290">
        <f t="shared" ref="C62:G62" si="7">(C34/C33-1)*100</f>
        <v>9.4471308249868926</v>
      </c>
      <c r="D62" s="225">
        <f t="shared" si="7"/>
        <v>5.635281057614927</v>
      </c>
      <c r="E62" s="225">
        <f t="shared" si="7"/>
        <v>2.2463965921703188</v>
      </c>
      <c r="F62" s="225">
        <f t="shared" si="7"/>
        <v>2.3196879743409671</v>
      </c>
      <c r="G62" s="171">
        <f t="shared" si="7"/>
        <v>6.4523964284055602</v>
      </c>
    </row>
    <row r="63" spans="2:7" ht="15" customHeight="1" x14ac:dyDescent="0.2">
      <c r="B63" s="69">
        <v>2018</v>
      </c>
      <c r="C63" s="290">
        <f t="shared" ref="C63:G63" si="8">(C35/C34-1)*100</f>
        <v>-0.16571147982445966</v>
      </c>
      <c r="D63" s="225">
        <f t="shared" si="8"/>
        <v>3.2752880371388571</v>
      </c>
      <c r="E63" s="225">
        <f t="shared" si="8"/>
        <v>1.7488673692252155</v>
      </c>
      <c r="F63" s="225">
        <f t="shared" si="8"/>
        <v>11.40218364505281</v>
      </c>
      <c r="G63" s="171">
        <f t="shared" si="8"/>
        <v>3.0794585760830495</v>
      </c>
    </row>
    <row r="64" spans="2:7" ht="15" customHeight="1" x14ac:dyDescent="0.2">
      <c r="B64" s="69">
        <v>2019</v>
      </c>
      <c r="C64" s="290">
        <f t="shared" ref="C64:G66" si="9">(C36/C35-1)*100</f>
        <v>1.1365074266580955</v>
      </c>
      <c r="D64" s="225">
        <f t="shared" si="9"/>
        <v>-6.6568842729036515</v>
      </c>
      <c r="E64" s="225">
        <f t="shared" si="9"/>
        <v>-8.1429390029423168</v>
      </c>
      <c r="F64" s="433">
        <f t="shared" si="9"/>
        <v>5.2072823293471515</v>
      </c>
      <c r="G64" s="171">
        <f t="shared" si="9"/>
        <v>-1.2050219517139027</v>
      </c>
    </row>
    <row r="65" spans="2:8" ht="20.100000000000001" customHeight="1" x14ac:dyDescent="0.2">
      <c r="B65" s="69">
        <v>2020</v>
      </c>
      <c r="C65" s="290">
        <f t="shared" si="9"/>
        <v>-1.051073991422502</v>
      </c>
      <c r="D65" s="225">
        <f t="shared" si="9"/>
        <v>-10.819709903624652</v>
      </c>
      <c r="E65" s="225">
        <f t="shared" si="9"/>
        <v>-3.6645903663584223</v>
      </c>
      <c r="F65" s="433">
        <f t="shared" si="9"/>
        <v>-6.3332956484963621</v>
      </c>
      <c r="G65" s="488">
        <f t="shared" si="9"/>
        <v>-5.2686800623854335</v>
      </c>
    </row>
    <row r="66" spans="2:8" ht="20.100000000000001" customHeight="1" x14ac:dyDescent="0.2">
      <c r="B66" s="401">
        <v>2021</v>
      </c>
      <c r="C66" s="518">
        <f t="shared" si="9"/>
        <v>-4.8931135016315963</v>
      </c>
      <c r="D66" s="409">
        <f t="shared" si="9"/>
        <v>6.5324276871208786</v>
      </c>
      <c r="E66" s="409">
        <f t="shared" si="9"/>
        <v>4.1681830088308836</v>
      </c>
      <c r="F66" s="519">
        <f t="shared" si="9"/>
        <v>3.209959674150431</v>
      </c>
      <c r="G66" s="520">
        <f t="shared" si="9"/>
        <v>0.54221416143467316</v>
      </c>
    </row>
    <row r="67" spans="2:8" ht="21" customHeight="1" x14ac:dyDescent="0.2">
      <c r="B67" s="74" t="s">
        <v>62</v>
      </c>
      <c r="C67" s="514">
        <f>100*(POWER((C12/C7), 1/5) -1)</f>
        <v>-1.6350578211437483</v>
      </c>
      <c r="D67" s="515">
        <f>100*(POWER((D12/D7), 1/5) -1)</f>
        <v>4.7771011961594834</v>
      </c>
      <c r="E67" s="515">
        <f>100*(POWER((E12/E7), 1/5) -1)</f>
        <v>0.70930375250364275</v>
      </c>
      <c r="F67" s="516">
        <f>100*(POWER((F12/F7), 1/5) -1)</f>
        <v>0.57543146284175783</v>
      </c>
      <c r="G67" s="517">
        <f>100*(POWER((G12/G7), 1/5) -1)</f>
        <v>0.87798041393423176</v>
      </c>
    </row>
    <row r="68" spans="2:8" ht="19.5" customHeight="1" x14ac:dyDescent="0.2">
      <c r="B68" s="139" t="s">
        <v>61</v>
      </c>
      <c r="C68" s="521">
        <f>100*(POWER((C17/C12), 1/5) -1)</f>
        <v>5.5133906599079241</v>
      </c>
      <c r="D68" s="521">
        <f>100*(POWER((D17/D12), 1/5) -1)</f>
        <v>2.342622518639037</v>
      </c>
      <c r="E68" s="521">
        <f>100*(POWER((E17/E12), 1/5) -1)</f>
        <v>-0.30761885454360094</v>
      </c>
      <c r="F68" s="522">
        <f>100*(POWER((F17/F12), 1/5) -1)</f>
        <v>-2.0119501705730958</v>
      </c>
      <c r="G68" s="523">
        <f>100*(POWER((G17/G12), 1/5) -1)</f>
        <v>2.3354317824555437</v>
      </c>
    </row>
    <row r="69" spans="2:8" ht="18.75" customHeight="1" x14ac:dyDescent="0.2">
      <c r="B69" s="74" t="s">
        <v>110</v>
      </c>
      <c r="C69" s="409">
        <f>100*(POWER((C27/C17), 1/10) -1)</f>
        <v>-0.91127230768914824</v>
      </c>
      <c r="D69" s="409">
        <f>100*(POWER((D27/D17), 1/10) -1)</f>
        <v>1.4383675433427445</v>
      </c>
      <c r="E69" s="409">
        <f>100*(POWER((E27/E17), 1/10) -1)</f>
        <v>-1.5395309129312529</v>
      </c>
      <c r="F69" s="414">
        <f>100*(POWER((F27/F17), 1/10) -1)</f>
        <v>-0.12293919026997724</v>
      </c>
      <c r="G69" s="324">
        <f>100*(POWER((G27/G17), 1/10) -1)</f>
        <v>-2.9403328382471283E-2</v>
      </c>
    </row>
    <row r="70" spans="2:8" ht="15.75" customHeight="1" x14ac:dyDescent="0.2">
      <c r="B70" s="74" t="s">
        <v>153</v>
      </c>
      <c r="C70" s="409">
        <f>100*(POWER((C38/C28), 1/10) -1)</f>
        <v>2.6463962548614273</v>
      </c>
      <c r="D70" s="409">
        <f t="shared" ref="D70:G70" si="10">100*(POWER((D38/D28), 1/10) -1)</f>
        <v>-1.1918216806712567</v>
      </c>
      <c r="E70" s="409">
        <f t="shared" si="10"/>
        <v>-0.83713238572079574</v>
      </c>
      <c r="F70" s="414">
        <f t="shared" si="10"/>
        <v>-9.6528810933294018E-2</v>
      </c>
      <c r="G70" s="409">
        <f t="shared" si="10"/>
        <v>0.54187522922415354</v>
      </c>
      <c r="H70" s="301"/>
    </row>
    <row r="71" spans="2:8" ht="18.75" customHeight="1" x14ac:dyDescent="0.2"/>
    <row r="72" spans="2:8" ht="12.75" customHeight="1" x14ac:dyDescent="0.2">
      <c r="B72" s="598" t="s">
        <v>48</v>
      </c>
      <c r="C72" s="598"/>
      <c r="D72" s="598"/>
      <c r="E72" s="598"/>
      <c r="F72" s="598"/>
      <c r="G72" s="598"/>
    </row>
    <row r="73" spans="2:8" ht="12.75" customHeight="1" x14ac:dyDescent="0.2">
      <c r="B73" s="611" t="s">
        <v>63</v>
      </c>
      <c r="C73" s="611"/>
      <c r="D73" s="611"/>
      <c r="E73" s="611"/>
      <c r="F73" s="611"/>
      <c r="G73" s="611"/>
    </row>
    <row r="74" spans="2:8" ht="12.75" customHeight="1" x14ac:dyDescent="0.2">
      <c r="B74" s="34"/>
      <c r="C74" s="71" t="s">
        <v>40</v>
      </c>
      <c r="D74" s="75" t="s">
        <v>41</v>
      </c>
      <c r="E74" s="602" t="s">
        <v>46</v>
      </c>
      <c r="F74" s="604" t="s">
        <v>44</v>
      </c>
      <c r="G74" s="33"/>
    </row>
    <row r="75" spans="2:8" ht="12.75" customHeight="1" x14ac:dyDescent="0.2">
      <c r="B75" s="34"/>
      <c r="C75" s="66"/>
      <c r="D75" s="72" t="s">
        <v>34</v>
      </c>
      <c r="E75" s="603"/>
      <c r="F75" s="605"/>
      <c r="G75" s="33"/>
    </row>
    <row r="76" spans="2:8" ht="12.75" customHeight="1" x14ac:dyDescent="0.2">
      <c r="B76" s="119">
        <v>1990</v>
      </c>
      <c r="C76" s="219">
        <f t="shared" ref="C76:F107" si="11">100*C7/$G7</f>
        <v>40.688949539551551</v>
      </c>
      <c r="D76" s="224">
        <f t="shared" si="11"/>
        <v>25.25424495549122</v>
      </c>
      <c r="E76" s="224">
        <f t="shared" si="11"/>
        <v>8.6297661160510994</v>
      </c>
      <c r="F76" s="223">
        <f t="shared" si="11"/>
        <v>25.427039388906124</v>
      </c>
      <c r="G76" s="33"/>
    </row>
    <row r="77" spans="2:8" ht="12.75" customHeight="1" x14ac:dyDescent="0.2">
      <c r="B77" s="69">
        <v>1991</v>
      </c>
      <c r="C77" s="222">
        <f t="shared" si="11"/>
        <v>39.494958850671736</v>
      </c>
      <c r="D77" s="221">
        <f t="shared" si="11"/>
        <v>26.025274314995666</v>
      </c>
      <c r="E77" s="221">
        <f t="shared" si="11"/>
        <v>8.6502012012533704</v>
      </c>
      <c r="F77" s="220">
        <f t="shared" si="11"/>
        <v>25.82956563307922</v>
      </c>
      <c r="G77" s="33"/>
    </row>
    <row r="78" spans="2:8" ht="12.75" customHeight="1" x14ac:dyDescent="0.2">
      <c r="B78" s="69">
        <v>1992</v>
      </c>
      <c r="C78" s="222">
        <f t="shared" si="11"/>
        <v>40.005550996673954</v>
      </c>
      <c r="D78" s="221">
        <f t="shared" si="11"/>
        <v>25.915248244168026</v>
      </c>
      <c r="E78" s="221">
        <f t="shared" si="11"/>
        <v>8.5856914912824962</v>
      </c>
      <c r="F78" s="220">
        <f t="shared" si="11"/>
        <v>25.493509267875513</v>
      </c>
      <c r="G78" s="33"/>
    </row>
    <row r="79" spans="2:8" ht="12.75" customHeight="1" x14ac:dyDescent="0.2">
      <c r="B79" s="69">
        <v>1993</v>
      </c>
      <c r="C79" s="222">
        <f t="shared" si="11"/>
        <v>38.865989702201681</v>
      </c>
      <c r="D79" s="221">
        <f t="shared" si="11"/>
        <v>27.057675445897992</v>
      </c>
      <c r="E79" s="221">
        <f t="shared" si="11"/>
        <v>8.3011899142076508</v>
      </c>
      <c r="F79" s="220">
        <f t="shared" si="11"/>
        <v>25.775144937692694</v>
      </c>
      <c r="G79" s="33"/>
    </row>
    <row r="80" spans="2:8" ht="12.75" customHeight="1" x14ac:dyDescent="0.2">
      <c r="B80" s="69">
        <v>1994</v>
      </c>
      <c r="C80" s="222">
        <f t="shared" si="11"/>
        <v>39.434423900685942</v>
      </c>
      <c r="D80" s="221">
        <f t="shared" si="11"/>
        <v>27.854171332926096</v>
      </c>
      <c r="E80" s="221">
        <f t="shared" si="11"/>
        <v>8.2591782901363437</v>
      </c>
      <c r="F80" s="220">
        <f t="shared" si="11"/>
        <v>24.452226476251621</v>
      </c>
    </row>
    <row r="81" spans="2:7" ht="12.75" customHeight="1" x14ac:dyDescent="0.2">
      <c r="B81" s="69">
        <v>1995</v>
      </c>
      <c r="C81" s="222">
        <f t="shared" si="11"/>
        <v>35.867101987454561</v>
      </c>
      <c r="D81" s="221">
        <f t="shared" si="11"/>
        <v>30.527018369891088</v>
      </c>
      <c r="E81" s="221">
        <f t="shared" si="11"/>
        <v>8.5578584334663574</v>
      </c>
      <c r="F81" s="220">
        <f t="shared" si="11"/>
        <v>25.048021209187983</v>
      </c>
      <c r="G81" s="57"/>
    </row>
    <row r="82" spans="2:7" ht="12.75" customHeight="1" x14ac:dyDescent="0.2">
      <c r="B82" s="69">
        <v>1996</v>
      </c>
      <c r="C82" s="222">
        <f t="shared" si="11"/>
        <v>36.443262121872543</v>
      </c>
      <c r="D82" s="221">
        <f t="shared" si="11"/>
        <v>30.618269880496108</v>
      </c>
      <c r="E82" s="221">
        <f t="shared" si="11"/>
        <v>8.0188356332231994</v>
      </c>
      <c r="F82" s="220">
        <f t="shared" si="11"/>
        <v>24.919632364408145</v>
      </c>
      <c r="G82" s="57"/>
    </row>
    <row r="83" spans="2:7" ht="12.75" customHeight="1" x14ac:dyDescent="0.2">
      <c r="B83" s="69">
        <v>1997</v>
      </c>
      <c r="C83" s="222">
        <f t="shared" si="11"/>
        <v>39.588928071312452</v>
      </c>
      <c r="D83" s="221">
        <f t="shared" si="11"/>
        <v>29.063060638488402</v>
      </c>
      <c r="E83" s="221">
        <f t="shared" si="11"/>
        <v>7.6742086663437759</v>
      </c>
      <c r="F83" s="220">
        <f t="shared" si="11"/>
        <v>23.673802623855376</v>
      </c>
      <c r="G83" s="76"/>
    </row>
    <row r="84" spans="2:7" ht="12.75" customHeight="1" x14ac:dyDescent="0.2">
      <c r="B84" s="69">
        <v>1998</v>
      </c>
      <c r="C84" s="222">
        <f t="shared" si="11"/>
        <v>41.029159335364362</v>
      </c>
      <c r="D84" s="221">
        <f t="shared" si="11"/>
        <v>29.111916145687768</v>
      </c>
      <c r="E84" s="221">
        <f t="shared" si="11"/>
        <v>7.5485663764523245</v>
      </c>
      <c r="F84" s="220">
        <f t="shared" si="11"/>
        <v>22.310358142495542</v>
      </c>
      <c r="G84" s="76"/>
    </row>
    <row r="85" spans="2:7" ht="12.75" customHeight="1" x14ac:dyDescent="0.2">
      <c r="B85" s="69">
        <v>1999</v>
      </c>
      <c r="C85" s="222">
        <f t="shared" si="11"/>
        <v>41.199982013753576</v>
      </c>
      <c r="D85" s="221">
        <f t="shared" si="11"/>
        <v>30.030764380498368</v>
      </c>
      <c r="E85" s="221">
        <f t="shared" si="11"/>
        <v>7.5790053642283617</v>
      </c>
      <c r="F85" s="220">
        <f t="shared" si="11"/>
        <v>21.190248241519694</v>
      </c>
      <c r="G85" s="76"/>
    </row>
    <row r="86" spans="2:7" ht="12.75" customHeight="1" x14ac:dyDescent="0.2">
      <c r="B86" s="69">
        <v>2000</v>
      </c>
      <c r="C86" s="222">
        <f t="shared" si="11"/>
        <v>41.793048642865074</v>
      </c>
      <c r="D86" s="221">
        <f t="shared" si="11"/>
        <v>30.537744986395413</v>
      </c>
      <c r="E86" s="221">
        <f t="shared" si="11"/>
        <v>7.5083552474373523</v>
      </c>
      <c r="F86" s="220">
        <f t="shared" si="11"/>
        <v>20.160851123302152</v>
      </c>
      <c r="G86" s="76"/>
    </row>
    <row r="87" spans="2:7" ht="12.75" customHeight="1" x14ac:dyDescent="0.2">
      <c r="B87" s="69">
        <v>2001</v>
      </c>
      <c r="C87" s="222">
        <f t="shared" si="11"/>
        <v>42.653919952302587</v>
      </c>
      <c r="D87" s="221">
        <f t="shared" si="11"/>
        <v>31.012175968075532</v>
      </c>
      <c r="E87" s="221">
        <f t="shared" si="11"/>
        <v>7.1692119996244594</v>
      </c>
      <c r="F87" s="220">
        <f t="shared" si="11"/>
        <v>19.164692079997437</v>
      </c>
      <c r="G87" s="76"/>
    </row>
    <row r="88" spans="2:7" ht="12.75" customHeight="1" x14ac:dyDescent="0.2">
      <c r="B88" s="69">
        <v>2002</v>
      </c>
      <c r="C88" s="222">
        <f t="shared" si="11"/>
        <v>44.782127587926105</v>
      </c>
      <c r="D88" s="221">
        <f t="shared" si="11"/>
        <v>30.433523567621332</v>
      </c>
      <c r="E88" s="221">
        <f t="shared" si="11"/>
        <v>7.0028924877743242</v>
      </c>
      <c r="F88" s="220">
        <f t="shared" si="11"/>
        <v>17.781456356678234</v>
      </c>
      <c r="G88" s="76"/>
    </row>
    <row r="89" spans="2:7" ht="12.75" customHeight="1" x14ac:dyDescent="0.2">
      <c r="B89" s="69">
        <v>2003</v>
      </c>
      <c r="C89" s="222">
        <f t="shared" si="11"/>
        <v>45.047478956095183</v>
      </c>
      <c r="D89" s="221">
        <f t="shared" si="11"/>
        <v>30.969231902671915</v>
      </c>
      <c r="E89" s="221">
        <f t="shared" si="11"/>
        <v>6.5054913462391681</v>
      </c>
      <c r="F89" s="220">
        <f t="shared" si="11"/>
        <v>17.477797794993744</v>
      </c>
      <c r="G89" s="76"/>
    </row>
    <row r="90" spans="2:7" ht="12.75" customHeight="1" x14ac:dyDescent="0.2">
      <c r="B90" s="69">
        <v>2004</v>
      </c>
      <c r="C90" s="222">
        <f t="shared" si="11"/>
        <v>44.255387081420636</v>
      </c>
      <c r="D90" s="221">
        <f t="shared" si="11"/>
        <v>32.257757974810417</v>
      </c>
      <c r="E90" s="221">
        <f t="shared" si="11"/>
        <v>6.5947792393796378</v>
      </c>
      <c r="F90" s="220">
        <f t="shared" si="11"/>
        <v>16.892075704389306</v>
      </c>
      <c r="G90" s="76"/>
    </row>
    <row r="91" spans="2:7" ht="12.75" customHeight="1" x14ac:dyDescent="0.2">
      <c r="B91" s="69">
        <v>2005</v>
      </c>
      <c r="C91" s="222">
        <f t="shared" si="11"/>
        <v>43.717627426041517</v>
      </c>
      <c r="D91" s="221">
        <f t="shared" si="11"/>
        <v>33.055187928771346</v>
      </c>
      <c r="E91" s="221">
        <f t="shared" si="11"/>
        <v>6.3588386362665137</v>
      </c>
      <c r="F91" s="220">
        <f t="shared" si="11"/>
        <v>16.868346008920625</v>
      </c>
      <c r="G91" s="76"/>
    </row>
    <row r="92" spans="2:7" ht="12.75" customHeight="1" x14ac:dyDescent="0.2">
      <c r="B92" s="69">
        <v>2006</v>
      </c>
      <c r="C92" s="222">
        <f t="shared" si="11"/>
        <v>42.464136347729429</v>
      </c>
      <c r="D92" s="221">
        <f t="shared" si="11"/>
        <v>34.357130065228077</v>
      </c>
      <c r="E92" s="221">
        <f t="shared" si="11"/>
        <v>6.4884671695335125</v>
      </c>
      <c r="F92" s="220">
        <f t="shared" si="11"/>
        <v>16.690266417508987</v>
      </c>
      <c r="G92" s="76"/>
    </row>
    <row r="93" spans="2:7" ht="12.75" customHeight="1" x14ac:dyDescent="0.2">
      <c r="B93" s="69">
        <v>2007</v>
      </c>
      <c r="C93" s="222">
        <f t="shared" si="11"/>
        <v>43.119285595668501</v>
      </c>
      <c r="D93" s="221">
        <f t="shared" si="11"/>
        <v>34.140262087000139</v>
      </c>
      <c r="E93" s="221">
        <f t="shared" si="11"/>
        <v>6.2380261138217756</v>
      </c>
      <c r="F93" s="220">
        <f t="shared" si="11"/>
        <v>16.502426203509593</v>
      </c>
      <c r="G93" s="76"/>
    </row>
    <row r="94" spans="2:7" ht="12.75" customHeight="1" x14ac:dyDescent="0.2">
      <c r="B94" s="69">
        <v>2008</v>
      </c>
      <c r="C94" s="222">
        <f t="shared" si="11"/>
        <v>37.927978770687957</v>
      </c>
      <c r="D94" s="221">
        <f t="shared" si="11"/>
        <v>35.936481770159602</v>
      </c>
      <c r="E94" s="221">
        <f t="shared" si="11"/>
        <v>6.2927666329426417</v>
      </c>
      <c r="F94" s="220">
        <f t="shared" si="11"/>
        <v>19.842772826209806</v>
      </c>
      <c r="G94" s="76"/>
    </row>
    <row r="95" spans="2:7" ht="12.75" customHeight="1" x14ac:dyDescent="0.2">
      <c r="B95" s="69">
        <v>2009</v>
      </c>
      <c r="C95" s="222">
        <f t="shared" si="11"/>
        <v>42.68637430383513</v>
      </c>
      <c r="D95" s="221">
        <f t="shared" si="11"/>
        <v>31.838484387207576</v>
      </c>
      <c r="E95" s="221">
        <f t="shared" si="11"/>
        <v>5.7918166437996117</v>
      </c>
      <c r="F95" s="220">
        <f t="shared" si="11"/>
        <v>19.683324665157684</v>
      </c>
      <c r="G95" s="76"/>
    </row>
    <row r="96" spans="2:7" ht="12.75" customHeight="1" thickBot="1" x14ac:dyDescent="0.25">
      <c r="B96" s="69">
        <v>2010</v>
      </c>
      <c r="C96" s="222">
        <f t="shared" si="11"/>
        <v>38.249321107572207</v>
      </c>
      <c r="D96" s="221">
        <f t="shared" si="11"/>
        <v>35.329430494660734</v>
      </c>
      <c r="E96" s="221">
        <f t="shared" si="11"/>
        <v>6.4482367695044873</v>
      </c>
      <c r="F96" s="267">
        <f t="shared" si="11"/>
        <v>19.973011628262558</v>
      </c>
      <c r="G96" s="76"/>
    </row>
    <row r="97" spans="1:7" ht="12.75" customHeight="1" thickTop="1" thickBot="1" x14ac:dyDescent="0.25">
      <c r="B97" s="69">
        <v>2011</v>
      </c>
      <c r="C97" s="268">
        <f t="shared" si="11"/>
        <v>35.000398251372566</v>
      </c>
      <c r="D97" s="221">
        <f t="shared" si="11"/>
        <v>36.669237407513258</v>
      </c>
      <c r="E97" s="221">
        <f t="shared" si="11"/>
        <v>6.7417174258524213</v>
      </c>
      <c r="F97" s="220">
        <f t="shared" si="11"/>
        <v>21.588646915261762</v>
      </c>
      <c r="G97" s="172"/>
    </row>
    <row r="98" spans="1:7" ht="13.5" customHeight="1" thickTop="1" x14ac:dyDescent="0.2">
      <c r="B98" s="69">
        <v>2012</v>
      </c>
      <c r="C98" s="222">
        <f t="shared" si="11"/>
        <v>38.916944746329399</v>
      </c>
      <c r="D98" s="221">
        <f t="shared" si="11"/>
        <v>36.248303197584818</v>
      </c>
      <c r="E98" s="221">
        <f t="shared" si="11"/>
        <v>6.6981259196742746</v>
      </c>
      <c r="F98" s="220">
        <f t="shared" si="11"/>
        <v>18.136626136411518</v>
      </c>
      <c r="G98" s="172"/>
    </row>
    <row r="99" spans="1:7" x14ac:dyDescent="0.2">
      <c r="B99" s="69">
        <v>2013</v>
      </c>
      <c r="C99" s="222">
        <f t="shared" si="11"/>
        <v>41.209267869940611</v>
      </c>
      <c r="D99" s="221">
        <f t="shared" si="11"/>
        <v>35.786094909383465</v>
      </c>
      <c r="E99" s="221">
        <f t="shared" si="11"/>
        <v>6.1705026101256308</v>
      </c>
      <c r="F99" s="220">
        <f t="shared" si="11"/>
        <v>16.834134610550297</v>
      </c>
      <c r="G99" s="172"/>
    </row>
    <row r="100" spans="1:7" x14ac:dyDescent="0.2">
      <c r="A100" s="302"/>
      <c r="B100" s="289">
        <v>2014</v>
      </c>
      <c r="C100" s="291">
        <f t="shared" si="11"/>
        <v>39.18875946817338</v>
      </c>
      <c r="D100" s="221">
        <f t="shared" si="11"/>
        <v>37.073906940665054</v>
      </c>
      <c r="E100" s="221">
        <f t="shared" si="11"/>
        <v>6.6219184817387307</v>
      </c>
      <c r="F100" s="220">
        <f t="shared" si="11"/>
        <v>17.11541510942283</v>
      </c>
      <c r="G100" s="172"/>
    </row>
    <row r="101" spans="1:7" x14ac:dyDescent="0.2">
      <c r="A101" s="302"/>
      <c r="B101" s="289">
        <v>2015</v>
      </c>
      <c r="C101" s="291">
        <f t="shared" si="11"/>
        <v>40.361135768711982</v>
      </c>
      <c r="D101" s="221">
        <f t="shared" si="11"/>
        <v>35.327530208063813</v>
      </c>
      <c r="E101" s="221">
        <f t="shared" si="11"/>
        <v>6.3740466572467858</v>
      </c>
      <c r="F101" s="220">
        <f t="shared" si="11"/>
        <v>17.937287365977419</v>
      </c>
      <c r="G101" s="172"/>
    </row>
    <row r="102" spans="1:7" x14ac:dyDescent="0.2">
      <c r="A102" s="302"/>
      <c r="B102" s="328">
        <v>2016</v>
      </c>
      <c r="C102" s="291">
        <f t="shared" si="11"/>
        <v>42.749358888302922</v>
      </c>
      <c r="D102" s="221">
        <f t="shared" si="11"/>
        <v>32.887212257002695</v>
      </c>
      <c r="E102" s="221">
        <f t="shared" si="11"/>
        <v>6.3224412670411985</v>
      </c>
      <c r="F102" s="220">
        <f t="shared" si="11"/>
        <v>18.040987587653188</v>
      </c>
      <c r="G102" s="172"/>
    </row>
    <row r="103" spans="1:7" x14ac:dyDescent="0.2">
      <c r="A103" s="302"/>
      <c r="B103" s="69">
        <v>2017</v>
      </c>
      <c r="C103" s="291">
        <f t="shared" si="11"/>
        <v>43.951990109298521</v>
      </c>
      <c r="D103" s="221">
        <f t="shared" si="11"/>
        <v>32.634774101176639</v>
      </c>
      <c r="E103" s="221">
        <f t="shared" si="11"/>
        <v>6.0726377132840339</v>
      </c>
      <c r="F103" s="220">
        <f t="shared" si="11"/>
        <v>17.340598076240802</v>
      </c>
      <c r="G103" s="172"/>
    </row>
    <row r="104" spans="1:7" x14ac:dyDescent="0.2">
      <c r="B104" s="69">
        <v>2018</v>
      </c>
      <c r="C104" s="291">
        <f t="shared" si="11"/>
        <v>42.568283945427247</v>
      </c>
      <c r="D104" s="221">
        <f t="shared" si="11"/>
        <v>32.696773361865368</v>
      </c>
      <c r="E104" s="221">
        <f t="shared" si="11"/>
        <v>5.9942496575516202</v>
      </c>
      <c r="F104" s="220">
        <f t="shared" si="11"/>
        <v>18.740693035155772</v>
      </c>
      <c r="G104" s="172"/>
    </row>
    <row r="105" spans="1:7" x14ac:dyDescent="0.2">
      <c r="B105" s="69">
        <v>2019</v>
      </c>
      <c r="C105" s="291">
        <f t="shared" si="11"/>
        <v>43.577190363690569</v>
      </c>
      <c r="D105" s="424">
        <f t="shared" si="11"/>
        <v>30.892447775306596</v>
      </c>
      <c r="E105" s="424">
        <f t="shared" si="11"/>
        <v>5.5733010655278283</v>
      </c>
      <c r="F105" s="425">
        <f t="shared" si="11"/>
        <v>19.957060795474995</v>
      </c>
      <c r="G105" s="366"/>
    </row>
    <row r="106" spans="1:7" x14ac:dyDescent="0.2">
      <c r="B106" s="69">
        <v>2020</v>
      </c>
      <c r="C106" s="291">
        <f>100*C37/$G37</f>
        <v>45.517324025445149</v>
      </c>
      <c r="D106" s="424">
        <f t="shared" si="11"/>
        <v>29.082223874883987</v>
      </c>
      <c r="E106" s="424">
        <f t="shared" si="11"/>
        <v>5.6676740228344196</v>
      </c>
      <c r="F106" s="425">
        <f t="shared" si="11"/>
        <v>19.732778076836446</v>
      </c>
    </row>
    <row r="107" spans="1:7" x14ac:dyDescent="0.2">
      <c r="B107" s="489">
        <v>2021</v>
      </c>
      <c r="C107" s="493">
        <f>100*C38/$G38</f>
        <v>43.056650441839608</v>
      </c>
      <c r="D107" s="415">
        <f t="shared" si="11"/>
        <v>30.814916279416149</v>
      </c>
      <c r="E107" s="415">
        <f t="shared" si="11"/>
        <v>5.8720738325600843</v>
      </c>
      <c r="F107" s="416">
        <f t="shared" si="11"/>
        <v>20.256359446184174</v>
      </c>
    </row>
  </sheetData>
  <mergeCells count="15">
    <mergeCell ref="E74:E75"/>
    <mergeCell ref="F74:F75"/>
    <mergeCell ref="B43:G43"/>
    <mergeCell ref="E44:E45"/>
    <mergeCell ref="F44:F45"/>
    <mergeCell ref="B72:G72"/>
    <mergeCell ref="B73:G73"/>
    <mergeCell ref="B42:G42"/>
    <mergeCell ref="B2:G2"/>
    <mergeCell ref="B3:G3"/>
    <mergeCell ref="D5:D6"/>
    <mergeCell ref="E5:E6"/>
    <mergeCell ref="B4:G4"/>
    <mergeCell ref="F5:F6"/>
    <mergeCell ref="B41:G41"/>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fitToPage="1"/>
  </sheetPr>
  <dimension ref="B1:AO46"/>
  <sheetViews>
    <sheetView zoomScaleNormal="100" workbookViewId="0">
      <selection activeCell="G53" sqref="G53"/>
    </sheetView>
  </sheetViews>
  <sheetFormatPr defaultRowHeight="12.75" x14ac:dyDescent="0.2"/>
  <cols>
    <col min="1" max="1" width="20.28515625" customWidth="1"/>
    <col min="2" max="2" width="9.7109375" customWidth="1"/>
    <col min="3" max="17" width="6.7109375" customWidth="1"/>
    <col min="22" max="22" width="9.85546875" customWidth="1"/>
    <col min="25" max="25" width="8.42578125" customWidth="1"/>
  </cols>
  <sheetData>
    <row r="1" spans="2:41" ht="14.25" customHeight="1" x14ac:dyDescent="0.2">
      <c r="B1" s="543"/>
      <c r="C1" s="543"/>
      <c r="F1" s="19"/>
      <c r="N1" s="19" t="s">
        <v>75</v>
      </c>
      <c r="W1" s="294"/>
      <c r="X1" s="294"/>
      <c r="Y1" s="294"/>
      <c r="Z1" s="294"/>
      <c r="AA1" s="294"/>
      <c r="AB1" s="294"/>
      <c r="AC1" s="294"/>
      <c r="AD1" s="294"/>
      <c r="AE1" s="294"/>
      <c r="AF1" s="294"/>
      <c r="AG1" s="294"/>
      <c r="AH1" s="294"/>
      <c r="AI1" s="294"/>
      <c r="AJ1" s="294"/>
      <c r="AK1" s="294"/>
      <c r="AL1" s="294"/>
      <c r="AM1" s="294"/>
      <c r="AN1" s="294"/>
      <c r="AO1" s="294"/>
    </row>
    <row r="2" spans="2:41" ht="12.75" customHeight="1" x14ac:dyDescent="0.2">
      <c r="W2" s="294"/>
      <c r="X2" s="294"/>
      <c r="Y2" s="294"/>
      <c r="Z2" s="294"/>
      <c r="AA2" s="294"/>
      <c r="AB2" s="294"/>
      <c r="AC2" s="294"/>
      <c r="AD2" s="294"/>
      <c r="AE2" s="294"/>
      <c r="AF2" s="294"/>
      <c r="AG2" s="294"/>
      <c r="AH2" s="294"/>
      <c r="AI2" s="294"/>
      <c r="AJ2" s="294"/>
      <c r="AK2" s="294"/>
      <c r="AL2" s="294"/>
      <c r="AM2" s="294"/>
      <c r="AN2" s="294"/>
      <c r="AO2" s="294"/>
    </row>
    <row r="3" spans="2:41" ht="12.75" customHeight="1" x14ac:dyDescent="0.2">
      <c r="W3" s="294"/>
      <c r="X3" s="294"/>
      <c r="Y3" s="294"/>
      <c r="Z3" s="294"/>
      <c r="AA3" s="294"/>
      <c r="AB3" s="294"/>
      <c r="AC3" s="294"/>
      <c r="AD3" s="294"/>
      <c r="AE3" s="294"/>
      <c r="AF3" s="294"/>
      <c r="AG3" s="294"/>
      <c r="AH3" s="294"/>
      <c r="AI3" s="294"/>
      <c r="AJ3" s="294"/>
      <c r="AK3" s="294"/>
      <c r="AL3" s="294"/>
      <c r="AM3" s="294"/>
      <c r="AN3" s="294"/>
      <c r="AO3" s="294"/>
    </row>
    <row r="4" spans="2:41" ht="12.75" customHeight="1" x14ac:dyDescent="0.2">
      <c r="W4" s="294"/>
      <c r="X4" s="294"/>
      <c r="Y4" s="294"/>
      <c r="Z4" s="294"/>
      <c r="AA4" s="294"/>
      <c r="AB4" s="294"/>
      <c r="AC4" s="294"/>
      <c r="AD4" s="294"/>
      <c r="AE4" s="294"/>
      <c r="AF4" s="294"/>
      <c r="AG4" s="294"/>
      <c r="AH4" s="294"/>
      <c r="AI4" s="294"/>
      <c r="AJ4" s="294"/>
      <c r="AK4" s="294"/>
      <c r="AL4" s="294"/>
      <c r="AM4" s="294"/>
      <c r="AN4" s="294"/>
      <c r="AO4" s="294"/>
    </row>
    <row r="5" spans="2:41" ht="12.75" customHeight="1" x14ac:dyDescent="0.2">
      <c r="W5" s="294"/>
      <c r="X5" s="294"/>
      <c r="Y5" s="294"/>
      <c r="Z5" s="294"/>
      <c r="AA5" s="294"/>
      <c r="AB5" s="294"/>
      <c r="AC5" s="294"/>
      <c r="AD5" s="294"/>
      <c r="AE5" s="294"/>
      <c r="AF5" s="294"/>
      <c r="AG5" s="294"/>
      <c r="AH5" s="294"/>
      <c r="AI5" s="294"/>
      <c r="AJ5" s="294"/>
      <c r="AK5" s="294"/>
      <c r="AL5" s="294"/>
      <c r="AM5" s="294"/>
      <c r="AN5" s="294"/>
      <c r="AO5" s="294"/>
    </row>
    <row r="6" spans="2:41" ht="12.75" customHeight="1" x14ac:dyDescent="0.2">
      <c r="W6" s="294"/>
      <c r="X6" s="294"/>
      <c r="Y6" s="294"/>
      <c r="Z6" s="294"/>
      <c r="AA6" s="294"/>
      <c r="AB6" s="294"/>
      <c r="AC6" s="294"/>
      <c r="AD6" s="294"/>
      <c r="AE6" s="294"/>
      <c r="AF6" s="294"/>
      <c r="AG6" s="294"/>
      <c r="AH6" s="294"/>
      <c r="AI6" s="294"/>
      <c r="AJ6" s="294"/>
      <c r="AK6" s="294"/>
      <c r="AL6" s="294"/>
      <c r="AM6" s="294"/>
      <c r="AN6" s="294"/>
      <c r="AO6" s="294"/>
    </row>
    <row r="7" spans="2:41" ht="12.75" customHeight="1" x14ac:dyDescent="0.2">
      <c r="W7" s="294"/>
      <c r="X7" s="294"/>
      <c r="Y7" s="294"/>
      <c r="Z7" s="294"/>
      <c r="AA7" s="294"/>
      <c r="AB7" s="294"/>
      <c r="AC7" s="294"/>
      <c r="AD7" s="294"/>
      <c r="AE7" s="294"/>
      <c r="AF7" s="294"/>
      <c r="AG7" s="294"/>
      <c r="AH7" s="294"/>
      <c r="AI7" s="294"/>
      <c r="AJ7" s="294"/>
      <c r="AK7" s="294"/>
      <c r="AL7" s="294"/>
      <c r="AM7" s="294"/>
      <c r="AN7" s="294"/>
      <c r="AO7" s="294"/>
    </row>
    <row r="8" spans="2:41" ht="12.75" customHeight="1" x14ac:dyDescent="0.2">
      <c r="W8" s="294"/>
      <c r="X8" s="294"/>
      <c r="Y8" s="294"/>
      <c r="Z8" s="294"/>
      <c r="AA8" s="294"/>
      <c r="AB8" s="294"/>
      <c r="AC8" s="294"/>
      <c r="AD8" s="294"/>
      <c r="AE8" s="294"/>
      <c r="AF8" s="294"/>
      <c r="AG8" s="294"/>
      <c r="AH8" s="294"/>
      <c r="AI8" s="294"/>
      <c r="AJ8" s="294"/>
      <c r="AK8" s="294"/>
      <c r="AL8" s="294"/>
      <c r="AM8" s="294"/>
      <c r="AN8" s="294"/>
      <c r="AO8" s="294"/>
    </row>
    <row r="9" spans="2:41" ht="12.75" customHeight="1" x14ac:dyDescent="0.2">
      <c r="W9" s="294"/>
      <c r="X9" s="294"/>
      <c r="Y9" s="294"/>
      <c r="Z9" s="294"/>
      <c r="AA9" s="294"/>
      <c r="AB9" s="294"/>
      <c r="AC9" s="294"/>
      <c r="AD9" s="294"/>
      <c r="AE9" s="294"/>
      <c r="AF9" s="294"/>
      <c r="AG9" s="294"/>
      <c r="AH9" s="294"/>
      <c r="AI9" s="294"/>
      <c r="AJ9" s="294"/>
      <c r="AK9" s="294"/>
      <c r="AL9" s="294"/>
      <c r="AM9" s="294"/>
      <c r="AN9" s="294"/>
      <c r="AO9" s="294"/>
    </row>
    <row r="10" spans="2:41" ht="12.75" customHeight="1" x14ac:dyDescent="0.2">
      <c r="W10" s="294"/>
      <c r="X10" s="294"/>
      <c r="Y10" s="294"/>
      <c r="Z10" s="294"/>
      <c r="AA10" s="294"/>
      <c r="AB10" s="294"/>
      <c r="AC10" s="294"/>
      <c r="AD10" s="294"/>
      <c r="AE10" s="294"/>
      <c r="AF10" s="294"/>
      <c r="AG10" s="294"/>
      <c r="AH10" s="294"/>
      <c r="AI10" s="294"/>
      <c r="AJ10" s="294"/>
      <c r="AK10" s="294"/>
      <c r="AL10" s="294"/>
      <c r="AM10" s="294"/>
      <c r="AN10" s="294"/>
      <c r="AO10" s="294"/>
    </row>
    <row r="11" spans="2:41" ht="12.75" customHeight="1" x14ac:dyDescent="0.2">
      <c r="W11" s="294"/>
      <c r="X11" s="294"/>
      <c r="Y11" s="294"/>
      <c r="Z11" s="294"/>
      <c r="AA11" s="294"/>
      <c r="AB11" s="294"/>
      <c r="AC11" s="294"/>
      <c r="AD11" s="294"/>
      <c r="AE11" s="294"/>
      <c r="AF11" s="294"/>
      <c r="AG11" s="294"/>
      <c r="AH11" s="294"/>
      <c r="AI11" s="294"/>
      <c r="AJ11" s="294"/>
      <c r="AK11" s="294"/>
      <c r="AL11" s="294"/>
      <c r="AM11" s="294"/>
      <c r="AN11" s="294"/>
      <c r="AO11" s="294"/>
    </row>
    <row r="12" spans="2:41" ht="12.75" customHeight="1" x14ac:dyDescent="0.2">
      <c r="W12" s="294"/>
      <c r="X12" s="294"/>
      <c r="Y12" s="294"/>
      <c r="Z12" s="294"/>
      <c r="AA12" s="294"/>
      <c r="AB12" s="294"/>
      <c r="AC12" s="294"/>
      <c r="AD12" s="294"/>
      <c r="AE12" s="294"/>
      <c r="AF12" s="294"/>
      <c r="AG12" s="294"/>
      <c r="AH12" s="294"/>
      <c r="AI12" s="294"/>
      <c r="AJ12" s="294"/>
      <c r="AK12" s="294"/>
      <c r="AL12" s="294"/>
      <c r="AM12" s="294"/>
      <c r="AN12" s="294"/>
      <c r="AO12" s="294"/>
    </row>
    <row r="13" spans="2:41" ht="12.75" customHeight="1" x14ac:dyDescent="0.2">
      <c r="W13" s="294"/>
      <c r="X13" s="294"/>
      <c r="Y13" s="294"/>
      <c r="Z13" s="294"/>
      <c r="AA13" s="294"/>
      <c r="AB13" s="294"/>
      <c r="AC13" s="294"/>
      <c r="AD13" s="294"/>
      <c r="AE13" s="294"/>
      <c r="AF13" s="294"/>
      <c r="AG13" s="294"/>
      <c r="AH13" s="294"/>
      <c r="AI13" s="294"/>
      <c r="AJ13" s="294"/>
      <c r="AK13" s="294"/>
      <c r="AL13" s="294"/>
      <c r="AM13" s="294"/>
      <c r="AN13" s="294"/>
      <c r="AO13" s="294"/>
    </row>
    <row r="14" spans="2:41" ht="12.75" customHeight="1" x14ac:dyDescent="0.2">
      <c r="W14" s="294"/>
      <c r="X14" s="294"/>
      <c r="Y14" s="294"/>
      <c r="Z14" s="294"/>
      <c r="AA14" s="294"/>
      <c r="AB14" s="294"/>
      <c r="AC14" s="294"/>
      <c r="AD14" s="294"/>
      <c r="AE14" s="294"/>
      <c r="AF14" s="294"/>
      <c r="AG14" s="294"/>
      <c r="AH14" s="294"/>
      <c r="AI14" s="294"/>
      <c r="AJ14" s="294"/>
      <c r="AK14" s="294"/>
      <c r="AL14" s="294"/>
      <c r="AM14" s="294"/>
      <c r="AN14" s="294"/>
      <c r="AO14" s="294"/>
    </row>
    <row r="15" spans="2:41" ht="12.75" customHeight="1" x14ac:dyDescent="0.2">
      <c r="W15" s="294"/>
      <c r="X15" s="294"/>
      <c r="Y15" s="294"/>
      <c r="Z15" s="294"/>
      <c r="AA15" s="294"/>
      <c r="AB15" s="294"/>
      <c r="AC15" s="294"/>
      <c r="AD15" s="294"/>
      <c r="AE15" s="294"/>
      <c r="AF15" s="294"/>
      <c r="AG15" s="294"/>
      <c r="AH15" s="294"/>
      <c r="AI15" s="294"/>
      <c r="AJ15" s="294"/>
      <c r="AK15" s="294"/>
      <c r="AL15" s="294"/>
      <c r="AM15" s="294"/>
      <c r="AN15" s="294"/>
      <c r="AO15" s="294"/>
    </row>
    <row r="16" spans="2:41" ht="12.75" customHeight="1" x14ac:dyDescent="0.2">
      <c r="W16" s="294"/>
      <c r="X16" s="294"/>
      <c r="Y16" s="294"/>
      <c r="Z16" s="294"/>
      <c r="AA16" s="294"/>
      <c r="AB16" s="294"/>
      <c r="AC16" s="294"/>
      <c r="AD16" s="294"/>
      <c r="AE16" s="294"/>
      <c r="AF16" s="294"/>
      <c r="AG16" s="294"/>
      <c r="AH16" s="294"/>
      <c r="AI16" s="294"/>
      <c r="AJ16" s="294"/>
      <c r="AK16" s="294"/>
      <c r="AL16" s="294"/>
      <c r="AM16" s="294"/>
      <c r="AN16" s="294"/>
      <c r="AO16" s="294"/>
    </row>
    <row r="17" spans="2:41" ht="12.75" customHeight="1" x14ac:dyDescent="0.2">
      <c r="W17" s="294"/>
      <c r="X17" s="294"/>
      <c r="Y17" s="294"/>
      <c r="Z17" s="294"/>
      <c r="AA17" s="294"/>
      <c r="AB17" s="294"/>
      <c r="AC17" s="294"/>
      <c r="AD17" s="294"/>
      <c r="AE17" s="294"/>
      <c r="AF17" s="294"/>
      <c r="AG17" s="294"/>
      <c r="AH17" s="294"/>
      <c r="AI17" s="294"/>
      <c r="AJ17" s="294"/>
      <c r="AK17" s="294"/>
      <c r="AL17" s="294"/>
      <c r="AM17" s="294"/>
      <c r="AN17" s="294"/>
      <c r="AO17" s="294"/>
    </row>
    <row r="18" spans="2:41" ht="12.75" customHeight="1" x14ac:dyDescent="0.2">
      <c r="W18" s="294"/>
      <c r="X18" s="294"/>
      <c r="Y18" s="294"/>
      <c r="Z18" s="294"/>
      <c r="AA18" s="294"/>
      <c r="AB18" s="294"/>
      <c r="AC18" s="294"/>
      <c r="AD18" s="294"/>
      <c r="AE18" s="294"/>
      <c r="AF18" s="294"/>
      <c r="AG18" s="294"/>
      <c r="AH18" s="294"/>
      <c r="AI18" s="294"/>
      <c r="AJ18" s="294"/>
      <c r="AK18" s="294"/>
      <c r="AL18" s="294"/>
      <c r="AM18" s="294"/>
      <c r="AN18" s="294"/>
      <c r="AO18" s="294"/>
    </row>
    <row r="19" spans="2:41" ht="12.75" customHeight="1" x14ac:dyDescent="0.2">
      <c r="W19" s="294"/>
      <c r="X19" s="294"/>
      <c r="Y19" s="294"/>
      <c r="Z19" s="294"/>
      <c r="AA19" s="294"/>
      <c r="AB19" s="294"/>
      <c r="AC19" s="294"/>
      <c r="AD19" s="294"/>
      <c r="AE19" s="294"/>
      <c r="AF19" s="294"/>
      <c r="AG19" s="294"/>
      <c r="AH19" s="294"/>
      <c r="AI19" s="294"/>
      <c r="AJ19" s="294"/>
      <c r="AK19" s="294"/>
      <c r="AL19" s="294"/>
      <c r="AM19" s="294"/>
      <c r="AN19" s="294"/>
      <c r="AO19" s="294"/>
    </row>
    <row r="20" spans="2:41" ht="12.75" customHeight="1" x14ac:dyDescent="0.2">
      <c r="W20" s="294"/>
      <c r="X20" s="294"/>
      <c r="Y20" s="294"/>
      <c r="Z20" s="294"/>
      <c r="AA20" s="294"/>
      <c r="AB20" s="294"/>
      <c r="AC20" s="294"/>
      <c r="AD20" s="294"/>
      <c r="AE20" s="294"/>
      <c r="AF20" s="294"/>
      <c r="AG20" s="294"/>
      <c r="AH20" s="294"/>
      <c r="AI20" s="294"/>
      <c r="AJ20" s="294"/>
      <c r="AK20" s="294"/>
      <c r="AL20" s="294"/>
      <c r="AM20" s="294"/>
      <c r="AN20" s="294"/>
      <c r="AO20" s="294"/>
    </row>
    <row r="21" spans="2:41" ht="12.75" customHeight="1" x14ac:dyDescent="0.2">
      <c r="W21" s="294"/>
      <c r="X21" s="294"/>
      <c r="Y21" s="294"/>
      <c r="Z21" s="294"/>
      <c r="AA21" s="294"/>
      <c r="AB21" s="294"/>
      <c r="AC21" s="294"/>
      <c r="AD21" s="294"/>
      <c r="AE21" s="294"/>
      <c r="AF21" s="294"/>
      <c r="AG21" s="294"/>
      <c r="AH21" s="294"/>
      <c r="AI21" s="294"/>
      <c r="AJ21" s="294"/>
      <c r="AK21" s="294"/>
      <c r="AL21" s="294"/>
      <c r="AM21" s="294"/>
      <c r="AN21" s="294"/>
      <c r="AO21" s="294"/>
    </row>
    <row r="22" spans="2:41" ht="12.75" customHeight="1" x14ac:dyDescent="0.2">
      <c r="W22" s="294"/>
      <c r="X22" s="294"/>
      <c r="Y22" s="294"/>
      <c r="Z22" s="294"/>
      <c r="AA22" s="294"/>
      <c r="AB22" s="294"/>
      <c r="AC22" s="294"/>
      <c r="AD22" s="294"/>
      <c r="AE22" s="294"/>
      <c r="AF22" s="294"/>
      <c r="AG22" s="294"/>
      <c r="AH22" s="294"/>
      <c r="AI22" s="294"/>
      <c r="AJ22" s="294"/>
      <c r="AK22" s="294"/>
      <c r="AL22" s="294"/>
      <c r="AM22" s="294"/>
      <c r="AN22" s="294"/>
      <c r="AO22" s="294"/>
    </row>
    <row r="23" spans="2:41" ht="12.75" customHeight="1" x14ac:dyDescent="0.2">
      <c r="W23" s="294"/>
      <c r="X23" s="294"/>
      <c r="Y23" s="294"/>
      <c r="Z23" s="294"/>
      <c r="AA23" s="294"/>
      <c r="AB23" s="294"/>
      <c r="AC23" s="294"/>
      <c r="AD23" s="294"/>
      <c r="AE23" s="294"/>
      <c r="AF23" s="294"/>
      <c r="AG23" s="294"/>
      <c r="AH23" s="294"/>
      <c r="AI23" s="294"/>
      <c r="AJ23" s="294"/>
      <c r="AK23" s="294"/>
      <c r="AL23" s="294"/>
      <c r="AM23" s="294"/>
      <c r="AN23" s="294"/>
      <c r="AO23" s="294"/>
    </row>
    <row r="24" spans="2:41" ht="12.75" customHeight="1" x14ac:dyDescent="0.2">
      <c r="W24" s="294"/>
      <c r="X24" s="294"/>
      <c r="Y24" s="294"/>
      <c r="Z24" s="294"/>
      <c r="AA24" s="294"/>
      <c r="AB24" s="294"/>
      <c r="AC24" s="294"/>
      <c r="AD24" s="294"/>
      <c r="AE24" s="294"/>
      <c r="AF24" s="294"/>
      <c r="AG24" s="294"/>
      <c r="AH24" s="294"/>
      <c r="AI24" s="294"/>
      <c r="AJ24" s="294"/>
      <c r="AK24" s="294"/>
      <c r="AL24" s="294"/>
      <c r="AM24" s="294"/>
      <c r="AN24" s="294"/>
      <c r="AO24" s="294"/>
    </row>
    <row r="25" spans="2:41" ht="12.75" customHeight="1" x14ac:dyDescent="0.2">
      <c r="W25" s="294"/>
      <c r="X25" s="294"/>
      <c r="Y25" s="294"/>
      <c r="Z25" s="294"/>
      <c r="AA25" s="294"/>
      <c r="AB25" s="294"/>
      <c r="AC25" s="294"/>
      <c r="AD25" s="294"/>
      <c r="AE25" s="294"/>
      <c r="AF25" s="294"/>
      <c r="AG25" s="294"/>
      <c r="AH25" s="294"/>
      <c r="AI25" s="294"/>
      <c r="AJ25" s="294"/>
      <c r="AK25" s="294"/>
      <c r="AL25" s="294"/>
      <c r="AM25" s="294"/>
      <c r="AN25" s="294"/>
      <c r="AO25" s="294"/>
    </row>
    <row r="26" spans="2:41" ht="12.75" customHeight="1" x14ac:dyDescent="0.2">
      <c r="W26" s="294"/>
      <c r="X26" s="294"/>
      <c r="Y26" s="294"/>
      <c r="Z26" s="294"/>
      <c r="AA26" s="294"/>
      <c r="AB26" s="294"/>
      <c r="AC26" s="294"/>
      <c r="AD26" s="294"/>
      <c r="AE26" s="294"/>
      <c r="AF26" s="294"/>
      <c r="AG26" s="294"/>
      <c r="AH26" s="294"/>
      <c r="AI26" s="294"/>
      <c r="AJ26" s="294"/>
      <c r="AK26" s="294"/>
      <c r="AL26" s="294"/>
      <c r="AM26" s="294"/>
      <c r="AN26" s="294"/>
      <c r="AO26" s="294"/>
    </row>
    <row r="27" spans="2:41" ht="12.75" customHeight="1" x14ac:dyDescent="0.2">
      <c r="W27" s="294"/>
      <c r="X27" s="294"/>
      <c r="Y27" s="294"/>
      <c r="Z27" s="294"/>
      <c r="AA27" s="294"/>
      <c r="AB27" s="294"/>
      <c r="AC27" s="294"/>
      <c r="AD27" s="294"/>
      <c r="AE27" s="294"/>
      <c r="AF27" s="294"/>
      <c r="AG27" s="294"/>
      <c r="AH27" s="294"/>
      <c r="AI27" s="294"/>
      <c r="AJ27" s="294"/>
      <c r="AK27" s="294"/>
      <c r="AL27" s="294"/>
      <c r="AM27" s="294"/>
      <c r="AN27" s="294"/>
      <c r="AO27" s="294"/>
    </row>
    <row r="28" spans="2:41" ht="12.75" customHeight="1" x14ac:dyDescent="0.2"/>
    <row r="29" spans="2:41" ht="12.75" customHeight="1" x14ac:dyDescent="0.2"/>
    <row r="30" spans="2:41" ht="12.75" customHeight="1" x14ac:dyDescent="0.2"/>
    <row r="31" spans="2:41" ht="12.75" customHeight="1" x14ac:dyDescent="0.2"/>
    <row r="32" spans="2:41" ht="15" customHeight="1" x14ac:dyDescent="0.2">
      <c r="B32" s="11" t="s">
        <v>92</v>
      </c>
      <c r="M32" s="167"/>
      <c r="N32" s="167"/>
      <c r="O32" s="167"/>
      <c r="P32" s="167"/>
      <c r="Q32" s="167"/>
      <c r="R32" s="167"/>
      <c r="S32" s="167"/>
      <c r="T32" s="167"/>
      <c r="U32" s="167"/>
      <c r="V32" s="167"/>
      <c r="W32" s="167"/>
      <c r="X32" s="167"/>
      <c r="Y32" s="167"/>
      <c r="Z32" s="167"/>
      <c r="AA32" s="167"/>
      <c r="AB32" s="167"/>
    </row>
    <row r="35" spans="2:30" x14ac:dyDescent="0.2">
      <c r="C35" s="294" t="s">
        <v>114</v>
      </c>
    </row>
    <row r="36" spans="2:30" x14ac:dyDescent="0.2">
      <c r="Y36" s="444"/>
      <c r="Z36" s="444"/>
      <c r="AA36" s="444"/>
      <c r="AB36" s="444"/>
      <c r="AC36" s="444"/>
    </row>
    <row r="37" spans="2:30" x14ac:dyDescent="0.2">
      <c r="C37" s="379">
        <v>1995</v>
      </c>
      <c r="D37" s="380">
        <v>1996</v>
      </c>
      <c r="E37" s="380">
        <v>1997</v>
      </c>
      <c r="F37" s="380">
        <v>1998</v>
      </c>
      <c r="G37" s="380">
        <v>1999</v>
      </c>
      <c r="H37" s="380">
        <v>2000</v>
      </c>
      <c r="I37" s="380">
        <v>2001</v>
      </c>
      <c r="J37" s="380">
        <v>2002</v>
      </c>
      <c r="K37" s="380">
        <v>2003</v>
      </c>
      <c r="L37" s="380">
        <v>2004</v>
      </c>
      <c r="M37" s="380">
        <v>2005</v>
      </c>
      <c r="N37" s="380">
        <v>2006</v>
      </c>
      <c r="O37" s="380">
        <v>2007</v>
      </c>
      <c r="P37" s="380">
        <v>2008</v>
      </c>
      <c r="Q37" s="380">
        <v>2009</v>
      </c>
      <c r="R37" s="380">
        <v>2010</v>
      </c>
      <c r="S37" s="380">
        <v>2011</v>
      </c>
      <c r="T37" s="380">
        <v>2012</v>
      </c>
      <c r="U37" s="380">
        <v>2013</v>
      </c>
      <c r="V37" s="380">
        <v>2014</v>
      </c>
      <c r="W37" s="380">
        <v>2015</v>
      </c>
      <c r="X37" s="380">
        <v>2016</v>
      </c>
      <c r="Y37" s="381">
        <v>2017</v>
      </c>
      <c r="Z37" s="379">
        <v>2018</v>
      </c>
      <c r="AA37" s="380">
        <v>2019</v>
      </c>
      <c r="AB37" s="380">
        <v>2020</v>
      </c>
      <c r="AC37" s="501">
        <v>2021</v>
      </c>
    </row>
    <row r="38" spans="2:30" x14ac:dyDescent="0.2">
      <c r="B38" s="374" t="s">
        <v>40</v>
      </c>
      <c r="C38" s="535">
        <v>1127.1600000000001</v>
      </c>
      <c r="D38" s="535">
        <v>1136.3789999999997</v>
      </c>
      <c r="E38" s="535">
        <v>1182.4780000000001</v>
      </c>
      <c r="F38" s="535">
        <v>1242.2039999999997</v>
      </c>
      <c r="G38" s="535">
        <v>1294.3619999999999</v>
      </c>
      <c r="H38" s="535">
        <v>1343.867</v>
      </c>
      <c r="I38" s="535">
        <v>1389.2530000000002</v>
      </c>
      <c r="J38" s="535">
        <v>1438.8</v>
      </c>
      <c r="K38" s="535">
        <v>1440.54</v>
      </c>
      <c r="L38" s="535">
        <v>1588.2660000000001</v>
      </c>
      <c r="M38" s="377">
        <f>road_ter!C7</f>
        <v>1588.1540655743293</v>
      </c>
      <c r="N38" s="377">
        <f>road_ter!D7</f>
        <v>1638.7945822386714</v>
      </c>
      <c r="O38" s="377">
        <f>road_ter!E7</f>
        <v>1697.6440389755346</v>
      </c>
      <c r="P38" s="377">
        <f>road_ter!F7</f>
        <v>1676.4616408826394</v>
      </c>
      <c r="Q38" s="377">
        <f>road_ter!G7</f>
        <v>1515.3165860635595</v>
      </c>
      <c r="R38" s="377">
        <f>road_ter!H7</f>
        <v>1558.2925344262567</v>
      </c>
      <c r="S38" s="377">
        <f>road_ter!I7</f>
        <v>1541.6311993737638</v>
      </c>
      <c r="T38" s="377">
        <f>road_ter!J7</f>
        <v>1481.6904120467425</v>
      </c>
      <c r="U38" s="377">
        <f>road_ter!K7</f>
        <v>1516.3640398284499</v>
      </c>
      <c r="V38" s="377">
        <f>road_ter!L7</f>
        <v>1527.4346235799926</v>
      </c>
      <c r="W38" s="377">
        <f>road_ter!M7</f>
        <v>1561.9876827709111</v>
      </c>
      <c r="X38" s="377">
        <f>road_ter!N7</f>
        <v>1619.7477300951773</v>
      </c>
      <c r="Y38" s="377">
        <f>road_ter!O7</f>
        <v>1707.3138634168388</v>
      </c>
      <c r="Z38" s="377">
        <f>road_ter!P7</f>
        <v>1707.4960000000001</v>
      </c>
      <c r="AA38" s="377">
        <f>road_ter!Q7</f>
        <v>1764.788</v>
      </c>
      <c r="AB38" s="377">
        <f>road_ter!R7</f>
        <v>1745.3319999999999</v>
      </c>
      <c r="AC38" s="502">
        <f>road_ter!S7</f>
        <v>1862.5149999999996</v>
      </c>
    </row>
    <row r="39" spans="2:30" x14ac:dyDescent="0.2">
      <c r="B39" s="497" t="s">
        <v>39</v>
      </c>
      <c r="C39" s="377">
        <v>671.36542019370927</v>
      </c>
      <c r="D39" s="377">
        <v>679.5670919936324</v>
      </c>
      <c r="E39" s="377">
        <v>698.89960409345122</v>
      </c>
      <c r="F39" s="377">
        <v>721.7471183932372</v>
      </c>
      <c r="G39" s="377">
        <v>742.83713159303954</v>
      </c>
      <c r="H39" s="377">
        <v>769.78548179278698</v>
      </c>
      <c r="I39" s="377">
        <v>781.50215579267717</v>
      </c>
      <c r="J39" s="377">
        <v>793.80466349256187</v>
      </c>
      <c r="K39" s="377">
        <v>807.27883859243559</v>
      </c>
      <c r="L39" s="397">
        <v>835.98468989216678</v>
      </c>
      <c r="M39" s="377">
        <v>844.47159043293641</v>
      </c>
      <c r="N39" s="377">
        <v>842.96922864308533</v>
      </c>
      <c r="O39" s="377">
        <v>842.92936030820374</v>
      </c>
      <c r="P39" s="377">
        <v>841.12354145165102</v>
      </c>
      <c r="Q39" s="377">
        <v>769.75738605850768</v>
      </c>
      <c r="R39" s="377">
        <v>834.10070887932181</v>
      </c>
      <c r="S39" s="377">
        <v>850.14405701893224</v>
      </c>
      <c r="T39" s="377">
        <v>838.42273129871171</v>
      </c>
      <c r="U39" s="377">
        <v>850.98288633212314</v>
      </c>
      <c r="V39" s="377">
        <v>875.1199084423539</v>
      </c>
      <c r="W39" s="377">
        <v>870.77096504305496</v>
      </c>
      <c r="X39" s="377">
        <v>909.32038268673375</v>
      </c>
      <c r="Y39" s="377">
        <v>916.98868892735209</v>
      </c>
      <c r="Z39" s="377">
        <v>976.97412232437171</v>
      </c>
      <c r="AA39" s="377">
        <v>979.54274574293049</v>
      </c>
      <c r="AB39" s="377">
        <v>919.88758760004691</v>
      </c>
      <c r="AC39" s="499">
        <v>932.6730464707955</v>
      </c>
    </row>
    <row r="40" spans="2:30" x14ac:dyDescent="0.2">
      <c r="B40" s="497" t="s">
        <v>41</v>
      </c>
      <c r="C40" s="377">
        <f>rail_tkm!J7</f>
        <v>374.81806800000004</v>
      </c>
      <c r="D40" s="377">
        <f>rail_tkm!K7</f>
        <v>378.76300000000009</v>
      </c>
      <c r="E40" s="377">
        <f>rail_tkm!L7</f>
        <v>394.35199999999992</v>
      </c>
      <c r="F40" s="377">
        <f>rail_tkm!M7</f>
        <v>377.03752500000002</v>
      </c>
      <c r="G40" s="377">
        <f>rail_tkm!N7</f>
        <v>367.11001500293986</v>
      </c>
      <c r="H40" s="377">
        <f>rail_tkm!O7</f>
        <v>387.9207546422241</v>
      </c>
      <c r="I40" s="377">
        <f>rail_tkm!P7</f>
        <v>369.25330225225701</v>
      </c>
      <c r="J40" s="377">
        <f>rail_tkm!Q7</f>
        <v>368.16119255303101</v>
      </c>
      <c r="K40" s="377">
        <f>rail_tkm!R7</f>
        <v>376.30926875462399</v>
      </c>
      <c r="L40" s="377">
        <f>rail_tkm!S7</f>
        <v>390.03499999999997</v>
      </c>
      <c r="M40" s="377">
        <f>rail_tkm!T7</f>
        <v>394.59700000000004</v>
      </c>
      <c r="N40" s="377">
        <f>rail_tkm!U7</f>
        <v>416.24600000000004</v>
      </c>
      <c r="O40" s="377">
        <f>rail_tkm!V7</f>
        <v>430.72400000000005</v>
      </c>
      <c r="P40" s="377">
        <f>rail_tkm!W7</f>
        <v>421.68599999999992</v>
      </c>
      <c r="Q40" s="377">
        <f>rail_tkm!X7</f>
        <v>344.36900000000003</v>
      </c>
      <c r="R40" s="377">
        <f>rail_tkm!Y7</f>
        <v>374.95499999999998</v>
      </c>
      <c r="S40" s="377">
        <f>rail_tkm!Z7</f>
        <v>401.12199999999984</v>
      </c>
      <c r="T40" s="377">
        <f>rail_tkm!AA7</f>
        <v>385.18899999999996</v>
      </c>
      <c r="U40" s="377">
        <f>rail_tkm!AB7</f>
        <v>384.31900000000007</v>
      </c>
      <c r="V40" s="377">
        <f>rail_tkm!AC7</f>
        <v>388.93199999999996</v>
      </c>
      <c r="W40" s="377">
        <f>rail_tkm!AD7</f>
        <v>398.51700000000011</v>
      </c>
      <c r="X40" s="377">
        <f>rail_tkm!AE7</f>
        <v>407.45800000000008</v>
      </c>
      <c r="Y40" s="377">
        <f>rail_tkm!AF7</f>
        <v>411.27800000000002</v>
      </c>
      <c r="Z40" s="377">
        <f>rail_tkm!AG7</f>
        <v>418.31399999999996</v>
      </c>
      <c r="AA40" s="377">
        <f>rail_tkm!AH7</f>
        <v>407.92099999999999</v>
      </c>
      <c r="AB40" s="377">
        <f>rail_tkm!AI7</f>
        <v>377.30700000000007</v>
      </c>
      <c r="AC40" s="502">
        <f>rail_tkm!AJ7</f>
        <v>409.57198254603679</v>
      </c>
    </row>
    <row r="41" spans="2:30" ht="22.5" x14ac:dyDescent="0.2">
      <c r="B41" s="497" t="s">
        <v>45</v>
      </c>
      <c r="C41" s="377">
        <f>iww!J6</f>
        <v>121.91820799999999</v>
      </c>
      <c r="D41" s="377">
        <f>iww!K6</f>
        <v>119.59849199999999</v>
      </c>
      <c r="E41" s="377">
        <f>iww!L6</f>
        <v>127.72012699999998</v>
      </c>
      <c r="F41" s="377">
        <f>iww!M6</f>
        <v>130.914354551</v>
      </c>
      <c r="G41" s="377">
        <f>iww!N6</f>
        <v>128.618899</v>
      </c>
      <c r="H41" s="377">
        <f>iww!O6</f>
        <v>133.7148856</v>
      </c>
      <c r="I41" s="377">
        <f>iww!P6</f>
        <v>132.4162436</v>
      </c>
      <c r="J41" s="377">
        <f>iww!Q6</f>
        <v>132.41402299999999</v>
      </c>
      <c r="K41" s="377">
        <f>iww!R6</f>
        <v>123.43508519999999</v>
      </c>
      <c r="L41" s="377">
        <f>iww!S6</f>
        <v>136.76315100000005</v>
      </c>
      <c r="M41" s="377">
        <f>iww!T6</f>
        <v>138.61097439999998</v>
      </c>
      <c r="N41" s="377">
        <f>iww!U6</f>
        <v>138.41696909999999</v>
      </c>
      <c r="O41" s="377">
        <f>iww!V6</f>
        <v>145.40199999999999</v>
      </c>
      <c r="P41" s="377">
        <f>iww!W6</f>
        <v>146.90300000000002</v>
      </c>
      <c r="Q41" s="377">
        <f>iww!X6</f>
        <v>132.60600000000002</v>
      </c>
      <c r="R41" s="377">
        <f>iww!Y6</f>
        <v>155.36499999999998</v>
      </c>
      <c r="S41" s="377">
        <f>iww!Z6</f>
        <v>141.82500000000002</v>
      </c>
      <c r="T41" s="377">
        <f>iww!AA6</f>
        <v>149.822</v>
      </c>
      <c r="U41" s="377">
        <f>iww!AB6</f>
        <v>152.58400000000003</v>
      </c>
      <c r="V41" s="377">
        <f>iww!AC6</f>
        <v>150.70699999999997</v>
      </c>
      <c r="W41" s="377">
        <f>iww!AD6</f>
        <v>147.35100000000003</v>
      </c>
      <c r="X41" s="377">
        <f>iww!AE6</f>
        <v>146.60899999999995</v>
      </c>
      <c r="Y41" s="377">
        <f>iww!AF6</f>
        <v>147.22333333333333</v>
      </c>
      <c r="Z41" s="377">
        <f>iww!AG6</f>
        <v>131.30277777777778</v>
      </c>
      <c r="AA41" s="377">
        <f>iww!AH6</f>
        <v>139.69700000000003</v>
      </c>
      <c r="AB41" s="377">
        <f>iww!AI6</f>
        <v>131.74101000000002</v>
      </c>
      <c r="AC41" s="502">
        <f>iww!AJ6</f>
        <v>136.07599999999999</v>
      </c>
    </row>
    <row r="42" spans="2:30" x14ac:dyDescent="0.2">
      <c r="B42" s="497" t="s">
        <v>64</v>
      </c>
      <c r="C42" s="377">
        <f>pipeline!J6</f>
        <v>103.81029999999998</v>
      </c>
      <c r="D42" s="377">
        <f>pipeline!K6</f>
        <v>107.7071</v>
      </c>
      <c r="E42" s="377">
        <f>pipeline!L6</f>
        <v>107.66900000000001</v>
      </c>
      <c r="F42" s="377">
        <f>pipeline!M6</f>
        <v>114.67399999999999</v>
      </c>
      <c r="G42" s="377">
        <f>pipeline!N6</f>
        <v>113.21399999999998</v>
      </c>
      <c r="H42" s="377">
        <f>pipeline!O6</f>
        <v>115.68269999999998</v>
      </c>
      <c r="I42" s="377">
        <f>pipeline!P6</f>
        <v>122.3753</v>
      </c>
      <c r="J42" s="377">
        <f>pipeline!Q6</f>
        <v>118.79659999999998</v>
      </c>
      <c r="K42" s="377">
        <f>pipeline!R6</f>
        <v>121.20380000000002</v>
      </c>
      <c r="L42" s="377">
        <f>pipeline!S6</f>
        <v>122.60236060000001</v>
      </c>
      <c r="M42" s="377">
        <f>pipeline!T6</f>
        <v>126.80850379999998</v>
      </c>
      <c r="N42" s="377">
        <f>pipeline!U6</f>
        <v>125.78924979999998</v>
      </c>
      <c r="O42" s="377">
        <f>pipeline!V6</f>
        <v>118.22248842182226</v>
      </c>
      <c r="P42" s="377">
        <f>pipeline!W6</f>
        <v>114.76496585313126</v>
      </c>
      <c r="Q42" s="377">
        <f>pipeline!X6</f>
        <v>111.63421473696151</v>
      </c>
      <c r="R42" s="377">
        <f>pipeline!Y6</f>
        <v>110.96844560300448</v>
      </c>
      <c r="S42" s="377">
        <f>pipeline!Z6</f>
        <v>108.27031897026802</v>
      </c>
      <c r="T42" s="377">
        <f>pipeline!AA6</f>
        <v>104.98250906969668</v>
      </c>
      <c r="U42" s="377">
        <f>pipeline!AB6</f>
        <v>102.0834831637049</v>
      </c>
      <c r="V42" s="377">
        <f>pipeline!AC6</f>
        <v>101.08568894404827</v>
      </c>
      <c r="W42" s="377">
        <f>pipeline!AD6</f>
        <v>104.14976966869865</v>
      </c>
      <c r="X42" s="377">
        <f>pipeline!AE6</f>
        <v>104.6967429921506</v>
      </c>
      <c r="Y42" s="377">
        <f>pipeline!AF6</f>
        <v>104.02069553496584</v>
      </c>
      <c r="Z42" s="377">
        <f>pipeline!AG6</f>
        <v>104.11186199860504</v>
      </c>
      <c r="AA42" s="377">
        <f>pipeline!AH6</f>
        <v>101.00951657524053</v>
      </c>
      <c r="AB42" s="377">
        <f>pipeline!AI6</f>
        <v>91.725137702937118</v>
      </c>
      <c r="AC42" s="502">
        <f>pipeline!AJ6</f>
        <v>88.680765258492684</v>
      </c>
    </row>
    <row r="43" spans="2:30" x14ac:dyDescent="0.2">
      <c r="B43" s="498" t="s">
        <v>42</v>
      </c>
      <c r="C43" s="382">
        <v>1.4182255053453219</v>
      </c>
      <c r="D43" s="383">
        <v>1.4607722705056818</v>
      </c>
      <c r="E43" s="383">
        <v>1.5458658008264012</v>
      </c>
      <c r="F43" s="383">
        <v>1.5955036935134874</v>
      </c>
      <c r="G43" s="383">
        <v>1.6309593311471202</v>
      </c>
      <c r="H43" s="383">
        <v>1.7373262440480199</v>
      </c>
      <c r="I43" s="383">
        <v>1.7444173715747466</v>
      </c>
      <c r="J43" s="383">
        <v>1.7018706064143865</v>
      </c>
      <c r="K43" s="383">
        <v>1.7160528614678396</v>
      </c>
      <c r="L43" s="383">
        <v>1.7798730092083788</v>
      </c>
      <c r="M43" s="383">
        <v>1.8295109018954654</v>
      </c>
      <c r="N43" s="383">
        <v>1.8862399221092783</v>
      </c>
      <c r="O43" s="503">
        <v>1.9500600698498178</v>
      </c>
      <c r="P43" s="378">
        <v>1.906975538018244</v>
      </c>
      <c r="Q43" s="378">
        <v>1.8070863272403173</v>
      </c>
      <c r="R43" s="378">
        <v>1.833862590910702</v>
      </c>
      <c r="S43" s="378">
        <v>1.8310123472037942</v>
      </c>
      <c r="T43" s="378">
        <v>1.8080219558255548</v>
      </c>
      <c r="U43" s="378">
        <v>1.8149335026870554</v>
      </c>
      <c r="V43" s="378">
        <v>2.0986028896915276</v>
      </c>
      <c r="W43" s="378">
        <v>2.125887765383029</v>
      </c>
      <c r="X43" s="378">
        <v>2.1291379283381597</v>
      </c>
      <c r="Y43" s="378">
        <v>2.1463251411191799</v>
      </c>
      <c r="Z43" s="378">
        <v>2.1896022027464519</v>
      </c>
      <c r="AA43" s="378">
        <v>2.2989394666626439</v>
      </c>
      <c r="AB43" s="378">
        <v>2.0432546597783352</v>
      </c>
      <c r="AC43" s="369">
        <v>2.3657939462328232</v>
      </c>
      <c r="AD43" s="1"/>
    </row>
    <row r="44" spans="2:30" ht="12" customHeight="1" x14ac:dyDescent="0.2">
      <c r="B44" s="125" t="s">
        <v>43</v>
      </c>
      <c r="C44" s="383">
        <f>SUM(C38:C43)</f>
        <v>2400.4902216990545</v>
      </c>
      <c r="D44" s="383">
        <f t="shared" ref="D44:AC44" si="0">SUM(D38:D43)</f>
        <v>2423.4754562641378</v>
      </c>
      <c r="E44" s="383">
        <f t="shared" si="0"/>
        <v>2512.6645968942776</v>
      </c>
      <c r="F44" s="383">
        <f t="shared" si="0"/>
        <v>2588.1725016377504</v>
      </c>
      <c r="G44" s="383">
        <f t="shared" si="0"/>
        <v>2647.7730049271263</v>
      </c>
      <c r="H44" s="383">
        <f t="shared" si="0"/>
        <v>2752.7081482790586</v>
      </c>
      <c r="I44" s="383">
        <f t="shared" si="0"/>
        <v>2796.5444190165094</v>
      </c>
      <c r="J44" s="383">
        <f t="shared" si="0"/>
        <v>2853.6783496520075</v>
      </c>
      <c r="K44" s="383">
        <f t="shared" si="0"/>
        <v>2870.4830454085272</v>
      </c>
      <c r="L44" s="383">
        <f t="shared" si="0"/>
        <v>3075.4310745013754</v>
      </c>
      <c r="M44" s="383">
        <f t="shared" si="0"/>
        <v>3094.4716451091613</v>
      </c>
      <c r="N44" s="383">
        <f t="shared" si="0"/>
        <v>3164.1022697038666</v>
      </c>
      <c r="O44" s="383">
        <f t="shared" si="0"/>
        <v>3236.8719477754107</v>
      </c>
      <c r="P44" s="383">
        <f t="shared" si="0"/>
        <v>3202.8461237254405</v>
      </c>
      <c r="Q44" s="383">
        <f t="shared" si="0"/>
        <v>2875.4902731862694</v>
      </c>
      <c r="R44" s="383">
        <f t="shared" si="0"/>
        <v>3035.5155514994931</v>
      </c>
      <c r="S44" s="383">
        <f t="shared" si="0"/>
        <v>3044.8235877101674</v>
      </c>
      <c r="T44" s="383">
        <f t="shared" si="0"/>
        <v>2961.9146743709766</v>
      </c>
      <c r="U44" s="383">
        <f t="shared" si="0"/>
        <v>3008.1483428269648</v>
      </c>
      <c r="V44" s="383">
        <f t="shared" si="0"/>
        <v>3045.3778238560858</v>
      </c>
      <c r="W44" s="383">
        <f t="shared" si="0"/>
        <v>3084.9023052480484</v>
      </c>
      <c r="X44" s="383">
        <f t="shared" si="0"/>
        <v>3189.9609937023997</v>
      </c>
      <c r="Y44" s="383">
        <f t="shared" si="0"/>
        <v>3288.9709063536097</v>
      </c>
      <c r="Z44" s="383">
        <f t="shared" si="0"/>
        <v>3340.388364303501</v>
      </c>
      <c r="AA44" s="383">
        <f t="shared" si="0"/>
        <v>3395.2572017848333</v>
      </c>
      <c r="AB44" s="383">
        <f t="shared" si="0"/>
        <v>3268.0359899627629</v>
      </c>
      <c r="AC44" s="500">
        <f t="shared" si="0"/>
        <v>3431.8825882215574</v>
      </c>
    </row>
    <row r="46" spans="2:30" x14ac:dyDescent="0.2">
      <c r="C46" s="436"/>
      <c r="D46" s="437"/>
      <c r="E46" s="437"/>
      <c r="F46" s="437"/>
      <c r="G46" s="437"/>
      <c r="H46" s="437"/>
      <c r="I46" s="437"/>
      <c r="J46" s="437"/>
      <c r="K46" s="437"/>
      <c r="L46" s="437"/>
      <c r="M46" s="435"/>
      <c r="N46" s="435"/>
      <c r="O46" s="435"/>
      <c r="P46" s="435"/>
      <c r="Q46" s="435"/>
      <c r="R46" s="435"/>
      <c r="S46" s="435"/>
      <c r="T46" s="435"/>
      <c r="U46" s="435"/>
      <c r="V46" s="435"/>
      <c r="W46" s="435"/>
      <c r="X46" s="435"/>
      <c r="Y46" s="435"/>
      <c r="Z46" s="435"/>
      <c r="AA46" s="435"/>
      <c r="AB46" s="435"/>
    </row>
  </sheetData>
  <mergeCells count="1">
    <mergeCell ref="B1:C1"/>
  </mergeCells>
  <phoneticPr fontId="5" type="noConversion"/>
  <printOptions horizontalCentered="1"/>
  <pageMargins left="0.6692913385826772" right="0.27559055118110237" top="0.51181102362204722" bottom="0.27559055118110237" header="0" footer="0"/>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1">
    <pageSetUpPr fitToPage="1"/>
  </sheetPr>
  <dimension ref="A1:K79"/>
  <sheetViews>
    <sheetView zoomScaleNormal="100" workbookViewId="0">
      <selection activeCell="L32" sqref="L32"/>
    </sheetView>
  </sheetViews>
  <sheetFormatPr defaultRowHeight="12.75" x14ac:dyDescent="0.2"/>
  <cols>
    <col min="2" max="2" width="7.85546875" customWidth="1"/>
    <col min="3" max="3" width="7.42578125" customWidth="1"/>
    <col min="4" max="6" width="6.7109375" customWidth="1"/>
    <col min="7" max="7" width="7.140625" customWidth="1"/>
    <col min="8" max="8" width="6" customWidth="1"/>
    <col min="9" max="9" width="6.7109375" customWidth="1"/>
  </cols>
  <sheetData>
    <row r="1" spans="1:11" ht="14.25" customHeight="1" x14ac:dyDescent="0.2">
      <c r="B1" s="30"/>
      <c r="C1" s="30"/>
      <c r="D1" s="30"/>
      <c r="E1" s="30"/>
      <c r="F1" s="30"/>
      <c r="G1" s="30"/>
      <c r="H1" s="30"/>
      <c r="I1" s="20" t="s">
        <v>76</v>
      </c>
    </row>
    <row r="2" spans="1:11" s="77" customFormat="1" ht="30" customHeight="1" x14ac:dyDescent="0.2">
      <c r="A2"/>
      <c r="B2" s="544" t="s">
        <v>125</v>
      </c>
      <c r="C2" s="544"/>
      <c r="D2" s="544"/>
      <c r="E2" s="544"/>
      <c r="F2" s="544"/>
      <c r="G2" s="544"/>
      <c r="H2" s="544"/>
      <c r="I2" s="544"/>
      <c r="J2"/>
    </row>
    <row r="3" spans="1:11" ht="15" customHeight="1" x14ac:dyDescent="0.2">
      <c r="B3" s="538" t="s">
        <v>126</v>
      </c>
      <c r="C3" s="538"/>
      <c r="D3" s="538"/>
      <c r="E3" s="538"/>
      <c r="F3" s="538"/>
      <c r="G3" s="538"/>
      <c r="H3" s="538"/>
      <c r="I3" s="538"/>
      <c r="K3" s="25"/>
    </row>
    <row r="4" spans="1:11" ht="12" customHeight="1" x14ac:dyDescent="0.2">
      <c r="B4" s="552" t="s">
        <v>98</v>
      </c>
      <c r="C4" s="553"/>
      <c r="D4" s="553"/>
      <c r="E4" s="553"/>
      <c r="F4" s="553"/>
      <c r="G4" s="553"/>
      <c r="H4" s="553"/>
      <c r="I4" s="553"/>
      <c r="K4" s="25"/>
    </row>
    <row r="5" spans="1:11" s="24" customFormat="1" ht="12" customHeight="1" x14ac:dyDescent="0.2">
      <c r="A5"/>
      <c r="B5" s="4"/>
      <c r="C5" s="546" t="s">
        <v>40</v>
      </c>
      <c r="D5" s="549" t="s">
        <v>41</v>
      </c>
      <c r="E5" s="549" t="s">
        <v>46</v>
      </c>
      <c r="F5" s="549" t="s">
        <v>69</v>
      </c>
      <c r="G5" s="339"/>
      <c r="H5" s="338"/>
      <c r="I5" s="554" t="s">
        <v>43</v>
      </c>
      <c r="J5"/>
      <c r="K5" s="25"/>
    </row>
    <row r="6" spans="1:11" s="24" customFormat="1" ht="12" customHeight="1" x14ac:dyDescent="0.2">
      <c r="A6"/>
      <c r="B6" s="4"/>
      <c r="C6" s="547"/>
      <c r="D6" s="550"/>
      <c r="E6" s="550"/>
      <c r="F6" s="550"/>
      <c r="G6" s="336" t="s">
        <v>39</v>
      </c>
      <c r="H6" s="341" t="s">
        <v>42</v>
      </c>
      <c r="I6" s="555"/>
      <c r="J6"/>
      <c r="K6" s="25"/>
    </row>
    <row r="7" spans="1:11" s="24" customFormat="1" ht="12" customHeight="1" x14ac:dyDescent="0.2">
      <c r="A7"/>
      <c r="B7" s="31"/>
      <c r="C7" s="548"/>
      <c r="D7" s="551"/>
      <c r="E7" s="551"/>
      <c r="F7" s="551"/>
      <c r="G7" s="340"/>
      <c r="H7" s="529"/>
      <c r="I7" s="556"/>
      <c r="J7" s="301"/>
      <c r="K7" s="25"/>
    </row>
    <row r="8" spans="1:11" s="24" customFormat="1" ht="12" customHeight="1" x14ac:dyDescent="0.2">
      <c r="A8"/>
      <c r="B8" s="108">
        <v>1995</v>
      </c>
      <c r="C8" s="363">
        <v>1127.1600000000001</v>
      </c>
      <c r="D8" s="150">
        <v>374.81806800000004</v>
      </c>
      <c r="E8" s="181">
        <v>121.91820799999999</v>
      </c>
      <c r="F8" s="140">
        <v>103.81029999999998</v>
      </c>
      <c r="G8" s="140">
        <v>671.36542019370927</v>
      </c>
      <c r="H8" s="345">
        <v>1.4182255053453219</v>
      </c>
      <c r="I8" s="347">
        <f t="shared" ref="I8:I34" si="0">SUM(C8:H8)</f>
        <v>2400.4902216990545</v>
      </c>
      <c r="J8" s="301"/>
      <c r="K8" s="25"/>
    </row>
    <row r="9" spans="1:11" s="24" customFormat="1" ht="12.75" customHeight="1" x14ac:dyDescent="0.2">
      <c r="A9"/>
      <c r="B9" s="109">
        <v>1996</v>
      </c>
      <c r="C9" s="149">
        <v>1136.3789999999997</v>
      </c>
      <c r="D9" s="150">
        <v>378.76300000000009</v>
      </c>
      <c r="E9" s="150">
        <v>119.59849199999999</v>
      </c>
      <c r="F9" s="137">
        <v>107.7071</v>
      </c>
      <c r="G9" s="137">
        <v>679.5670919936324</v>
      </c>
      <c r="H9" s="345">
        <v>1.4607722705056818</v>
      </c>
      <c r="I9" s="347">
        <f t="shared" si="0"/>
        <v>2423.4754562641378</v>
      </c>
      <c r="J9" s="301"/>
      <c r="K9" s="25"/>
    </row>
    <row r="10" spans="1:11" s="24" customFormat="1" ht="12.75" customHeight="1" x14ac:dyDescent="0.2">
      <c r="A10"/>
      <c r="B10" s="109">
        <v>1997</v>
      </c>
      <c r="C10" s="149">
        <v>1182.4780000000001</v>
      </c>
      <c r="D10" s="150">
        <v>394.35199999999992</v>
      </c>
      <c r="E10" s="150">
        <v>127.72012699999998</v>
      </c>
      <c r="F10" s="137">
        <v>107.66900000000001</v>
      </c>
      <c r="G10" s="137">
        <v>698.89960409345122</v>
      </c>
      <c r="H10" s="345">
        <v>1.5458658008264012</v>
      </c>
      <c r="I10" s="347">
        <f t="shared" si="0"/>
        <v>2512.6645968942776</v>
      </c>
      <c r="J10" s="301"/>
      <c r="K10" s="25"/>
    </row>
    <row r="11" spans="1:11" s="25" customFormat="1" ht="12.75" customHeight="1" x14ac:dyDescent="0.2">
      <c r="A11"/>
      <c r="B11" s="109">
        <v>1998</v>
      </c>
      <c r="C11" s="149">
        <v>1242.2039999999997</v>
      </c>
      <c r="D11" s="150">
        <v>377.03752500000002</v>
      </c>
      <c r="E11" s="150">
        <v>130.914354551</v>
      </c>
      <c r="F11" s="137">
        <v>114.67399999999999</v>
      </c>
      <c r="G11" s="137">
        <v>721.7471183932372</v>
      </c>
      <c r="H11" s="345">
        <v>1.5955036935134874</v>
      </c>
      <c r="I11" s="347">
        <f t="shared" si="0"/>
        <v>2588.1725016377504</v>
      </c>
      <c r="J11" s="301"/>
    </row>
    <row r="12" spans="1:11" s="25" customFormat="1" ht="12.75" customHeight="1" x14ac:dyDescent="0.2">
      <c r="A12"/>
      <c r="B12" s="109">
        <v>1999</v>
      </c>
      <c r="C12" s="149">
        <v>1294.3619999999999</v>
      </c>
      <c r="D12" s="150">
        <v>367.11001500293986</v>
      </c>
      <c r="E12" s="150">
        <v>128.618899</v>
      </c>
      <c r="F12" s="137">
        <v>113.21399999999998</v>
      </c>
      <c r="G12" s="137">
        <v>742.83713159303954</v>
      </c>
      <c r="H12" s="345">
        <v>1.6309593311471202</v>
      </c>
      <c r="I12" s="347">
        <f t="shared" si="0"/>
        <v>2647.7730049271263</v>
      </c>
      <c r="J12" s="301"/>
    </row>
    <row r="13" spans="1:11" s="25" customFormat="1" ht="12.75" customHeight="1" x14ac:dyDescent="0.2">
      <c r="A13"/>
      <c r="B13" s="109">
        <v>2000</v>
      </c>
      <c r="C13" s="149">
        <v>1343.867</v>
      </c>
      <c r="D13" s="150">
        <v>387.9207546422241</v>
      </c>
      <c r="E13" s="150">
        <v>133.7148856</v>
      </c>
      <c r="F13" s="137">
        <v>115.68269999999998</v>
      </c>
      <c r="G13" s="137">
        <v>769.78548179278698</v>
      </c>
      <c r="H13" s="345">
        <v>1.7373262440480199</v>
      </c>
      <c r="I13" s="347">
        <f t="shared" si="0"/>
        <v>2752.7081482790591</v>
      </c>
      <c r="J13" s="301"/>
    </row>
    <row r="14" spans="1:11" s="25" customFormat="1" ht="12.75" customHeight="1" x14ac:dyDescent="0.2">
      <c r="A14"/>
      <c r="B14" s="109">
        <v>2001</v>
      </c>
      <c r="C14" s="149">
        <v>1389.2530000000002</v>
      </c>
      <c r="D14" s="150">
        <v>369.25330225225701</v>
      </c>
      <c r="E14" s="150">
        <v>132.4162436</v>
      </c>
      <c r="F14" s="137">
        <v>122.3753</v>
      </c>
      <c r="G14" s="137">
        <v>781.50215579267717</v>
      </c>
      <c r="H14" s="345">
        <v>1.7444173715747466</v>
      </c>
      <c r="I14" s="347">
        <f t="shared" si="0"/>
        <v>2796.544419016509</v>
      </c>
      <c r="J14" s="301"/>
    </row>
    <row r="15" spans="1:11" s="25" customFormat="1" ht="12.75" customHeight="1" x14ac:dyDescent="0.2">
      <c r="A15"/>
      <c r="B15" s="109">
        <v>2002</v>
      </c>
      <c r="C15" s="149">
        <v>1438.8</v>
      </c>
      <c r="D15" s="150">
        <v>368.16119255303101</v>
      </c>
      <c r="E15" s="150">
        <v>132.41402299999999</v>
      </c>
      <c r="F15" s="137">
        <v>118.79659999999998</v>
      </c>
      <c r="G15" s="137">
        <v>793.80466349256187</v>
      </c>
      <c r="H15" s="345">
        <v>1.7018706064143865</v>
      </c>
      <c r="I15" s="347">
        <f t="shared" si="0"/>
        <v>2853.6783496520075</v>
      </c>
      <c r="J15" s="301"/>
    </row>
    <row r="16" spans="1:11" s="25" customFormat="1" ht="12.75" customHeight="1" x14ac:dyDescent="0.2">
      <c r="A16"/>
      <c r="B16" s="109">
        <v>2003</v>
      </c>
      <c r="C16" s="149">
        <v>1440.54</v>
      </c>
      <c r="D16" s="150">
        <v>376.30926875462399</v>
      </c>
      <c r="E16" s="150">
        <v>123.43508519999999</v>
      </c>
      <c r="F16" s="137">
        <v>121.20380000000002</v>
      </c>
      <c r="G16" s="137">
        <v>807.27883859243559</v>
      </c>
      <c r="H16" s="345">
        <v>1.7160528614678396</v>
      </c>
      <c r="I16" s="347">
        <f t="shared" si="0"/>
        <v>2870.4830454085272</v>
      </c>
      <c r="J16" s="301"/>
    </row>
    <row r="17" spans="1:11" s="25" customFormat="1" ht="12.75" customHeight="1" thickBot="1" x14ac:dyDescent="0.25">
      <c r="A17"/>
      <c r="B17" s="109">
        <v>2004</v>
      </c>
      <c r="C17" s="149">
        <v>1588.2660000000001</v>
      </c>
      <c r="D17" s="150">
        <v>390.03499999999997</v>
      </c>
      <c r="E17" s="150">
        <v>136.76315100000005</v>
      </c>
      <c r="F17" s="137">
        <v>122.60236060000001</v>
      </c>
      <c r="G17" s="137">
        <v>835.98468989216678</v>
      </c>
      <c r="H17" s="345">
        <v>1.7798730092083788</v>
      </c>
      <c r="I17" s="347">
        <f t="shared" si="0"/>
        <v>3075.4310745013754</v>
      </c>
      <c r="J17" s="301"/>
    </row>
    <row r="18" spans="1:11" s="25" customFormat="1" ht="12.75" customHeight="1" thickTop="1" x14ac:dyDescent="0.2">
      <c r="A18"/>
      <c r="B18" s="109">
        <v>2005</v>
      </c>
      <c r="C18" s="343">
        <v>1588.1540655743293</v>
      </c>
      <c r="D18" s="150">
        <v>394.59700000000004</v>
      </c>
      <c r="E18" s="150">
        <v>138.61097439999998</v>
      </c>
      <c r="F18" s="137">
        <v>126.80850379999998</v>
      </c>
      <c r="G18" s="399">
        <v>844.47159043293641</v>
      </c>
      <c r="H18" s="345">
        <v>1.8295109018954654</v>
      </c>
      <c r="I18" s="347">
        <f t="shared" si="0"/>
        <v>3094.4716451091608</v>
      </c>
      <c r="J18" s="301"/>
    </row>
    <row r="19" spans="1:11" s="25" customFormat="1" ht="12.75" customHeight="1" x14ac:dyDescent="0.2">
      <c r="A19"/>
      <c r="B19" s="109">
        <v>2006</v>
      </c>
      <c r="C19" s="149">
        <v>1638.7945822386714</v>
      </c>
      <c r="D19" s="150">
        <v>416.24600000000004</v>
      </c>
      <c r="E19" s="150">
        <v>138.41696909999999</v>
      </c>
      <c r="F19" s="137">
        <v>125.78924979999998</v>
      </c>
      <c r="G19" s="137">
        <v>842.96922864308533</v>
      </c>
      <c r="H19" s="345">
        <v>1.8862399221092783</v>
      </c>
      <c r="I19" s="347">
        <f t="shared" si="0"/>
        <v>3164.1022697038666</v>
      </c>
      <c r="J19" s="301"/>
    </row>
    <row r="20" spans="1:11" s="25" customFormat="1" ht="12.75" customHeight="1" thickBot="1" x14ac:dyDescent="0.25">
      <c r="A20"/>
      <c r="B20" s="109">
        <v>2007</v>
      </c>
      <c r="C20" s="149">
        <v>1697.6440389755346</v>
      </c>
      <c r="D20" s="150">
        <v>430.72400000000005</v>
      </c>
      <c r="E20" s="150">
        <v>145.40199999999999</v>
      </c>
      <c r="F20" s="137">
        <v>118.22248842182226</v>
      </c>
      <c r="G20" s="137">
        <v>842.92936030820374</v>
      </c>
      <c r="H20" s="345">
        <v>1.9500600698498178</v>
      </c>
      <c r="I20" s="347">
        <f t="shared" si="0"/>
        <v>3236.8719477754103</v>
      </c>
      <c r="J20" s="301"/>
    </row>
    <row r="21" spans="1:11" s="25" customFormat="1" ht="12.75" customHeight="1" thickTop="1" x14ac:dyDescent="0.2">
      <c r="A21"/>
      <c r="B21" s="109">
        <v>2008</v>
      </c>
      <c r="C21" s="149">
        <v>1676.4616408826394</v>
      </c>
      <c r="D21" s="150">
        <v>421.68599999999992</v>
      </c>
      <c r="E21" s="150">
        <v>146.90300000000002</v>
      </c>
      <c r="F21" s="137">
        <v>114.76496585313126</v>
      </c>
      <c r="G21" s="137">
        <v>841.12354145165102</v>
      </c>
      <c r="H21" s="398">
        <v>1.906975538018244</v>
      </c>
      <c r="I21" s="347">
        <f t="shared" si="0"/>
        <v>3202.8461237254401</v>
      </c>
      <c r="J21" s="301"/>
      <c r="K21" s="32"/>
    </row>
    <row r="22" spans="1:11" s="25" customFormat="1" ht="12.75" customHeight="1" x14ac:dyDescent="0.2">
      <c r="A22"/>
      <c r="B22" s="109">
        <v>2009</v>
      </c>
      <c r="C22" s="149">
        <v>1515.3165860635595</v>
      </c>
      <c r="D22" s="150">
        <v>344.36900000000003</v>
      </c>
      <c r="E22" s="150">
        <v>132.60600000000002</v>
      </c>
      <c r="F22" s="137">
        <v>111.63421473696151</v>
      </c>
      <c r="G22" s="137">
        <v>769.75738605850768</v>
      </c>
      <c r="H22" s="345">
        <v>1.8070863272403173</v>
      </c>
      <c r="I22" s="347">
        <f t="shared" si="0"/>
        <v>2875.4902731862694</v>
      </c>
      <c r="J22" s="301"/>
      <c r="K22" s="32"/>
    </row>
    <row r="23" spans="1:11" s="25" customFormat="1" ht="12.75" customHeight="1" x14ac:dyDescent="0.2">
      <c r="A23"/>
      <c r="B23" s="109">
        <v>2010</v>
      </c>
      <c r="C23" s="149">
        <v>1558.2925344262567</v>
      </c>
      <c r="D23" s="150">
        <v>374.95499999999998</v>
      </c>
      <c r="E23" s="150">
        <v>155.36499999999998</v>
      </c>
      <c r="F23" s="137">
        <v>110.96844560300448</v>
      </c>
      <c r="G23" s="137">
        <v>834.10070887932181</v>
      </c>
      <c r="H23" s="345">
        <v>1.833862590910702</v>
      </c>
      <c r="I23" s="347">
        <f t="shared" si="0"/>
        <v>3035.5155514994931</v>
      </c>
      <c r="J23" s="301"/>
    </row>
    <row r="24" spans="1:11" s="25" customFormat="1" ht="12.75" customHeight="1" x14ac:dyDescent="0.2">
      <c r="A24"/>
      <c r="B24" s="109">
        <v>2011</v>
      </c>
      <c r="C24" s="149">
        <v>1541.6311993737638</v>
      </c>
      <c r="D24" s="137">
        <v>401.12199999999984</v>
      </c>
      <c r="E24" s="150">
        <v>141.82500000000002</v>
      </c>
      <c r="F24" s="137">
        <v>108.27031897026802</v>
      </c>
      <c r="G24" s="137">
        <v>850.14405701893224</v>
      </c>
      <c r="H24" s="345">
        <v>1.8310123472037942</v>
      </c>
      <c r="I24" s="347">
        <f t="shared" si="0"/>
        <v>3044.8235877101679</v>
      </c>
      <c r="J24" s="301"/>
      <c r="K24" s="32"/>
    </row>
    <row r="25" spans="1:11" s="25" customFormat="1" ht="12.75" customHeight="1" x14ac:dyDescent="0.2">
      <c r="A25"/>
      <c r="B25" s="109">
        <v>2012</v>
      </c>
      <c r="C25" s="149">
        <v>1481.6904120467425</v>
      </c>
      <c r="D25" s="137">
        <v>385.18899999999996</v>
      </c>
      <c r="E25" s="150">
        <v>149.822</v>
      </c>
      <c r="F25" s="137">
        <v>104.98250906969668</v>
      </c>
      <c r="G25" s="137">
        <v>838.42273129871171</v>
      </c>
      <c r="H25" s="345">
        <v>1.8080219558255548</v>
      </c>
      <c r="I25" s="347">
        <f t="shared" si="0"/>
        <v>2961.9146743709766</v>
      </c>
      <c r="J25" s="301"/>
      <c r="K25" s="32"/>
    </row>
    <row r="26" spans="1:11" s="25" customFormat="1" ht="12.75" customHeight="1" x14ac:dyDescent="0.2">
      <c r="A26"/>
      <c r="B26" s="109">
        <v>2013</v>
      </c>
      <c r="C26" s="149">
        <v>1516.3640398284499</v>
      </c>
      <c r="D26" s="137">
        <v>384.31900000000007</v>
      </c>
      <c r="E26" s="150">
        <v>152.58400000000003</v>
      </c>
      <c r="F26" s="137">
        <v>102.0834831637049</v>
      </c>
      <c r="G26" s="137">
        <v>850.98288633212314</v>
      </c>
      <c r="H26" s="345">
        <v>1.8149335026870554</v>
      </c>
      <c r="I26" s="347">
        <f t="shared" si="0"/>
        <v>3008.1483428269648</v>
      </c>
      <c r="J26" s="301"/>
      <c r="K26" s="32"/>
    </row>
    <row r="27" spans="1:11" s="25" customFormat="1" ht="12.75" customHeight="1" x14ac:dyDescent="0.2">
      <c r="A27"/>
      <c r="B27" s="109">
        <v>2014</v>
      </c>
      <c r="C27" s="149">
        <v>1527.4346235799926</v>
      </c>
      <c r="D27" s="137">
        <v>388.93199999999996</v>
      </c>
      <c r="E27" s="150">
        <v>150.70699999999997</v>
      </c>
      <c r="F27" s="137">
        <v>101.08568894404827</v>
      </c>
      <c r="G27" s="137">
        <v>875.1199084423539</v>
      </c>
      <c r="H27" s="345">
        <v>2.0986028896915276</v>
      </c>
      <c r="I27" s="347">
        <f t="shared" si="0"/>
        <v>3045.3778238560863</v>
      </c>
      <c r="J27" s="301"/>
      <c r="K27"/>
    </row>
    <row r="28" spans="1:11" s="25" customFormat="1" ht="12.75" customHeight="1" x14ac:dyDescent="0.2">
      <c r="A28"/>
      <c r="B28" s="109">
        <v>2015</v>
      </c>
      <c r="C28" s="149">
        <v>1561.9876827709111</v>
      </c>
      <c r="D28" s="137">
        <v>398.51700000000011</v>
      </c>
      <c r="E28" s="150">
        <v>147.35100000000003</v>
      </c>
      <c r="F28" s="137">
        <v>104.14976966869865</v>
      </c>
      <c r="G28" s="137">
        <v>870.77096504305496</v>
      </c>
      <c r="H28" s="345">
        <v>2.125887765383029</v>
      </c>
      <c r="I28" s="347">
        <f t="shared" si="0"/>
        <v>3084.9023052480484</v>
      </c>
      <c r="J28" s="301"/>
      <c r="K28"/>
    </row>
    <row r="29" spans="1:11" s="25" customFormat="1" ht="12.75" customHeight="1" x14ac:dyDescent="0.2">
      <c r="A29"/>
      <c r="B29" s="109">
        <v>2016</v>
      </c>
      <c r="C29" s="149">
        <v>1619.7477300951773</v>
      </c>
      <c r="D29" s="137">
        <v>407.45800000000008</v>
      </c>
      <c r="E29" s="150">
        <v>146.60899999999995</v>
      </c>
      <c r="F29" s="137">
        <v>104.6967429921506</v>
      </c>
      <c r="G29" s="137">
        <v>909.32038268673375</v>
      </c>
      <c r="H29" s="345">
        <v>2.1291379283381597</v>
      </c>
      <c r="I29" s="347">
        <f t="shared" si="0"/>
        <v>3189.9609937023997</v>
      </c>
      <c r="J29" s="301"/>
      <c r="K29"/>
    </row>
    <row r="30" spans="1:11" s="25" customFormat="1" ht="15.75" customHeight="1" x14ac:dyDescent="0.2">
      <c r="A30"/>
      <c r="B30" s="109">
        <v>2017</v>
      </c>
      <c r="C30" s="149">
        <v>1707.3138634168388</v>
      </c>
      <c r="D30" s="137">
        <v>411.27800000000002</v>
      </c>
      <c r="E30" s="150">
        <v>147.22333333333333</v>
      </c>
      <c r="F30" s="137">
        <v>104.02069553496584</v>
      </c>
      <c r="G30" s="137">
        <v>916.98868892735209</v>
      </c>
      <c r="H30" s="345">
        <v>2.1463251411191799</v>
      </c>
      <c r="I30" s="347">
        <f t="shared" si="0"/>
        <v>3288.9709063536093</v>
      </c>
      <c r="J30" s="346"/>
      <c r="K30"/>
    </row>
    <row r="31" spans="1:11" s="32" customFormat="1" ht="17.25" customHeight="1" x14ac:dyDescent="0.2">
      <c r="A31"/>
      <c r="B31" s="109">
        <v>2018</v>
      </c>
      <c r="C31" s="149">
        <v>1707.4960000000001</v>
      </c>
      <c r="D31" s="137">
        <v>418.31399999999996</v>
      </c>
      <c r="E31" s="150">
        <v>131.30277777777778</v>
      </c>
      <c r="F31" s="137">
        <v>104.11186199860504</v>
      </c>
      <c r="G31" s="137">
        <v>976.97412232437171</v>
      </c>
      <c r="H31" s="345">
        <v>2.1896022027464519</v>
      </c>
      <c r="I31" s="347">
        <f t="shared" si="0"/>
        <v>3340.388364303501</v>
      </c>
      <c r="J31" s="301"/>
      <c r="K31"/>
    </row>
    <row r="32" spans="1:11" s="32" customFormat="1" ht="17.25" customHeight="1" x14ac:dyDescent="0.2">
      <c r="A32"/>
      <c r="B32" s="109">
        <v>2019</v>
      </c>
      <c r="C32" s="149">
        <v>1764.788</v>
      </c>
      <c r="D32" s="137">
        <v>407.92099999999999</v>
      </c>
      <c r="E32" s="150">
        <v>139.69700000000003</v>
      </c>
      <c r="F32" s="137">
        <v>101.00951657524053</v>
      </c>
      <c r="G32" s="137">
        <v>979.54274574293049</v>
      </c>
      <c r="H32" s="345">
        <v>2.2989394666626439</v>
      </c>
      <c r="I32" s="347">
        <f t="shared" si="0"/>
        <v>3395.2572017848333</v>
      </c>
      <c r="J32" s="301"/>
      <c r="K32"/>
    </row>
    <row r="33" spans="1:11" s="32" customFormat="1" ht="17.25" customHeight="1" x14ac:dyDescent="0.2">
      <c r="A33"/>
      <c r="B33" s="109">
        <v>2020</v>
      </c>
      <c r="C33" s="149">
        <v>1745.3319999999999</v>
      </c>
      <c r="D33" s="137">
        <v>377.30700000000007</v>
      </c>
      <c r="E33" s="150">
        <v>131.74101000000002</v>
      </c>
      <c r="F33" s="137">
        <v>91.725137702937118</v>
      </c>
      <c r="G33" s="137">
        <v>919.88758760004691</v>
      </c>
      <c r="H33" s="345">
        <v>2.0432546597783352</v>
      </c>
      <c r="I33" s="347">
        <f t="shared" si="0"/>
        <v>3268.0359899627629</v>
      </c>
      <c r="J33" s="301"/>
      <c r="K33"/>
    </row>
    <row r="34" spans="1:11" s="32" customFormat="1" ht="17.25" customHeight="1" x14ac:dyDescent="0.2">
      <c r="A34"/>
      <c r="B34" s="109">
        <v>2021</v>
      </c>
      <c r="C34" s="149">
        <v>1862.5149999999996</v>
      </c>
      <c r="D34" s="137">
        <v>409.57198254603679</v>
      </c>
      <c r="E34" s="150">
        <v>136.07599999999999</v>
      </c>
      <c r="F34" s="142">
        <v>88.680765258492684</v>
      </c>
      <c r="G34" s="142">
        <v>932.6730464707955</v>
      </c>
      <c r="H34" s="445">
        <v>2.3657939462328232</v>
      </c>
      <c r="I34" s="486">
        <f t="shared" si="0"/>
        <v>3431.8825882215569</v>
      </c>
      <c r="J34" s="1"/>
      <c r="K34"/>
    </row>
    <row r="35" spans="1:11" s="25" customFormat="1" ht="23.1" customHeight="1" x14ac:dyDescent="0.2">
      <c r="A35"/>
      <c r="B35" s="138" t="s">
        <v>150</v>
      </c>
      <c r="C35" s="107">
        <f>C34/C8-1</f>
        <v>0.652396288015898</v>
      </c>
      <c r="D35" s="524">
        <f t="shared" ref="D35:I35" si="1">D34/D8-1</f>
        <v>9.2722089763390914E-2</v>
      </c>
      <c r="E35" s="524">
        <f t="shared" si="1"/>
        <v>0.11612532887622495</v>
      </c>
      <c r="F35" s="524">
        <f t="shared" si="1"/>
        <v>-0.14574213485085108</v>
      </c>
      <c r="G35" s="524">
        <f t="shared" si="1"/>
        <v>0.38921817897873123</v>
      </c>
      <c r="H35" s="524">
        <f t="shared" si="1"/>
        <v>0.66813665197537064</v>
      </c>
      <c r="I35" s="526">
        <f t="shared" si="1"/>
        <v>0.42965905763718903</v>
      </c>
      <c r="J35" s="1"/>
      <c r="K35"/>
    </row>
    <row r="36" spans="1:11" s="32" customFormat="1" ht="23.1" customHeight="1" x14ac:dyDescent="0.2">
      <c r="A36"/>
      <c r="B36" s="74" t="s">
        <v>47</v>
      </c>
      <c r="C36" s="106">
        <f>(POWER((C34/C8), 1/26) -1)</f>
        <v>1.9504173813171821E-2</v>
      </c>
      <c r="D36" s="525">
        <f t="shared" ref="D36:I36" si="2">(POWER((D34/D8), 1/26) -1)</f>
        <v>3.4162804276740566E-3</v>
      </c>
      <c r="E36" s="525">
        <f t="shared" si="2"/>
        <v>4.2344461738363925E-3</v>
      </c>
      <c r="F36" s="525">
        <f t="shared" si="2"/>
        <v>-6.0402294428257841E-3</v>
      </c>
      <c r="G36" s="525">
        <f t="shared" si="2"/>
        <v>1.2724161459199745E-2</v>
      </c>
      <c r="H36" s="525">
        <f t="shared" si="2"/>
        <v>1.9875995802044022E-2</v>
      </c>
      <c r="I36" s="527">
        <f t="shared" si="2"/>
        <v>1.3842470186296696E-2</v>
      </c>
      <c r="J36"/>
      <c r="K36"/>
    </row>
    <row r="37" spans="1:11" s="32" customFormat="1" ht="23.1" customHeight="1" x14ac:dyDescent="0.2">
      <c r="A37"/>
      <c r="B37" s="138" t="s">
        <v>151</v>
      </c>
      <c r="C37" s="107">
        <f>C34/C13-1</f>
        <v>0.38593700120622043</v>
      </c>
      <c r="D37" s="524">
        <f t="shared" ref="D37:I37" si="3">D34/D13-1</f>
        <v>5.581353316293014E-2</v>
      </c>
      <c r="E37" s="524">
        <f t="shared" si="3"/>
        <v>1.7657827618857036E-2</v>
      </c>
      <c r="F37" s="524">
        <f t="shared" si="3"/>
        <v>-0.23341376663500513</v>
      </c>
      <c r="G37" s="524">
        <f t="shared" si="3"/>
        <v>0.21160124285359672</v>
      </c>
      <c r="H37" s="524">
        <f t="shared" si="3"/>
        <v>0.36174420569417953</v>
      </c>
      <c r="I37" s="526">
        <f t="shared" si="3"/>
        <v>0.24672954899599686</v>
      </c>
      <c r="J37"/>
      <c r="K37"/>
    </row>
    <row r="38" spans="1:11" s="32" customFormat="1" ht="23.1" customHeight="1" x14ac:dyDescent="0.2">
      <c r="A38"/>
      <c r="B38" s="74" t="s">
        <v>47</v>
      </c>
      <c r="C38" s="106">
        <f>(POWER((C34/C13), 1/21) -1)</f>
        <v>1.5663136409644229E-2</v>
      </c>
      <c r="D38" s="525">
        <f t="shared" ref="D38:I38" si="4">(POWER((D34/D13), 1/21) -1)</f>
        <v>2.5896135214886762E-3</v>
      </c>
      <c r="E38" s="525">
        <f t="shared" si="4"/>
        <v>8.3385886929177033E-4</v>
      </c>
      <c r="F38" s="525">
        <f t="shared" si="4"/>
        <v>-1.2577758232266256E-2</v>
      </c>
      <c r="G38" s="525">
        <f t="shared" si="4"/>
        <v>9.18203315538757E-3</v>
      </c>
      <c r="H38" s="525">
        <f t="shared" si="4"/>
        <v>1.4811784246217652E-2</v>
      </c>
      <c r="I38" s="527">
        <f t="shared" si="4"/>
        <v>1.0556461906213732E-2</v>
      </c>
      <c r="J38"/>
      <c r="K38"/>
    </row>
    <row r="39" spans="1:11" ht="22.5" customHeight="1" x14ac:dyDescent="0.2">
      <c r="B39" s="139" t="s">
        <v>152</v>
      </c>
      <c r="C39" s="106">
        <f>C34/C33-1</f>
        <v>6.7140807594199714E-2</v>
      </c>
      <c r="D39" s="525">
        <f t="shared" ref="D39:I39" si="5">D34/D33-1</f>
        <v>8.55138721148474E-2</v>
      </c>
      <c r="E39" s="525">
        <f t="shared" si="5"/>
        <v>3.2905395214443578E-2</v>
      </c>
      <c r="F39" s="525">
        <f t="shared" si="5"/>
        <v>-3.3190164884832285E-2</v>
      </c>
      <c r="G39" s="525">
        <f t="shared" si="5"/>
        <v>1.3898936177740406E-2</v>
      </c>
      <c r="H39" s="525">
        <f t="shared" si="5"/>
        <v>0.1578556470731256</v>
      </c>
      <c r="I39" s="527">
        <f t="shared" si="5"/>
        <v>5.013610583299033E-2</v>
      </c>
    </row>
    <row r="40" spans="1:11" ht="15" customHeight="1" x14ac:dyDescent="0.2">
      <c r="C40" s="105"/>
      <c r="D40" s="105"/>
      <c r="E40" s="105"/>
      <c r="F40" s="105"/>
      <c r="G40" s="105"/>
      <c r="H40" s="105"/>
      <c r="I40" s="105"/>
    </row>
    <row r="41" spans="1:11" ht="15" customHeight="1" x14ac:dyDescent="0.2">
      <c r="C41" s="105"/>
      <c r="D41" s="105"/>
      <c r="E41" s="105"/>
      <c r="F41" s="105"/>
      <c r="G41" s="105"/>
      <c r="H41" s="105"/>
      <c r="I41" s="105"/>
    </row>
    <row r="42" spans="1:11" ht="11.25" customHeight="1" x14ac:dyDescent="0.2">
      <c r="B42" s="557" t="s">
        <v>48</v>
      </c>
      <c r="C42" s="557"/>
      <c r="D42" s="557"/>
      <c r="E42" s="557"/>
      <c r="F42" s="557"/>
      <c r="G42" s="557"/>
      <c r="H42" s="557"/>
      <c r="I42" s="557"/>
    </row>
    <row r="43" spans="1:11" ht="12.75" customHeight="1" x14ac:dyDescent="0.2">
      <c r="B43" s="545" t="s">
        <v>49</v>
      </c>
      <c r="C43" s="545"/>
      <c r="D43" s="545"/>
      <c r="E43" s="545"/>
      <c r="F43" s="545"/>
      <c r="G43" s="545"/>
      <c r="H43" s="545"/>
      <c r="I43" s="545"/>
    </row>
    <row r="44" spans="1:11" ht="15.75" customHeight="1" x14ac:dyDescent="0.2">
      <c r="B44" s="4"/>
      <c r="C44" s="560" t="s">
        <v>40</v>
      </c>
      <c r="D44" s="560" t="s">
        <v>41</v>
      </c>
      <c r="E44" s="560" t="s">
        <v>46</v>
      </c>
      <c r="F44" s="560" t="s">
        <v>69</v>
      </c>
      <c r="G44" s="563" t="s">
        <v>39</v>
      </c>
      <c r="H44" s="560" t="s">
        <v>42</v>
      </c>
      <c r="I44" s="33"/>
    </row>
    <row r="45" spans="1:11" x14ac:dyDescent="0.2">
      <c r="B45" s="4"/>
      <c r="C45" s="561"/>
      <c r="D45" s="561"/>
      <c r="E45" s="561"/>
      <c r="F45" s="561"/>
      <c r="G45" s="561"/>
      <c r="H45" s="561"/>
      <c r="I45" s="33"/>
      <c r="J45" s="1"/>
    </row>
    <row r="46" spans="1:11" ht="12.75" customHeight="1" x14ac:dyDescent="0.2">
      <c r="B46" s="4"/>
      <c r="C46" s="562"/>
      <c r="D46" s="562"/>
      <c r="E46" s="562"/>
      <c r="F46" s="562"/>
      <c r="G46" s="562"/>
      <c r="H46" s="562"/>
      <c r="I46" s="33"/>
      <c r="J46" s="1"/>
    </row>
    <row r="47" spans="1:11" ht="12.75" customHeight="1" x14ac:dyDescent="0.2">
      <c r="B47" s="110">
        <v>1995</v>
      </c>
      <c r="C47" s="137">
        <f t="shared" ref="C47:H47" si="6">C8/$I8*100</f>
        <v>46.955408933188743</v>
      </c>
      <c r="D47" s="137">
        <f t="shared" si="6"/>
        <v>15.614230152318878</v>
      </c>
      <c r="E47" s="137">
        <f t="shared" si="6"/>
        <v>5.0788879245551319</v>
      </c>
      <c r="F47" s="137">
        <f t="shared" si="6"/>
        <v>4.3245458390796356</v>
      </c>
      <c r="G47" s="137">
        <f t="shared" si="6"/>
        <v>27.967846489227533</v>
      </c>
      <c r="H47" s="102">
        <f t="shared" si="6"/>
        <v>5.9080661630086094E-2</v>
      </c>
      <c r="I47" s="33"/>
      <c r="J47" s="1"/>
    </row>
    <row r="48" spans="1:11" ht="12.75" customHeight="1" x14ac:dyDescent="0.2">
      <c r="B48" s="54">
        <v>1996</v>
      </c>
      <c r="C48" s="137">
        <f t="shared" ref="C48:H73" si="7">C9/$I9*100</f>
        <v>46.890468688788083</v>
      </c>
      <c r="D48" s="137">
        <f t="shared" si="7"/>
        <v>15.628918337958947</v>
      </c>
      <c r="E48" s="137">
        <f t="shared" si="7"/>
        <v>4.9349991018421431</v>
      </c>
      <c r="F48" s="137">
        <f t="shared" si="7"/>
        <v>4.4443239448372136</v>
      </c>
      <c r="G48" s="137">
        <f t="shared" si="7"/>
        <v>28.041014000661928</v>
      </c>
      <c r="H48" s="103">
        <f t="shared" si="7"/>
        <v>6.0275925911686658E-2</v>
      </c>
      <c r="I48" s="28"/>
      <c r="J48" s="1"/>
    </row>
    <row r="49" spans="2:10" ht="12.75" customHeight="1" x14ac:dyDescent="0.2">
      <c r="B49" s="54">
        <v>1997</v>
      </c>
      <c r="C49" s="137">
        <f t="shared" si="7"/>
        <v>47.060717990836316</v>
      </c>
      <c r="D49" s="137">
        <f t="shared" si="7"/>
        <v>15.694573819658613</v>
      </c>
      <c r="E49" s="137">
        <f t="shared" si="7"/>
        <v>5.0830551422527925</v>
      </c>
      <c r="F49" s="137">
        <f t="shared" si="7"/>
        <v>4.2850526143872063</v>
      </c>
      <c r="G49" s="137">
        <f t="shared" si="7"/>
        <v>27.815077466260728</v>
      </c>
      <c r="H49" s="103">
        <f t="shared" si="7"/>
        <v>6.1522966604342408E-2</v>
      </c>
      <c r="I49" s="28"/>
      <c r="J49" s="1"/>
    </row>
    <row r="50" spans="2:10" ht="12.75" customHeight="1" x14ac:dyDescent="0.2">
      <c r="B50" s="54">
        <v>1998</v>
      </c>
      <c r="C50" s="137">
        <f t="shared" si="7"/>
        <v>47.995409858266967</v>
      </c>
      <c r="D50" s="137">
        <f t="shared" si="7"/>
        <v>14.5677123438031</v>
      </c>
      <c r="E50" s="137">
        <f t="shared" si="7"/>
        <v>5.0581773227309883</v>
      </c>
      <c r="F50" s="137">
        <f t="shared" si="7"/>
        <v>4.4306938555075552</v>
      </c>
      <c r="G50" s="137">
        <f t="shared" si="7"/>
        <v>27.886360663229681</v>
      </c>
      <c r="H50" s="103">
        <f t="shared" si="7"/>
        <v>6.1645956461707271E-2</v>
      </c>
      <c r="I50" s="28"/>
      <c r="J50" s="1"/>
    </row>
    <row r="51" spans="2:10" ht="12.75" customHeight="1" x14ac:dyDescent="0.2">
      <c r="B51" s="54">
        <v>1999</v>
      </c>
      <c r="C51" s="137">
        <f t="shared" si="7"/>
        <v>48.884930754689982</v>
      </c>
      <c r="D51" s="137">
        <f t="shared" si="7"/>
        <v>13.864859801795722</v>
      </c>
      <c r="E51" s="137">
        <f t="shared" si="7"/>
        <v>4.8576255880190127</v>
      </c>
      <c r="F51" s="137">
        <f t="shared" si="7"/>
        <v>4.2758197092169512</v>
      </c>
      <c r="G51" s="137">
        <f t="shared" si="7"/>
        <v>28.05516674619486</v>
      </c>
      <c r="H51" s="103">
        <f t="shared" si="7"/>
        <v>6.1597400083471601E-2</v>
      </c>
      <c r="I51" s="28"/>
      <c r="J51" s="1"/>
    </row>
    <row r="52" spans="2:10" ht="12.75" customHeight="1" x14ac:dyDescent="0.2">
      <c r="B52" s="54">
        <v>2000</v>
      </c>
      <c r="C52" s="137">
        <f t="shared" si="7"/>
        <v>48.819814074374726</v>
      </c>
      <c r="D52" s="137">
        <f t="shared" si="7"/>
        <v>14.092331396800811</v>
      </c>
      <c r="E52" s="137">
        <f t="shared" si="7"/>
        <v>4.8575758270485743</v>
      </c>
      <c r="F52" s="137">
        <f t="shared" si="7"/>
        <v>4.2025050883916855</v>
      </c>
      <c r="G52" s="137">
        <f t="shared" si="7"/>
        <v>27.964660266437701</v>
      </c>
      <c r="H52" s="103">
        <f t="shared" si="7"/>
        <v>6.311334694650296E-2</v>
      </c>
      <c r="I52" s="28"/>
      <c r="J52" s="1"/>
    </row>
    <row r="53" spans="2:10" ht="12.75" customHeight="1" x14ac:dyDescent="0.2">
      <c r="B53" s="54">
        <v>2001</v>
      </c>
      <c r="C53" s="137">
        <f t="shared" si="7"/>
        <v>49.677487350212509</v>
      </c>
      <c r="D53" s="137">
        <f t="shared" si="7"/>
        <v>13.203913363268382</v>
      </c>
      <c r="E53" s="137">
        <f t="shared" si="7"/>
        <v>4.7349951854713703</v>
      </c>
      <c r="F53" s="137">
        <f t="shared" si="7"/>
        <v>4.3759469425140418</v>
      </c>
      <c r="G53" s="137">
        <f t="shared" si="7"/>
        <v>27.945279555670943</v>
      </c>
      <c r="H53" s="103">
        <f t="shared" si="7"/>
        <v>6.2377602862758202E-2</v>
      </c>
      <c r="I53" s="76"/>
      <c r="J53" s="1"/>
    </row>
    <row r="54" spans="2:10" ht="12.75" customHeight="1" x14ac:dyDescent="0.2">
      <c r="B54" s="54">
        <v>2002</v>
      </c>
      <c r="C54" s="137">
        <f t="shared" si="7"/>
        <v>50.419137117378867</v>
      </c>
      <c r="D54" s="137">
        <f t="shared" si="7"/>
        <v>12.901285549505834</v>
      </c>
      <c r="E54" s="137">
        <f t="shared" si="7"/>
        <v>4.6401173074094793</v>
      </c>
      <c r="F54" s="137">
        <f t="shared" si="7"/>
        <v>4.1629288743942245</v>
      </c>
      <c r="G54" s="137">
        <f t="shared" si="7"/>
        <v>27.816893364641555</v>
      </c>
      <c r="H54" s="103">
        <f t="shared" si="7"/>
        <v>5.9637786670033131E-2</v>
      </c>
      <c r="I54" s="76"/>
      <c r="J54" s="1"/>
    </row>
    <row r="55" spans="2:10" ht="12.75" customHeight="1" x14ac:dyDescent="0.2">
      <c r="B55" s="54">
        <v>2003</v>
      </c>
      <c r="C55" s="137">
        <f t="shared" si="7"/>
        <v>50.184584866446492</v>
      </c>
      <c r="D55" s="137">
        <f t="shared" si="7"/>
        <v>13.109614751306347</v>
      </c>
      <c r="E55" s="137">
        <f t="shared" si="7"/>
        <v>4.3001502969139711</v>
      </c>
      <c r="F55" s="137">
        <f t="shared" si="7"/>
        <v>4.2224182509585342</v>
      </c>
      <c r="G55" s="137">
        <f t="shared" si="7"/>
        <v>28.123449113685449</v>
      </c>
      <c r="H55" s="103">
        <f t="shared" si="7"/>
        <v>5.9782720689214558E-2</v>
      </c>
      <c r="I55" s="76"/>
      <c r="J55" s="1"/>
    </row>
    <row r="56" spans="2:10" ht="12.75" customHeight="1" x14ac:dyDescent="0.2">
      <c r="B56" s="54">
        <v>2004</v>
      </c>
      <c r="C56" s="137">
        <f t="shared" si="7"/>
        <v>51.643687064503894</v>
      </c>
      <c r="D56" s="137">
        <f t="shared" si="7"/>
        <v>12.682287151021161</v>
      </c>
      <c r="E56" s="137">
        <f t="shared" si="7"/>
        <v>4.4469587412936464</v>
      </c>
      <c r="F56" s="137">
        <f t="shared" si="7"/>
        <v>3.9865097812305135</v>
      </c>
      <c r="G56" s="137">
        <f t="shared" si="7"/>
        <v>27.182683326034429</v>
      </c>
      <c r="H56" s="103">
        <f t="shared" si="7"/>
        <v>5.7873935916347999E-2</v>
      </c>
      <c r="I56" s="76"/>
      <c r="J56" s="1"/>
    </row>
    <row r="57" spans="2:10" ht="12.75" customHeight="1" x14ac:dyDescent="0.2">
      <c r="B57" s="54">
        <v>2005</v>
      </c>
      <c r="C57" s="137">
        <f t="shared" si="7"/>
        <v>51.322301436641716</v>
      </c>
      <c r="D57" s="137">
        <f t="shared" si="7"/>
        <v>12.751676061522943</v>
      </c>
      <c r="E57" s="137">
        <f t="shared" si="7"/>
        <v>4.4793098886226934</v>
      </c>
      <c r="F57" s="137">
        <f t="shared" si="7"/>
        <v>4.0979048555969779</v>
      </c>
      <c r="G57" s="137">
        <f t="shared" si="7"/>
        <v>27.289685842416141</v>
      </c>
      <c r="H57" s="103">
        <f t="shared" si="7"/>
        <v>5.9121915199547008E-2</v>
      </c>
      <c r="I57" s="76"/>
      <c r="J57" s="1"/>
    </row>
    <row r="58" spans="2:10" ht="12.75" customHeight="1" x14ac:dyDescent="0.2">
      <c r="B58" s="54">
        <v>2006</v>
      </c>
      <c r="C58" s="137">
        <f t="shared" si="7"/>
        <v>51.793350611010716</v>
      </c>
      <c r="D58" s="137">
        <f t="shared" si="7"/>
        <v>13.155263784787753</v>
      </c>
      <c r="E58" s="137">
        <f t="shared" si="7"/>
        <v>4.3746047789079414</v>
      </c>
      <c r="F58" s="137">
        <f t="shared" si="7"/>
        <v>3.9755115061996018</v>
      </c>
      <c r="G58" s="137">
        <f t="shared" si="7"/>
        <v>26.641655572086808</v>
      </c>
      <c r="H58" s="103">
        <f t="shared" si="7"/>
        <v>5.9613747007166568E-2</v>
      </c>
      <c r="I58" s="35"/>
      <c r="J58" s="1"/>
    </row>
    <row r="59" spans="2:10" ht="12.75" customHeight="1" x14ac:dyDescent="0.2">
      <c r="B59" s="54">
        <v>2007</v>
      </c>
      <c r="C59" s="137">
        <f t="shared" si="7"/>
        <v>52.447055872638593</v>
      </c>
      <c r="D59" s="137">
        <f t="shared" si="7"/>
        <v>13.306797641346972</v>
      </c>
      <c r="E59" s="137">
        <f t="shared" si="7"/>
        <v>4.492052893841838</v>
      </c>
      <c r="F59" s="137">
        <f t="shared" si="7"/>
        <v>3.6523684078102776</v>
      </c>
      <c r="G59" s="137">
        <f t="shared" si="7"/>
        <v>26.041479981545756</v>
      </c>
      <c r="H59" s="103">
        <f t="shared" si="7"/>
        <v>6.0245202816565736E-2</v>
      </c>
      <c r="I59" s="35"/>
      <c r="J59" s="1"/>
    </row>
    <row r="60" spans="2:10" ht="12.75" customHeight="1" x14ac:dyDescent="0.2">
      <c r="B60" s="54">
        <v>2008</v>
      </c>
      <c r="C60" s="137">
        <f t="shared" si="7"/>
        <v>52.342871812169264</v>
      </c>
      <c r="D60" s="137">
        <f t="shared" si="7"/>
        <v>13.165977499709205</v>
      </c>
      <c r="E60" s="137">
        <f t="shared" si="7"/>
        <v>4.5866393303068689</v>
      </c>
      <c r="F60" s="137">
        <f t="shared" si="7"/>
        <v>3.5832182196639724</v>
      </c>
      <c r="G60" s="137">
        <f t="shared" si="7"/>
        <v>26.261753108303722</v>
      </c>
      <c r="H60" s="103">
        <f t="shared" si="7"/>
        <v>5.9540029846957367E-2</v>
      </c>
      <c r="I60" s="35"/>
      <c r="J60" s="1"/>
    </row>
    <row r="61" spans="2:10" ht="12.75" customHeight="1" x14ac:dyDescent="0.2">
      <c r="B61" s="54">
        <v>2009</v>
      </c>
      <c r="C61" s="137">
        <f t="shared" si="7"/>
        <v>52.697677338496774</v>
      </c>
      <c r="D61" s="137">
        <f t="shared" si="7"/>
        <v>11.976009907291813</v>
      </c>
      <c r="E61" s="137">
        <f t="shared" si="7"/>
        <v>4.6115961941009154</v>
      </c>
      <c r="F61" s="137">
        <f t="shared" si="7"/>
        <v>3.8822671659835599</v>
      </c>
      <c r="G61" s="137">
        <f t="shared" si="7"/>
        <v>26.769604934380663</v>
      </c>
      <c r="H61" s="103">
        <f t="shared" si="7"/>
        <v>6.2844459746265235E-2</v>
      </c>
      <c r="I61" s="35"/>
      <c r="J61" s="1"/>
    </row>
    <row r="62" spans="2:10" ht="12.75" customHeight="1" x14ac:dyDescent="0.2">
      <c r="B62" s="54">
        <v>2010</v>
      </c>
      <c r="C62" s="137">
        <f t="shared" si="7"/>
        <v>51.335350057965826</v>
      </c>
      <c r="D62" s="137">
        <f t="shared" si="7"/>
        <v>12.352267469516951</v>
      </c>
      <c r="E62" s="137">
        <f t="shared" si="7"/>
        <v>5.1182409499846679</v>
      </c>
      <c r="F62" s="137">
        <f t="shared" si="7"/>
        <v>3.6556704691625765</v>
      </c>
      <c r="G62" s="137">
        <f t="shared" si="7"/>
        <v>27.478057507143728</v>
      </c>
      <c r="H62" s="103">
        <f t="shared" si="7"/>
        <v>6.0413546226268058E-2</v>
      </c>
      <c r="I62" s="35"/>
      <c r="J62" s="1"/>
    </row>
    <row r="63" spans="2:10" ht="14.25" customHeight="1" x14ac:dyDescent="0.2">
      <c r="B63" s="54">
        <v>2011</v>
      </c>
      <c r="C63" s="137">
        <f t="shared" si="7"/>
        <v>50.631215732703048</v>
      </c>
      <c r="D63" s="137">
        <f t="shared" si="7"/>
        <v>13.173899519796484</v>
      </c>
      <c r="E63" s="137">
        <f t="shared" si="7"/>
        <v>4.6579053240538713</v>
      </c>
      <c r="F63" s="137">
        <f t="shared" si="7"/>
        <v>3.5558815100907615</v>
      </c>
      <c r="G63" s="137">
        <f t="shared" si="7"/>
        <v>27.920962661034672</v>
      </c>
      <c r="H63" s="103">
        <f t="shared" si="7"/>
        <v>6.0135252321162895E-2</v>
      </c>
      <c r="I63" s="35"/>
      <c r="J63" s="1"/>
    </row>
    <row r="64" spans="2:10" ht="14.25" customHeight="1" x14ac:dyDescent="0.2">
      <c r="B64" s="54">
        <v>2012</v>
      </c>
      <c r="C64" s="137">
        <f t="shared" si="7"/>
        <v>50.02475003306467</v>
      </c>
      <c r="D64" s="137">
        <f t="shared" si="7"/>
        <v>13.004729789584596</v>
      </c>
      <c r="E64" s="137">
        <f t="shared" si="7"/>
        <v>5.0582821070569084</v>
      </c>
      <c r="F64" s="137">
        <f t="shared" si="7"/>
        <v>3.544413685447974</v>
      </c>
      <c r="G64" s="137">
        <f t="shared" si="7"/>
        <v>28.306782047216402</v>
      </c>
      <c r="H64" s="103">
        <f t="shared" si="7"/>
        <v>6.1042337629443208E-2</v>
      </c>
      <c r="J64" s="1"/>
    </row>
    <row r="65" spans="1:10" ht="14.25" customHeight="1" x14ac:dyDescent="0.2">
      <c r="B65" s="54">
        <v>2013</v>
      </c>
      <c r="C65" s="137">
        <f t="shared" si="7"/>
        <v>50.408552604936297</v>
      </c>
      <c r="D65" s="137">
        <f t="shared" si="7"/>
        <v>12.775932440845949</v>
      </c>
      <c r="E65" s="137">
        <f t="shared" si="7"/>
        <v>5.0723562341545394</v>
      </c>
      <c r="F65" s="137">
        <f t="shared" si="7"/>
        <v>3.3935654605307795</v>
      </c>
      <c r="G65" s="137">
        <f t="shared" si="7"/>
        <v>28.289259349902796</v>
      </c>
      <c r="H65" s="103">
        <f t="shared" si="7"/>
        <v>6.0333909629650684E-2</v>
      </c>
      <c r="J65" s="1"/>
    </row>
    <row r="66" spans="1:10" ht="14.25" customHeight="1" x14ac:dyDescent="0.2">
      <c r="B66" s="54">
        <v>2014</v>
      </c>
      <c r="C66" s="137">
        <f t="shared" si="7"/>
        <v>50.155833263602759</v>
      </c>
      <c r="D66" s="137">
        <f t="shared" si="7"/>
        <v>12.771223227321284</v>
      </c>
      <c r="E66" s="137">
        <f t="shared" si="7"/>
        <v>4.9487127284972914</v>
      </c>
      <c r="F66" s="137">
        <f t="shared" si="7"/>
        <v>3.3193151980089159</v>
      </c>
      <c r="G66" s="137">
        <f t="shared" si="7"/>
        <v>28.736004497933486</v>
      </c>
      <c r="H66" s="103">
        <f t="shared" si="7"/>
        <v>6.8911084636265482E-2</v>
      </c>
      <c r="J66" s="1"/>
    </row>
    <row r="67" spans="1:10" ht="15" customHeight="1" x14ac:dyDescent="0.2">
      <c r="B67" s="54">
        <v>2015</v>
      </c>
      <c r="C67" s="137">
        <f t="shared" si="7"/>
        <v>50.633294938178473</v>
      </c>
      <c r="D67" s="137">
        <f t="shared" si="7"/>
        <v>12.918302123280901</v>
      </c>
      <c r="E67" s="137">
        <f t="shared" si="7"/>
        <v>4.7765207912524783</v>
      </c>
      <c r="F67" s="137">
        <f t="shared" si="7"/>
        <v>3.3761124133985909</v>
      </c>
      <c r="G67" s="137">
        <f t="shared" si="7"/>
        <v>28.226857089175756</v>
      </c>
      <c r="H67" s="103">
        <f t="shared" si="7"/>
        <v>6.8912644713787524E-2</v>
      </c>
      <c r="J67" s="1"/>
    </row>
    <row r="68" spans="1:10" ht="12.75" customHeight="1" x14ac:dyDescent="0.2">
      <c r="B68" s="54">
        <v>2016</v>
      </c>
      <c r="C68" s="137">
        <f t="shared" si="7"/>
        <v>50.776411789763976</v>
      </c>
      <c r="D68" s="137">
        <f t="shared" si="7"/>
        <v>12.77313424221804</v>
      </c>
      <c r="E68" s="137">
        <f t="shared" si="7"/>
        <v>4.595949614726778</v>
      </c>
      <c r="F68" s="137">
        <f t="shared" si="7"/>
        <v>3.2820696929787618</v>
      </c>
      <c r="G68" s="137">
        <f t="shared" si="7"/>
        <v>28.505689708491989</v>
      </c>
      <c r="H68" s="103">
        <f t="shared" si="7"/>
        <v>6.6744951820460807E-2</v>
      </c>
    </row>
    <row r="69" spans="1:10" ht="18.75" customHeight="1" x14ac:dyDescent="0.2">
      <c r="B69" s="54">
        <v>2017</v>
      </c>
      <c r="C69" s="137">
        <f t="shared" si="7"/>
        <v>51.910275646362905</v>
      </c>
      <c r="D69" s="137">
        <f t="shared" si="7"/>
        <v>12.504762483775586</v>
      </c>
      <c r="E69" s="137">
        <f t="shared" si="7"/>
        <v>4.4762735069783801</v>
      </c>
      <c r="F69" s="137">
        <f t="shared" si="7"/>
        <v>3.1627125473812931</v>
      </c>
      <c r="G69" s="137">
        <f t="shared" si="7"/>
        <v>27.880717556847955</v>
      </c>
      <c r="H69" s="103">
        <f t="shared" si="7"/>
        <v>6.5258258653882448E-2</v>
      </c>
      <c r="I69" s="35"/>
      <c r="J69" s="292"/>
    </row>
    <row r="70" spans="1:10" ht="15" customHeight="1" x14ac:dyDescent="0.2">
      <c r="B70" s="54">
        <v>2018</v>
      </c>
      <c r="C70" s="141">
        <f t="shared" si="7"/>
        <v>51.116691048468176</v>
      </c>
      <c r="D70" s="137">
        <f t="shared" si="7"/>
        <v>12.522915133768345</v>
      </c>
      <c r="E70" s="137">
        <f t="shared" si="7"/>
        <v>3.9307638351553029</v>
      </c>
      <c r="F70" s="137">
        <f t="shared" si="7"/>
        <v>3.1167592101319403</v>
      </c>
      <c r="G70" s="137">
        <f t="shared" si="7"/>
        <v>29.247321442160484</v>
      </c>
      <c r="H70" s="103">
        <f t="shared" si="7"/>
        <v>6.5549330315758131E-2</v>
      </c>
      <c r="I70" s="35"/>
      <c r="J70" s="367"/>
    </row>
    <row r="71" spans="1:10" ht="15" customHeight="1" x14ac:dyDescent="0.2">
      <c r="A71" s="302"/>
      <c r="B71" s="54">
        <v>2019</v>
      </c>
      <c r="C71" s="141">
        <f t="shared" si="7"/>
        <v>51.978035686730259</v>
      </c>
      <c r="D71" s="137">
        <f t="shared" si="7"/>
        <v>12.014435895624118</v>
      </c>
      <c r="E71" s="137">
        <f t="shared" si="7"/>
        <v>4.1144747421951866</v>
      </c>
      <c r="F71" s="137">
        <f t="shared" si="7"/>
        <v>2.9750181082641225</v>
      </c>
      <c r="G71" s="137">
        <f t="shared" si="7"/>
        <v>28.850325248643909</v>
      </c>
      <c r="H71" s="103">
        <f t="shared" si="7"/>
        <v>6.7710318542410497E-2</v>
      </c>
      <c r="I71" s="35"/>
      <c r="J71" s="367"/>
    </row>
    <row r="72" spans="1:10" ht="15" customHeight="1" x14ac:dyDescent="0.2">
      <c r="A72" s="1"/>
      <c r="B72" s="109">
        <v>2020</v>
      </c>
      <c r="C72" s="141">
        <f t="shared" si="7"/>
        <v>53.406143792800975</v>
      </c>
      <c r="D72" s="137">
        <f t="shared" si="7"/>
        <v>11.545374688615324</v>
      </c>
      <c r="E72" s="137">
        <f t="shared" si="7"/>
        <v>4.031198261115267</v>
      </c>
      <c r="F72" s="137">
        <f t="shared" si="7"/>
        <v>2.806735849441556</v>
      </c>
      <c r="G72" s="137">
        <f t="shared" si="7"/>
        <v>28.148025004171647</v>
      </c>
      <c r="H72" s="103">
        <f t="shared" si="7"/>
        <v>6.2522403855216319E-2</v>
      </c>
      <c r="I72" s="35"/>
      <c r="J72" s="367"/>
    </row>
    <row r="73" spans="1:10" ht="15" customHeight="1" x14ac:dyDescent="0.2">
      <c r="A73" s="302"/>
      <c r="B73" s="487">
        <v>2021</v>
      </c>
      <c r="C73" s="344">
        <f>C34/$I34*100</f>
        <v>54.270941738865766</v>
      </c>
      <c r="D73" s="142">
        <f t="shared" si="7"/>
        <v>11.934323859205275</v>
      </c>
      <c r="E73" s="142">
        <f t="shared" si="7"/>
        <v>3.9650540629513849</v>
      </c>
      <c r="F73" s="142">
        <f t="shared" si="7"/>
        <v>2.5840267835167441</v>
      </c>
      <c r="G73" s="142">
        <f t="shared" si="7"/>
        <v>27.17671780706571</v>
      </c>
      <c r="H73" s="104">
        <f>H34/$I34*100</f>
        <v>6.8935748395133944E-2</v>
      </c>
      <c r="I73" s="35"/>
      <c r="J73" s="367"/>
    </row>
    <row r="74" spans="1:10" ht="19.5" customHeight="1" x14ac:dyDescent="0.2">
      <c r="B74" s="126" t="s">
        <v>115</v>
      </c>
      <c r="E74" s="137"/>
      <c r="G74" s="35"/>
      <c r="H74" s="35"/>
      <c r="I74" s="26"/>
      <c r="J74" s="292"/>
    </row>
    <row r="75" spans="1:10" ht="12.75" customHeight="1" x14ac:dyDescent="0.2">
      <c r="B75" s="126" t="s">
        <v>136</v>
      </c>
      <c r="C75" s="12"/>
      <c r="D75" s="12"/>
      <c r="E75" s="12"/>
      <c r="F75" s="12"/>
      <c r="G75" s="26"/>
      <c r="H75" s="26"/>
      <c r="I75" s="292"/>
    </row>
    <row r="76" spans="1:10" ht="70.5" customHeight="1" x14ac:dyDescent="0.2">
      <c r="B76" s="558" t="s">
        <v>143</v>
      </c>
      <c r="C76" s="558"/>
      <c r="D76" s="558"/>
      <c r="E76" s="558"/>
      <c r="F76" s="558"/>
      <c r="G76" s="558"/>
      <c r="H76" s="558"/>
      <c r="I76" s="558"/>
    </row>
    <row r="77" spans="1:10" ht="35.25" customHeight="1" x14ac:dyDescent="0.2">
      <c r="B77" s="558" t="s">
        <v>116</v>
      </c>
      <c r="C77" s="558"/>
      <c r="D77" s="558"/>
      <c r="E77" s="558"/>
      <c r="F77" s="558"/>
      <c r="G77" s="558"/>
      <c r="H77" s="558"/>
      <c r="I77" s="558"/>
    </row>
    <row r="78" spans="1:10" ht="15" customHeight="1" x14ac:dyDescent="0.2">
      <c r="B78" s="559"/>
      <c r="C78" s="559"/>
      <c r="D78" s="559"/>
      <c r="E78" s="559"/>
      <c r="F78" s="559"/>
      <c r="G78" s="559"/>
      <c r="H78" s="559"/>
      <c r="I78" s="559"/>
    </row>
    <row r="79" spans="1:10" x14ac:dyDescent="0.2">
      <c r="C79" s="12"/>
      <c r="D79" s="12"/>
      <c r="E79" s="12"/>
      <c r="F79" s="12"/>
      <c r="G79" s="12"/>
      <c r="H79" s="12"/>
    </row>
  </sheetData>
  <mergeCells count="19">
    <mergeCell ref="B76:I76"/>
    <mergeCell ref="B77:I77"/>
    <mergeCell ref="B78:I78"/>
    <mergeCell ref="C44:C46"/>
    <mergeCell ref="H44:H46"/>
    <mergeCell ref="D44:D46"/>
    <mergeCell ref="E44:E46"/>
    <mergeCell ref="F44:F46"/>
    <mergeCell ref="G44:G46"/>
    <mergeCell ref="B2:I2"/>
    <mergeCell ref="B3:I3"/>
    <mergeCell ref="B43:I43"/>
    <mergeCell ref="C5:C7"/>
    <mergeCell ref="D5:D7"/>
    <mergeCell ref="E5:E7"/>
    <mergeCell ref="F5:F7"/>
    <mergeCell ref="B4:I4"/>
    <mergeCell ref="I5:I7"/>
    <mergeCell ref="B42:I42"/>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5">
    <pageSetUpPr fitToPage="1"/>
  </sheetPr>
  <dimension ref="B1:U51"/>
  <sheetViews>
    <sheetView workbookViewId="0">
      <selection activeCell="Q9" sqref="Q9"/>
    </sheetView>
  </sheetViews>
  <sheetFormatPr defaultRowHeight="12.75" x14ac:dyDescent="0.2"/>
  <cols>
    <col min="1" max="1" width="7.7109375" customWidth="1"/>
    <col min="2" max="2" width="6.28515625" customWidth="1"/>
    <col min="3" max="4" width="9.140625" style="309"/>
    <col min="5" max="6" width="7.42578125" style="309" customWidth="1"/>
    <col min="7" max="7" width="7" customWidth="1"/>
    <col min="10" max="10" width="7.28515625" customWidth="1"/>
    <col min="14" max="14" width="7.85546875" customWidth="1"/>
    <col min="15" max="15" width="7.42578125" style="167" customWidth="1"/>
  </cols>
  <sheetData>
    <row r="1" spans="2:17" ht="14.25" customHeight="1" x14ac:dyDescent="0.2">
      <c r="B1" s="254"/>
      <c r="C1" s="308"/>
      <c r="D1" s="308"/>
      <c r="E1" s="308"/>
      <c r="G1" s="19" t="s">
        <v>77</v>
      </c>
    </row>
    <row r="2" spans="2:17" ht="12.75" customHeight="1" x14ac:dyDescent="0.2">
      <c r="B2" s="564" t="s">
        <v>121</v>
      </c>
      <c r="C2" s="564"/>
      <c r="D2" s="564"/>
      <c r="E2" s="564"/>
      <c r="F2" s="564"/>
      <c r="G2" s="564"/>
    </row>
    <row r="3" spans="2:17" ht="20.25" customHeight="1" x14ac:dyDescent="0.2">
      <c r="B3" s="564"/>
      <c r="C3" s="564"/>
      <c r="D3" s="564"/>
      <c r="E3" s="564"/>
      <c r="F3" s="564"/>
      <c r="G3" s="564"/>
    </row>
    <row r="4" spans="2:17" ht="12.75" customHeight="1" x14ac:dyDescent="0.2">
      <c r="B4" s="565">
        <v>2021</v>
      </c>
      <c r="C4" s="565"/>
      <c r="D4" s="565"/>
      <c r="E4" s="565"/>
      <c r="F4" s="565"/>
      <c r="G4" s="565"/>
      <c r="K4" s="567">
        <v>2021</v>
      </c>
      <c r="L4" s="568"/>
      <c r="M4" s="568"/>
      <c r="N4" s="569"/>
      <c r="O4" s="494"/>
    </row>
    <row r="5" spans="2:17" ht="12.75" customHeight="1" x14ac:dyDescent="0.2">
      <c r="B5" s="566" t="s">
        <v>105</v>
      </c>
      <c r="C5" s="566"/>
      <c r="D5" s="566"/>
      <c r="E5" s="566"/>
      <c r="F5" s="566"/>
      <c r="G5" s="566"/>
      <c r="K5" s="311"/>
      <c r="L5" s="312"/>
      <c r="M5" s="312"/>
      <c r="N5" s="313"/>
      <c r="O5" s="495"/>
      <c r="P5" s="1"/>
    </row>
    <row r="6" spans="2:17" ht="33.75" x14ac:dyDescent="0.2">
      <c r="B6" s="57"/>
      <c r="C6" s="255" t="s">
        <v>40</v>
      </c>
      <c r="D6" s="256" t="s">
        <v>41</v>
      </c>
      <c r="E6" s="256" t="s">
        <v>46</v>
      </c>
      <c r="F6" s="257" t="s">
        <v>69</v>
      </c>
      <c r="G6" s="258"/>
      <c r="H6" s="1"/>
      <c r="K6" s="434" t="s">
        <v>40</v>
      </c>
      <c r="L6" s="429" t="s">
        <v>41</v>
      </c>
      <c r="M6" s="429" t="s">
        <v>46</v>
      </c>
      <c r="N6" s="430" t="s">
        <v>69</v>
      </c>
      <c r="O6" s="496" t="s">
        <v>113</v>
      </c>
    </row>
    <row r="7" spans="2:17" x14ac:dyDescent="0.2">
      <c r="B7" s="270" t="s">
        <v>111</v>
      </c>
      <c r="C7" s="277">
        <f>K7/O7*100</f>
        <v>74.594775970170602</v>
      </c>
      <c r="D7" s="277">
        <f>L7/O7*100</f>
        <v>16.403588847166461</v>
      </c>
      <c r="E7" s="277">
        <f>M7/O7*100</f>
        <v>5.4499205294544932</v>
      </c>
      <c r="F7" s="277">
        <f>N7/O7*100</f>
        <v>3.5517146532084576</v>
      </c>
      <c r="G7" s="270" t="s">
        <v>111</v>
      </c>
      <c r="J7" s="270" t="s">
        <v>111</v>
      </c>
      <c r="K7" s="277">
        <f>road_ter!S7</f>
        <v>1862.5149999999996</v>
      </c>
      <c r="L7" s="277">
        <f>rail_tkm!AJ7</f>
        <v>409.57198254603679</v>
      </c>
      <c r="M7" s="277">
        <f>iww!AJ6</f>
        <v>136.07599999999999</v>
      </c>
      <c r="N7" s="277">
        <f>pipeline!AJ6</f>
        <v>88.680765258492684</v>
      </c>
      <c r="O7" s="274">
        <f>SUM(K7:N7)</f>
        <v>2496.8437478045289</v>
      </c>
      <c r="Q7" s="1"/>
    </row>
    <row r="8" spans="2:17" x14ac:dyDescent="0.2">
      <c r="B8" s="17" t="s">
        <v>22</v>
      </c>
      <c r="C8" s="163">
        <f>K8/O8*100</f>
        <v>76.764375923924561</v>
      </c>
      <c r="D8" s="163">
        <f t="shared" ref="D8:D34" si="0">L8/O8*100</f>
        <v>9.4926385950349612</v>
      </c>
      <c r="E8" s="163">
        <f t="shared" ref="E8:E34" si="1">M8/O8*100</f>
        <v>11.469716971846911</v>
      </c>
      <c r="F8" s="395">
        <f t="shared" ref="F8:F32" si="2">N8/O8*100</f>
        <v>2.2732685091935911</v>
      </c>
      <c r="G8" s="17" t="s">
        <v>22</v>
      </c>
      <c r="J8" s="17" t="s">
        <v>22</v>
      </c>
      <c r="K8" s="163">
        <f>road_ter!S8</f>
        <v>54.747</v>
      </c>
      <c r="L8" s="163">
        <f>rail_tkm!AJ8</f>
        <v>6.7699825460368297</v>
      </c>
      <c r="M8" s="163">
        <f>iww!AJ7</f>
        <v>8.18</v>
      </c>
      <c r="N8" s="395">
        <f>pipeline!AJ7</f>
        <v>1.6212550362704601</v>
      </c>
      <c r="O8" s="171">
        <f t="shared" ref="O8:O34" si="3">SUM(K8:N8)</f>
        <v>71.318237582307276</v>
      </c>
      <c r="P8" s="400"/>
      <c r="Q8" s="167"/>
    </row>
    <row r="9" spans="2:17" x14ac:dyDescent="0.2">
      <c r="B9" s="85" t="s">
        <v>5</v>
      </c>
      <c r="C9" s="155">
        <f t="shared" ref="C9:C34" si="4">K9/O9*100</f>
        <v>54.646181728313692</v>
      </c>
      <c r="D9" s="155">
        <f t="shared" si="0"/>
        <v>19.181975451025618</v>
      </c>
      <c r="E9" s="155">
        <f t="shared" si="1"/>
        <v>23.856989867369631</v>
      </c>
      <c r="F9" s="174">
        <f t="shared" si="2"/>
        <v>2.3148529532910453</v>
      </c>
      <c r="G9" s="85" t="s">
        <v>5</v>
      </c>
      <c r="J9" s="85" t="s">
        <v>5</v>
      </c>
      <c r="K9" s="155">
        <f>road_ter!S9</f>
        <v>13.266999999999999</v>
      </c>
      <c r="L9" s="155">
        <f>rail_tkm!AJ9</f>
        <v>4.657</v>
      </c>
      <c r="M9" s="155">
        <f>iww!AJ8</f>
        <v>5.7919999999999998</v>
      </c>
      <c r="N9" s="174">
        <f>pipeline!AJ8</f>
        <v>0.56200000000000006</v>
      </c>
      <c r="O9" s="315">
        <f t="shared" si="3"/>
        <v>24.278000000000002</v>
      </c>
      <c r="P9" s="400"/>
    </row>
    <row r="10" spans="2:17" x14ac:dyDescent="0.2">
      <c r="B10" s="17" t="s">
        <v>7</v>
      </c>
      <c r="C10" s="163">
        <f t="shared" si="4"/>
        <v>75.132246278017121</v>
      </c>
      <c r="D10" s="163">
        <f t="shared" si="0"/>
        <v>22.258275617603754</v>
      </c>
      <c r="E10" s="163">
        <f t="shared" si="1"/>
        <v>2.9994001199760045E-2</v>
      </c>
      <c r="F10" s="395">
        <f t="shared" si="2"/>
        <v>2.5794841031793641</v>
      </c>
      <c r="G10" s="17" t="s">
        <v>7</v>
      </c>
      <c r="J10" s="17" t="s">
        <v>7</v>
      </c>
      <c r="K10" s="163">
        <f>road_ter!S10</f>
        <v>55.107999999999997</v>
      </c>
      <c r="L10" s="163">
        <f>rail_tkm!AJ10</f>
        <v>16.326000000000001</v>
      </c>
      <c r="M10" s="163">
        <f>iww!AJ9</f>
        <v>2.1999999999999999E-2</v>
      </c>
      <c r="N10" s="395">
        <f>pipeline!AJ9</f>
        <v>1.8919999999999999</v>
      </c>
      <c r="O10" s="171">
        <f t="shared" si="3"/>
        <v>73.347999999999999</v>
      </c>
      <c r="P10" s="400"/>
    </row>
    <row r="11" spans="2:17" x14ac:dyDescent="0.2">
      <c r="B11" s="85" t="s">
        <v>18</v>
      </c>
      <c r="C11" s="155">
        <f t="shared" si="4"/>
        <v>87.78461797942316</v>
      </c>
      <c r="D11" s="155">
        <f t="shared" si="0"/>
        <v>8.3740934390285027</v>
      </c>
      <c r="E11" s="155" t="s">
        <v>35</v>
      </c>
      <c r="F11" s="174">
        <f t="shared" si="2"/>
        <v>3.8412885815483215</v>
      </c>
      <c r="G11" s="85" t="s">
        <v>18</v>
      </c>
      <c r="J11" s="85" t="s">
        <v>18</v>
      </c>
      <c r="K11" s="155">
        <f>road_ter!S11</f>
        <v>20.818999999999999</v>
      </c>
      <c r="L11" s="155">
        <f>rail_tkm!AJ11</f>
        <v>1.986</v>
      </c>
      <c r="M11" s="155" t="str">
        <f>iww!AJ10</f>
        <v>-</v>
      </c>
      <c r="N11" s="174">
        <f>pipeline!AJ10</f>
        <v>0.91100000000000003</v>
      </c>
      <c r="O11" s="315">
        <f t="shared" si="3"/>
        <v>23.716000000000001</v>
      </c>
      <c r="P11" s="400"/>
    </row>
    <row r="12" spans="2:17" x14ac:dyDescent="0.2">
      <c r="B12" s="17" t="s">
        <v>23</v>
      </c>
      <c r="C12" s="163">
        <f t="shared" si="4"/>
        <v>71.88117062859385</v>
      </c>
      <c r="D12" s="163">
        <f t="shared" si="0"/>
        <v>18.553615885434212</v>
      </c>
      <c r="E12" s="163">
        <f t="shared" si="1"/>
        <v>7.2153033834693403</v>
      </c>
      <c r="F12" s="395">
        <f t="shared" si="2"/>
        <v>2.3499101025026086</v>
      </c>
      <c r="G12" s="17" t="s">
        <v>23</v>
      </c>
      <c r="J12" s="17" t="s">
        <v>23</v>
      </c>
      <c r="K12" s="163">
        <f>road_ter!S12</f>
        <v>480.154</v>
      </c>
      <c r="L12" s="163">
        <f>rail_tkm!AJ12</f>
        <v>123.935</v>
      </c>
      <c r="M12" s="163">
        <f>iww!AJ11</f>
        <v>48.197000000000003</v>
      </c>
      <c r="N12" s="395">
        <f>pipeline!AJ11</f>
        <v>15.696999999999999</v>
      </c>
      <c r="O12" s="171">
        <f t="shared" si="3"/>
        <v>667.98299999999995</v>
      </c>
      <c r="P12" s="400"/>
    </row>
    <row r="13" spans="2:17" x14ac:dyDescent="0.2">
      <c r="B13" s="85" t="s">
        <v>8</v>
      </c>
      <c r="C13" s="155">
        <f t="shared" si="4"/>
        <v>59.886685552407926</v>
      </c>
      <c r="D13" s="155">
        <f t="shared" si="0"/>
        <v>40.113314447592067</v>
      </c>
      <c r="E13" s="155" t="s">
        <v>35</v>
      </c>
      <c r="F13" s="174" t="s">
        <v>35</v>
      </c>
      <c r="G13" s="85" t="s">
        <v>8</v>
      </c>
      <c r="J13" s="85" t="s">
        <v>8</v>
      </c>
      <c r="K13" s="155">
        <f>road_ter!S13</f>
        <v>3.1709999999999998</v>
      </c>
      <c r="L13" s="155">
        <f>rail_tkm!AJ13</f>
        <v>2.1240000000000001</v>
      </c>
      <c r="M13" s="155" t="str">
        <f>iww!AJ12</f>
        <v>-</v>
      </c>
      <c r="N13" s="174" t="str">
        <f>pipeline!AJ12</f>
        <v>-</v>
      </c>
      <c r="O13" s="315">
        <f t="shared" si="3"/>
        <v>5.2949999999999999</v>
      </c>
      <c r="P13" s="400"/>
    </row>
    <row r="14" spans="2:17" x14ac:dyDescent="0.2">
      <c r="B14" s="17" t="s">
        <v>26</v>
      </c>
      <c r="C14" s="163">
        <f t="shared" si="4"/>
        <v>99.358856933504299</v>
      </c>
      <c r="D14" s="163">
        <f t="shared" si="0"/>
        <v>0.64114306649569519</v>
      </c>
      <c r="E14" s="163" t="s">
        <v>35</v>
      </c>
      <c r="F14" s="395" t="s">
        <v>35</v>
      </c>
      <c r="G14" s="17" t="s">
        <v>26</v>
      </c>
      <c r="J14" s="17" t="s">
        <v>26</v>
      </c>
      <c r="K14" s="163">
        <f>road_ter!S14</f>
        <v>10.848000000000001</v>
      </c>
      <c r="L14" s="163">
        <f>rail_tkm!AJ14</f>
        <v>7.0000000000000007E-2</v>
      </c>
      <c r="M14" s="163" t="str">
        <f>iww!AJ13</f>
        <v>-</v>
      </c>
      <c r="N14" s="395" t="str">
        <f>pipeline!AJ13</f>
        <v>-</v>
      </c>
      <c r="O14" s="171">
        <f t="shared" si="3"/>
        <v>10.918000000000001</v>
      </c>
      <c r="P14" s="400"/>
    </row>
    <row r="15" spans="2:17" x14ac:dyDescent="0.2">
      <c r="B15" s="85" t="s">
        <v>19</v>
      </c>
      <c r="C15" s="155">
        <f t="shared" si="4"/>
        <v>97.003630611479153</v>
      </c>
      <c r="D15" s="155">
        <f t="shared" si="0"/>
        <v>2.8465298519284636</v>
      </c>
      <c r="E15" s="155" t="s">
        <v>35</v>
      </c>
      <c r="F15" s="174">
        <f t="shared" si="2"/>
        <v>0.149839536592382</v>
      </c>
      <c r="G15" s="85" t="s">
        <v>19</v>
      </c>
      <c r="J15" s="85" t="s">
        <v>19</v>
      </c>
      <c r="K15" s="155">
        <f>road_ter!S15</f>
        <v>19.696999999999999</v>
      </c>
      <c r="L15" s="155">
        <f>rail_tkm!AJ15</f>
        <v>0.57799999999999996</v>
      </c>
      <c r="M15" s="155" t="str">
        <f>iww!AJ14</f>
        <v>-</v>
      </c>
      <c r="N15" s="174">
        <f>pipeline!AJ14</f>
        <v>3.0425555555555556E-2</v>
      </c>
      <c r="O15" s="315">
        <f t="shared" si="3"/>
        <v>20.305425555555555</v>
      </c>
    </row>
    <row r="16" spans="2:17" x14ac:dyDescent="0.2">
      <c r="B16" s="17" t="s">
        <v>24</v>
      </c>
      <c r="C16" s="163">
        <f t="shared" si="4"/>
        <v>92.741961376077569</v>
      </c>
      <c r="D16" s="163">
        <f t="shared" si="0"/>
        <v>4.1332894546738794</v>
      </c>
      <c r="E16" s="163" t="s">
        <v>35</v>
      </c>
      <c r="F16" s="395">
        <f t="shared" si="2"/>
        <v>3.1247491692485512</v>
      </c>
      <c r="G16" s="17" t="s">
        <v>24</v>
      </c>
      <c r="J16" s="17" t="s">
        <v>24</v>
      </c>
      <c r="K16" s="163">
        <f>road_ter!S16</f>
        <v>231.08699999999999</v>
      </c>
      <c r="L16" s="163">
        <f>rail_tkm!AJ16</f>
        <v>10.298999999999999</v>
      </c>
      <c r="M16" s="163" t="str">
        <f>iww!AJ15</f>
        <v>-</v>
      </c>
      <c r="N16" s="395">
        <f>pipeline!AJ15</f>
        <v>7.7859999999999996</v>
      </c>
      <c r="O16" s="171">
        <f t="shared" si="3"/>
        <v>249.172</v>
      </c>
    </row>
    <row r="17" spans="2:19" x14ac:dyDescent="0.2">
      <c r="B17" s="85" t="s">
        <v>25</v>
      </c>
      <c r="C17" s="155">
        <f t="shared" si="4"/>
        <v>84.948849583512086</v>
      </c>
      <c r="D17" s="155">
        <f t="shared" si="0"/>
        <v>10.293715394648569</v>
      </c>
      <c r="E17" s="155">
        <f t="shared" si="1"/>
        <v>2.0748094636188523</v>
      </c>
      <c r="F17" s="174">
        <f t="shared" si="2"/>
        <v>2.6826255582204892</v>
      </c>
      <c r="G17" s="85" t="s">
        <v>25</v>
      </c>
      <c r="J17" s="85" t="s">
        <v>25</v>
      </c>
      <c r="K17" s="155">
        <f>road_ter!S17</f>
        <v>295.03500000000003</v>
      </c>
      <c r="L17" s="155">
        <f>rail_tkm!AJ17</f>
        <v>35.750999999999998</v>
      </c>
      <c r="M17" s="155">
        <f>iww!AJ16</f>
        <v>7.2060000000000004</v>
      </c>
      <c r="N17" s="174">
        <f>pipeline!AJ16</f>
        <v>9.3170000000000002</v>
      </c>
      <c r="O17" s="315">
        <f t="shared" si="3"/>
        <v>347.30900000000003</v>
      </c>
    </row>
    <row r="18" spans="2:19" x14ac:dyDescent="0.2">
      <c r="B18" s="17" t="s">
        <v>36</v>
      </c>
      <c r="C18" s="163">
        <f t="shared" si="4"/>
        <v>62.071266515414393</v>
      </c>
      <c r="D18" s="163">
        <f t="shared" si="0"/>
        <v>21.16642199386094</v>
      </c>
      <c r="E18" s="163">
        <f t="shared" si="1"/>
        <v>5.6119044441478714</v>
      </c>
      <c r="F18" s="395">
        <f t="shared" si="2"/>
        <v>11.150407046576806</v>
      </c>
      <c r="G18" s="17" t="s">
        <v>36</v>
      </c>
      <c r="J18" s="17" t="s">
        <v>36</v>
      </c>
      <c r="K18" s="163">
        <f>road_ter!S18</f>
        <v>9.3019999999999996</v>
      </c>
      <c r="L18" s="163">
        <f>rail_tkm!AJ18</f>
        <v>3.1720000000000002</v>
      </c>
      <c r="M18" s="163">
        <f>iww!AJ17</f>
        <v>0.84099999999999997</v>
      </c>
      <c r="N18" s="395">
        <f>pipeline!AJ17</f>
        <v>1.671</v>
      </c>
      <c r="O18" s="171">
        <f t="shared" si="3"/>
        <v>14.985999999999999</v>
      </c>
    </row>
    <row r="19" spans="2:19" x14ac:dyDescent="0.2">
      <c r="B19" s="188" t="s">
        <v>27</v>
      </c>
      <c r="C19" s="155">
        <f t="shared" si="4"/>
        <v>83.295295553548925</v>
      </c>
      <c r="D19" s="155">
        <f t="shared" si="0"/>
        <v>12.037468866904156</v>
      </c>
      <c r="E19" s="155">
        <f t="shared" si="1"/>
        <v>6.9460293519354635E-2</v>
      </c>
      <c r="F19" s="174">
        <f t="shared" si="2"/>
        <v>4.5977752860275656</v>
      </c>
      <c r="G19" s="188" t="s">
        <v>27</v>
      </c>
      <c r="J19" s="188" t="s">
        <v>27</v>
      </c>
      <c r="K19" s="155">
        <f>road_ter!S19</f>
        <v>167.88499999999999</v>
      </c>
      <c r="L19" s="155">
        <f>rail_tkm!AJ19</f>
        <v>24.262</v>
      </c>
      <c r="M19" s="155">
        <f>iww!AJ18</f>
        <v>0.14000000000000001</v>
      </c>
      <c r="N19" s="174">
        <f>pipeline!AJ18</f>
        <v>9.2669999999999995</v>
      </c>
      <c r="O19" s="385">
        <f t="shared" si="3"/>
        <v>201.55399999999997</v>
      </c>
    </row>
    <row r="20" spans="2:19" x14ac:dyDescent="0.2">
      <c r="B20" s="17" t="s">
        <v>6</v>
      </c>
      <c r="C20" s="163">
        <f t="shared" si="4"/>
        <v>100</v>
      </c>
      <c r="D20" s="163" t="s">
        <v>35</v>
      </c>
      <c r="E20" s="163" t="s">
        <v>35</v>
      </c>
      <c r="F20" s="395" t="s">
        <v>35</v>
      </c>
      <c r="G20" s="17" t="s">
        <v>6</v>
      </c>
      <c r="J20" s="17" t="s">
        <v>6</v>
      </c>
      <c r="K20" s="163">
        <f>road_ter!S20</f>
        <v>0.70299999999999996</v>
      </c>
      <c r="L20" s="163" t="str">
        <f>rail_tkm!AJ20</f>
        <v>-</v>
      </c>
      <c r="M20" s="163" t="str">
        <f>iww!AJ19</f>
        <v>-</v>
      </c>
      <c r="N20" s="395" t="str">
        <f>pipeline!AJ19</f>
        <v>-</v>
      </c>
      <c r="O20" s="171">
        <f t="shared" si="3"/>
        <v>0.70299999999999996</v>
      </c>
      <c r="R20" s="301"/>
    </row>
    <row r="21" spans="2:19" x14ac:dyDescent="0.2">
      <c r="B21" s="188" t="s">
        <v>10</v>
      </c>
      <c r="C21" s="155">
        <f t="shared" si="4"/>
        <v>45.882580063922433</v>
      </c>
      <c r="D21" s="155">
        <f t="shared" si="0"/>
        <v>52.675232558970954</v>
      </c>
      <c r="E21" s="155" t="s">
        <v>35</v>
      </c>
      <c r="F21" s="174">
        <f t="shared" si="2"/>
        <v>1.442187377106616</v>
      </c>
      <c r="G21" s="188" t="s">
        <v>10</v>
      </c>
      <c r="J21" s="188" t="s">
        <v>10</v>
      </c>
      <c r="K21" s="155">
        <f>road_ter!S21</f>
        <v>6.4169999999999998</v>
      </c>
      <c r="L21" s="155">
        <f>rail_tkm!AJ21</f>
        <v>7.367</v>
      </c>
      <c r="M21" s="155" t="str">
        <f>iww!AJ20</f>
        <v>-</v>
      </c>
      <c r="N21" s="174">
        <f>pipeline!AJ20</f>
        <v>0.20169999999999999</v>
      </c>
      <c r="O21" s="385">
        <f t="shared" si="3"/>
        <v>13.9857</v>
      </c>
    </row>
    <row r="22" spans="2:19" x14ac:dyDescent="0.2">
      <c r="B22" s="17" t="s">
        <v>11</v>
      </c>
      <c r="C22" s="163">
        <f t="shared" si="4"/>
        <v>37.247962568465809</v>
      </c>
      <c r="D22" s="163">
        <f t="shared" si="0"/>
        <v>62.183819228913819</v>
      </c>
      <c r="E22" s="163">
        <f t="shared" si="1"/>
        <v>1.2807322373111453E-2</v>
      </c>
      <c r="F22" s="395">
        <f t="shared" si="2"/>
        <v>0.5554108802472667</v>
      </c>
      <c r="G22" s="17" t="s">
        <v>11</v>
      </c>
      <c r="J22" s="17" t="s">
        <v>11</v>
      </c>
      <c r="K22" s="163">
        <f>road_ter!S22</f>
        <v>8.7249999999999996</v>
      </c>
      <c r="L22" s="163">
        <f>rail_tkm!AJ22</f>
        <v>14.566000000000001</v>
      </c>
      <c r="M22" s="163">
        <f>iww!AJ21</f>
        <v>3.0000000000000001E-3</v>
      </c>
      <c r="N22" s="395">
        <f>pipeline!AJ21</f>
        <v>0.13009999999999999</v>
      </c>
      <c r="O22" s="171">
        <f t="shared" si="3"/>
        <v>23.424099999999999</v>
      </c>
    </row>
    <row r="23" spans="2:19" x14ac:dyDescent="0.2">
      <c r="B23" s="188" t="s">
        <v>28</v>
      </c>
      <c r="C23" s="155">
        <f t="shared" si="4"/>
        <v>85.567388909291225</v>
      </c>
      <c r="D23" s="155">
        <f t="shared" si="0"/>
        <v>6.4634594197576192</v>
      </c>
      <c r="E23" s="155">
        <f t="shared" si="1"/>
        <v>7.9691516709511561</v>
      </c>
      <c r="F23" s="174" t="s">
        <v>35</v>
      </c>
      <c r="G23" s="188" t="s">
        <v>28</v>
      </c>
      <c r="J23" s="188" t="s">
        <v>28</v>
      </c>
      <c r="K23" s="155">
        <f>road_ter!S23</f>
        <v>2.33</v>
      </c>
      <c r="L23" s="155">
        <f>rail_tkm!AJ23</f>
        <v>0.17599999999999999</v>
      </c>
      <c r="M23" s="155">
        <f>iww!AJ22</f>
        <v>0.217</v>
      </c>
      <c r="N23" s="174" t="str">
        <f>pipeline!AJ22</f>
        <v>-</v>
      </c>
      <c r="O23" s="385">
        <f t="shared" si="3"/>
        <v>2.7230000000000003</v>
      </c>
    </row>
    <row r="24" spans="2:19" x14ac:dyDescent="0.2">
      <c r="B24" s="17" t="s">
        <v>9</v>
      </c>
      <c r="C24" s="163">
        <f t="shared" si="4"/>
        <v>65.762393565293806</v>
      </c>
      <c r="D24" s="163">
        <f t="shared" si="0"/>
        <v>25.102801580615917</v>
      </c>
      <c r="E24" s="163">
        <f t="shared" si="1"/>
        <v>4.1436104133686102</v>
      </c>
      <c r="F24" s="395">
        <f t="shared" si="2"/>
        <v>4.9911944407216602</v>
      </c>
      <c r="G24" s="17" t="s">
        <v>9</v>
      </c>
      <c r="J24" s="17" t="s">
        <v>9</v>
      </c>
      <c r="K24" s="163">
        <f>road_ter!S24</f>
        <v>29.725999999999999</v>
      </c>
      <c r="L24" s="163">
        <f>rail_tkm!AJ24</f>
        <v>11.347</v>
      </c>
      <c r="M24" s="163">
        <f>iww!AJ23</f>
        <v>1.873</v>
      </c>
      <c r="N24" s="395">
        <f>pipeline!AJ23</f>
        <v>2.2561260000000001</v>
      </c>
      <c r="O24" s="171">
        <f t="shared" si="3"/>
        <v>45.202126</v>
      </c>
    </row>
    <row r="25" spans="2:19" x14ac:dyDescent="0.2">
      <c r="B25" s="188" t="s">
        <v>12</v>
      </c>
      <c r="C25" s="155">
        <v>100</v>
      </c>
      <c r="D25" s="155" t="s">
        <v>35</v>
      </c>
      <c r="E25" s="155" t="s">
        <v>35</v>
      </c>
      <c r="F25" s="174" t="s">
        <v>35</v>
      </c>
      <c r="G25" s="188" t="s">
        <v>12</v>
      </c>
      <c r="H25" s="301"/>
      <c r="I25" s="302"/>
      <c r="J25" s="188" t="s">
        <v>12</v>
      </c>
      <c r="K25" s="155">
        <f>road_by_tot!AC25</f>
        <v>0.25</v>
      </c>
      <c r="L25" s="155" t="str">
        <f>rail_tkm!AJ25</f>
        <v>-</v>
      </c>
      <c r="M25" s="155" t="str">
        <f>iww!AJ24</f>
        <v>-</v>
      </c>
      <c r="N25" s="174" t="str">
        <f>pipeline!AJ24</f>
        <v>-</v>
      </c>
      <c r="O25" s="385">
        <f t="shared" si="3"/>
        <v>0.25</v>
      </c>
    </row>
    <row r="26" spans="2:19" x14ac:dyDescent="0.2">
      <c r="B26" s="17" t="s">
        <v>20</v>
      </c>
      <c r="C26" s="163">
        <f t="shared" si="4"/>
        <v>49.034189037374873</v>
      </c>
      <c r="D26" s="163">
        <f t="shared" si="0"/>
        <v>6.0262579855463709</v>
      </c>
      <c r="E26" s="163">
        <f t="shared" si="1"/>
        <v>39.734066634249402</v>
      </c>
      <c r="F26" s="395">
        <f t="shared" si="2"/>
        <v>5.2054863428293565</v>
      </c>
      <c r="G26" s="17" t="s">
        <v>20</v>
      </c>
      <c r="H26" s="301"/>
      <c r="J26" s="17" t="s">
        <v>20</v>
      </c>
      <c r="K26" s="163">
        <f>road_ter!S26</f>
        <v>58.487000000000002</v>
      </c>
      <c r="L26" s="163">
        <f>rail_tkm!AJ26</f>
        <v>7.1879999999999997</v>
      </c>
      <c r="M26" s="163">
        <f>iww!AJ25</f>
        <v>47.393999999999998</v>
      </c>
      <c r="N26" s="395">
        <f>pipeline!AJ25</f>
        <v>6.2089999999999996</v>
      </c>
      <c r="O26" s="171">
        <f t="shared" si="3"/>
        <v>119.27799999999999</v>
      </c>
      <c r="S26" s="1"/>
    </row>
    <row r="27" spans="2:19" x14ac:dyDescent="0.2">
      <c r="B27" s="188" t="s">
        <v>29</v>
      </c>
      <c r="C27" s="155">
        <f t="shared" si="4"/>
        <v>61.653195360754566</v>
      </c>
      <c r="D27" s="155">
        <f t="shared" si="0"/>
        <v>26.957877928925971</v>
      </c>
      <c r="E27" s="155">
        <f t="shared" si="1"/>
        <v>1.8641151641931455</v>
      </c>
      <c r="F27" s="174">
        <f t="shared" si="2"/>
        <v>9.5248115461263314</v>
      </c>
      <c r="G27" s="188" t="s">
        <v>29</v>
      </c>
      <c r="J27" s="188" t="s">
        <v>29</v>
      </c>
      <c r="K27" s="155">
        <f>road_ter!S27</f>
        <v>49.808999999999997</v>
      </c>
      <c r="L27" s="155">
        <f>rail_tkm!AJ27</f>
        <v>21.779</v>
      </c>
      <c r="M27" s="155">
        <f>iww!AJ26</f>
        <v>1.506</v>
      </c>
      <c r="N27" s="174">
        <f>pipeline!AJ26</f>
        <v>7.6950000000000003</v>
      </c>
      <c r="O27" s="385">
        <f t="shared" si="3"/>
        <v>80.788999999999987</v>
      </c>
    </row>
    <row r="28" spans="2:19" x14ac:dyDescent="0.2">
      <c r="B28" s="17" t="s">
        <v>13</v>
      </c>
      <c r="C28" s="163">
        <f t="shared" si="4"/>
        <v>72.528404856628555</v>
      </c>
      <c r="D28" s="163">
        <f t="shared" si="0"/>
        <v>20.785132020958255</v>
      </c>
      <c r="E28" s="163">
        <f t="shared" si="1"/>
        <v>2.0637231859299939E-2</v>
      </c>
      <c r="F28" s="395">
        <f t="shared" si="2"/>
        <v>6.6658258905538794</v>
      </c>
      <c r="G28" s="17" t="s">
        <v>13</v>
      </c>
      <c r="H28" s="301"/>
      <c r="I28" s="302"/>
      <c r="J28" s="17" t="s">
        <v>13</v>
      </c>
      <c r="K28" s="163">
        <f>road_ter!S28</f>
        <v>189.78</v>
      </c>
      <c r="L28" s="163">
        <f>rail_tkm!AJ28</f>
        <v>54.387</v>
      </c>
      <c r="M28" s="163">
        <f>iww!AJ27</f>
        <v>5.3999999999999999E-2</v>
      </c>
      <c r="N28" s="395">
        <f>pipeline!AJ27</f>
        <v>17.442</v>
      </c>
      <c r="O28" s="171">
        <f t="shared" si="3"/>
        <v>261.66300000000001</v>
      </c>
    </row>
    <row r="29" spans="2:19" x14ac:dyDescent="0.2">
      <c r="B29" s="188" t="s">
        <v>30</v>
      </c>
      <c r="C29" s="155">
        <f t="shared" si="4"/>
        <v>87.585641069354622</v>
      </c>
      <c r="D29" s="155">
        <f t="shared" si="0"/>
        <v>10.54863560324344</v>
      </c>
      <c r="E29" s="155" t="s">
        <v>35</v>
      </c>
      <c r="F29" s="174">
        <f t="shared" si="2"/>
        <v>1.8657233274019458</v>
      </c>
      <c r="G29" s="188" t="s">
        <v>30</v>
      </c>
      <c r="J29" s="188" t="s">
        <v>30</v>
      </c>
      <c r="K29" s="155">
        <f>road_ter!S29</f>
        <v>15.618</v>
      </c>
      <c r="L29" s="155">
        <f>rail_tkm!AJ29</f>
        <v>1.881</v>
      </c>
      <c r="M29" s="155" t="str">
        <f>iww!AJ28</f>
        <v>-</v>
      </c>
      <c r="N29" s="174">
        <f>pipeline!AJ28</f>
        <v>0.33268999999999999</v>
      </c>
      <c r="O29" s="385">
        <f t="shared" si="3"/>
        <v>17.831689999999998</v>
      </c>
    </row>
    <row r="30" spans="2:19" x14ac:dyDescent="0.2">
      <c r="B30" s="17" t="s">
        <v>14</v>
      </c>
      <c r="C30" s="163">
        <f t="shared" si="4"/>
        <v>48.687845303867398</v>
      </c>
      <c r="D30" s="163">
        <f t="shared" si="0"/>
        <v>24.761922070369295</v>
      </c>
      <c r="E30" s="163">
        <f t="shared" si="1"/>
        <v>24.57473102646118</v>
      </c>
      <c r="F30" s="395">
        <f t="shared" si="2"/>
        <v>1.9755015993021225</v>
      </c>
      <c r="G30" s="17" t="s">
        <v>14</v>
      </c>
      <c r="J30" s="17" t="s">
        <v>14</v>
      </c>
      <c r="K30" s="163">
        <f>road_ter!S30</f>
        <v>26.79</v>
      </c>
      <c r="L30" s="163">
        <f>rail_tkm!AJ30</f>
        <v>13.625</v>
      </c>
      <c r="M30" s="163">
        <f>iww!AJ29</f>
        <v>13.522</v>
      </c>
      <c r="N30" s="395">
        <f>pipeline!AJ29</f>
        <v>1.087</v>
      </c>
      <c r="O30" s="171">
        <f t="shared" si="3"/>
        <v>55.024000000000001</v>
      </c>
    </row>
    <row r="31" spans="2:19" x14ac:dyDescent="0.2">
      <c r="B31" s="188" t="s">
        <v>16</v>
      </c>
      <c r="C31" s="155">
        <f t="shared" si="4"/>
        <v>66.449201495073069</v>
      </c>
      <c r="D31" s="155">
        <f t="shared" si="0"/>
        <v>33.550798504926945</v>
      </c>
      <c r="E31" s="155" t="s">
        <v>35</v>
      </c>
      <c r="F31" s="174" t="s">
        <v>35</v>
      </c>
      <c r="G31" s="188" t="s">
        <v>16</v>
      </c>
      <c r="J31" s="188" t="s">
        <v>16</v>
      </c>
      <c r="K31" s="155">
        <f>road_ter!S31</f>
        <v>9.7780000000000005</v>
      </c>
      <c r="L31" s="155">
        <f>rail_tkm!AJ31</f>
        <v>4.9370000000000003</v>
      </c>
      <c r="M31" s="155" t="str">
        <f>iww!AJ30</f>
        <v>-</v>
      </c>
      <c r="N31" s="174" t="str">
        <f>pipeline!AJ30</f>
        <v>-</v>
      </c>
      <c r="O31" s="385">
        <f t="shared" si="3"/>
        <v>14.715</v>
      </c>
    </row>
    <row r="32" spans="2:19" x14ac:dyDescent="0.2">
      <c r="B32" s="17" t="s">
        <v>15</v>
      </c>
      <c r="C32" s="163">
        <f t="shared" si="4"/>
        <v>54.828107070535367</v>
      </c>
      <c r="D32" s="163">
        <f t="shared" si="0"/>
        <v>27.199842322835099</v>
      </c>
      <c r="E32" s="163">
        <f t="shared" si="1"/>
        <v>2.7864063136579542</v>
      </c>
      <c r="F32" s="395">
        <f t="shared" si="2"/>
        <v>15.185644292971595</v>
      </c>
      <c r="G32" s="17" t="s">
        <v>15</v>
      </c>
      <c r="J32" s="17" t="s">
        <v>15</v>
      </c>
      <c r="K32" s="163">
        <f>road_ter!S32</f>
        <v>16.509</v>
      </c>
      <c r="L32" s="163">
        <f>rail_tkm!AJ32</f>
        <v>8.19</v>
      </c>
      <c r="M32" s="163">
        <f>iww!AJ31</f>
        <v>0.83899999999999997</v>
      </c>
      <c r="N32" s="395">
        <f>pipeline!AJ31</f>
        <v>4.5724686666666665</v>
      </c>
      <c r="O32" s="171">
        <f t="shared" si="3"/>
        <v>30.110468666666662</v>
      </c>
    </row>
    <row r="33" spans="2:21" x14ac:dyDescent="0.2">
      <c r="B33" s="188" t="s">
        <v>31</v>
      </c>
      <c r="C33" s="155">
        <f t="shared" si="4"/>
        <v>72.705870567020639</v>
      </c>
      <c r="D33" s="155">
        <f t="shared" si="0"/>
        <v>26.923462232017631</v>
      </c>
      <c r="E33" s="155">
        <f t="shared" si="1"/>
        <v>0.37066720096173106</v>
      </c>
      <c r="F33" s="174" t="s">
        <v>35</v>
      </c>
      <c r="G33" s="188" t="s">
        <v>31</v>
      </c>
      <c r="J33" s="188" t="s">
        <v>31</v>
      </c>
      <c r="K33" s="155">
        <f>road_ter!S33</f>
        <v>29.03</v>
      </c>
      <c r="L33" s="155">
        <f>rail_tkm!AJ33</f>
        <v>10.75</v>
      </c>
      <c r="M33" s="155">
        <f>iww!AJ32</f>
        <v>0.14799999999999999</v>
      </c>
      <c r="N33" s="174" t="str">
        <f>pipeline!AJ32</f>
        <v>-</v>
      </c>
      <c r="O33" s="385">
        <f t="shared" si="3"/>
        <v>39.928000000000004</v>
      </c>
    </row>
    <row r="34" spans="2:21" x14ac:dyDescent="0.2">
      <c r="B34" s="18" t="s">
        <v>32</v>
      </c>
      <c r="C34" s="403">
        <f t="shared" si="4"/>
        <v>70.97706805767433</v>
      </c>
      <c r="D34" s="404">
        <f t="shared" si="0"/>
        <v>28.848235815166586</v>
      </c>
      <c r="E34" s="404">
        <f t="shared" si="1"/>
        <v>0.17469612715909649</v>
      </c>
      <c r="F34" s="405" t="s">
        <v>35</v>
      </c>
      <c r="G34" s="17" t="s">
        <v>32</v>
      </c>
      <c r="J34" s="18" t="s">
        <v>32</v>
      </c>
      <c r="K34" s="403">
        <f>road_ter!S34</f>
        <v>57.692999999999998</v>
      </c>
      <c r="L34" s="404">
        <f>rail_tkm!AJ34</f>
        <v>23.449000000000002</v>
      </c>
      <c r="M34" s="404">
        <f>iww!AJ33</f>
        <v>0.14199999999999999</v>
      </c>
      <c r="N34" s="405" t="str">
        <f>pipeline!AJ33</f>
        <v>-</v>
      </c>
      <c r="O34" s="171">
        <f t="shared" si="3"/>
        <v>81.283999999999992</v>
      </c>
    </row>
    <row r="35" spans="2:21" x14ac:dyDescent="0.2">
      <c r="B35" s="202" t="s">
        <v>3</v>
      </c>
      <c r="C35" s="155">
        <v>100</v>
      </c>
      <c r="D35" s="155" t="str">
        <f>rail_tkm!AB35</f>
        <v>-</v>
      </c>
      <c r="E35" s="155" t="str">
        <f>iww!AB34</f>
        <v>-</v>
      </c>
      <c r="F35" s="174" t="str">
        <f>pipeline!AB34</f>
        <v>-</v>
      </c>
      <c r="G35" s="202" t="s">
        <v>3</v>
      </c>
      <c r="J35" s="202" t="s">
        <v>3</v>
      </c>
      <c r="K35" s="155">
        <f>road_by_tot!AC35</f>
        <v>1.0906666666666667</v>
      </c>
      <c r="L35" s="155" t="str">
        <f>rail_tkm!AJ35</f>
        <v>-</v>
      </c>
      <c r="M35" s="155" t="str">
        <f>iww!AJ34</f>
        <v>-</v>
      </c>
      <c r="N35" s="174" t="str">
        <f>pipeline!AJ34</f>
        <v>-</v>
      </c>
      <c r="O35" s="316">
        <f>SUM(K35:N35)</f>
        <v>1.0906666666666667</v>
      </c>
    </row>
    <row r="36" spans="2:21" x14ac:dyDescent="0.2">
      <c r="B36" s="17" t="s">
        <v>33</v>
      </c>
      <c r="C36" s="163">
        <f>K36/O36*100</f>
        <v>62.468487935380978</v>
      </c>
      <c r="D36" s="163">
        <f>L36/O36*100</f>
        <v>11.074239851828986</v>
      </c>
      <c r="E36" s="163" t="s">
        <v>35</v>
      </c>
      <c r="F36" s="395">
        <f>N36/O36*100</f>
        <v>26.457272212790045</v>
      </c>
      <c r="G36" s="17" t="s">
        <v>33</v>
      </c>
      <c r="J36" s="17" t="s">
        <v>33</v>
      </c>
      <c r="K36" s="163">
        <f>road_ter!S36</f>
        <v>24.283999999999999</v>
      </c>
      <c r="L36" s="163">
        <f>rail_tkm!AJ36</f>
        <v>4.3049999999999997</v>
      </c>
      <c r="M36" s="163" t="str">
        <f>iww!AJ35</f>
        <v>-</v>
      </c>
      <c r="N36" s="395">
        <f>pipeline!AJ35</f>
        <v>10.285</v>
      </c>
      <c r="O36" s="171">
        <f t="shared" ref="O36:O37" si="5">SUM(K36:N36)</f>
        <v>38.873999999999995</v>
      </c>
    </row>
    <row r="37" spans="2:21" x14ac:dyDescent="0.2">
      <c r="B37" s="208" t="s">
        <v>4</v>
      </c>
      <c r="C37" s="407">
        <f>K37/O37*100</f>
        <v>66.1544320293646</v>
      </c>
      <c r="D37" s="408">
        <f>L37/O37*100</f>
        <v>33.493693362911124</v>
      </c>
      <c r="E37" s="408">
        <f>M37/O37*100</f>
        <v>0.11229566493046222</v>
      </c>
      <c r="F37" s="298">
        <f>N37/O37*100</f>
        <v>0.23957894279384154</v>
      </c>
      <c r="G37" s="208" t="s">
        <v>4</v>
      </c>
      <c r="J37" s="208" t="s">
        <v>4</v>
      </c>
      <c r="K37" s="407">
        <f>road_ter!S37</f>
        <v>23.747</v>
      </c>
      <c r="L37" s="408">
        <f>rail_tkm!AJ37</f>
        <v>12.023</v>
      </c>
      <c r="M37" s="408">
        <f>iww!AJ36</f>
        <v>4.0309999999999999E-2</v>
      </c>
      <c r="N37" s="298">
        <f>pipeline!AJ36</f>
        <v>8.5999999999999993E-2</v>
      </c>
      <c r="O37" s="317">
        <f t="shared" si="5"/>
        <v>35.896309999999993</v>
      </c>
    </row>
    <row r="38" spans="2:21" x14ac:dyDescent="0.2">
      <c r="B38" s="259" t="s">
        <v>104</v>
      </c>
    </row>
    <row r="39" spans="2:21" x14ac:dyDescent="0.2">
      <c r="B39" s="126" t="s">
        <v>137</v>
      </c>
    </row>
    <row r="40" spans="2:21" x14ac:dyDescent="0.2">
      <c r="B40" s="559" t="s">
        <v>156</v>
      </c>
      <c r="C40" s="559"/>
      <c r="D40" s="559"/>
      <c r="E40" s="559"/>
      <c r="F40" s="559"/>
      <c r="G40" s="559"/>
      <c r="H40" s="559"/>
      <c r="I40" s="559"/>
      <c r="J40" s="559"/>
      <c r="K40" s="559"/>
      <c r="L40" s="559"/>
      <c r="M40" s="559"/>
      <c r="N40" s="559"/>
      <c r="O40" s="559"/>
      <c r="P40" s="559"/>
      <c r="Q40" s="559"/>
      <c r="R40" s="559"/>
      <c r="S40" s="559"/>
      <c r="T40" s="559"/>
      <c r="U40" s="559"/>
    </row>
    <row r="41" spans="2:21" x14ac:dyDescent="0.2">
      <c r="M41" s="294"/>
      <c r="Q41" s="294"/>
    </row>
    <row r="42" spans="2:21" x14ac:dyDescent="0.2">
      <c r="E42" s="337"/>
      <c r="I42" s="294"/>
    </row>
    <row r="51" spans="19:19" x14ac:dyDescent="0.2">
      <c r="S51" s="294"/>
    </row>
  </sheetData>
  <mergeCells count="5">
    <mergeCell ref="B2:G3"/>
    <mergeCell ref="B4:G4"/>
    <mergeCell ref="B5:G5"/>
    <mergeCell ref="K4:N4"/>
    <mergeCell ref="B40:U40"/>
  </mergeCells>
  <phoneticPr fontId="5" type="noConversion"/>
  <printOptions horizontalCentered="1"/>
  <pageMargins left="0.6692913385826772" right="0.27559055118110237" top="0.51181102362204722" bottom="0.27559055118110237" header="0"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4">
    <pageSetUpPr fitToPage="1"/>
  </sheetPr>
  <dimension ref="A1:AF85"/>
  <sheetViews>
    <sheetView zoomScaleNormal="100" workbookViewId="0">
      <selection activeCell="A41" sqref="A41"/>
    </sheetView>
  </sheetViews>
  <sheetFormatPr defaultRowHeight="12.75" x14ac:dyDescent="0.2"/>
  <cols>
    <col min="1" max="1" width="3.7109375" customWidth="1"/>
    <col min="2" max="2" width="5.5703125" customWidth="1"/>
    <col min="3" max="3" width="7.7109375" customWidth="1"/>
    <col min="4" max="7" width="6.7109375" customWidth="1"/>
    <col min="8" max="13" width="7.7109375" customWidth="1"/>
    <col min="14" max="28" width="8.28515625" customWidth="1"/>
    <col min="29" max="29" width="7.140625" customWidth="1"/>
    <col min="30" max="30" width="6.42578125" customWidth="1"/>
    <col min="31" max="31" width="7.140625" style="325" customWidth="1"/>
    <col min="32" max="32" width="6" customWidth="1"/>
  </cols>
  <sheetData>
    <row r="1" spans="1:32" ht="14.25" customHeight="1" x14ac:dyDescent="0.2">
      <c r="B1" s="36"/>
      <c r="C1" s="37"/>
      <c r="D1" s="37"/>
      <c r="E1" s="37"/>
      <c r="F1" s="37"/>
      <c r="G1" s="37"/>
      <c r="H1" s="37"/>
      <c r="I1" s="37"/>
      <c r="J1" s="37"/>
      <c r="AD1" s="38" t="s">
        <v>78</v>
      </c>
    </row>
    <row r="2" spans="1:32" s="77" customFormat="1" ht="33" customHeight="1" x14ac:dyDescent="0.2">
      <c r="B2" s="544" t="s">
        <v>135</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3" t="s">
        <v>90</v>
      </c>
      <c r="AF2" s="131"/>
    </row>
    <row r="3" spans="1:32" ht="27.75" customHeight="1" x14ac:dyDescent="0.2">
      <c r="B3" s="571" t="s">
        <v>127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4"/>
      <c r="AF3" s="132"/>
    </row>
    <row r="4" spans="1:32" ht="10.5" customHeight="1" x14ac:dyDescent="0.2">
      <c r="B4" s="4"/>
      <c r="D4" s="52"/>
      <c r="E4" s="52"/>
      <c r="F4" s="52"/>
      <c r="G4" s="52"/>
      <c r="H4" s="52"/>
      <c r="Q4" s="173"/>
      <c r="R4" s="21"/>
      <c r="S4" s="21"/>
      <c r="T4" s="21"/>
      <c r="U4" s="21"/>
      <c r="V4" s="21"/>
      <c r="W4" s="21"/>
      <c r="Y4" s="22"/>
      <c r="Z4" s="444"/>
      <c r="AA4" s="444"/>
      <c r="AB4" s="578" t="s">
        <v>95</v>
      </c>
      <c r="AC4" s="578"/>
      <c r="AD4" s="302"/>
      <c r="AE4" s="574"/>
      <c r="AF4" s="6"/>
    </row>
    <row r="5" spans="1:32" ht="20.100000000000001" customHeight="1" x14ac:dyDescent="0.2">
      <c r="B5" s="4"/>
      <c r="C5" s="81">
        <v>1995</v>
      </c>
      <c r="D5" s="82">
        <v>1996</v>
      </c>
      <c r="E5" s="82">
        <v>1997</v>
      </c>
      <c r="F5" s="82">
        <v>1998</v>
      </c>
      <c r="G5" s="82">
        <v>1999</v>
      </c>
      <c r="H5" s="82">
        <v>2000</v>
      </c>
      <c r="I5" s="82">
        <v>2001</v>
      </c>
      <c r="J5" s="82">
        <v>2002</v>
      </c>
      <c r="K5" s="82">
        <v>2003</v>
      </c>
      <c r="L5" s="82">
        <v>2004</v>
      </c>
      <c r="M5" s="82">
        <v>2005</v>
      </c>
      <c r="N5" s="82">
        <v>2006</v>
      </c>
      <c r="O5" s="82">
        <v>2007</v>
      </c>
      <c r="P5" s="82">
        <v>2008</v>
      </c>
      <c r="Q5" s="82">
        <v>2009</v>
      </c>
      <c r="R5" s="82">
        <v>2010</v>
      </c>
      <c r="S5" s="82">
        <v>2011</v>
      </c>
      <c r="T5" s="82">
        <v>2012</v>
      </c>
      <c r="U5" s="82">
        <v>2013</v>
      </c>
      <c r="V5" s="82">
        <v>2014</v>
      </c>
      <c r="W5" s="82">
        <v>2015</v>
      </c>
      <c r="X5" s="82">
        <v>2016</v>
      </c>
      <c r="Y5" s="293">
        <v>2017</v>
      </c>
      <c r="Z5" s="293">
        <v>2018</v>
      </c>
      <c r="AA5" s="293">
        <v>2019</v>
      </c>
      <c r="AB5" s="293">
        <v>2020</v>
      </c>
      <c r="AC5" s="135">
        <v>2021</v>
      </c>
      <c r="AD5" s="314"/>
      <c r="AE5" s="575"/>
      <c r="AF5" s="96" t="s">
        <v>148</v>
      </c>
    </row>
    <row r="6" spans="1:32" ht="9.75" customHeight="1" x14ac:dyDescent="0.2">
      <c r="B6" s="4"/>
      <c r="C6" s="83"/>
      <c r="D6" s="79"/>
      <c r="E6" s="79"/>
      <c r="F6" s="79"/>
      <c r="G6" s="79"/>
      <c r="H6" s="79"/>
      <c r="I6" s="79"/>
      <c r="J6" s="79"/>
      <c r="K6" s="79"/>
      <c r="L6" s="79"/>
      <c r="M6" s="79"/>
      <c r="N6" s="79"/>
      <c r="O6" s="79"/>
      <c r="P6" s="79"/>
      <c r="Q6" s="79"/>
      <c r="R6" s="79"/>
      <c r="S6" s="79"/>
      <c r="T6" s="79"/>
      <c r="U6" s="80"/>
      <c r="V6" s="79"/>
      <c r="W6" s="79"/>
      <c r="X6" s="79"/>
      <c r="Y6" s="80"/>
      <c r="Z6" s="79"/>
      <c r="AA6" s="79"/>
      <c r="AB6" s="79"/>
      <c r="AC6" s="79"/>
      <c r="AD6" s="314"/>
      <c r="AE6" s="135" t="s">
        <v>147</v>
      </c>
      <c r="AF6" s="97" t="s">
        <v>63</v>
      </c>
    </row>
    <row r="7" spans="1:32" ht="9.75" customHeight="1" x14ac:dyDescent="0.2">
      <c r="B7" s="270" t="s">
        <v>111</v>
      </c>
      <c r="C7" s="271"/>
      <c r="D7" s="272"/>
      <c r="E7" s="272"/>
      <c r="F7" s="272"/>
      <c r="G7" s="272"/>
      <c r="H7" s="272">
        <f>SUM(H8:H34)</f>
        <v>936.07299999999998</v>
      </c>
      <c r="I7" s="272">
        <f t="shared" ref="I7:V7" si="0">SUM(I8:I34)</f>
        <v>953.8069999999999</v>
      </c>
      <c r="J7" s="272">
        <f t="shared" si="0"/>
        <v>978.56900000000019</v>
      </c>
      <c r="K7" s="272">
        <f t="shared" si="0"/>
        <v>973.49199999999973</v>
      </c>
      <c r="L7" s="272">
        <f t="shared" si="0"/>
        <v>1048.453</v>
      </c>
      <c r="M7" s="272">
        <f t="shared" si="0"/>
        <v>1074.6080000000002</v>
      </c>
      <c r="N7" s="272">
        <f t="shared" si="0"/>
        <v>1097.1959999999997</v>
      </c>
      <c r="O7" s="272">
        <f t="shared" si="0"/>
        <v>1137.0639999999999</v>
      </c>
      <c r="P7" s="272">
        <f t="shared" si="0"/>
        <v>1124.6369999999999</v>
      </c>
      <c r="Q7" s="272">
        <f t="shared" si="0"/>
        <v>1027.075</v>
      </c>
      <c r="R7" s="272">
        <f t="shared" si="0"/>
        <v>1035.4199999999998</v>
      </c>
      <c r="S7" s="272">
        <f t="shared" si="0"/>
        <v>1025.319</v>
      </c>
      <c r="T7" s="272">
        <f t="shared" si="0"/>
        <v>968.17500000000007</v>
      </c>
      <c r="U7" s="272">
        <f t="shared" si="0"/>
        <v>974.07</v>
      </c>
      <c r="V7" s="272">
        <f t="shared" si="0"/>
        <v>978.16400000000021</v>
      </c>
      <c r="W7" s="272">
        <f>SUM(W8:W34)</f>
        <v>1002.5509999999999</v>
      </c>
      <c r="X7" s="272">
        <f t="shared" ref="X7:AC7" si="1">SUM(X8:X34)</f>
        <v>1028.7930000000001</v>
      </c>
      <c r="Y7" s="272">
        <f t="shared" si="1"/>
        <v>1071.29</v>
      </c>
      <c r="Z7" s="272">
        <f t="shared" si="1"/>
        <v>1088.595</v>
      </c>
      <c r="AA7" s="272">
        <f t="shared" si="1"/>
        <v>1117.82</v>
      </c>
      <c r="AB7" s="272">
        <f t="shared" si="1"/>
        <v>1108.2590000000002</v>
      </c>
      <c r="AC7" s="272">
        <f t="shared" si="1"/>
        <v>1178.271</v>
      </c>
      <c r="AD7" s="274" t="s">
        <v>111</v>
      </c>
      <c r="AE7" s="326">
        <f>AC7/road_by_tot!AC7*100</f>
        <v>61.322640597180531</v>
      </c>
      <c r="AF7" s="326">
        <f>AC7/AB7*100-100</f>
        <v>6.3172958667603467</v>
      </c>
    </row>
    <row r="8" spans="1:32" ht="12.75" customHeight="1" x14ac:dyDescent="0.2">
      <c r="A8" s="15"/>
      <c r="B8" s="17" t="s">
        <v>22</v>
      </c>
      <c r="C8" s="156">
        <v>18.616</v>
      </c>
      <c r="D8" s="157">
        <v>16.614999999999998</v>
      </c>
      <c r="E8" s="157">
        <v>18.425999999999998</v>
      </c>
      <c r="F8" s="157">
        <v>16.693000000000001</v>
      </c>
      <c r="G8" s="157">
        <v>15.757999999999999</v>
      </c>
      <c r="H8" s="157">
        <v>19.754000000000001</v>
      </c>
      <c r="I8" s="157">
        <v>20.565000000000001</v>
      </c>
      <c r="J8" s="157">
        <v>20.391999999999999</v>
      </c>
      <c r="K8" s="157">
        <v>19.584</v>
      </c>
      <c r="L8" s="157">
        <v>19.416</v>
      </c>
      <c r="M8" s="157">
        <v>19.283000000000001</v>
      </c>
      <c r="N8" s="157">
        <v>19.614999999999998</v>
      </c>
      <c r="O8" s="157">
        <v>19.649999999999999</v>
      </c>
      <c r="P8" s="157">
        <v>18.207000000000001</v>
      </c>
      <c r="Q8" s="157">
        <v>17.603000000000002</v>
      </c>
      <c r="R8" s="157">
        <v>17.754999999999999</v>
      </c>
      <c r="S8" s="157">
        <v>17.75</v>
      </c>
      <c r="T8" s="157">
        <v>18.186</v>
      </c>
      <c r="U8" s="157">
        <v>18.98</v>
      </c>
      <c r="V8" s="372">
        <v>19.167000000000002</v>
      </c>
      <c r="W8" s="157">
        <v>21.277000000000001</v>
      </c>
      <c r="X8" s="157">
        <v>21.428000000000001</v>
      </c>
      <c r="Y8" s="157">
        <v>20.632000000000001</v>
      </c>
      <c r="Z8" s="144">
        <v>20.591999999999999</v>
      </c>
      <c r="AA8" s="144">
        <v>21.727</v>
      </c>
      <c r="AB8" s="144">
        <v>21.536999999999999</v>
      </c>
      <c r="AC8" s="144">
        <v>23.257000000000001</v>
      </c>
      <c r="AD8" s="171" t="s">
        <v>22</v>
      </c>
      <c r="AE8" s="171">
        <f>AC8/road_by_tot!AC8*100</f>
        <v>64.290255701451287</v>
      </c>
      <c r="AF8" s="171">
        <f t="shared" ref="AF8:AF44" si="2">AC8/AB8*100-100</f>
        <v>7.9862562102428427</v>
      </c>
    </row>
    <row r="9" spans="1:32" ht="12.75" customHeight="1" x14ac:dyDescent="0.2">
      <c r="A9" s="15"/>
      <c r="B9" s="85" t="s">
        <v>5</v>
      </c>
      <c r="C9" s="146"/>
      <c r="D9" s="147"/>
      <c r="E9" s="147"/>
      <c r="F9" s="147"/>
      <c r="G9" s="147"/>
      <c r="H9" s="147">
        <v>3.0609999999999999</v>
      </c>
      <c r="I9" s="147">
        <v>3.31</v>
      </c>
      <c r="J9" s="147">
        <v>3.931</v>
      </c>
      <c r="K9" s="147">
        <v>4.5860000000000003</v>
      </c>
      <c r="L9" s="147">
        <v>4.6120000000000001</v>
      </c>
      <c r="M9" s="147">
        <v>5.0449999999999999</v>
      </c>
      <c r="N9" s="147">
        <v>5.806</v>
      </c>
      <c r="O9" s="147">
        <v>5.89</v>
      </c>
      <c r="P9" s="147">
        <v>7.1219999999999999</v>
      </c>
      <c r="Q9" s="147">
        <v>6.306</v>
      </c>
      <c r="R9" s="147">
        <v>6.12</v>
      </c>
      <c r="S9" s="147">
        <v>6.5179999999999998</v>
      </c>
      <c r="T9" s="147">
        <v>6.2859999999999996</v>
      </c>
      <c r="U9" s="147">
        <v>7.1920000000000002</v>
      </c>
      <c r="V9" s="147">
        <v>6.8259999999999996</v>
      </c>
      <c r="W9" s="147">
        <v>7.1719999999999997</v>
      </c>
      <c r="X9" s="147">
        <v>7.3239999999999998</v>
      </c>
      <c r="Y9" s="147">
        <v>8.3279999999999994</v>
      </c>
      <c r="Z9" s="147">
        <v>7.734</v>
      </c>
      <c r="AA9" s="147">
        <v>5.7190000000000003</v>
      </c>
      <c r="AB9" s="147">
        <v>7.41</v>
      </c>
      <c r="AC9" s="147">
        <v>9.0289999999999999</v>
      </c>
      <c r="AD9" s="315" t="s">
        <v>5</v>
      </c>
      <c r="AE9" s="315">
        <f>AC9/road_by_tot!AC9*100</f>
        <v>25.701679476231138</v>
      </c>
      <c r="AF9" s="315">
        <f t="shared" si="2"/>
        <v>21.848852901484477</v>
      </c>
    </row>
    <row r="10" spans="1:32" ht="12.75" customHeight="1" x14ac:dyDescent="0.2">
      <c r="A10" s="15"/>
      <c r="B10" s="17" t="s">
        <v>7</v>
      </c>
      <c r="C10" s="111" t="s">
        <v>34</v>
      </c>
      <c r="D10" s="55" t="s">
        <v>34</v>
      </c>
      <c r="E10" s="55" t="s">
        <v>34</v>
      </c>
      <c r="F10" s="55" t="s">
        <v>34</v>
      </c>
      <c r="G10" s="55"/>
      <c r="H10" s="55">
        <v>14.214</v>
      </c>
      <c r="I10" s="55">
        <v>15.007</v>
      </c>
      <c r="J10" s="55">
        <v>16.318000000000001</v>
      </c>
      <c r="K10" s="55">
        <v>17.361999999999998</v>
      </c>
      <c r="L10" s="55">
        <v>16.045999999999999</v>
      </c>
      <c r="M10" s="55">
        <v>15.518000000000001</v>
      </c>
      <c r="N10" s="55">
        <v>16.082000000000001</v>
      </c>
      <c r="O10" s="55">
        <v>15.831</v>
      </c>
      <c r="P10" s="55">
        <v>15.747999999999999</v>
      </c>
      <c r="Q10" s="55">
        <v>13.48</v>
      </c>
      <c r="R10" s="55">
        <v>14.762</v>
      </c>
      <c r="S10" s="55">
        <v>14.984999999999999</v>
      </c>
      <c r="T10" s="55">
        <v>14.403</v>
      </c>
      <c r="U10" s="55">
        <v>15.391999999999999</v>
      </c>
      <c r="V10" s="55">
        <v>16.812999999999999</v>
      </c>
      <c r="W10" s="55">
        <v>21.184000000000001</v>
      </c>
      <c r="X10" s="55">
        <v>22.303999999999998</v>
      </c>
      <c r="Y10" s="55">
        <v>21.899000000000001</v>
      </c>
      <c r="Z10" s="55">
        <v>23.542999999999999</v>
      </c>
      <c r="AA10" s="55">
        <v>25.012</v>
      </c>
      <c r="AB10" s="55">
        <v>28.271000000000001</v>
      </c>
      <c r="AC10" s="55">
        <v>29.763999999999999</v>
      </c>
      <c r="AD10" s="171" t="s">
        <v>7</v>
      </c>
      <c r="AE10" s="171">
        <f>AC10/road_by_tot!AC10*100</f>
        <v>46.68423364075538</v>
      </c>
      <c r="AF10" s="171">
        <f t="shared" si="2"/>
        <v>5.2810300307735787</v>
      </c>
    </row>
    <row r="11" spans="1:32" ht="12.75" customHeight="1" x14ac:dyDescent="0.2">
      <c r="A11" s="15"/>
      <c r="B11" s="85" t="s">
        <v>18</v>
      </c>
      <c r="C11" s="146">
        <v>9.327</v>
      </c>
      <c r="D11" s="147">
        <v>9.4320000000000004</v>
      </c>
      <c r="E11" s="147">
        <v>9.7119999999999997</v>
      </c>
      <c r="F11" s="147">
        <v>10.108000000000001</v>
      </c>
      <c r="G11" s="147">
        <v>10.420999999999999</v>
      </c>
      <c r="H11" s="147">
        <v>11</v>
      </c>
      <c r="I11" s="147">
        <v>10.887</v>
      </c>
      <c r="J11" s="147">
        <v>11.057</v>
      </c>
      <c r="K11" s="147">
        <v>11.012</v>
      </c>
      <c r="L11" s="147">
        <v>10.538</v>
      </c>
      <c r="M11" s="147">
        <v>11.058</v>
      </c>
      <c r="N11" s="147">
        <v>11.494999999999999</v>
      </c>
      <c r="O11" s="147">
        <v>11.8</v>
      </c>
      <c r="P11" s="147">
        <v>10.718</v>
      </c>
      <c r="Q11" s="147">
        <v>10.002000000000001</v>
      </c>
      <c r="R11" s="147">
        <v>10.573</v>
      </c>
      <c r="S11" s="147">
        <v>12.025</v>
      </c>
      <c r="T11" s="147">
        <v>12.292</v>
      </c>
      <c r="U11" s="147">
        <v>12.217000000000001</v>
      </c>
      <c r="V11" s="147">
        <v>12.943</v>
      </c>
      <c r="W11" s="147">
        <v>12.532</v>
      </c>
      <c r="X11" s="147">
        <v>13.037000000000001</v>
      </c>
      <c r="Y11" s="147">
        <v>12.577</v>
      </c>
      <c r="Z11" s="147">
        <v>12.074999999999999</v>
      </c>
      <c r="AA11" s="147">
        <v>12.164999999999999</v>
      </c>
      <c r="AB11" s="147">
        <v>12.407</v>
      </c>
      <c r="AC11" s="147">
        <v>12.863</v>
      </c>
      <c r="AD11" s="315" t="s">
        <v>18</v>
      </c>
      <c r="AE11" s="315">
        <f>AC11/road_by_tot!AC11*100</f>
        <v>83.841741624299303</v>
      </c>
      <c r="AF11" s="315">
        <f t="shared" si="2"/>
        <v>3.6753445635528266</v>
      </c>
    </row>
    <row r="12" spans="1:32" ht="12.75" customHeight="1" x14ac:dyDescent="0.2">
      <c r="A12" s="15"/>
      <c r="B12" s="17" t="s">
        <v>23</v>
      </c>
      <c r="C12" s="111">
        <v>201.29900000000001</v>
      </c>
      <c r="D12" s="55">
        <v>199.19499999999999</v>
      </c>
      <c r="E12" s="55">
        <v>203.119</v>
      </c>
      <c r="F12" s="55">
        <v>210.40199999999999</v>
      </c>
      <c r="G12" s="55">
        <v>226.887</v>
      </c>
      <c r="H12" s="55">
        <v>226.529</v>
      </c>
      <c r="I12" s="55">
        <v>230.01599999999999</v>
      </c>
      <c r="J12" s="55">
        <v>225.47399999999999</v>
      </c>
      <c r="K12" s="55">
        <v>227.20500000000001</v>
      </c>
      <c r="L12" s="55">
        <v>232.303</v>
      </c>
      <c r="M12" s="55">
        <v>237.61699999999999</v>
      </c>
      <c r="N12" s="55">
        <v>251.37899999999999</v>
      </c>
      <c r="O12" s="55">
        <v>261.44</v>
      </c>
      <c r="P12" s="55">
        <v>264.54500000000002</v>
      </c>
      <c r="Q12" s="55">
        <v>245.56800000000001</v>
      </c>
      <c r="R12" s="55">
        <v>252.46199999999999</v>
      </c>
      <c r="S12" s="55">
        <v>265.02499999999998</v>
      </c>
      <c r="T12" s="55">
        <v>254.499</v>
      </c>
      <c r="U12" s="55">
        <v>256.721</v>
      </c>
      <c r="V12" s="55">
        <v>263.03199999999998</v>
      </c>
      <c r="W12" s="55">
        <v>269.64999999999998</v>
      </c>
      <c r="X12" s="55">
        <v>271.67899999999997</v>
      </c>
      <c r="Y12" s="55">
        <v>271.666</v>
      </c>
      <c r="Z12" s="55">
        <v>276.15100000000001</v>
      </c>
      <c r="AA12" s="55">
        <v>274.03699999999998</v>
      </c>
      <c r="AB12" s="55">
        <v>269.928</v>
      </c>
      <c r="AC12" s="55">
        <v>272</v>
      </c>
      <c r="AD12" s="171" t="s">
        <v>23</v>
      </c>
      <c r="AE12" s="171">
        <f>AC12/road_by_tot!AC12*100</f>
        <v>88.520919576141011</v>
      </c>
      <c r="AF12" s="171">
        <f t="shared" si="2"/>
        <v>0.76761210396847446</v>
      </c>
    </row>
    <row r="13" spans="1:32" ht="12.75" customHeight="1" x14ac:dyDescent="0.2">
      <c r="A13" s="15"/>
      <c r="B13" s="85" t="s">
        <v>8</v>
      </c>
      <c r="C13" s="146">
        <v>0.44900000000000001</v>
      </c>
      <c r="D13" s="147">
        <v>0.442</v>
      </c>
      <c r="E13" s="147">
        <v>0.51</v>
      </c>
      <c r="F13" s="147">
        <v>0.53800000000000003</v>
      </c>
      <c r="G13" s="147">
        <v>0.73399999999999999</v>
      </c>
      <c r="H13" s="147">
        <v>0.71499999999999997</v>
      </c>
      <c r="I13" s="147">
        <v>0.54800000000000004</v>
      </c>
      <c r="J13" s="153">
        <v>0.76200000000000001</v>
      </c>
      <c r="K13" s="147">
        <v>1.5680000000000001</v>
      </c>
      <c r="L13" s="147">
        <v>1.478</v>
      </c>
      <c r="M13" s="147">
        <v>1.847</v>
      </c>
      <c r="N13" s="147">
        <v>1.9790000000000001</v>
      </c>
      <c r="O13" s="147">
        <v>1.9419999999999999</v>
      </c>
      <c r="P13" s="147">
        <v>1.8320000000000001</v>
      </c>
      <c r="Q13" s="147">
        <v>1.3260000000000001</v>
      </c>
      <c r="R13" s="147">
        <v>1.3879999999999999</v>
      </c>
      <c r="S13" s="147">
        <v>1.5609999999999999</v>
      </c>
      <c r="T13" s="147">
        <v>1.599</v>
      </c>
      <c r="U13" s="147">
        <v>1.593</v>
      </c>
      <c r="V13" s="147">
        <v>1.5409999999999999</v>
      </c>
      <c r="W13" s="147">
        <v>1.524</v>
      </c>
      <c r="X13" s="147">
        <v>1.792</v>
      </c>
      <c r="Y13" s="147">
        <v>1.631</v>
      </c>
      <c r="Z13" s="147">
        <v>1.6859999999999999</v>
      </c>
      <c r="AA13" s="147">
        <v>1.71</v>
      </c>
      <c r="AB13" s="147">
        <v>1.2729999999999999</v>
      </c>
      <c r="AC13" s="147">
        <v>1.8</v>
      </c>
      <c r="AD13" s="315" t="s">
        <v>8</v>
      </c>
      <c r="AE13" s="315">
        <f>AC13/road_by_tot!AC13*100</f>
        <v>34.370822990261601</v>
      </c>
      <c r="AF13" s="315">
        <f t="shared" si="2"/>
        <v>41.398271798900254</v>
      </c>
    </row>
    <row r="14" spans="1:32" ht="12.75" customHeight="1" x14ac:dyDescent="0.2">
      <c r="A14" s="15"/>
      <c r="B14" s="17" t="s">
        <v>26</v>
      </c>
      <c r="C14" s="156">
        <v>4.7</v>
      </c>
      <c r="D14" s="157">
        <v>4.7</v>
      </c>
      <c r="E14" s="157">
        <v>4.7</v>
      </c>
      <c r="F14" s="157">
        <v>4.7</v>
      </c>
      <c r="G14" s="157">
        <v>7.7370000000000001</v>
      </c>
      <c r="H14" s="157">
        <v>8.3369999999999997</v>
      </c>
      <c r="I14" s="157">
        <v>9.1219999999999999</v>
      </c>
      <c r="J14" s="157">
        <v>10.731</v>
      </c>
      <c r="K14" s="157">
        <v>11.935</v>
      </c>
      <c r="L14" s="157">
        <v>13.215999999999999</v>
      </c>
      <c r="M14" s="157">
        <v>13.983000000000001</v>
      </c>
      <c r="N14" s="157">
        <v>13.832000000000001</v>
      </c>
      <c r="O14" s="157">
        <v>14.428000000000001</v>
      </c>
      <c r="P14" s="157">
        <v>13.265000000000001</v>
      </c>
      <c r="Q14" s="157">
        <v>8.4689999999999994</v>
      </c>
      <c r="R14" s="157">
        <v>8.2210000000000001</v>
      </c>
      <c r="S14" s="157">
        <v>7.47</v>
      </c>
      <c r="T14" s="157">
        <v>7.4189999999999996</v>
      </c>
      <c r="U14" s="157">
        <v>7.2160000000000002</v>
      </c>
      <c r="V14" s="157">
        <v>7.7039999999999997</v>
      </c>
      <c r="W14" s="157">
        <v>7.76</v>
      </c>
      <c r="X14" s="157">
        <v>9.2810000000000006</v>
      </c>
      <c r="Y14" s="157">
        <v>9.3260000000000005</v>
      </c>
      <c r="Z14" s="157">
        <v>9.4009999999999998</v>
      </c>
      <c r="AA14" s="157">
        <v>10.002000000000001</v>
      </c>
      <c r="AB14" s="157">
        <v>9.0589999999999993</v>
      </c>
      <c r="AC14" s="157">
        <v>10.238</v>
      </c>
      <c r="AD14" s="171" t="s">
        <v>26</v>
      </c>
      <c r="AE14" s="171">
        <f>AC14/road_by_tot!AC14*100</f>
        <v>81.949891939486108</v>
      </c>
      <c r="AF14" s="171">
        <f t="shared" si="2"/>
        <v>13.014681532177946</v>
      </c>
    </row>
    <row r="15" spans="1:32" ht="12.75" customHeight="1" x14ac:dyDescent="0.2">
      <c r="A15" s="15"/>
      <c r="B15" s="85" t="s">
        <v>19</v>
      </c>
      <c r="C15" s="154">
        <v>20</v>
      </c>
      <c r="D15" s="155">
        <v>21</v>
      </c>
      <c r="E15" s="155">
        <v>21.5</v>
      </c>
      <c r="F15" s="155">
        <v>22</v>
      </c>
      <c r="G15" s="155">
        <v>22.5</v>
      </c>
      <c r="H15" s="155">
        <v>23</v>
      </c>
      <c r="I15" s="155">
        <v>23.5</v>
      </c>
      <c r="J15" s="155">
        <v>24</v>
      </c>
      <c r="K15" s="199">
        <v>15.276</v>
      </c>
      <c r="L15" s="147">
        <v>31.745000000000001</v>
      </c>
      <c r="M15" s="152">
        <v>19.61</v>
      </c>
      <c r="N15" s="147">
        <v>26.137</v>
      </c>
      <c r="O15" s="147">
        <v>21.728999999999999</v>
      </c>
      <c r="P15" s="147">
        <v>24.346</v>
      </c>
      <c r="Q15" s="147">
        <v>24.228000000000002</v>
      </c>
      <c r="R15" s="147">
        <v>25.256</v>
      </c>
      <c r="S15" s="147">
        <v>16.809000000000001</v>
      </c>
      <c r="T15" s="147">
        <v>16.486000000000001</v>
      </c>
      <c r="U15" s="147">
        <v>12.718999999999999</v>
      </c>
      <c r="V15" s="147">
        <v>15.119</v>
      </c>
      <c r="W15" s="147">
        <v>15.023</v>
      </c>
      <c r="X15" s="147">
        <v>16.652000000000001</v>
      </c>
      <c r="Y15" s="147">
        <v>15.471</v>
      </c>
      <c r="Z15" s="147">
        <v>15.391999999999999</v>
      </c>
      <c r="AA15" s="147">
        <v>15.285</v>
      </c>
      <c r="AB15" s="147">
        <v>12.933999999999999</v>
      </c>
      <c r="AC15" s="147">
        <v>16.481999999999999</v>
      </c>
      <c r="AD15" s="315" t="s">
        <v>19</v>
      </c>
      <c r="AE15" s="315">
        <f>AC15/road_by_tot!AC15*100</f>
        <v>78.288129957725744</v>
      </c>
      <c r="AF15" s="315">
        <f t="shared" si="2"/>
        <v>27.431575691974658</v>
      </c>
    </row>
    <row r="16" spans="1:32" ht="12.75" customHeight="1" x14ac:dyDescent="0.2">
      <c r="A16" s="15"/>
      <c r="B16" s="17" t="s">
        <v>24</v>
      </c>
      <c r="C16" s="156">
        <v>78.744</v>
      </c>
      <c r="D16" s="157">
        <v>76.257000000000005</v>
      </c>
      <c r="E16" s="157">
        <v>80.634</v>
      </c>
      <c r="F16" s="157">
        <v>91.328999999999994</v>
      </c>
      <c r="G16" s="157">
        <v>98.134</v>
      </c>
      <c r="H16" s="157">
        <v>106.93600000000001</v>
      </c>
      <c r="I16" s="157">
        <v>114.004</v>
      </c>
      <c r="J16" s="157">
        <v>129.51</v>
      </c>
      <c r="K16" s="157">
        <v>138.41300000000001</v>
      </c>
      <c r="L16" s="157">
        <v>155.01400000000001</v>
      </c>
      <c r="M16" s="157">
        <v>166.386</v>
      </c>
      <c r="N16" s="157">
        <v>174.58799999999999</v>
      </c>
      <c r="O16" s="157">
        <v>190.61099999999999</v>
      </c>
      <c r="P16" s="157">
        <v>175.184</v>
      </c>
      <c r="Q16" s="157">
        <v>151.06</v>
      </c>
      <c r="R16" s="157">
        <v>146.19399999999999</v>
      </c>
      <c r="S16" s="157">
        <v>142.32300000000001</v>
      </c>
      <c r="T16" s="157">
        <v>133.36799999999999</v>
      </c>
      <c r="U16" s="157">
        <v>126.997</v>
      </c>
      <c r="V16" s="157">
        <v>128.15700000000001</v>
      </c>
      <c r="W16" s="157">
        <v>137.23599999999999</v>
      </c>
      <c r="X16" s="157">
        <v>144.98400000000001</v>
      </c>
      <c r="Y16" s="157">
        <v>154.666</v>
      </c>
      <c r="Z16" s="157">
        <v>158.476</v>
      </c>
      <c r="AA16" s="157">
        <v>165.91</v>
      </c>
      <c r="AB16" s="157">
        <v>163.68199999999999</v>
      </c>
      <c r="AC16" s="157">
        <v>182.46600000000001</v>
      </c>
      <c r="AD16" s="171" t="s">
        <v>24</v>
      </c>
      <c r="AE16" s="171">
        <f>AC16/road_by_tot!AC16*100</f>
        <v>67.53597654862017</v>
      </c>
      <c r="AF16" s="171">
        <f t="shared" si="2"/>
        <v>11.475910607152912</v>
      </c>
    </row>
    <row r="17" spans="1:32" ht="12.75" customHeight="1" x14ac:dyDescent="0.2">
      <c r="A17" s="15"/>
      <c r="B17" s="85" t="s">
        <v>25</v>
      </c>
      <c r="C17" s="146">
        <v>135.30000000000001</v>
      </c>
      <c r="D17" s="147">
        <v>136.50200000000001</v>
      </c>
      <c r="E17" s="147">
        <v>138.96</v>
      </c>
      <c r="F17" s="147">
        <v>145.459</v>
      </c>
      <c r="G17" s="147">
        <v>159.02600000000001</v>
      </c>
      <c r="H17" s="147">
        <v>163.16300000000001</v>
      </c>
      <c r="I17" s="147">
        <v>168.572</v>
      </c>
      <c r="J17" s="147">
        <v>169.74199999999999</v>
      </c>
      <c r="K17" s="147">
        <v>170.89599999999999</v>
      </c>
      <c r="L17" s="147">
        <v>179.18299999999999</v>
      </c>
      <c r="M17" s="147">
        <v>177.33099999999999</v>
      </c>
      <c r="N17" s="147">
        <v>182.75299999999999</v>
      </c>
      <c r="O17" s="147">
        <v>191.38800000000001</v>
      </c>
      <c r="P17" s="147">
        <v>181.87899999999999</v>
      </c>
      <c r="Q17" s="147">
        <v>156.02099999999999</v>
      </c>
      <c r="R17" s="147">
        <v>164.32499999999999</v>
      </c>
      <c r="S17" s="147">
        <v>168.24199999999999</v>
      </c>
      <c r="T17" s="147">
        <v>156.44900000000001</v>
      </c>
      <c r="U17" s="147">
        <v>155.71199999999999</v>
      </c>
      <c r="V17" s="147">
        <v>151.11199999999999</v>
      </c>
      <c r="W17" s="147">
        <v>141.24199999999999</v>
      </c>
      <c r="X17" s="147">
        <v>144.20500000000001</v>
      </c>
      <c r="Y17" s="147">
        <v>155.876</v>
      </c>
      <c r="Z17" s="147">
        <v>159.62299999999999</v>
      </c>
      <c r="AA17" s="147">
        <v>162.50399999999999</v>
      </c>
      <c r="AB17" s="147">
        <v>158.15799999999999</v>
      </c>
      <c r="AC17" s="147">
        <v>162.57400000000001</v>
      </c>
      <c r="AD17" s="315" t="s">
        <v>25</v>
      </c>
      <c r="AE17" s="315">
        <f>AC17/road_by_tot!AC17*100</f>
        <v>92.977529696373523</v>
      </c>
      <c r="AF17" s="315">
        <f t="shared" si="2"/>
        <v>2.7921445642964784</v>
      </c>
    </row>
    <row r="18" spans="1:32" ht="12.75" customHeight="1" x14ac:dyDescent="0.2">
      <c r="A18" s="15"/>
      <c r="B18" s="17" t="s">
        <v>36</v>
      </c>
      <c r="C18" s="111" t="s">
        <v>34</v>
      </c>
      <c r="D18" s="55"/>
      <c r="E18" s="55"/>
      <c r="F18" s="137"/>
      <c r="G18" s="55">
        <v>1.6060000000000001</v>
      </c>
      <c r="H18" s="55">
        <v>1.9059999999999999</v>
      </c>
      <c r="I18" s="55">
        <v>3.2130000000000001</v>
      </c>
      <c r="J18" s="55">
        <v>3.6629999999999998</v>
      </c>
      <c r="K18" s="55">
        <v>4.1239999999999997</v>
      </c>
      <c r="L18" s="55">
        <v>4.3730000000000002</v>
      </c>
      <c r="M18" s="55">
        <v>4.3869999999999996</v>
      </c>
      <c r="N18" s="55">
        <v>5.2910000000000004</v>
      </c>
      <c r="O18" s="55">
        <v>5.1219999999999999</v>
      </c>
      <c r="P18" s="55">
        <v>6.4450000000000003</v>
      </c>
      <c r="Q18" s="55">
        <v>5.125</v>
      </c>
      <c r="R18" s="55">
        <v>4.5469999999999997</v>
      </c>
      <c r="S18" s="55">
        <v>4.375</v>
      </c>
      <c r="T18" s="55">
        <v>4.1449999999999996</v>
      </c>
      <c r="U18" s="55">
        <v>4.2839999999999998</v>
      </c>
      <c r="V18" s="55">
        <v>3.931</v>
      </c>
      <c r="W18" s="55">
        <v>4.0549999999999997</v>
      </c>
      <c r="X18" s="55">
        <v>3.9860000000000002</v>
      </c>
      <c r="Y18" s="55">
        <v>4.1989999999999998</v>
      </c>
      <c r="Z18" s="55">
        <v>4.2350000000000003</v>
      </c>
      <c r="AA18" s="55">
        <v>4.3120000000000003</v>
      </c>
      <c r="AB18" s="55">
        <v>4.4870000000000001</v>
      </c>
      <c r="AC18" s="55">
        <v>4.8019999999999996</v>
      </c>
      <c r="AD18" s="171" t="s">
        <v>36</v>
      </c>
      <c r="AE18" s="171">
        <f>AC18/road_by_tot!AC18*100</f>
        <v>35.233692860811502</v>
      </c>
      <c r="AF18" s="171">
        <f t="shared" si="2"/>
        <v>7.0202808112324533</v>
      </c>
    </row>
    <row r="19" spans="1:32" ht="12.75" customHeight="1" x14ac:dyDescent="0.2">
      <c r="A19" s="15"/>
      <c r="B19" s="85" t="s">
        <v>27</v>
      </c>
      <c r="C19" s="154">
        <v>150.30099999999999</v>
      </c>
      <c r="D19" s="155">
        <v>151.02500000000001</v>
      </c>
      <c r="E19" s="155">
        <v>153.6</v>
      </c>
      <c r="F19" s="155">
        <v>154.15100000000001</v>
      </c>
      <c r="G19" s="152">
        <v>151.96700000000001</v>
      </c>
      <c r="H19" s="152">
        <v>158.25</v>
      </c>
      <c r="I19" s="152">
        <v>154.749</v>
      </c>
      <c r="J19" s="147">
        <v>160.08199999999999</v>
      </c>
      <c r="K19" s="147">
        <v>143.184</v>
      </c>
      <c r="L19" s="147">
        <v>158.172</v>
      </c>
      <c r="M19" s="147">
        <v>171.58699999999999</v>
      </c>
      <c r="N19" s="147">
        <v>155.42500000000001</v>
      </c>
      <c r="O19" s="147">
        <v>152.40600000000001</v>
      </c>
      <c r="P19" s="147">
        <v>151.82300000000001</v>
      </c>
      <c r="Q19" s="147">
        <v>145.61000000000001</v>
      </c>
      <c r="R19" s="147">
        <v>149.24799999999999</v>
      </c>
      <c r="S19" s="147">
        <v>127.681</v>
      </c>
      <c r="T19" s="147">
        <v>111.785</v>
      </c>
      <c r="U19" s="147">
        <v>111.97499999999999</v>
      </c>
      <c r="V19" s="147">
        <v>102.351</v>
      </c>
      <c r="W19" s="147">
        <v>104.104</v>
      </c>
      <c r="X19" s="147">
        <v>100.282</v>
      </c>
      <c r="Y19" s="147">
        <v>106.711</v>
      </c>
      <c r="Z19" s="147">
        <v>111.741</v>
      </c>
      <c r="AA19" s="147">
        <v>122.491</v>
      </c>
      <c r="AB19" s="147">
        <v>118.151</v>
      </c>
      <c r="AC19" s="147">
        <v>128.547</v>
      </c>
      <c r="AD19" s="315" t="s">
        <v>27</v>
      </c>
      <c r="AE19" s="315">
        <f>AC19/road_by_tot!AC19*100</f>
        <v>88.661663884788879</v>
      </c>
      <c r="AF19" s="315">
        <f t="shared" si="2"/>
        <v>8.7989098695736772</v>
      </c>
    </row>
    <row r="20" spans="1:32" ht="12.75" customHeight="1" x14ac:dyDescent="0.2">
      <c r="A20" s="15"/>
      <c r="B20" s="17" t="s">
        <v>6</v>
      </c>
      <c r="C20" s="111"/>
      <c r="D20" s="55"/>
      <c r="E20" s="55"/>
      <c r="F20" s="55"/>
      <c r="G20" s="55"/>
      <c r="H20" s="55">
        <v>1.28</v>
      </c>
      <c r="I20" s="55">
        <v>1.29</v>
      </c>
      <c r="J20" s="55">
        <v>1.286</v>
      </c>
      <c r="K20" s="55">
        <v>1.37</v>
      </c>
      <c r="L20" s="55">
        <v>1.1020000000000001</v>
      </c>
      <c r="M20" s="55">
        <v>1.3740000000000001</v>
      </c>
      <c r="N20" s="55">
        <v>1.145</v>
      </c>
      <c r="O20" s="55">
        <v>1.1839999999999999</v>
      </c>
      <c r="P20" s="55">
        <v>1.296</v>
      </c>
      <c r="Q20" s="55">
        <v>0.94399999999999995</v>
      </c>
      <c r="R20" s="55">
        <v>1.0660000000000001</v>
      </c>
      <c r="S20" s="55">
        <v>0.92300000000000004</v>
      </c>
      <c r="T20" s="55">
        <v>0.88</v>
      </c>
      <c r="U20" s="55">
        <v>0.61799999999999999</v>
      </c>
      <c r="V20" s="55">
        <v>0.52600000000000002</v>
      </c>
      <c r="W20" s="55">
        <v>0.54800000000000004</v>
      </c>
      <c r="X20" s="55">
        <v>0.68400000000000005</v>
      </c>
      <c r="Y20" s="55">
        <v>0.80200000000000005</v>
      </c>
      <c r="Z20" s="55">
        <v>0.86499999999999999</v>
      </c>
      <c r="AA20" s="55">
        <v>0.83099999999999996</v>
      </c>
      <c r="AB20" s="55">
        <v>0.67200000000000004</v>
      </c>
      <c r="AC20" s="55">
        <v>0.70299999999999996</v>
      </c>
      <c r="AD20" s="171" t="s">
        <v>6</v>
      </c>
      <c r="AE20" s="171">
        <f>AC20/road_by_tot!AC20*100</f>
        <v>96.169630642954857</v>
      </c>
      <c r="AF20" s="171">
        <f t="shared" si="2"/>
        <v>4.6130952380952266</v>
      </c>
    </row>
    <row r="21" spans="1:32" ht="12.75" customHeight="1" x14ac:dyDescent="0.2">
      <c r="A21" s="15"/>
      <c r="B21" s="85" t="s">
        <v>10</v>
      </c>
      <c r="C21" s="146" t="s">
        <v>34</v>
      </c>
      <c r="D21" s="147"/>
      <c r="E21" s="147"/>
      <c r="F21" s="147"/>
      <c r="G21" s="147"/>
      <c r="H21" s="147">
        <v>1.484</v>
      </c>
      <c r="I21" s="147">
        <v>1.645</v>
      </c>
      <c r="J21" s="147">
        <v>1.9670000000000001</v>
      </c>
      <c r="K21" s="147">
        <v>2.3650000000000002</v>
      </c>
      <c r="L21" s="147">
        <v>2.38</v>
      </c>
      <c r="M21" s="147">
        <v>2.734</v>
      </c>
      <c r="N21" s="147">
        <v>2.718</v>
      </c>
      <c r="O21" s="147">
        <v>3.0059999999999998</v>
      </c>
      <c r="P21" s="147">
        <v>2.536</v>
      </c>
      <c r="Q21" s="147">
        <v>2.149</v>
      </c>
      <c r="R21" s="147">
        <v>2.5609999999999999</v>
      </c>
      <c r="S21" s="147">
        <v>2.6459999999999999</v>
      </c>
      <c r="T21" s="147">
        <v>2.6160000000000001</v>
      </c>
      <c r="U21" s="147">
        <v>2.8029999999999999</v>
      </c>
      <c r="V21" s="147">
        <v>2.74</v>
      </c>
      <c r="W21" s="147">
        <v>2.7530000000000001</v>
      </c>
      <c r="X21" s="147">
        <v>2.8069999999999999</v>
      </c>
      <c r="Y21" s="147">
        <v>3.24</v>
      </c>
      <c r="Z21" s="147">
        <v>3.4590000000000001</v>
      </c>
      <c r="AA21" s="147">
        <v>3.35</v>
      </c>
      <c r="AB21" s="147">
        <v>3.7160000000000002</v>
      </c>
      <c r="AC21" s="147">
        <v>4.0640000000000001</v>
      </c>
      <c r="AD21" s="315" t="s">
        <v>10</v>
      </c>
      <c r="AE21" s="315">
        <f>AC21/road_by_tot!AC21*100</f>
        <v>26.908561213004038</v>
      </c>
      <c r="AF21" s="315">
        <f t="shared" si="2"/>
        <v>9.3649085037674809</v>
      </c>
    </row>
    <row r="22" spans="1:32" ht="12.75" customHeight="1" x14ac:dyDescent="0.2">
      <c r="A22" s="15"/>
      <c r="B22" s="17" t="s">
        <v>11</v>
      </c>
      <c r="C22" s="111" t="s">
        <v>34</v>
      </c>
      <c r="D22" s="55"/>
      <c r="E22" s="55"/>
      <c r="F22" s="55"/>
      <c r="G22" s="55"/>
      <c r="H22" s="55">
        <v>1.534</v>
      </c>
      <c r="I22" s="55">
        <v>1.518</v>
      </c>
      <c r="J22" s="55">
        <v>1.518</v>
      </c>
      <c r="K22" s="55">
        <v>1.958</v>
      </c>
      <c r="L22" s="55">
        <v>2.2130000000000001</v>
      </c>
      <c r="M22" s="55">
        <v>2.137</v>
      </c>
      <c r="N22" s="55">
        <v>2.2320000000000002</v>
      </c>
      <c r="O22" s="55">
        <v>2.7040000000000002</v>
      </c>
      <c r="P22" s="55">
        <v>2.56</v>
      </c>
      <c r="Q22" s="55">
        <v>2.633</v>
      </c>
      <c r="R22" s="55">
        <v>2.2919999999999998</v>
      </c>
      <c r="S22" s="55">
        <v>2.3199999999999998</v>
      </c>
      <c r="T22" s="55">
        <v>2.4380000000000002</v>
      </c>
      <c r="U22" s="55">
        <v>2.54</v>
      </c>
      <c r="V22" s="55">
        <v>2.7679999999999998</v>
      </c>
      <c r="W22" s="55">
        <v>2.9129999999999998</v>
      </c>
      <c r="X22" s="55">
        <v>2.97</v>
      </c>
      <c r="Y22" s="55">
        <v>3.1840000000000002</v>
      </c>
      <c r="Z22" s="55">
        <v>3.6419999999999999</v>
      </c>
      <c r="AA22" s="55">
        <v>3.5550000000000002</v>
      </c>
      <c r="AB22" s="55">
        <v>3.9950000000000001</v>
      </c>
      <c r="AC22" s="55">
        <v>3.8620000000000001</v>
      </c>
      <c r="AD22" s="171" t="s">
        <v>11</v>
      </c>
      <c r="AE22" s="171">
        <f>AC22/road_by_tot!AC22*100</f>
        <v>6.6868669379274523</v>
      </c>
      <c r="AF22" s="171">
        <f t="shared" si="2"/>
        <v>-3.3291614518147696</v>
      </c>
    </row>
    <row r="23" spans="1:32" ht="12.75" customHeight="1" x14ac:dyDescent="0.2">
      <c r="A23" s="15"/>
      <c r="B23" s="85" t="s">
        <v>28</v>
      </c>
      <c r="C23" s="146">
        <v>0.53100000000000003</v>
      </c>
      <c r="D23" s="147">
        <v>0.39200000000000002</v>
      </c>
      <c r="E23" s="147">
        <v>0.39400000000000002</v>
      </c>
      <c r="F23" s="147">
        <v>0.39500000000000002</v>
      </c>
      <c r="G23" s="147">
        <v>0.377</v>
      </c>
      <c r="H23" s="147">
        <v>0.41499999999999998</v>
      </c>
      <c r="I23" s="147">
        <v>0.48699999999999999</v>
      </c>
      <c r="J23" s="147">
        <v>0.58299999999999996</v>
      </c>
      <c r="K23" s="147">
        <v>0.56499999999999995</v>
      </c>
      <c r="L23" s="147">
        <v>0.54900000000000004</v>
      </c>
      <c r="M23" s="147">
        <v>0.49399999999999999</v>
      </c>
      <c r="N23" s="147">
        <v>0.54400000000000004</v>
      </c>
      <c r="O23" s="147">
        <v>0.54800000000000004</v>
      </c>
      <c r="P23" s="147">
        <v>0.55500000000000005</v>
      </c>
      <c r="Q23" s="147">
        <v>0.53</v>
      </c>
      <c r="R23" s="147">
        <v>0.57399999999999995</v>
      </c>
      <c r="S23" s="147">
        <v>0.65</v>
      </c>
      <c r="T23" s="147">
        <v>1.044</v>
      </c>
      <c r="U23" s="147">
        <v>0.77700000000000002</v>
      </c>
      <c r="V23" s="147">
        <v>1.1279999999999999</v>
      </c>
      <c r="W23" s="147">
        <v>0.97799999999999998</v>
      </c>
      <c r="X23" s="147">
        <v>1.0669999999999999</v>
      </c>
      <c r="Y23" s="147">
        <v>1.0169999999999999</v>
      </c>
      <c r="Z23" s="147">
        <v>0.64700000000000002</v>
      </c>
      <c r="AA23" s="147">
        <v>0.66100000000000003</v>
      </c>
      <c r="AB23" s="147">
        <v>0.51100000000000001</v>
      </c>
      <c r="AC23" s="147">
        <v>0.621</v>
      </c>
      <c r="AD23" s="315" t="s">
        <v>28</v>
      </c>
      <c r="AE23" s="315">
        <f>AC23/road_by_tot!AC23*100</f>
        <v>8.9947856315179617</v>
      </c>
      <c r="AF23" s="315">
        <f t="shared" si="2"/>
        <v>21.526418786692744</v>
      </c>
    </row>
    <row r="24" spans="1:32" ht="12.75" customHeight="1" x14ac:dyDescent="0.2">
      <c r="A24" s="15"/>
      <c r="B24" s="17" t="s">
        <v>9</v>
      </c>
      <c r="C24" s="149" t="s">
        <v>34</v>
      </c>
      <c r="D24" s="150"/>
      <c r="E24" s="150"/>
      <c r="F24" s="150"/>
      <c r="G24" s="150"/>
      <c r="H24" s="150">
        <v>12.145</v>
      </c>
      <c r="I24" s="150">
        <v>11.835000000000001</v>
      </c>
      <c r="J24" s="150">
        <v>11.166</v>
      </c>
      <c r="K24" s="150">
        <v>10.67</v>
      </c>
      <c r="L24" s="150">
        <v>10.977</v>
      </c>
      <c r="M24" s="150">
        <v>11.394</v>
      </c>
      <c r="N24" s="150">
        <v>12.425000000000001</v>
      </c>
      <c r="O24" s="150">
        <v>13.186</v>
      </c>
      <c r="P24" s="150">
        <v>13.042999999999999</v>
      </c>
      <c r="Q24" s="150">
        <v>12.170999999999999</v>
      </c>
      <c r="R24" s="150">
        <v>11.329000000000001</v>
      </c>
      <c r="S24" s="150">
        <v>10.534000000000001</v>
      </c>
      <c r="T24" s="150">
        <v>9.1809999999999992</v>
      </c>
      <c r="U24" s="150">
        <v>9.2460000000000004</v>
      </c>
      <c r="V24" s="150">
        <v>9.6300000000000008</v>
      </c>
      <c r="W24" s="150">
        <v>10.356</v>
      </c>
      <c r="X24" s="150">
        <v>11.72</v>
      </c>
      <c r="Y24" s="150">
        <v>11.94</v>
      </c>
      <c r="Z24" s="150">
        <v>12.978999999999999</v>
      </c>
      <c r="AA24" s="150">
        <v>13.382</v>
      </c>
      <c r="AB24" s="150">
        <v>12.86</v>
      </c>
      <c r="AC24" s="150">
        <v>14.778</v>
      </c>
      <c r="AD24" s="171" t="s">
        <v>9</v>
      </c>
      <c r="AE24" s="171">
        <f>AC24/road_by_tot!AC24*100</f>
        <v>39.83181046332983</v>
      </c>
      <c r="AF24" s="171">
        <f t="shared" si="2"/>
        <v>14.91446345256611</v>
      </c>
    </row>
    <row r="25" spans="1:32" ht="12.75" customHeight="1" x14ac:dyDescent="0.2">
      <c r="A25" s="15"/>
      <c r="B25" s="85" t="s">
        <v>12</v>
      </c>
      <c r="C25" s="154" t="s">
        <v>34</v>
      </c>
      <c r="D25" s="155"/>
      <c r="E25" s="155"/>
      <c r="F25" s="155"/>
      <c r="G25" s="155"/>
      <c r="H25" s="155">
        <v>0.2</v>
      </c>
      <c r="I25" s="155">
        <v>0.2</v>
      </c>
      <c r="J25" s="155">
        <v>0.2</v>
      </c>
      <c r="K25" s="155">
        <v>0.2</v>
      </c>
      <c r="L25" s="155">
        <v>0.2</v>
      </c>
      <c r="M25" s="155">
        <v>0.2</v>
      </c>
      <c r="N25" s="155">
        <v>0.2</v>
      </c>
      <c r="O25" s="155">
        <v>0.2</v>
      </c>
      <c r="P25" s="155">
        <v>0.2</v>
      </c>
      <c r="Q25" s="155">
        <v>0.2</v>
      </c>
      <c r="R25" s="155">
        <v>0.2</v>
      </c>
      <c r="S25" s="155">
        <v>0.2</v>
      </c>
      <c r="T25" s="155">
        <v>0.2</v>
      </c>
      <c r="U25" s="155">
        <v>0.2</v>
      </c>
      <c r="V25" s="155">
        <v>0.2</v>
      </c>
      <c r="W25" s="155">
        <v>0.2</v>
      </c>
      <c r="X25" s="155">
        <v>0.2</v>
      </c>
      <c r="Y25" s="155">
        <v>0.2</v>
      </c>
      <c r="Z25" s="155">
        <v>0.2</v>
      </c>
      <c r="AA25" s="155">
        <v>0.2</v>
      </c>
      <c r="AB25" s="155">
        <v>0.2</v>
      </c>
      <c r="AC25" s="155">
        <v>0.2</v>
      </c>
      <c r="AD25" s="315" t="s">
        <v>12</v>
      </c>
      <c r="AE25" s="261">
        <f>AC25/road_by_tot!AC25*100</f>
        <v>80</v>
      </c>
      <c r="AF25" s="261">
        <f t="shared" si="2"/>
        <v>0</v>
      </c>
    </row>
    <row r="26" spans="1:32" ht="12.75" customHeight="1" x14ac:dyDescent="0.2">
      <c r="A26" s="15"/>
      <c r="B26" s="17" t="s">
        <v>20</v>
      </c>
      <c r="C26" s="111">
        <v>26.683</v>
      </c>
      <c r="D26" s="55">
        <v>27.303000000000001</v>
      </c>
      <c r="E26" s="55">
        <v>27.384</v>
      </c>
      <c r="F26" s="55">
        <v>28.24</v>
      </c>
      <c r="G26" s="55">
        <v>32.682000000000002</v>
      </c>
      <c r="H26" s="55">
        <v>31.536999999999999</v>
      </c>
      <c r="I26" s="55">
        <v>30.998999999999999</v>
      </c>
      <c r="J26" s="55">
        <v>30.256</v>
      </c>
      <c r="K26" s="55">
        <v>31.785</v>
      </c>
      <c r="L26" s="55">
        <v>33.938000000000002</v>
      </c>
      <c r="M26" s="55">
        <v>31.827000000000002</v>
      </c>
      <c r="N26" s="55">
        <v>31.009</v>
      </c>
      <c r="O26" s="55">
        <v>30.686</v>
      </c>
      <c r="P26" s="55">
        <v>32.009</v>
      </c>
      <c r="Q26" s="55">
        <v>31.337</v>
      </c>
      <c r="R26" s="55">
        <v>30.064</v>
      </c>
      <c r="S26" s="55">
        <v>30.324999999999999</v>
      </c>
      <c r="T26" s="55">
        <v>28.695</v>
      </c>
      <c r="U26" s="55">
        <v>32.298999999999999</v>
      </c>
      <c r="V26" s="55">
        <v>32.253</v>
      </c>
      <c r="W26" s="55">
        <v>32.17</v>
      </c>
      <c r="X26" s="55">
        <v>34.052999999999997</v>
      </c>
      <c r="Y26" s="55">
        <v>33.161999999999999</v>
      </c>
      <c r="Z26" s="55">
        <v>34.295000000000002</v>
      </c>
      <c r="AA26" s="55">
        <v>35.405999999999999</v>
      </c>
      <c r="AB26" s="55">
        <v>34.761000000000003</v>
      </c>
      <c r="AC26" s="55">
        <v>36.445999999999998</v>
      </c>
      <c r="AD26" s="171" t="s">
        <v>20</v>
      </c>
      <c r="AE26" s="171">
        <f>AC26/road_by_tot!AC26*100</f>
        <v>51.896679387139031</v>
      </c>
      <c r="AF26" s="171">
        <f t="shared" si="2"/>
        <v>4.8473864388250973</v>
      </c>
    </row>
    <row r="27" spans="1:32" ht="12.75" customHeight="1" x14ac:dyDescent="0.2">
      <c r="A27" s="15"/>
      <c r="B27" s="85" t="s">
        <v>29</v>
      </c>
      <c r="C27" s="146">
        <v>11.069000000000001</v>
      </c>
      <c r="D27" s="147">
        <v>11.444000000000001</v>
      </c>
      <c r="E27" s="147">
        <v>11.558999999999999</v>
      </c>
      <c r="F27" s="147">
        <v>11.715</v>
      </c>
      <c r="G27" s="147">
        <v>12.28</v>
      </c>
      <c r="H27" s="152">
        <v>12.388999999999999</v>
      </c>
      <c r="I27" s="152">
        <v>12.454000000000001</v>
      </c>
      <c r="J27" s="152">
        <v>12.663</v>
      </c>
      <c r="K27" s="152">
        <v>13.036</v>
      </c>
      <c r="L27" s="147">
        <v>12.375999999999999</v>
      </c>
      <c r="M27" s="147">
        <v>12.513999999999999</v>
      </c>
      <c r="N27" s="147">
        <v>14.436999999999999</v>
      </c>
      <c r="O27" s="147">
        <v>14.744</v>
      </c>
      <c r="P27" s="147">
        <v>14.581</v>
      </c>
      <c r="Q27" s="147">
        <v>13.491</v>
      </c>
      <c r="R27" s="147">
        <v>13.914</v>
      </c>
      <c r="S27" s="147">
        <v>14.475</v>
      </c>
      <c r="T27" s="147">
        <v>14.118</v>
      </c>
      <c r="U27" s="147">
        <v>13.853</v>
      </c>
      <c r="V27" s="147">
        <v>14.721</v>
      </c>
      <c r="W27" s="147">
        <v>15.481999999999999</v>
      </c>
      <c r="X27" s="147">
        <v>16.504999999999999</v>
      </c>
      <c r="Y27" s="147">
        <v>16.803000000000001</v>
      </c>
      <c r="Z27" s="147">
        <v>16.914000000000001</v>
      </c>
      <c r="AA27" s="147">
        <v>17.248999999999999</v>
      </c>
      <c r="AB27" s="147">
        <v>17.097000000000001</v>
      </c>
      <c r="AC27" s="147">
        <v>18.010999999999999</v>
      </c>
      <c r="AD27" s="315" t="s">
        <v>29</v>
      </c>
      <c r="AE27" s="315">
        <f>AC27/road_by_tot!AC27*100</f>
        <v>66.017887251667759</v>
      </c>
      <c r="AF27" s="315">
        <f t="shared" si="2"/>
        <v>5.3459671287360351</v>
      </c>
    </row>
    <row r="28" spans="1:32" ht="12.75" customHeight="1" x14ac:dyDescent="0.2">
      <c r="A28" s="15"/>
      <c r="B28" s="17" t="s">
        <v>13</v>
      </c>
      <c r="C28" s="141" t="s">
        <v>34</v>
      </c>
      <c r="D28" s="137" t="s">
        <v>34</v>
      </c>
      <c r="E28" s="137" t="s">
        <v>34</v>
      </c>
      <c r="F28" s="137" t="s">
        <v>34</v>
      </c>
      <c r="G28" s="137"/>
      <c r="H28" s="137">
        <v>48</v>
      </c>
      <c r="I28" s="137">
        <v>49</v>
      </c>
      <c r="J28" s="137">
        <v>50.5</v>
      </c>
      <c r="K28" s="137">
        <v>53</v>
      </c>
      <c r="L28" s="55">
        <v>58.825000000000003</v>
      </c>
      <c r="M28" s="55">
        <v>60.94</v>
      </c>
      <c r="N28" s="55">
        <v>59.42</v>
      </c>
      <c r="O28" s="55">
        <v>65.769000000000005</v>
      </c>
      <c r="P28" s="55">
        <v>71.917000000000002</v>
      </c>
      <c r="Q28" s="55">
        <v>79.206999999999994</v>
      </c>
      <c r="R28" s="55">
        <v>82.218000000000004</v>
      </c>
      <c r="S28" s="55">
        <v>89.733999999999995</v>
      </c>
      <c r="T28" s="55">
        <v>89.013000000000005</v>
      </c>
      <c r="U28" s="55">
        <v>100.32</v>
      </c>
      <c r="V28" s="55">
        <v>96.626999999999995</v>
      </c>
      <c r="W28" s="55">
        <v>104.679</v>
      </c>
      <c r="X28" s="55">
        <v>106.634</v>
      </c>
      <c r="Y28" s="55">
        <v>120.036</v>
      </c>
      <c r="Z28" s="55">
        <v>114.69199999999999</v>
      </c>
      <c r="AA28" s="55">
        <v>119.36499999999999</v>
      </c>
      <c r="AB28" s="55">
        <v>123.819</v>
      </c>
      <c r="AC28" s="55">
        <v>134.72999999999999</v>
      </c>
      <c r="AD28" s="171" t="s">
        <v>13</v>
      </c>
      <c r="AE28" s="171">
        <f>AC28/road_by_tot!AC28*100</f>
        <v>35.472065715338843</v>
      </c>
      <c r="AF28" s="171">
        <f t="shared" si="2"/>
        <v>8.812056307997949</v>
      </c>
    </row>
    <row r="29" spans="1:32" ht="12.75" customHeight="1" x14ac:dyDescent="0.2">
      <c r="A29" s="15"/>
      <c r="B29" s="85" t="s">
        <v>30</v>
      </c>
      <c r="C29" s="146">
        <v>16.5</v>
      </c>
      <c r="D29" s="147">
        <v>16.79</v>
      </c>
      <c r="E29" s="147">
        <v>17.329999999999998</v>
      </c>
      <c r="F29" s="147">
        <v>17.63</v>
      </c>
      <c r="G29" s="194">
        <v>14.308999999999999</v>
      </c>
      <c r="H29" s="147">
        <v>14.22</v>
      </c>
      <c r="I29" s="147">
        <v>16.350999999999999</v>
      </c>
      <c r="J29" s="147">
        <v>14.916</v>
      </c>
      <c r="K29" s="153">
        <v>14.199</v>
      </c>
      <c r="L29" s="147">
        <v>17.434999999999999</v>
      </c>
      <c r="M29" s="147">
        <v>17.445</v>
      </c>
      <c r="N29" s="147">
        <v>17.54</v>
      </c>
      <c r="O29" s="147">
        <v>18.318999999999999</v>
      </c>
      <c r="P29" s="147">
        <v>17.114000000000001</v>
      </c>
      <c r="Q29" s="147">
        <v>14.423999999999999</v>
      </c>
      <c r="R29" s="147">
        <v>12.881</v>
      </c>
      <c r="S29" s="147">
        <v>12.673</v>
      </c>
      <c r="T29" s="147">
        <v>11.18</v>
      </c>
      <c r="U29" s="147">
        <v>9.7729999999999997</v>
      </c>
      <c r="V29" s="147">
        <v>10.468999999999999</v>
      </c>
      <c r="W29" s="147">
        <v>10.791</v>
      </c>
      <c r="X29" s="147">
        <v>10.382</v>
      </c>
      <c r="Y29" s="147">
        <v>10.853999999999999</v>
      </c>
      <c r="Z29" s="147">
        <v>10.53</v>
      </c>
      <c r="AA29" s="147">
        <v>10.413</v>
      </c>
      <c r="AB29" s="147">
        <v>8.7219999999999995</v>
      </c>
      <c r="AC29" s="147">
        <v>9.3889999999999993</v>
      </c>
      <c r="AD29" s="315" t="s">
        <v>30</v>
      </c>
      <c r="AE29" s="315">
        <f>AC29/road_by_tot!AC29*100</f>
        <v>29.294851794071764</v>
      </c>
      <c r="AF29" s="315">
        <f t="shared" si="2"/>
        <v>7.647328594359081</v>
      </c>
    </row>
    <row r="30" spans="1:32" ht="12.75" customHeight="1" x14ac:dyDescent="0.2">
      <c r="A30" s="15"/>
      <c r="B30" s="17" t="s">
        <v>14</v>
      </c>
      <c r="C30" s="156" t="s">
        <v>34</v>
      </c>
      <c r="D30" s="157"/>
      <c r="E30" s="157"/>
      <c r="F30" s="157"/>
      <c r="G30" s="157">
        <v>9.7270000000000003</v>
      </c>
      <c r="H30" s="163">
        <v>9.8800000000000008</v>
      </c>
      <c r="I30" s="157">
        <v>10.645</v>
      </c>
      <c r="J30" s="157">
        <v>10.98</v>
      </c>
      <c r="K30" s="157">
        <v>13.637</v>
      </c>
      <c r="L30" s="157">
        <v>14.651</v>
      </c>
      <c r="M30" s="157">
        <v>19.399000000000001</v>
      </c>
      <c r="N30" s="157">
        <v>22.722999999999999</v>
      </c>
      <c r="O30" s="157">
        <v>23.931999999999999</v>
      </c>
      <c r="P30" s="157">
        <v>23.19</v>
      </c>
      <c r="Q30" s="157">
        <v>20.879000000000001</v>
      </c>
      <c r="R30" s="157">
        <v>12.096</v>
      </c>
      <c r="S30" s="157">
        <v>11.858000000000001</v>
      </c>
      <c r="T30" s="157">
        <v>12.673</v>
      </c>
      <c r="U30" s="157">
        <v>12.505000000000001</v>
      </c>
      <c r="V30" s="157">
        <v>12.135999999999999</v>
      </c>
      <c r="W30" s="157">
        <v>12.068</v>
      </c>
      <c r="X30" s="157">
        <v>13.14</v>
      </c>
      <c r="Y30" s="157">
        <v>13.548</v>
      </c>
      <c r="Z30" s="157">
        <v>14.358000000000001</v>
      </c>
      <c r="AA30" s="157">
        <v>16.675000000000001</v>
      </c>
      <c r="AB30" s="157">
        <v>17.280999999999999</v>
      </c>
      <c r="AC30" s="157">
        <v>20.457999999999998</v>
      </c>
      <c r="AD30" s="171" t="s">
        <v>14</v>
      </c>
      <c r="AE30" s="171">
        <f>AC30/road_by_tot!AC30*100</f>
        <v>33.077333505796375</v>
      </c>
      <c r="AF30" s="171">
        <f t="shared" si="2"/>
        <v>18.384352757363587</v>
      </c>
    </row>
    <row r="31" spans="1:32" ht="12.75" customHeight="1" x14ac:dyDescent="0.2">
      <c r="A31" s="15"/>
      <c r="B31" s="85" t="s">
        <v>16</v>
      </c>
      <c r="C31" s="146" t="s">
        <v>34</v>
      </c>
      <c r="D31" s="147" t="s">
        <v>34</v>
      </c>
      <c r="E31" s="147" t="s">
        <v>34</v>
      </c>
      <c r="F31" s="147" t="s">
        <v>34</v>
      </c>
      <c r="G31" s="147"/>
      <c r="H31" s="147">
        <v>1.9</v>
      </c>
      <c r="I31" s="147">
        <v>1.927</v>
      </c>
      <c r="J31" s="147">
        <v>1.9450000000000001</v>
      </c>
      <c r="K31" s="147">
        <v>1.9950000000000001</v>
      </c>
      <c r="L31" s="147">
        <v>2.2669999999999999</v>
      </c>
      <c r="M31" s="147">
        <v>2.3610000000000002</v>
      </c>
      <c r="N31" s="147">
        <v>2.2789999999999999</v>
      </c>
      <c r="O31" s="147">
        <v>2.573</v>
      </c>
      <c r="P31" s="147">
        <v>2.6360000000000001</v>
      </c>
      <c r="Q31" s="147">
        <v>2.2759999999999998</v>
      </c>
      <c r="R31" s="147">
        <v>2.2879999999999998</v>
      </c>
      <c r="S31" s="147">
        <v>2.177</v>
      </c>
      <c r="T31" s="147">
        <v>1.849</v>
      </c>
      <c r="U31" s="147">
        <v>1.889</v>
      </c>
      <c r="V31" s="147">
        <v>2.0619999999999998</v>
      </c>
      <c r="W31" s="147">
        <v>2.069</v>
      </c>
      <c r="X31" s="147">
        <v>2.1339999999999999</v>
      </c>
      <c r="Y31" s="147">
        <v>2.31</v>
      </c>
      <c r="Z31" s="147">
        <v>2.2559999999999998</v>
      </c>
      <c r="AA31" s="147">
        <v>2.306</v>
      </c>
      <c r="AB31" s="147">
        <v>2.2749999999999999</v>
      </c>
      <c r="AC31" s="147">
        <v>2.464</v>
      </c>
      <c r="AD31" s="315" t="s">
        <v>16</v>
      </c>
      <c r="AE31" s="315">
        <f>AC31/road_by_tot!AC31*100</f>
        <v>9.8686318487664213</v>
      </c>
      <c r="AF31" s="315">
        <f t="shared" si="2"/>
        <v>8.3076923076923066</v>
      </c>
    </row>
    <row r="32" spans="1:32" ht="12.75" customHeight="1" x14ac:dyDescent="0.2">
      <c r="A32" s="15"/>
      <c r="B32" s="17" t="s">
        <v>15</v>
      </c>
      <c r="C32" s="156" t="s">
        <v>34</v>
      </c>
      <c r="D32" s="157"/>
      <c r="E32" s="157"/>
      <c r="F32" s="157"/>
      <c r="G32" s="157"/>
      <c r="H32" s="157">
        <v>5.056</v>
      </c>
      <c r="I32" s="157">
        <v>5.3179999999999996</v>
      </c>
      <c r="J32" s="157">
        <v>5.0199999999999996</v>
      </c>
      <c r="K32" s="157">
        <v>5.2039999999999997</v>
      </c>
      <c r="L32" s="157">
        <v>5.4219999999999997</v>
      </c>
      <c r="M32" s="157">
        <v>5.6210000000000004</v>
      </c>
      <c r="N32" s="157">
        <v>5.2030000000000003</v>
      </c>
      <c r="O32" s="157">
        <v>5.617</v>
      </c>
      <c r="P32" s="157">
        <v>6.319</v>
      </c>
      <c r="Q32" s="157">
        <v>5.5190000000000001</v>
      </c>
      <c r="R32" s="157">
        <v>5.1980000000000004</v>
      </c>
      <c r="S32" s="157">
        <v>4.9059999999999997</v>
      </c>
      <c r="T32" s="157">
        <v>5.0730000000000004</v>
      </c>
      <c r="U32" s="157">
        <v>4.5659999999999998</v>
      </c>
      <c r="V32" s="157">
        <v>5.0940000000000003</v>
      </c>
      <c r="W32" s="157">
        <v>5.2450000000000001</v>
      </c>
      <c r="X32" s="157">
        <v>5.6970000000000001</v>
      </c>
      <c r="Y32" s="157">
        <v>6.3259999999999996</v>
      </c>
      <c r="Z32" s="157">
        <v>6.4770000000000003</v>
      </c>
      <c r="AA32" s="157">
        <v>6.73</v>
      </c>
      <c r="AB32" s="157">
        <v>6.4770000000000003</v>
      </c>
      <c r="AC32" s="157">
        <v>6.2949999999999999</v>
      </c>
      <c r="AD32" s="171" t="s">
        <v>15</v>
      </c>
      <c r="AE32" s="171">
        <f>AC32/road_by_tot!AC32*100</f>
        <v>20.856111055892391</v>
      </c>
      <c r="AF32" s="171">
        <f t="shared" si="2"/>
        <v>-2.8099428747877226</v>
      </c>
    </row>
    <row r="33" spans="1:32" ht="12.75" customHeight="1" x14ac:dyDescent="0.2">
      <c r="A33" s="15"/>
      <c r="B33" s="85" t="s">
        <v>31</v>
      </c>
      <c r="C33" s="146">
        <v>21.803999999999998</v>
      </c>
      <c r="D33" s="147">
        <v>22.184999999999999</v>
      </c>
      <c r="E33" s="147">
        <v>23.507999999999999</v>
      </c>
      <c r="F33" s="147">
        <v>25.611000000000001</v>
      </c>
      <c r="G33" s="147">
        <v>25.806000000000001</v>
      </c>
      <c r="H33" s="147">
        <v>27.716999999999999</v>
      </c>
      <c r="I33" s="147">
        <v>26.678000000000001</v>
      </c>
      <c r="J33" s="147">
        <v>28.071000000000002</v>
      </c>
      <c r="K33" s="147">
        <v>26.896000000000001</v>
      </c>
      <c r="L33" s="147">
        <v>27.331</v>
      </c>
      <c r="M33" s="147">
        <v>27.815000000000001</v>
      </c>
      <c r="N33" s="147">
        <v>25.465</v>
      </c>
      <c r="O33" s="147">
        <v>25.963999999999999</v>
      </c>
      <c r="P33" s="147">
        <v>27.614999999999998</v>
      </c>
      <c r="Q33" s="147">
        <v>24.393999999999998</v>
      </c>
      <c r="R33" s="147">
        <v>25.155999999999999</v>
      </c>
      <c r="S33" s="147">
        <v>23.731999999999999</v>
      </c>
      <c r="T33" s="147">
        <v>21.928000000000001</v>
      </c>
      <c r="U33" s="147">
        <v>20.968</v>
      </c>
      <c r="V33" s="147">
        <v>20.297999999999998</v>
      </c>
      <c r="W33" s="147">
        <v>21.434000000000001</v>
      </c>
      <c r="X33" s="147">
        <v>24.585999999999999</v>
      </c>
      <c r="Y33" s="147">
        <v>26.33</v>
      </c>
      <c r="Z33" s="147">
        <v>25.97</v>
      </c>
      <c r="AA33" s="147">
        <v>26.710999999999999</v>
      </c>
      <c r="AB33" s="147">
        <v>27.861999999999998</v>
      </c>
      <c r="AC33" s="147">
        <v>27.652000000000001</v>
      </c>
      <c r="AD33" s="315" t="s">
        <v>31</v>
      </c>
      <c r="AE33" s="315">
        <f>AC33/road_by_tot!AC33*100</f>
        <v>93.362144641771906</v>
      </c>
      <c r="AF33" s="315">
        <f t="shared" si="2"/>
        <v>-0.753714736917658</v>
      </c>
    </row>
    <row r="34" spans="1:32" ht="12.75" customHeight="1" x14ac:dyDescent="0.2">
      <c r="A34" s="15"/>
      <c r="B34" s="18" t="s">
        <v>32</v>
      </c>
      <c r="C34" s="342">
        <v>28.356999999999999</v>
      </c>
      <c r="D34" s="164">
        <v>30.288</v>
      </c>
      <c r="E34" s="164">
        <v>32.176000000000002</v>
      </c>
      <c r="F34" s="164">
        <v>30.369</v>
      </c>
      <c r="G34" s="164">
        <v>30.422000000000001</v>
      </c>
      <c r="H34" s="164">
        <v>31.451000000000001</v>
      </c>
      <c r="I34" s="164">
        <v>29.966999999999999</v>
      </c>
      <c r="J34" s="164">
        <v>31.835999999999999</v>
      </c>
      <c r="K34" s="164">
        <v>31.466999999999999</v>
      </c>
      <c r="L34" s="164">
        <v>32.691000000000003</v>
      </c>
      <c r="M34" s="164">
        <v>34.701000000000001</v>
      </c>
      <c r="N34" s="164">
        <v>35.473999999999997</v>
      </c>
      <c r="O34" s="164">
        <v>36.395000000000003</v>
      </c>
      <c r="P34" s="164">
        <v>37.951999999999998</v>
      </c>
      <c r="Q34" s="164">
        <v>32.122999999999998</v>
      </c>
      <c r="R34" s="164">
        <v>32.731999999999999</v>
      </c>
      <c r="S34" s="164">
        <v>33.402000000000001</v>
      </c>
      <c r="T34" s="164">
        <v>30.37</v>
      </c>
      <c r="U34" s="164">
        <v>30.715</v>
      </c>
      <c r="V34" s="356">
        <v>38.816000000000003</v>
      </c>
      <c r="W34" s="164">
        <v>38.106000000000002</v>
      </c>
      <c r="X34" s="164">
        <v>39.26</v>
      </c>
      <c r="Y34" s="164">
        <v>38.555999999999997</v>
      </c>
      <c r="Z34" s="164">
        <v>40.661999999999999</v>
      </c>
      <c r="AA34" s="164">
        <v>40.112000000000002</v>
      </c>
      <c r="AB34" s="164">
        <v>40.713999999999999</v>
      </c>
      <c r="AC34" s="164">
        <v>44.776000000000003</v>
      </c>
      <c r="AD34" s="324" t="s">
        <v>32</v>
      </c>
      <c r="AE34" s="324">
        <f>AC34/road_by_tot!AC34*100</f>
        <v>94.295040539117622</v>
      </c>
      <c r="AF34" s="324">
        <f t="shared" si="2"/>
        <v>9.9769121186815539</v>
      </c>
    </row>
    <row r="35" spans="1:32" ht="12.75" customHeight="1" x14ac:dyDescent="0.2">
      <c r="A35" s="15"/>
      <c r="B35" s="188" t="s">
        <v>3</v>
      </c>
      <c r="C35" s="203">
        <v>0.5</v>
      </c>
      <c r="D35" s="204">
        <v>0.5</v>
      </c>
      <c r="E35" s="204">
        <v>0.5</v>
      </c>
      <c r="F35" s="204">
        <v>0.5</v>
      </c>
      <c r="G35" s="204">
        <v>0.6</v>
      </c>
      <c r="H35" s="204">
        <v>0.6</v>
      </c>
      <c r="I35" s="205">
        <v>0.64200000000000002</v>
      </c>
      <c r="J35" s="205">
        <v>0.66</v>
      </c>
      <c r="K35" s="205">
        <v>0.67900000000000005</v>
      </c>
      <c r="L35" s="205">
        <v>0.69899999999999995</v>
      </c>
      <c r="M35" s="205">
        <v>0.74099999999999999</v>
      </c>
      <c r="N35" s="205">
        <v>0.78600000000000003</v>
      </c>
      <c r="O35" s="205">
        <v>0.82499999999999996</v>
      </c>
      <c r="P35" s="205">
        <v>0.80500000000000005</v>
      </c>
      <c r="Q35" s="205">
        <v>0.81299999999999994</v>
      </c>
      <c r="R35" s="205">
        <v>0.80600000000000005</v>
      </c>
      <c r="S35" s="206">
        <v>0.77700000000000002</v>
      </c>
      <c r="T35" s="206">
        <v>0.78600000000000003</v>
      </c>
      <c r="U35" s="206">
        <v>0.80800000000000005</v>
      </c>
      <c r="V35" s="206">
        <f>0.85</f>
        <v>0.85</v>
      </c>
      <c r="W35" s="206">
        <v>0.90700000000000003</v>
      </c>
      <c r="X35" s="206">
        <v>1.052</v>
      </c>
      <c r="Y35" s="206">
        <v>1.1499999999999999</v>
      </c>
      <c r="Z35" s="206">
        <f>road_by_tot!Z35</f>
        <v>1.1859999999999999</v>
      </c>
      <c r="AA35" s="206">
        <f>road_by_tot!AA35</f>
        <v>1.1759999999999999</v>
      </c>
      <c r="AB35" s="206">
        <f>road_by_tot!AB35</f>
        <v>0.91</v>
      </c>
      <c r="AC35" s="207">
        <f>road_by_tot!AC35</f>
        <v>1.0906666666666667</v>
      </c>
      <c r="AD35" s="316" t="s">
        <v>3</v>
      </c>
      <c r="AE35" s="316"/>
      <c r="AF35" s="316">
        <f>AC35/AB35*100-100</f>
        <v>19.853479853479854</v>
      </c>
    </row>
    <row r="36" spans="1:32" ht="15" customHeight="1" x14ac:dyDescent="0.2">
      <c r="A36" s="15"/>
      <c r="B36" s="17" t="s">
        <v>33</v>
      </c>
      <c r="C36" s="111" t="s">
        <v>34</v>
      </c>
      <c r="D36" s="55"/>
      <c r="E36" s="55"/>
      <c r="F36" s="55"/>
      <c r="G36" s="55">
        <v>11.742000000000001</v>
      </c>
      <c r="H36" s="55">
        <v>12.114000000000001</v>
      </c>
      <c r="I36" s="55">
        <v>12.391999999999999</v>
      </c>
      <c r="J36" s="55">
        <v>12.721</v>
      </c>
      <c r="K36" s="55">
        <v>13.522</v>
      </c>
      <c r="L36" s="55">
        <v>14.452999999999999</v>
      </c>
      <c r="M36" s="55">
        <v>15.352</v>
      </c>
      <c r="N36" s="55">
        <v>15.31</v>
      </c>
      <c r="O36" s="55">
        <v>15.427</v>
      </c>
      <c r="P36" s="55">
        <v>16.658000000000001</v>
      </c>
      <c r="Q36" s="55">
        <v>15.276999999999999</v>
      </c>
      <c r="R36" s="55">
        <v>16.344000000000001</v>
      </c>
      <c r="S36" s="55">
        <v>16.131</v>
      </c>
      <c r="T36" s="55">
        <v>16.983000000000001</v>
      </c>
      <c r="U36" s="55">
        <v>18.334</v>
      </c>
      <c r="V36" s="55">
        <v>19.033999999999999</v>
      </c>
      <c r="W36" s="55">
        <v>20.462</v>
      </c>
      <c r="X36" s="55">
        <v>18.513999999999999</v>
      </c>
      <c r="Y36" s="55">
        <v>18.741</v>
      </c>
      <c r="Z36" s="55">
        <v>18.923999999999999</v>
      </c>
      <c r="AA36" s="55">
        <v>19.399999999999999</v>
      </c>
      <c r="AB36" s="55">
        <v>19.234999999999999</v>
      </c>
      <c r="AC36" s="55">
        <v>20.414999999999999</v>
      </c>
      <c r="AD36" s="171" t="s">
        <v>33</v>
      </c>
      <c r="AE36" s="171">
        <f>AC36/road_by_tot!AC36*100</f>
        <v>90.520108189597821</v>
      </c>
      <c r="AF36" s="171">
        <f>AC36/AB36*100-100</f>
        <v>6.1346503769170795</v>
      </c>
    </row>
    <row r="37" spans="1:32" ht="14.25" customHeight="1" x14ac:dyDescent="0.2">
      <c r="A37" s="15"/>
      <c r="B37" s="208" t="s">
        <v>4</v>
      </c>
      <c r="C37" s="216">
        <v>8.3645999999999994</v>
      </c>
      <c r="D37" s="193">
        <v>8.2977000000000007</v>
      </c>
      <c r="E37" s="193">
        <v>8.4506999999999994</v>
      </c>
      <c r="F37" s="193">
        <v>8.8454999999999995</v>
      </c>
      <c r="G37" s="193">
        <v>8.7812999999999999</v>
      </c>
      <c r="H37" s="193">
        <v>8.9329999999999998</v>
      </c>
      <c r="I37" s="193">
        <v>8.6975999999999996</v>
      </c>
      <c r="J37" s="193">
        <v>8.8774999999999995</v>
      </c>
      <c r="K37" s="193">
        <v>8.8863000000000003</v>
      </c>
      <c r="L37" s="193">
        <v>9.1085390263184873</v>
      </c>
      <c r="M37" s="193">
        <v>9.2063329043271853</v>
      </c>
      <c r="N37" s="193">
        <v>9.3537256701993439</v>
      </c>
      <c r="O37" s="355">
        <v>9.6461549614199349</v>
      </c>
      <c r="P37" s="193">
        <v>9.8130000000000006</v>
      </c>
      <c r="Q37" s="193">
        <v>9.6969999999999992</v>
      </c>
      <c r="R37" s="193">
        <v>9.5500000000000007</v>
      </c>
      <c r="S37" s="193">
        <v>9.9120000000000008</v>
      </c>
      <c r="T37" s="193">
        <v>9.9909999999999997</v>
      </c>
      <c r="U37" s="193">
        <v>10.157999999999999</v>
      </c>
      <c r="V37" s="193">
        <v>10.585000000000001</v>
      </c>
      <c r="W37" s="193">
        <v>10.362</v>
      </c>
      <c r="X37" s="193">
        <v>10.138</v>
      </c>
      <c r="Y37" s="193">
        <v>10.238</v>
      </c>
      <c r="Z37" s="193">
        <v>10.715999999999999</v>
      </c>
      <c r="AA37" s="193">
        <v>10.582000000000001</v>
      </c>
      <c r="AB37" s="193">
        <v>10.648</v>
      </c>
      <c r="AC37" s="193">
        <v>10.849</v>
      </c>
      <c r="AD37" s="317" t="s">
        <v>4</v>
      </c>
      <c r="AE37" s="317">
        <f>AC37/road_by_tot!AC37*100</f>
        <v>85.438651756182068</v>
      </c>
      <c r="AF37" s="317">
        <f>AC37/AB37*100-100</f>
        <v>1.8876784372652224</v>
      </c>
    </row>
    <row r="38" spans="1:32" ht="12.75" customHeight="1" x14ac:dyDescent="0.2">
      <c r="A38" s="15"/>
      <c r="B38" s="188" t="s">
        <v>145</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385" t="s">
        <v>145</v>
      </c>
      <c r="AE38" s="528"/>
      <c r="AF38" s="528"/>
    </row>
    <row r="39" spans="1:32" ht="12.75" customHeight="1" x14ac:dyDescent="0.2">
      <c r="A39" s="15"/>
      <c r="B39" s="17" t="s">
        <v>96</v>
      </c>
      <c r="C39" s="111"/>
      <c r="D39" s="55"/>
      <c r="E39" s="55"/>
      <c r="F39" s="55"/>
      <c r="G39" s="55"/>
      <c r="H39" s="55"/>
      <c r="I39" s="55"/>
      <c r="J39" s="55"/>
      <c r="K39" s="55"/>
      <c r="L39" s="55"/>
      <c r="M39" s="55"/>
      <c r="N39" s="55"/>
      <c r="O39" s="55"/>
      <c r="P39" s="55"/>
      <c r="Q39" s="55"/>
      <c r="R39" s="55"/>
      <c r="S39" s="55"/>
      <c r="T39" s="55"/>
      <c r="U39" s="55"/>
      <c r="V39" s="55"/>
      <c r="W39" s="55"/>
      <c r="X39" s="55">
        <v>6.9000000000000006E-2</v>
      </c>
      <c r="Y39" s="55">
        <v>6.0999999999999999E-2</v>
      </c>
      <c r="Z39" s="55">
        <v>4.9000000000000002E-2</v>
      </c>
      <c r="AA39" s="150">
        <v>5.5148000000000003E-2</v>
      </c>
      <c r="AB39" s="150">
        <v>5.8000000000000003E-2</v>
      </c>
      <c r="AC39" s="150">
        <f>73923/1000000</f>
        <v>7.3923000000000003E-2</v>
      </c>
      <c r="AD39" s="17" t="s">
        <v>96</v>
      </c>
      <c r="AE39" s="171">
        <f>AC39/road_by_tot!AC39*100</f>
        <v>65.766623369690933</v>
      </c>
      <c r="AF39" s="171">
        <f t="shared" si="2"/>
        <v>27.453448275862073</v>
      </c>
    </row>
    <row r="40" spans="1:32" ht="12.75" customHeight="1" x14ac:dyDescent="0.2">
      <c r="A40" s="15"/>
      <c r="B40" s="188" t="s">
        <v>146</v>
      </c>
      <c r="C40" s="20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2"/>
      <c r="AB40" s="192"/>
      <c r="AC40" s="192"/>
      <c r="AD40" s="188" t="s">
        <v>146</v>
      </c>
      <c r="AE40" s="385"/>
      <c r="AF40" s="385"/>
    </row>
    <row r="41" spans="1:32" ht="12.75" customHeight="1" x14ac:dyDescent="0.2">
      <c r="A41" s="15"/>
      <c r="B41" s="17" t="s">
        <v>2</v>
      </c>
      <c r="C41" s="111" t="s">
        <v>34</v>
      </c>
      <c r="D41" s="55"/>
      <c r="E41" s="55"/>
      <c r="F41" s="55"/>
      <c r="G41" s="55"/>
      <c r="H41" s="55"/>
      <c r="I41" s="55"/>
      <c r="J41" s="55"/>
      <c r="K41" s="55"/>
      <c r="L41" s="55"/>
      <c r="M41" s="55">
        <v>1.405</v>
      </c>
      <c r="N41" s="55">
        <v>1.542</v>
      </c>
      <c r="O41" s="55">
        <v>1.28</v>
      </c>
      <c r="P41" s="55">
        <v>0.92600000000000005</v>
      </c>
      <c r="Q41" s="55">
        <v>1.2649999999999999</v>
      </c>
      <c r="R41" s="55">
        <v>1.246</v>
      </c>
      <c r="S41" s="55">
        <v>0.94599999999999995</v>
      </c>
      <c r="T41" s="55">
        <v>0.94499999999999995</v>
      </c>
      <c r="U41" s="55">
        <v>0.86099999999999999</v>
      </c>
      <c r="V41" s="55">
        <v>1.1279999999999999</v>
      </c>
      <c r="W41" s="55">
        <v>1.0740000000000001</v>
      </c>
      <c r="X41" s="55">
        <v>1.1739999999999999</v>
      </c>
      <c r="Y41" s="55">
        <v>1.3520000000000001</v>
      </c>
      <c r="Z41" s="55">
        <v>1.403</v>
      </c>
      <c r="AA41" s="55">
        <v>1.508</v>
      </c>
      <c r="AB41" s="55">
        <f>1.499</f>
        <v>1.4990000000000001</v>
      </c>
      <c r="AC41" s="55">
        <v>1.881</v>
      </c>
      <c r="AD41" s="17" t="s">
        <v>2</v>
      </c>
      <c r="AE41" s="171">
        <f>AC41/road_by_tot!AC41*100</f>
        <v>16.435124508519003</v>
      </c>
      <c r="AF41" s="171">
        <f t="shared" si="2"/>
        <v>25.483655770513664</v>
      </c>
    </row>
    <row r="42" spans="1:32" ht="12.75" customHeight="1" x14ac:dyDescent="0.2">
      <c r="A42" s="15"/>
      <c r="B42" s="188" t="s">
        <v>99</v>
      </c>
      <c r="C42" s="200"/>
      <c r="D42" s="190"/>
      <c r="E42" s="190"/>
      <c r="F42" s="190"/>
      <c r="G42" s="190"/>
      <c r="H42" s="190"/>
      <c r="I42" s="190"/>
      <c r="J42" s="190"/>
      <c r="K42" s="190"/>
      <c r="L42" s="190"/>
      <c r="M42" s="190"/>
      <c r="N42" s="190"/>
      <c r="O42" s="190"/>
      <c r="P42" s="190"/>
      <c r="Q42" s="190"/>
      <c r="R42" s="190"/>
      <c r="S42" s="192"/>
      <c r="T42" s="192"/>
      <c r="U42" s="192"/>
      <c r="V42" s="192"/>
      <c r="W42" s="192"/>
      <c r="X42" s="192"/>
      <c r="Y42" s="192"/>
      <c r="Z42" s="192"/>
      <c r="AA42" s="192"/>
      <c r="AB42" s="192"/>
      <c r="AC42" s="192"/>
      <c r="AD42" s="385" t="s">
        <v>99</v>
      </c>
      <c r="AE42" s="385"/>
      <c r="AF42" s="385"/>
    </row>
    <row r="43" spans="1:32" ht="12.75" customHeight="1" x14ac:dyDescent="0.2">
      <c r="A43" s="15"/>
      <c r="B43" s="17" t="s">
        <v>97</v>
      </c>
      <c r="C43" s="111"/>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17" t="s">
        <v>97</v>
      </c>
      <c r="AE43" s="171"/>
      <c r="AF43" s="171"/>
    </row>
    <row r="44" spans="1:32" ht="12.75" customHeight="1" x14ac:dyDescent="0.2">
      <c r="A44" s="15"/>
      <c r="B44" s="188" t="s">
        <v>17</v>
      </c>
      <c r="C44" s="200">
        <v>112.5</v>
      </c>
      <c r="D44" s="190">
        <v>135.80000000000001</v>
      </c>
      <c r="E44" s="190">
        <v>139.80000000000001</v>
      </c>
      <c r="F44" s="190">
        <v>152.21</v>
      </c>
      <c r="G44" s="190">
        <v>150.97399999999999</v>
      </c>
      <c r="H44" s="190">
        <v>161.55199999999999</v>
      </c>
      <c r="I44" s="190">
        <v>151.42099999999999</v>
      </c>
      <c r="J44" s="190">
        <v>150.91200000000001</v>
      </c>
      <c r="K44" s="190">
        <v>152.16300000000001</v>
      </c>
      <c r="L44" s="190">
        <v>156.85300000000001</v>
      </c>
      <c r="M44" s="190">
        <v>166.83099999999999</v>
      </c>
      <c r="N44" s="190">
        <v>177.399</v>
      </c>
      <c r="O44" s="190">
        <v>181.33</v>
      </c>
      <c r="P44" s="190">
        <v>181.935</v>
      </c>
      <c r="Q44" s="190">
        <v>176.45500000000001</v>
      </c>
      <c r="R44" s="190">
        <v>190.36500000000001</v>
      </c>
      <c r="S44" s="190">
        <v>203.072</v>
      </c>
      <c r="T44" s="190">
        <v>216.12299999999999</v>
      </c>
      <c r="U44" s="190">
        <v>224.048</v>
      </c>
      <c r="V44" s="190">
        <v>234.49199999999999</v>
      </c>
      <c r="W44" s="190">
        <v>244.32900000000001</v>
      </c>
      <c r="X44" s="190">
        <v>253.13900000000001</v>
      </c>
      <c r="Y44" s="190">
        <v>262.8</v>
      </c>
      <c r="Z44" s="190">
        <v>266.50200000000001</v>
      </c>
      <c r="AA44" s="190">
        <v>267.57900000000001</v>
      </c>
      <c r="AB44" s="190">
        <f>road_by_tot!AB44</f>
        <v>272.91300000000001</v>
      </c>
      <c r="AC44" s="190">
        <f>311.818</f>
        <v>311.81799999999998</v>
      </c>
      <c r="AD44" s="188" t="s">
        <v>17</v>
      </c>
      <c r="AE44" s="385"/>
      <c r="AF44" s="385">
        <f t="shared" si="2"/>
        <v>14.255458699292433</v>
      </c>
    </row>
    <row r="45" spans="1:32" ht="12.75" customHeight="1" x14ac:dyDescent="0.2">
      <c r="A45" s="15"/>
      <c r="B45" s="18" t="s">
        <v>144</v>
      </c>
      <c r="C45" s="56"/>
      <c r="D45" s="56"/>
      <c r="E45" s="56"/>
      <c r="F45" s="56"/>
      <c r="G45" s="56"/>
      <c r="H45" s="56"/>
      <c r="I45" s="55"/>
      <c r="J45" s="55"/>
      <c r="K45" s="55"/>
      <c r="L45" s="55"/>
      <c r="M45" s="55"/>
      <c r="N45" s="55"/>
      <c r="O45" s="55"/>
      <c r="P45" s="55"/>
      <c r="Q45" s="55"/>
      <c r="R45" s="55"/>
      <c r="S45" s="55"/>
      <c r="T45" s="55"/>
      <c r="U45" s="55"/>
      <c r="V45" s="55"/>
      <c r="W45" s="55"/>
      <c r="X45" s="55"/>
      <c r="Y45" s="55"/>
      <c r="Z45" s="55"/>
      <c r="AA45" s="55"/>
      <c r="AB45" s="55"/>
      <c r="AC45" s="55"/>
      <c r="AD45" s="17" t="s">
        <v>144</v>
      </c>
      <c r="AE45" s="171"/>
      <c r="AF45" s="171"/>
    </row>
    <row r="46" spans="1:32" ht="12.75" customHeight="1" x14ac:dyDescent="0.2">
      <c r="A46" s="15"/>
      <c r="B46" s="450" t="s">
        <v>21</v>
      </c>
      <c r="C46" s="467">
        <v>146.714</v>
      </c>
      <c r="D46" s="452">
        <v>150.19499999999999</v>
      </c>
      <c r="E46" s="452">
        <v>152.50200000000001</v>
      </c>
      <c r="F46" s="452">
        <v>155.43100000000001</v>
      </c>
      <c r="G46" s="452">
        <v>149.01900000000001</v>
      </c>
      <c r="H46" s="452">
        <v>150.33699999999999</v>
      </c>
      <c r="I46" s="452">
        <v>149.76</v>
      </c>
      <c r="J46" s="452">
        <v>150.91999999999999</v>
      </c>
      <c r="K46" s="452">
        <v>153.93299999999999</v>
      </c>
      <c r="L46" s="452">
        <v>151.179</v>
      </c>
      <c r="M46" s="452">
        <v>151.21799999999999</v>
      </c>
      <c r="N46" s="452">
        <v>154.77000000000001</v>
      </c>
      <c r="O46" s="452">
        <v>160.708</v>
      </c>
      <c r="P46" s="452">
        <v>151.14500000000001</v>
      </c>
      <c r="Q46" s="452">
        <v>131.61600000000001</v>
      </c>
      <c r="R46" s="452">
        <v>137.75299999999999</v>
      </c>
      <c r="S46" s="468">
        <v>139.916</v>
      </c>
      <c r="T46" s="468">
        <v>142.55199999999999</v>
      </c>
      <c r="U46" s="468">
        <v>131.334</v>
      </c>
      <c r="V46" s="468">
        <v>127.672</v>
      </c>
      <c r="W46" s="468">
        <v>142.86799999999999</v>
      </c>
      <c r="X46" s="468">
        <v>148.721</v>
      </c>
      <c r="Y46" s="468">
        <v>147.34899999999999</v>
      </c>
      <c r="Z46" s="468">
        <v>151.916</v>
      </c>
      <c r="AA46" s="468">
        <v>154.41900000000001</v>
      </c>
      <c r="AB46" s="469">
        <v>140.5</v>
      </c>
      <c r="AC46" s="470">
        <f>AB46+AB46*AF7/100</f>
        <v>149.37580069279829</v>
      </c>
      <c r="AD46" s="471" t="s">
        <v>21</v>
      </c>
      <c r="AE46" s="471">
        <f>AC46/road_by_tot!AC46*100</f>
        <v>96.55466393040804</v>
      </c>
      <c r="AF46" s="471">
        <f>AC46/AB46*100-100</f>
        <v>6.3172958667603467</v>
      </c>
    </row>
    <row r="47" spans="1:32" x14ac:dyDescent="0.2">
      <c r="B47" s="576" t="s">
        <v>154</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327"/>
      <c r="AF47" s="127"/>
    </row>
    <row r="48" spans="1:32" x14ac:dyDescent="0.2">
      <c r="B48" s="375"/>
      <c r="F48" s="127"/>
      <c r="U48" s="294"/>
      <c r="X48" s="294"/>
    </row>
    <row r="49" spans="2:31" x14ac:dyDescent="0.2">
      <c r="O49" s="1"/>
      <c r="AE49" s="327"/>
    </row>
    <row r="50" spans="2:31" x14ac:dyDescent="0.2">
      <c r="B50" s="1"/>
      <c r="S50" s="157"/>
      <c r="T50" s="157"/>
      <c r="U50" s="157"/>
      <c r="V50" s="157"/>
      <c r="W50" s="157"/>
      <c r="X50" s="348"/>
      <c r="Y50" s="1"/>
    </row>
    <row r="84" spans="10:12" ht="14.25" x14ac:dyDescent="0.2">
      <c r="J84" s="176"/>
      <c r="K84" s="175"/>
      <c r="L84" s="175"/>
    </row>
    <row r="85" spans="10:12" x14ac:dyDescent="0.2">
      <c r="J85" s="176"/>
      <c r="K85" s="176"/>
    </row>
  </sheetData>
  <mergeCells count="5">
    <mergeCell ref="B2:AD2"/>
    <mergeCell ref="B3:AD3"/>
    <mergeCell ref="AE2:AE5"/>
    <mergeCell ref="B47:AD47"/>
    <mergeCell ref="AB4:AC4"/>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5">
    <pageSetUpPr fitToPage="1"/>
  </sheetPr>
  <dimension ref="A1:AF59"/>
  <sheetViews>
    <sheetView zoomScaleNormal="100" workbookViewId="0">
      <selection activeCell="A69" sqref="A69"/>
    </sheetView>
  </sheetViews>
  <sheetFormatPr defaultRowHeight="12.75" x14ac:dyDescent="0.2"/>
  <cols>
    <col min="1" max="1" width="3.7109375" customWidth="1"/>
    <col min="2" max="2" width="5.28515625" customWidth="1"/>
    <col min="3" max="3" width="7.7109375" customWidth="1"/>
    <col min="4" max="7" width="6.7109375" customWidth="1"/>
    <col min="8" max="12" width="7.7109375" customWidth="1"/>
    <col min="13" max="13" width="7.7109375" hidden="1" customWidth="1"/>
    <col min="14" max="24" width="8.28515625" hidden="1" customWidth="1"/>
    <col min="25" max="25" width="8.28515625" customWidth="1"/>
    <col min="26" max="29" width="7.140625" customWidth="1"/>
    <col min="30" max="30" width="5.42578125" customWidth="1"/>
    <col min="31" max="31" width="5.7109375" customWidth="1"/>
    <col min="32" max="32" width="6.42578125" style="349" customWidth="1"/>
  </cols>
  <sheetData>
    <row r="1" spans="1:32" ht="14.25" customHeight="1" x14ac:dyDescent="0.2">
      <c r="B1" s="39"/>
      <c r="C1" s="37"/>
      <c r="D1" s="37"/>
      <c r="E1" s="37"/>
      <c r="F1" s="37"/>
      <c r="G1" s="37"/>
      <c r="H1" s="37"/>
      <c r="I1" s="37"/>
      <c r="J1" s="40"/>
      <c r="AD1" s="38" t="s">
        <v>79</v>
      </c>
    </row>
    <row r="2" spans="1:32" s="77" customFormat="1" ht="21" customHeight="1" x14ac:dyDescent="0.2">
      <c r="B2" s="544" t="s">
        <v>129</v>
      </c>
      <c r="C2" s="570"/>
      <c r="D2" s="570"/>
      <c r="E2" s="570"/>
      <c r="F2" s="570"/>
      <c r="G2" s="570"/>
      <c r="H2" s="570"/>
      <c r="I2" s="570"/>
      <c r="J2" s="570"/>
      <c r="K2" s="570"/>
      <c r="L2" s="570"/>
      <c r="M2" s="570"/>
      <c r="N2" s="570"/>
      <c r="O2" s="570"/>
      <c r="P2" s="570"/>
      <c r="Q2" s="570"/>
      <c r="R2" s="59"/>
      <c r="S2" s="59"/>
      <c r="T2" s="59"/>
      <c r="U2" s="59"/>
      <c r="V2" s="59"/>
      <c r="W2" s="59"/>
      <c r="X2" s="59"/>
      <c r="Y2" s="59"/>
      <c r="Z2" s="59"/>
      <c r="AA2" s="390"/>
      <c r="AB2" s="410"/>
      <c r="AC2" s="441"/>
      <c r="AD2" s="131"/>
      <c r="AE2" s="573" t="s">
        <v>90</v>
      </c>
      <c r="AF2" s="350"/>
    </row>
    <row r="3" spans="1:32" ht="33.75" customHeight="1" x14ac:dyDescent="0.2">
      <c r="B3" s="571" t="s">
        <v>127</v>
      </c>
      <c r="C3" s="572"/>
      <c r="D3" s="572"/>
      <c r="E3" s="572"/>
      <c r="F3" s="572"/>
      <c r="G3" s="572"/>
      <c r="H3" s="572"/>
      <c r="I3" s="572"/>
      <c r="J3" s="572"/>
      <c r="K3" s="572"/>
      <c r="L3" s="572"/>
      <c r="M3" s="572"/>
      <c r="N3" s="572"/>
      <c r="O3" s="572"/>
      <c r="P3" s="572"/>
      <c r="Q3" s="572"/>
      <c r="R3" s="46"/>
      <c r="S3" s="46"/>
      <c r="T3" s="46"/>
      <c r="U3" s="46"/>
      <c r="V3" s="46"/>
      <c r="W3" s="46"/>
      <c r="X3" s="46"/>
      <c r="Y3" s="46"/>
      <c r="Z3" s="46"/>
      <c r="AA3" s="391"/>
      <c r="AB3" s="411"/>
      <c r="AC3" s="442"/>
      <c r="AD3" s="132"/>
      <c r="AE3" s="574"/>
      <c r="AF3" s="351"/>
    </row>
    <row r="4" spans="1:32" ht="11.25" customHeight="1" x14ac:dyDescent="0.2">
      <c r="B4" s="4"/>
      <c r="C4" s="52"/>
      <c r="D4" s="52"/>
      <c r="E4" s="52"/>
      <c r="F4" s="52"/>
      <c r="G4" s="52"/>
      <c r="H4" s="52"/>
      <c r="J4" s="21"/>
      <c r="K4" s="21"/>
      <c r="L4" s="21"/>
      <c r="Q4" s="173"/>
      <c r="R4" s="21"/>
      <c r="S4" s="21"/>
      <c r="T4" s="21"/>
      <c r="U4" s="21"/>
      <c r="V4" s="21"/>
      <c r="W4" s="21"/>
      <c r="Y4" s="173"/>
      <c r="Z4" s="444"/>
      <c r="AA4" s="283"/>
      <c r="AB4" s="283"/>
      <c r="AC4" s="283" t="s">
        <v>95</v>
      </c>
      <c r="AD4" s="302"/>
      <c r="AE4" s="574"/>
      <c r="AF4" s="352"/>
    </row>
    <row r="5" spans="1:32" ht="20.100000000000001" customHeight="1" x14ac:dyDescent="0.2">
      <c r="B5" s="4"/>
      <c r="C5" s="81">
        <v>1995</v>
      </c>
      <c r="D5" s="82">
        <v>1996</v>
      </c>
      <c r="E5" s="82">
        <v>1997</v>
      </c>
      <c r="F5" s="82">
        <v>1998</v>
      </c>
      <c r="G5" s="82">
        <v>1999</v>
      </c>
      <c r="H5" s="82">
        <v>2000</v>
      </c>
      <c r="I5" s="82">
        <v>2001</v>
      </c>
      <c r="J5" s="82">
        <v>2002</v>
      </c>
      <c r="K5" s="82">
        <v>2003</v>
      </c>
      <c r="L5" s="82">
        <v>2004</v>
      </c>
      <c r="M5" s="82">
        <v>2005</v>
      </c>
      <c r="N5" s="82">
        <v>2006</v>
      </c>
      <c r="O5" s="82">
        <v>2007</v>
      </c>
      <c r="P5" s="82">
        <v>2008</v>
      </c>
      <c r="Q5" s="82">
        <v>2009</v>
      </c>
      <c r="R5" s="82">
        <v>2010</v>
      </c>
      <c r="S5" s="82">
        <v>2011</v>
      </c>
      <c r="T5" s="82">
        <v>2012</v>
      </c>
      <c r="U5" s="82">
        <v>2013</v>
      </c>
      <c r="V5" s="82">
        <v>2014</v>
      </c>
      <c r="W5" s="82">
        <v>2015</v>
      </c>
      <c r="X5" s="82">
        <v>2016</v>
      </c>
      <c r="Y5" s="82">
        <v>2017</v>
      </c>
      <c r="Z5" s="293">
        <v>2018</v>
      </c>
      <c r="AA5" s="82">
        <v>2019</v>
      </c>
      <c r="AB5" s="293">
        <v>2020</v>
      </c>
      <c r="AC5" s="135">
        <v>2021</v>
      </c>
      <c r="AD5" s="314"/>
      <c r="AE5" s="575"/>
      <c r="AF5" s="506" t="s">
        <v>148</v>
      </c>
    </row>
    <row r="6" spans="1:32" ht="9.9499999999999993" customHeight="1" x14ac:dyDescent="0.2">
      <c r="B6" s="4"/>
      <c r="C6" s="83"/>
      <c r="D6" s="80"/>
      <c r="E6" s="80"/>
      <c r="F6" s="80"/>
      <c r="G6" s="80"/>
      <c r="H6" s="80"/>
      <c r="I6" s="80"/>
      <c r="J6" s="80"/>
      <c r="K6" s="80"/>
      <c r="L6" s="80"/>
      <c r="M6" s="80"/>
      <c r="N6" s="80"/>
      <c r="O6" s="80"/>
      <c r="P6" s="80"/>
      <c r="Q6" s="80"/>
      <c r="R6" s="80"/>
      <c r="S6" s="80"/>
      <c r="T6" s="80"/>
      <c r="U6" s="80"/>
      <c r="V6" s="80"/>
      <c r="W6" s="80"/>
      <c r="X6" s="80"/>
      <c r="Y6" s="80"/>
      <c r="Z6" s="80"/>
      <c r="AA6" s="80"/>
      <c r="AB6" s="80"/>
      <c r="AC6" s="80"/>
      <c r="AD6" s="87"/>
      <c r="AE6" s="133">
        <v>2021</v>
      </c>
      <c r="AF6" s="72" t="s">
        <v>63</v>
      </c>
    </row>
    <row r="7" spans="1:32" ht="12.75" customHeight="1" x14ac:dyDescent="0.2">
      <c r="B7" s="270" t="s">
        <v>111</v>
      </c>
      <c r="C7" s="277"/>
      <c r="D7" s="277"/>
      <c r="E7" s="277"/>
      <c r="F7" s="277"/>
      <c r="G7" s="277"/>
      <c r="H7" s="277">
        <f>SUM(H8:H34)</f>
        <v>406.29499999999996</v>
      </c>
      <c r="I7" s="277">
        <f t="shared" ref="I7:V7" si="0">SUM(I8:I34)</f>
        <v>433.54399999999998</v>
      </c>
      <c r="J7" s="277">
        <f t="shared" si="0"/>
        <v>457.93099999999987</v>
      </c>
      <c r="K7" s="277">
        <f t="shared" si="0"/>
        <v>467.04599999999994</v>
      </c>
      <c r="L7" s="277">
        <f t="shared" si="0"/>
        <v>539.81100000000015</v>
      </c>
      <c r="M7" s="277">
        <f t="shared" si="0"/>
        <v>558.70600000000013</v>
      </c>
      <c r="N7" s="277">
        <f t="shared" si="0"/>
        <v>595.07399999999973</v>
      </c>
      <c r="O7" s="277">
        <f t="shared" si="0"/>
        <v>616.899</v>
      </c>
      <c r="P7" s="277">
        <f t="shared" si="0"/>
        <v>606.1930000000001</v>
      </c>
      <c r="Q7" s="277">
        <f t="shared" si="0"/>
        <v>533.14699999999993</v>
      </c>
      <c r="R7" s="277">
        <f t="shared" si="0"/>
        <v>574.2589999999999</v>
      </c>
      <c r="S7" s="277">
        <f t="shared" si="0"/>
        <v>566.84799999999996</v>
      </c>
      <c r="T7" s="277">
        <f t="shared" si="0"/>
        <v>568.22500000000014</v>
      </c>
      <c r="U7" s="277">
        <f t="shared" si="0"/>
        <v>597.70100000000002</v>
      </c>
      <c r="V7" s="277">
        <f t="shared" si="0"/>
        <v>606.54899999999998</v>
      </c>
      <c r="W7" s="277">
        <f>SUM(W8:W34)</f>
        <v>612.57199999999989</v>
      </c>
      <c r="X7" s="277">
        <f t="shared" ref="X7:AC7" si="1">SUM(X8:X34)</f>
        <v>646.54499999999996</v>
      </c>
      <c r="Y7" s="277">
        <f t="shared" si="1"/>
        <v>694.3119999999999</v>
      </c>
      <c r="Z7" s="277">
        <f t="shared" si="1"/>
        <v>675.30300000000011</v>
      </c>
      <c r="AA7" s="277">
        <f t="shared" si="1"/>
        <v>702.30500000000006</v>
      </c>
      <c r="AB7" s="277">
        <f t="shared" si="1"/>
        <v>695.178</v>
      </c>
      <c r="AC7" s="277">
        <f t="shared" si="1"/>
        <v>743.16</v>
      </c>
      <c r="AD7" s="270" t="s">
        <v>111</v>
      </c>
      <c r="AE7" s="274">
        <f>AC7/road_by_tot!AC7*100</f>
        <v>38.677463492015576</v>
      </c>
      <c r="AF7" s="274">
        <f>AC7/AB7*100-100</f>
        <v>6.9021171556061773</v>
      </c>
    </row>
    <row r="8" spans="1:32" ht="12.75" customHeight="1" x14ac:dyDescent="0.2">
      <c r="A8" s="15"/>
      <c r="B8" s="17" t="s">
        <v>22</v>
      </c>
      <c r="C8" s="143">
        <v>26.984000000000002</v>
      </c>
      <c r="D8" s="144">
        <v>25.184999999999999</v>
      </c>
      <c r="E8" s="144">
        <v>25.274000000000004</v>
      </c>
      <c r="F8" s="144">
        <v>24.407</v>
      </c>
      <c r="G8" s="145">
        <v>21.526</v>
      </c>
      <c r="H8" s="144">
        <v>31.292999999999999</v>
      </c>
      <c r="I8" s="144">
        <v>32.616999999999997</v>
      </c>
      <c r="J8" s="144">
        <v>32.496000000000002</v>
      </c>
      <c r="K8" s="144">
        <v>30.959</v>
      </c>
      <c r="L8" s="144">
        <v>28.462</v>
      </c>
      <c r="M8" s="144">
        <v>24.565000000000001</v>
      </c>
      <c r="N8" s="144">
        <v>23.402000000000001</v>
      </c>
      <c r="O8" s="144">
        <v>22.434999999999999</v>
      </c>
      <c r="P8" s="144">
        <v>20.149000000000001</v>
      </c>
      <c r="Q8" s="144">
        <v>18.571999999999999</v>
      </c>
      <c r="R8" s="144">
        <v>17.245999999999999</v>
      </c>
      <c r="S8" s="144">
        <v>15.358000000000001</v>
      </c>
      <c r="T8" s="144">
        <v>13.919</v>
      </c>
      <c r="U8" s="144">
        <v>13.816000000000001</v>
      </c>
      <c r="V8" s="144">
        <v>12.641</v>
      </c>
      <c r="W8" s="373">
        <v>14.8</v>
      </c>
      <c r="X8" s="144">
        <v>13.763999999999999</v>
      </c>
      <c r="Y8" s="144">
        <v>13.587999999999999</v>
      </c>
      <c r="Z8" s="169">
        <v>12.092000000000001</v>
      </c>
      <c r="AA8" s="169">
        <v>13.102</v>
      </c>
      <c r="AB8" s="169">
        <v>12.842000000000001</v>
      </c>
      <c r="AC8" s="179">
        <v>12.917999999999999</v>
      </c>
      <c r="AD8" s="17" t="s">
        <v>22</v>
      </c>
      <c r="AE8" s="171">
        <f>AC8/road_by_tot!AC8*100</f>
        <v>35.709744298548721</v>
      </c>
      <c r="AF8" s="171">
        <f>AC8/AB8*100-100</f>
        <v>0.59180812957481521</v>
      </c>
    </row>
    <row r="9" spans="1:32" ht="12.75" customHeight="1" x14ac:dyDescent="0.2">
      <c r="A9" s="15"/>
      <c r="B9" s="85" t="s">
        <v>5</v>
      </c>
      <c r="C9" s="146"/>
      <c r="D9" s="147"/>
      <c r="E9" s="147"/>
      <c r="F9" s="147"/>
      <c r="G9" s="147"/>
      <c r="H9" s="147">
        <v>3.343</v>
      </c>
      <c r="I9" s="147">
        <v>4.7370000000000001</v>
      </c>
      <c r="J9" s="147">
        <v>4.8730000000000002</v>
      </c>
      <c r="K9" s="147">
        <v>4.9109999999999996</v>
      </c>
      <c r="L9" s="147">
        <v>7.3490000000000002</v>
      </c>
      <c r="M9" s="147">
        <v>9.3260000000000005</v>
      </c>
      <c r="N9" s="147">
        <v>7.9589999999999996</v>
      </c>
      <c r="O9" s="147">
        <v>8.734</v>
      </c>
      <c r="P9" s="147">
        <v>8.1999999999999993</v>
      </c>
      <c r="Q9" s="147">
        <v>11.436</v>
      </c>
      <c r="R9" s="147">
        <v>13.313000000000001</v>
      </c>
      <c r="S9" s="147">
        <v>14.696</v>
      </c>
      <c r="T9" s="147">
        <v>18.085999999999999</v>
      </c>
      <c r="U9" s="147">
        <v>19.905000000000001</v>
      </c>
      <c r="V9" s="147">
        <v>21.027000000000001</v>
      </c>
      <c r="W9" s="147">
        <v>25.125</v>
      </c>
      <c r="X9" s="147">
        <v>28.085000000000001</v>
      </c>
      <c r="Y9" s="147">
        <v>26.821999999999999</v>
      </c>
      <c r="Z9" s="147">
        <v>19.216000000000001</v>
      </c>
      <c r="AA9" s="147">
        <v>14.832000000000001</v>
      </c>
      <c r="AB9" s="147">
        <v>25.155999999999999</v>
      </c>
      <c r="AC9" s="148">
        <v>26.100999999999999</v>
      </c>
      <c r="AD9" s="85" t="s">
        <v>5</v>
      </c>
      <c r="AE9" s="315">
        <f>AC9/road_by_tot!AC9*100</f>
        <v>74.298320523768851</v>
      </c>
      <c r="AF9" s="315">
        <f t="shared" ref="AF9:AF34" si="2">AC9/AB9*100-100</f>
        <v>3.7565590713944914</v>
      </c>
    </row>
    <row r="10" spans="1:32" ht="12.75" customHeight="1" x14ac:dyDescent="0.2">
      <c r="A10" s="15"/>
      <c r="B10" s="17" t="s">
        <v>7</v>
      </c>
      <c r="C10" s="149"/>
      <c r="D10" s="150"/>
      <c r="E10" s="150"/>
      <c r="F10" s="150"/>
      <c r="G10" s="150"/>
      <c r="H10" s="150">
        <v>23.096</v>
      </c>
      <c r="I10" s="150">
        <v>24.06</v>
      </c>
      <c r="J10" s="150">
        <v>27.356000000000002</v>
      </c>
      <c r="K10" s="150">
        <v>29.172000000000001</v>
      </c>
      <c r="L10" s="150">
        <v>29.965</v>
      </c>
      <c r="M10" s="150">
        <v>27.928999999999998</v>
      </c>
      <c r="N10" s="150">
        <v>34.293999999999997</v>
      </c>
      <c r="O10" s="150">
        <v>32.31</v>
      </c>
      <c r="P10" s="150">
        <v>35.128999999999998</v>
      </c>
      <c r="Q10" s="150">
        <v>31.474</v>
      </c>
      <c r="R10" s="150">
        <v>37.07</v>
      </c>
      <c r="S10" s="150">
        <v>39.844999999999999</v>
      </c>
      <c r="T10" s="150">
        <v>36.825000000000003</v>
      </c>
      <c r="U10" s="150">
        <v>39.5</v>
      </c>
      <c r="V10" s="150">
        <v>37.279000000000003</v>
      </c>
      <c r="W10" s="150">
        <v>37.530999999999999</v>
      </c>
      <c r="X10" s="150">
        <v>28.01</v>
      </c>
      <c r="Y10" s="150">
        <v>22.373999999999999</v>
      </c>
      <c r="Z10" s="150">
        <v>17.53</v>
      </c>
      <c r="AA10" s="150">
        <v>14.047000000000001</v>
      </c>
      <c r="AB10" s="150">
        <v>27.818999999999999</v>
      </c>
      <c r="AC10" s="170">
        <v>33.991999999999997</v>
      </c>
      <c r="AD10" s="17" t="s">
        <v>7</v>
      </c>
      <c r="AE10" s="171">
        <f>AC10/road_by_tot!AC10*100</f>
        <v>53.31576635924462</v>
      </c>
      <c r="AF10" s="171">
        <f t="shared" si="2"/>
        <v>22.189870232574862</v>
      </c>
    </row>
    <row r="11" spans="1:32" ht="12.75" customHeight="1" x14ac:dyDescent="0.2">
      <c r="A11" s="15"/>
      <c r="B11" s="85" t="s">
        <v>18</v>
      </c>
      <c r="C11" s="146">
        <v>13.072999999999999</v>
      </c>
      <c r="D11" s="147">
        <v>11.868</v>
      </c>
      <c r="E11" s="147">
        <v>11.788</v>
      </c>
      <c r="F11" s="147">
        <v>11.291999999999998</v>
      </c>
      <c r="G11" s="147">
        <v>12.814</v>
      </c>
      <c r="H11" s="147">
        <v>13.021000000000001</v>
      </c>
      <c r="I11" s="147">
        <v>11.269</v>
      </c>
      <c r="J11" s="147">
        <v>11.459</v>
      </c>
      <c r="K11" s="147">
        <v>11.997</v>
      </c>
      <c r="L11" s="147">
        <v>12.574999999999999</v>
      </c>
      <c r="M11" s="147">
        <v>12.241</v>
      </c>
      <c r="N11" s="147">
        <v>9.76</v>
      </c>
      <c r="O11" s="147">
        <v>9.16</v>
      </c>
      <c r="P11" s="147">
        <v>8.7620000000000005</v>
      </c>
      <c r="Q11" s="147">
        <v>6.8739999999999997</v>
      </c>
      <c r="R11" s="147">
        <v>4.4450000000000003</v>
      </c>
      <c r="S11" s="147">
        <v>4.0949999999999998</v>
      </c>
      <c r="T11" s="147">
        <v>4.3869999999999996</v>
      </c>
      <c r="U11" s="147">
        <v>3.855</v>
      </c>
      <c r="V11" s="147">
        <v>3.2410000000000001</v>
      </c>
      <c r="W11" s="147">
        <v>2.9689999999999999</v>
      </c>
      <c r="X11" s="147">
        <v>3.0569999999999999</v>
      </c>
      <c r="Y11" s="147">
        <v>2.9249999999999998</v>
      </c>
      <c r="Z11" s="147">
        <v>2.923</v>
      </c>
      <c r="AA11" s="147">
        <v>2.8260000000000001</v>
      </c>
      <c r="AB11" s="147">
        <v>2.2789999999999999</v>
      </c>
      <c r="AC11" s="148">
        <v>2.4790000000000001</v>
      </c>
      <c r="AD11" s="85" t="s">
        <v>18</v>
      </c>
      <c r="AE11" s="315">
        <f>AC11/road_by_tot!AC11*100</f>
        <v>16.15825837570069</v>
      </c>
      <c r="AF11" s="315">
        <f t="shared" si="2"/>
        <v>8.7757788503729728</v>
      </c>
    </row>
    <row r="12" spans="1:32" ht="12.75" customHeight="1" x14ac:dyDescent="0.2">
      <c r="A12" s="15"/>
      <c r="B12" s="17" t="s">
        <v>23</v>
      </c>
      <c r="C12" s="149">
        <v>36.501000000000005</v>
      </c>
      <c r="D12" s="150">
        <v>37.405000000000001</v>
      </c>
      <c r="E12" s="150">
        <v>42.781000000000006</v>
      </c>
      <c r="F12" s="150">
        <v>46.99799999999999</v>
      </c>
      <c r="G12" s="150">
        <v>51.539000000000001</v>
      </c>
      <c r="H12" s="150">
        <v>54.179000000000002</v>
      </c>
      <c r="I12" s="150">
        <v>58.948</v>
      </c>
      <c r="J12" s="150">
        <v>59.74</v>
      </c>
      <c r="K12" s="150">
        <v>63.54</v>
      </c>
      <c r="L12" s="150">
        <v>71.448999999999998</v>
      </c>
      <c r="M12" s="150">
        <v>72.486999999999995</v>
      </c>
      <c r="N12" s="150">
        <v>78.637</v>
      </c>
      <c r="O12" s="150">
        <v>82.006</v>
      </c>
      <c r="P12" s="150">
        <v>76.986999999999995</v>
      </c>
      <c r="Q12" s="150">
        <v>61.978999999999999</v>
      </c>
      <c r="R12" s="150">
        <v>60.642000000000003</v>
      </c>
      <c r="S12" s="150">
        <v>58.807000000000002</v>
      </c>
      <c r="T12" s="150">
        <v>52.51</v>
      </c>
      <c r="U12" s="150">
        <v>49.021999999999998</v>
      </c>
      <c r="V12" s="150">
        <v>47.11</v>
      </c>
      <c r="W12" s="150">
        <v>45.165999999999997</v>
      </c>
      <c r="X12" s="150">
        <v>44.094999999999999</v>
      </c>
      <c r="Y12" s="150">
        <v>41.482999999999997</v>
      </c>
      <c r="Z12" s="150">
        <v>40.621000000000002</v>
      </c>
      <c r="AA12" s="150">
        <v>37.838000000000001</v>
      </c>
      <c r="AB12" s="150">
        <v>34.685000000000002</v>
      </c>
      <c r="AC12" s="170">
        <v>35.271999999999998</v>
      </c>
      <c r="AD12" s="17" t="s">
        <v>23</v>
      </c>
      <c r="AE12" s="171">
        <f>AC12/road_by_tot!AC12*100</f>
        <v>11.47908042385899</v>
      </c>
      <c r="AF12" s="171">
        <f t="shared" si="2"/>
        <v>1.6923742251693739</v>
      </c>
    </row>
    <row r="13" spans="1:32" ht="12.75" customHeight="1" x14ac:dyDescent="0.2">
      <c r="A13" s="15"/>
      <c r="B13" s="85" t="s">
        <v>8</v>
      </c>
      <c r="C13" s="151">
        <v>1.1000000000000001</v>
      </c>
      <c r="D13" s="152">
        <v>1.4550000000000001</v>
      </c>
      <c r="E13" s="152">
        <v>2.2629999999999999</v>
      </c>
      <c r="F13" s="152">
        <v>3.2530000000000001</v>
      </c>
      <c r="G13" s="152">
        <v>3.2410000000000001</v>
      </c>
      <c r="H13" s="152">
        <v>3.2170000000000001</v>
      </c>
      <c r="I13" s="147">
        <v>4.1289999999999996</v>
      </c>
      <c r="J13" s="153">
        <v>3.625</v>
      </c>
      <c r="K13" s="147">
        <v>2.4060000000000001</v>
      </c>
      <c r="L13" s="152">
        <v>3.62</v>
      </c>
      <c r="M13" s="152">
        <v>3.9769999999999999</v>
      </c>
      <c r="N13" s="152">
        <v>3.569</v>
      </c>
      <c r="O13" s="152">
        <v>4.4749999999999996</v>
      </c>
      <c r="P13" s="152">
        <v>5.5220000000000002</v>
      </c>
      <c r="Q13" s="152">
        <v>4.0140000000000002</v>
      </c>
      <c r="R13" s="152">
        <v>4.226</v>
      </c>
      <c r="S13" s="152">
        <v>4.3520000000000003</v>
      </c>
      <c r="T13" s="152">
        <v>4.1920000000000002</v>
      </c>
      <c r="U13" s="152">
        <v>4.3940000000000001</v>
      </c>
      <c r="V13" s="152">
        <v>4.7690000000000001</v>
      </c>
      <c r="W13" s="152">
        <v>4.7389999999999999</v>
      </c>
      <c r="X13" s="152">
        <v>4.9240000000000004</v>
      </c>
      <c r="Y13" s="152">
        <v>4.5579999999999998</v>
      </c>
      <c r="Z13" s="152">
        <v>4.0890000000000004</v>
      </c>
      <c r="AA13" s="152">
        <v>3.0840000000000001</v>
      </c>
      <c r="AB13" s="152">
        <v>3.0059999999999998</v>
      </c>
      <c r="AC13" s="178">
        <v>3.4369999999999998</v>
      </c>
      <c r="AD13" s="85" t="s">
        <v>8</v>
      </c>
      <c r="AE13" s="315">
        <f>AC13/road_by_tot!AC13*100</f>
        <v>65.629177009738399</v>
      </c>
      <c r="AF13" s="315">
        <f t="shared" si="2"/>
        <v>14.337990685296091</v>
      </c>
    </row>
    <row r="14" spans="1:32" ht="12.75" customHeight="1" x14ac:dyDescent="0.2">
      <c r="A14" s="15"/>
      <c r="B14" s="17" t="s">
        <v>26</v>
      </c>
      <c r="C14" s="143">
        <v>0.8</v>
      </c>
      <c r="D14" s="144">
        <v>1.6</v>
      </c>
      <c r="E14" s="144">
        <v>2.2999999999999998</v>
      </c>
      <c r="F14" s="144">
        <v>3.5</v>
      </c>
      <c r="G14" s="144">
        <v>2.4689999999999994</v>
      </c>
      <c r="H14" s="144">
        <v>3.9380000000000002</v>
      </c>
      <c r="I14" s="144">
        <v>3.2029999999999998</v>
      </c>
      <c r="J14" s="144">
        <v>3.5449999999999999</v>
      </c>
      <c r="K14" s="144">
        <v>3.7149999999999999</v>
      </c>
      <c r="L14" s="144">
        <v>3.9279999999999999</v>
      </c>
      <c r="M14" s="144">
        <v>3.9260000000000002</v>
      </c>
      <c r="N14" s="144">
        <v>3.6219999999999999</v>
      </c>
      <c r="O14" s="144">
        <v>4.5919999999999996</v>
      </c>
      <c r="P14" s="144">
        <v>4.1369999999999996</v>
      </c>
      <c r="Q14" s="144">
        <v>3.218</v>
      </c>
      <c r="R14" s="144">
        <v>2.7170000000000001</v>
      </c>
      <c r="S14" s="144">
        <v>2.6379999999999999</v>
      </c>
      <c r="T14" s="144">
        <v>2.5569999999999999</v>
      </c>
      <c r="U14" s="144">
        <v>1.9990000000000001</v>
      </c>
      <c r="V14" s="144">
        <v>2.0470000000000002</v>
      </c>
      <c r="W14" s="144">
        <v>2.141</v>
      </c>
      <c r="X14" s="144">
        <v>2.335</v>
      </c>
      <c r="Y14" s="144">
        <v>2.5110000000000001</v>
      </c>
      <c r="Z14" s="144">
        <v>2.1989999999999998</v>
      </c>
      <c r="AA14" s="144">
        <v>2.4420000000000002</v>
      </c>
      <c r="AB14" s="144">
        <v>2.3650000000000002</v>
      </c>
      <c r="AC14" s="179">
        <v>2.2549999999999999</v>
      </c>
      <c r="AD14" s="17" t="s">
        <v>26</v>
      </c>
      <c r="AE14" s="171">
        <f>AC14/road_by_tot!AC14*100</f>
        <v>18.050108060513885</v>
      </c>
      <c r="AF14" s="171">
        <f t="shared" si="2"/>
        <v>-4.6511627906976827</v>
      </c>
    </row>
    <row r="15" spans="1:32" ht="12.75" customHeight="1" x14ac:dyDescent="0.2">
      <c r="A15" s="15"/>
      <c r="B15" s="85" t="s">
        <v>19</v>
      </c>
      <c r="C15" s="154">
        <v>4</v>
      </c>
      <c r="D15" s="155">
        <v>4.05</v>
      </c>
      <c r="E15" s="155">
        <v>4.12</v>
      </c>
      <c r="F15" s="155">
        <v>4.2</v>
      </c>
      <c r="G15" s="155">
        <v>4.3</v>
      </c>
      <c r="H15" s="155">
        <v>4.5</v>
      </c>
      <c r="I15" s="155">
        <v>4.5999999999999996</v>
      </c>
      <c r="J15" s="155">
        <v>4.7</v>
      </c>
      <c r="K15" s="152">
        <v>4.0640000000000001</v>
      </c>
      <c r="L15" s="152">
        <v>5.0279999999999996</v>
      </c>
      <c r="M15" s="152">
        <v>4.1509999999999998</v>
      </c>
      <c r="N15" s="155">
        <v>7.8650000000000002</v>
      </c>
      <c r="O15" s="147">
        <v>6.0620000000000003</v>
      </c>
      <c r="P15" s="147">
        <v>4.5039999999999996</v>
      </c>
      <c r="Q15" s="147">
        <v>4.3570000000000002</v>
      </c>
      <c r="R15" s="147">
        <v>4.5590000000000002</v>
      </c>
      <c r="S15" s="147">
        <v>3.7879999999999998</v>
      </c>
      <c r="T15" s="147">
        <v>4.3529999999999998</v>
      </c>
      <c r="U15" s="147">
        <v>3.8639999999999999</v>
      </c>
      <c r="V15" s="147">
        <v>4.1040000000000001</v>
      </c>
      <c r="W15" s="147">
        <v>4.7409999999999997</v>
      </c>
      <c r="X15" s="194">
        <v>4.2220000000000004</v>
      </c>
      <c r="Y15" s="155">
        <v>12.906000000000001</v>
      </c>
      <c r="Z15" s="155">
        <v>13.887</v>
      </c>
      <c r="AA15" s="152">
        <v>12.912000000000001</v>
      </c>
      <c r="AB15" s="152">
        <v>12.227</v>
      </c>
      <c r="AC15" s="178">
        <v>4.5709999999999997</v>
      </c>
      <c r="AD15" s="85" t="s">
        <v>19</v>
      </c>
      <c r="AE15" s="315">
        <f>AC15/road_by_tot!AC15*100</f>
        <v>21.71187004227426</v>
      </c>
      <c r="AF15" s="315">
        <f t="shared" si="2"/>
        <v>-62.615523022818351</v>
      </c>
    </row>
    <row r="16" spans="1:32" ht="12.75" customHeight="1" x14ac:dyDescent="0.2">
      <c r="A16" s="15"/>
      <c r="B16" s="17" t="s">
        <v>24</v>
      </c>
      <c r="C16" s="156">
        <v>22.855999999999995</v>
      </c>
      <c r="D16" s="157">
        <v>25.742999999999995</v>
      </c>
      <c r="E16" s="157">
        <v>28.866</v>
      </c>
      <c r="F16" s="157">
        <v>33.671000000000006</v>
      </c>
      <c r="G16" s="157">
        <v>36.128</v>
      </c>
      <c r="H16" s="157">
        <v>41.781999999999996</v>
      </c>
      <c r="I16" s="157">
        <v>47.040999999999997</v>
      </c>
      <c r="J16" s="157">
        <v>55.039000000000001</v>
      </c>
      <c r="K16" s="157">
        <v>54.183</v>
      </c>
      <c r="L16" s="157">
        <v>65.807000000000002</v>
      </c>
      <c r="M16" s="157">
        <v>66.843999999999994</v>
      </c>
      <c r="N16" s="157">
        <v>67.2</v>
      </c>
      <c r="O16" s="157">
        <v>68.263999999999996</v>
      </c>
      <c r="P16" s="157">
        <v>67.799000000000007</v>
      </c>
      <c r="Q16" s="157">
        <v>60.835000000000001</v>
      </c>
      <c r="R16" s="157">
        <v>63.874000000000002</v>
      </c>
      <c r="S16" s="157">
        <v>64.52</v>
      </c>
      <c r="T16" s="157">
        <v>65.840999999999994</v>
      </c>
      <c r="U16" s="157">
        <v>65.599999999999994</v>
      </c>
      <c r="V16" s="157">
        <v>67.61</v>
      </c>
      <c r="W16" s="157">
        <v>72.153999999999996</v>
      </c>
      <c r="X16" s="157">
        <v>72.012</v>
      </c>
      <c r="Y16" s="157">
        <v>76.441999999999993</v>
      </c>
      <c r="Z16" s="157">
        <v>80.518000000000001</v>
      </c>
      <c r="AA16" s="157">
        <v>83.647999999999996</v>
      </c>
      <c r="AB16" s="157">
        <v>78.585999999999999</v>
      </c>
      <c r="AC16" s="158">
        <v>87.71</v>
      </c>
      <c r="AD16" s="17" t="s">
        <v>24</v>
      </c>
      <c r="AE16" s="171">
        <f>AC16/road_by_tot!AC16*100</f>
        <v>32.464023451379845</v>
      </c>
      <c r="AF16" s="171">
        <f t="shared" si="2"/>
        <v>11.610210470058277</v>
      </c>
    </row>
    <row r="17" spans="1:32" ht="12.75" customHeight="1" x14ac:dyDescent="0.2">
      <c r="A17" s="15"/>
      <c r="B17" s="85" t="s">
        <v>25</v>
      </c>
      <c r="C17" s="151">
        <v>42.9</v>
      </c>
      <c r="D17" s="152">
        <v>43.49799999999999</v>
      </c>
      <c r="E17" s="152">
        <v>42.44</v>
      </c>
      <c r="F17" s="152">
        <v>43.640999999999991</v>
      </c>
      <c r="G17" s="152">
        <v>45.688000000000002</v>
      </c>
      <c r="H17" s="152">
        <v>40.835999999999999</v>
      </c>
      <c r="I17" s="152">
        <v>38.298000000000002</v>
      </c>
      <c r="J17" s="152">
        <v>34.616999999999997</v>
      </c>
      <c r="K17" s="152">
        <v>32.712000000000003</v>
      </c>
      <c r="L17" s="152">
        <v>33.018000000000001</v>
      </c>
      <c r="M17" s="152">
        <v>27.954000000000001</v>
      </c>
      <c r="N17" s="152">
        <v>28.692</v>
      </c>
      <c r="O17" s="152">
        <v>27.824000000000002</v>
      </c>
      <c r="P17" s="152">
        <v>24.425000000000001</v>
      </c>
      <c r="Q17" s="152">
        <v>17.600000000000001</v>
      </c>
      <c r="R17" s="152">
        <v>17.867999999999999</v>
      </c>
      <c r="S17" s="152">
        <v>17.443000000000001</v>
      </c>
      <c r="T17" s="152">
        <v>15.996</v>
      </c>
      <c r="U17" s="152">
        <v>15.76</v>
      </c>
      <c r="V17" s="152">
        <v>14.113</v>
      </c>
      <c r="W17" s="152">
        <v>12.339</v>
      </c>
      <c r="X17" s="152">
        <v>11.638</v>
      </c>
      <c r="Y17" s="152">
        <v>11.815</v>
      </c>
      <c r="Z17" s="152">
        <v>12.250999999999999</v>
      </c>
      <c r="AA17" s="152">
        <v>11.557</v>
      </c>
      <c r="AB17" s="152">
        <v>11.504</v>
      </c>
      <c r="AC17" s="178">
        <v>12.28</v>
      </c>
      <c r="AD17" s="85" t="s">
        <v>25</v>
      </c>
      <c r="AE17" s="315">
        <f>AC17/road_by_tot!AC17*100</f>
        <v>7.0230422126014425</v>
      </c>
      <c r="AF17" s="315">
        <f t="shared" si="2"/>
        <v>6.7454798331015127</v>
      </c>
    </row>
    <row r="18" spans="1:32" ht="12.75" customHeight="1" x14ac:dyDescent="0.2">
      <c r="A18" s="15"/>
      <c r="B18" s="17" t="s">
        <v>36</v>
      </c>
      <c r="C18" s="111"/>
      <c r="D18" s="55"/>
      <c r="E18" s="55"/>
      <c r="F18" s="137"/>
      <c r="G18" s="55">
        <v>0.81799999999999984</v>
      </c>
      <c r="H18" s="55">
        <v>0.95</v>
      </c>
      <c r="I18" s="55">
        <v>3.57</v>
      </c>
      <c r="J18" s="55">
        <v>3.75</v>
      </c>
      <c r="K18" s="55">
        <v>4.117</v>
      </c>
      <c r="L18" s="55">
        <v>4.4459999999999988</v>
      </c>
      <c r="M18" s="55">
        <v>4.9409999999999998</v>
      </c>
      <c r="N18" s="55">
        <v>4.8840000000000003</v>
      </c>
      <c r="O18" s="55">
        <v>5.38</v>
      </c>
      <c r="P18" s="55">
        <v>4.5979999999999999</v>
      </c>
      <c r="Q18" s="55">
        <v>4.3010000000000002</v>
      </c>
      <c r="R18" s="55">
        <v>4.2329999999999997</v>
      </c>
      <c r="S18" s="55">
        <v>4.5519999999999996</v>
      </c>
      <c r="T18" s="55">
        <v>4.5039999999999996</v>
      </c>
      <c r="U18" s="55">
        <v>4.8490000000000002</v>
      </c>
      <c r="V18" s="55">
        <v>5.45</v>
      </c>
      <c r="W18" s="55">
        <v>6.3840000000000003</v>
      </c>
      <c r="X18" s="55">
        <v>7.351</v>
      </c>
      <c r="Y18" s="55">
        <v>7.6349999999999998</v>
      </c>
      <c r="Z18" s="55">
        <v>8.4</v>
      </c>
      <c r="AA18" s="55">
        <v>8.1660000000000004</v>
      </c>
      <c r="AB18" s="55">
        <v>7.7670000000000003</v>
      </c>
      <c r="AC18" s="159">
        <v>8.8260000000000005</v>
      </c>
      <c r="AD18" s="166" t="s">
        <v>36</v>
      </c>
      <c r="AE18" s="166">
        <f>AC18/road_by_tot!AC18*100</f>
        <v>64.758969843715604</v>
      </c>
      <c r="AF18" s="166">
        <f t="shared" si="2"/>
        <v>13.634607956740055</v>
      </c>
    </row>
    <row r="19" spans="1:32" ht="12.75" customHeight="1" x14ac:dyDescent="0.2">
      <c r="A19" s="15"/>
      <c r="B19" s="85" t="s">
        <v>27</v>
      </c>
      <c r="C19" s="154">
        <v>24.13</v>
      </c>
      <c r="D19" s="155">
        <v>24.425000000000001</v>
      </c>
      <c r="E19" s="155">
        <v>24.753000000000014</v>
      </c>
      <c r="F19" s="155">
        <v>26.330999999999989</v>
      </c>
      <c r="G19" s="155">
        <v>25.323999999999984</v>
      </c>
      <c r="H19" s="155">
        <v>26.427</v>
      </c>
      <c r="I19" s="155">
        <v>31.763999999999999</v>
      </c>
      <c r="J19" s="147">
        <v>32.6</v>
      </c>
      <c r="K19" s="147">
        <v>30.904</v>
      </c>
      <c r="L19" s="147">
        <v>38.808</v>
      </c>
      <c r="M19" s="147">
        <v>40.216999999999999</v>
      </c>
      <c r="N19" s="147">
        <v>31.64</v>
      </c>
      <c r="O19" s="147">
        <v>27.004000000000001</v>
      </c>
      <c r="P19" s="147">
        <v>28.638000000000002</v>
      </c>
      <c r="Q19" s="147">
        <v>22.018000000000001</v>
      </c>
      <c r="R19" s="147">
        <v>26.527999999999999</v>
      </c>
      <c r="S19" s="147">
        <v>15.161</v>
      </c>
      <c r="T19" s="147">
        <v>12.23</v>
      </c>
      <c r="U19" s="147">
        <v>15.266</v>
      </c>
      <c r="V19" s="147">
        <v>15.462</v>
      </c>
      <c r="W19" s="147">
        <v>12.715999999999999</v>
      </c>
      <c r="X19" s="147">
        <v>12.355</v>
      </c>
      <c r="Y19" s="147">
        <v>12.976000000000001</v>
      </c>
      <c r="Z19" s="147">
        <v>13.173999999999999</v>
      </c>
      <c r="AA19" s="147">
        <v>15.494999999999999</v>
      </c>
      <c r="AB19" s="147">
        <v>15.071</v>
      </c>
      <c r="AC19" s="148">
        <v>16.439</v>
      </c>
      <c r="AD19" s="165" t="s">
        <v>27</v>
      </c>
      <c r="AE19" s="165">
        <f>AC19/road_by_tot!AC19*100</f>
        <v>11.338336115211124</v>
      </c>
      <c r="AF19" s="165">
        <f t="shared" si="2"/>
        <v>9.0770353659345773</v>
      </c>
    </row>
    <row r="20" spans="1:32" ht="12.75" customHeight="1" x14ac:dyDescent="0.2">
      <c r="A20" s="15"/>
      <c r="B20" s="17" t="s">
        <v>6</v>
      </c>
      <c r="C20" s="111"/>
      <c r="D20" s="55"/>
      <c r="E20" s="55"/>
      <c r="F20" s="55"/>
      <c r="G20" s="55"/>
      <c r="H20" s="55">
        <v>0.03</v>
      </c>
      <c r="I20" s="55">
        <v>0.03</v>
      </c>
      <c r="J20" s="55">
        <v>3.6999999999999998E-2</v>
      </c>
      <c r="K20" s="55">
        <v>3.1E-2</v>
      </c>
      <c r="L20" s="55">
        <v>1.7000000000000001E-2</v>
      </c>
      <c r="M20" s="55">
        <v>1.9E-2</v>
      </c>
      <c r="N20" s="55">
        <v>0.02</v>
      </c>
      <c r="O20" s="55">
        <v>1.7999999999999999E-2</v>
      </c>
      <c r="P20" s="55">
        <v>1.2E-2</v>
      </c>
      <c r="Q20" s="55">
        <v>1.7999999999999999E-2</v>
      </c>
      <c r="R20" s="55">
        <v>2.1000000000000001E-2</v>
      </c>
      <c r="S20" s="55">
        <v>1.7999999999999999E-2</v>
      </c>
      <c r="T20" s="55">
        <v>1.7000000000000001E-2</v>
      </c>
      <c r="U20" s="55">
        <v>1.6E-2</v>
      </c>
      <c r="V20" s="55">
        <v>1.2E-2</v>
      </c>
      <c r="W20" s="55">
        <v>1.4999999999999999E-2</v>
      </c>
      <c r="X20" s="55">
        <v>1.7999999999999999E-2</v>
      </c>
      <c r="Y20" s="55">
        <v>2.4E-2</v>
      </c>
      <c r="Z20" s="55">
        <v>2.5999999999999999E-2</v>
      </c>
      <c r="AA20" s="55">
        <v>2.7E-2</v>
      </c>
      <c r="AB20" s="55">
        <v>3.6999999999999998E-2</v>
      </c>
      <c r="AC20" s="159">
        <v>2.8000000000000001E-2</v>
      </c>
      <c r="AD20" s="166" t="s">
        <v>6</v>
      </c>
      <c r="AE20" s="166">
        <f>AC20/road_by_tot!AC20*100</f>
        <v>3.8303693570451438</v>
      </c>
      <c r="AF20" s="166">
        <f t="shared" si="2"/>
        <v>-24.324324324324323</v>
      </c>
    </row>
    <row r="21" spans="1:32" ht="12.75" customHeight="1" x14ac:dyDescent="0.2">
      <c r="A21" s="15"/>
      <c r="B21" s="85" t="s">
        <v>10</v>
      </c>
      <c r="C21" s="146"/>
      <c r="D21" s="147"/>
      <c r="E21" s="147"/>
      <c r="F21" s="147"/>
      <c r="G21" s="147"/>
      <c r="H21" s="147">
        <v>3.3050000000000002</v>
      </c>
      <c r="I21" s="147">
        <v>3.7149999999999999</v>
      </c>
      <c r="J21" s="147">
        <v>4.2329999999999997</v>
      </c>
      <c r="K21" s="147">
        <v>4.4429999999999996</v>
      </c>
      <c r="L21" s="147">
        <v>5</v>
      </c>
      <c r="M21" s="147">
        <v>5.66</v>
      </c>
      <c r="N21" s="147">
        <v>8.0350000000000001</v>
      </c>
      <c r="O21" s="147">
        <v>10.196999999999999</v>
      </c>
      <c r="P21" s="147">
        <v>9.8070000000000004</v>
      </c>
      <c r="Q21" s="147">
        <v>5.9660000000000002</v>
      </c>
      <c r="R21" s="147">
        <v>8.0289999999999999</v>
      </c>
      <c r="S21" s="147">
        <v>9.4849999999999994</v>
      </c>
      <c r="T21" s="147">
        <v>9.5619999999999994</v>
      </c>
      <c r="U21" s="147">
        <v>10.013</v>
      </c>
      <c r="V21" s="147">
        <v>10.929</v>
      </c>
      <c r="W21" s="147">
        <v>11.936999999999999</v>
      </c>
      <c r="X21" s="147">
        <v>11.42</v>
      </c>
      <c r="Y21" s="147">
        <v>11.731999999999999</v>
      </c>
      <c r="Z21" s="147">
        <v>11.538</v>
      </c>
      <c r="AA21" s="147">
        <v>11.615</v>
      </c>
      <c r="AB21" s="147">
        <v>9.9890000000000008</v>
      </c>
      <c r="AC21" s="148">
        <v>11.04</v>
      </c>
      <c r="AD21" s="165" t="s">
        <v>10</v>
      </c>
      <c r="AE21" s="165">
        <f>AC21/road_by_tot!AC21*100</f>
        <v>73.098059988081829</v>
      </c>
      <c r="AF21" s="165">
        <f t="shared" si="2"/>
        <v>10.521573731104212</v>
      </c>
    </row>
    <row r="22" spans="1:32" ht="12.75" customHeight="1" x14ac:dyDescent="0.2">
      <c r="A22" s="15"/>
      <c r="B22" s="17" t="s">
        <v>11</v>
      </c>
      <c r="C22" s="111"/>
      <c r="D22" s="55"/>
      <c r="E22" s="55"/>
      <c r="F22" s="55"/>
      <c r="G22" s="55"/>
      <c r="H22" s="55">
        <v>6.2350000000000003</v>
      </c>
      <c r="I22" s="55">
        <v>6.7560000000000002</v>
      </c>
      <c r="J22" s="55">
        <v>9.1910000000000007</v>
      </c>
      <c r="K22" s="55">
        <v>9.5039999999999996</v>
      </c>
      <c r="L22" s="55">
        <v>10.066000000000001</v>
      </c>
      <c r="M22" s="55">
        <v>13.77</v>
      </c>
      <c r="N22" s="55">
        <v>15.901999999999999</v>
      </c>
      <c r="O22" s="55">
        <v>17.574000000000002</v>
      </c>
      <c r="P22" s="55">
        <v>17.859000000000002</v>
      </c>
      <c r="Q22" s="55">
        <v>15.124000000000001</v>
      </c>
      <c r="R22" s="55">
        <v>17.106000000000002</v>
      </c>
      <c r="S22" s="55">
        <v>19.192</v>
      </c>
      <c r="T22" s="55">
        <v>21.010999999999999</v>
      </c>
      <c r="U22" s="55">
        <v>23.797999999999998</v>
      </c>
      <c r="V22" s="55">
        <v>25.298999999999999</v>
      </c>
      <c r="W22" s="55">
        <v>23.571999999999999</v>
      </c>
      <c r="X22" s="55">
        <v>28.004000000000001</v>
      </c>
      <c r="Y22" s="55">
        <v>35.914999999999999</v>
      </c>
      <c r="Z22" s="55">
        <v>39.948</v>
      </c>
      <c r="AA22" s="55">
        <v>49.561999999999998</v>
      </c>
      <c r="AB22" s="55">
        <v>51.296999999999997</v>
      </c>
      <c r="AC22" s="159">
        <v>53.893999999999998</v>
      </c>
      <c r="AD22" s="166" t="s">
        <v>11</v>
      </c>
      <c r="AE22" s="166">
        <f>AC22/road_by_tot!AC22*100</f>
        <v>93.314864513894889</v>
      </c>
      <c r="AF22" s="166">
        <f t="shared" si="2"/>
        <v>5.0626742304618233</v>
      </c>
    </row>
    <row r="23" spans="1:32" ht="12.75" customHeight="1" x14ac:dyDescent="0.2">
      <c r="A23" s="15"/>
      <c r="B23" s="85" t="s">
        <v>28</v>
      </c>
      <c r="C23" s="146">
        <v>4.9690000000000003</v>
      </c>
      <c r="D23" s="147">
        <v>3.1080000000000001</v>
      </c>
      <c r="E23" s="147">
        <v>4.0060000000000002</v>
      </c>
      <c r="F23" s="147">
        <v>4.6050000000000004</v>
      </c>
      <c r="G23" s="147">
        <v>5.9359999999999999</v>
      </c>
      <c r="H23" s="147">
        <v>7.1950000000000003</v>
      </c>
      <c r="I23" s="147">
        <v>8.2119999999999997</v>
      </c>
      <c r="J23" s="147">
        <v>8.5960000000000001</v>
      </c>
      <c r="K23" s="147">
        <v>9.0790000000000006</v>
      </c>
      <c r="L23" s="147">
        <v>9.0259999999999998</v>
      </c>
      <c r="M23" s="147">
        <v>8.3089999999999993</v>
      </c>
      <c r="N23" s="147">
        <v>8.2629999999999999</v>
      </c>
      <c r="O23" s="147">
        <v>9.0139999999999993</v>
      </c>
      <c r="P23" s="147">
        <v>8.41</v>
      </c>
      <c r="Q23" s="147">
        <v>7.87</v>
      </c>
      <c r="R23" s="147">
        <v>8.1199999999999992</v>
      </c>
      <c r="S23" s="147">
        <v>8.1850000000000005</v>
      </c>
      <c r="T23" s="147">
        <v>6.9059999999999997</v>
      </c>
      <c r="U23" s="147">
        <v>7.8289999999999997</v>
      </c>
      <c r="V23" s="147">
        <v>8.4710000000000001</v>
      </c>
      <c r="W23" s="147">
        <v>6.8710000000000004</v>
      </c>
      <c r="X23" s="147">
        <v>7.2309999999999999</v>
      </c>
      <c r="Y23" s="147">
        <v>7.0750000000000002</v>
      </c>
      <c r="Z23" s="147">
        <v>6.1539999999999999</v>
      </c>
      <c r="AA23" s="147">
        <v>6.72</v>
      </c>
      <c r="AB23" s="147">
        <v>5.6639999999999997</v>
      </c>
      <c r="AC23" s="148">
        <v>6.2830000000000004</v>
      </c>
      <c r="AD23" s="165" t="s">
        <v>28</v>
      </c>
      <c r="AE23" s="165">
        <f>AC23/road_by_tot!AC23*100</f>
        <v>91.005214368482044</v>
      </c>
      <c r="AF23" s="165">
        <f t="shared" si="2"/>
        <v>10.928672316384194</v>
      </c>
    </row>
    <row r="24" spans="1:32" ht="12.75" customHeight="1" x14ac:dyDescent="0.2">
      <c r="A24" s="15"/>
      <c r="B24" s="17" t="s">
        <v>9</v>
      </c>
      <c r="C24" s="149"/>
      <c r="D24" s="150"/>
      <c r="E24" s="150"/>
      <c r="F24" s="150"/>
      <c r="G24" s="150"/>
      <c r="H24" s="150">
        <v>6.9790000000000001</v>
      </c>
      <c r="I24" s="150">
        <v>6.6509999999999998</v>
      </c>
      <c r="J24" s="150">
        <v>6.7460000000000004</v>
      </c>
      <c r="K24" s="150">
        <v>7.5380000000000003</v>
      </c>
      <c r="L24" s="150">
        <v>9.6319999999999997</v>
      </c>
      <c r="M24" s="150">
        <v>13.757999999999999</v>
      </c>
      <c r="N24" s="150">
        <v>18.053999999999998</v>
      </c>
      <c r="O24" s="150">
        <v>22.619</v>
      </c>
      <c r="P24" s="150">
        <v>22.716000000000001</v>
      </c>
      <c r="Q24" s="150">
        <v>23.202999999999999</v>
      </c>
      <c r="R24" s="150">
        <v>22.391999999999999</v>
      </c>
      <c r="S24" s="150">
        <v>23.995000000000001</v>
      </c>
      <c r="T24" s="150">
        <v>24.555</v>
      </c>
      <c r="U24" s="150">
        <v>26.571999999999999</v>
      </c>
      <c r="V24" s="150">
        <v>27.887</v>
      </c>
      <c r="W24" s="150">
        <v>27.995999999999999</v>
      </c>
      <c r="X24" s="150">
        <v>28.280999999999999</v>
      </c>
      <c r="Y24" s="150">
        <v>27.744</v>
      </c>
      <c r="Z24" s="150">
        <v>24.969000000000001</v>
      </c>
      <c r="AA24" s="150">
        <v>23.568999999999999</v>
      </c>
      <c r="AB24" s="150">
        <v>19.364000000000001</v>
      </c>
      <c r="AC24" s="170">
        <v>22.323</v>
      </c>
      <c r="AD24" s="166" t="s">
        <v>9</v>
      </c>
      <c r="AE24" s="166">
        <f>AC24/road_by_tot!AC24*100</f>
        <v>60.16818953667017</v>
      </c>
      <c r="AF24" s="166">
        <f t="shared" si="2"/>
        <v>15.280933691386082</v>
      </c>
    </row>
    <row r="25" spans="1:32" ht="12.75" customHeight="1" x14ac:dyDescent="0.2">
      <c r="A25" s="15"/>
      <c r="B25" s="54" t="s">
        <v>12</v>
      </c>
      <c r="C25" s="154"/>
      <c r="D25" s="155"/>
      <c r="E25" s="155"/>
      <c r="F25" s="155"/>
      <c r="G25" s="155"/>
      <c r="H25" s="155">
        <v>0.05</v>
      </c>
      <c r="I25" s="155">
        <v>0.05</v>
      </c>
      <c r="J25" s="155">
        <v>0.05</v>
      </c>
      <c r="K25" s="155">
        <v>0.05</v>
      </c>
      <c r="L25" s="155">
        <v>0.05</v>
      </c>
      <c r="M25" s="155">
        <v>0.05</v>
      </c>
      <c r="N25" s="155">
        <v>0.05</v>
      </c>
      <c r="O25" s="155">
        <v>0.05</v>
      </c>
      <c r="P25" s="155">
        <v>0.05</v>
      </c>
      <c r="Q25" s="155">
        <v>0.05</v>
      </c>
      <c r="R25" s="155">
        <v>0.05</v>
      </c>
      <c r="S25" s="155">
        <v>0.05</v>
      </c>
      <c r="T25" s="155">
        <v>0.05</v>
      </c>
      <c r="U25" s="155">
        <v>0.05</v>
      </c>
      <c r="V25" s="155">
        <v>0.05</v>
      </c>
      <c r="W25" s="155">
        <v>0.05</v>
      </c>
      <c r="X25" s="155">
        <v>0.05</v>
      </c>
      <c r="Y25" s="155">
        <v>0.05</v>
      </c>
      <c r="Z25" s="155">
        <v>0.05</v>
      </c>
      <c r="AA25" s="155">
        <v>0.05</v>
      </c>
      <c r="AB25" s="155">
        <v>0.05</v>
      </c>
      <c r="AC25" s="155">
        <v>0.05</v>
      </c>
      <c r="AD25" s="261" t="s">
        <v>12</v>
      </c>
      <c r="AE25" s="261">
        <f>AC25/road_by_tot!AC25*100</f>
        <v>20</v>
      </c>
      <c r="AF25" s="261">
        <f t="shared" si="2"/>
        <v>0</v>
      </c>
    </row>
    <row r="26" spans="1:32" ht="12.75" customHeight="1" x14ac:dyDescent="0.2">
      <c r="A26" s="15"/>
      <c r="B26" s="17" t="s">
        <v>20</v>
      </c>
      <c r="C26" s="111">
        <v>40.416999999999994</v>
      </c>
      <c r="D26" s="55">
        <v>42.097000000000008</v>
      </c>
      <c r="E26" s="55">
        <v>43.215999999999994</v>
      </c>
      <c r="F26" s="55">
        <v>50.26</v>
      </c>
      <c r="G26" s="55">
        <v>50.881999999999991</v>
      </c>
      <c r="H26" s="55">
        <v>48.027999999999999</v>
      </c>
      <c r="I26" s="55">
        <v>47.491999999999997</v>
      </c>
      <c r="J26" s="55">
        <v>47.161000000000001</v>
      </c>
      <c r="K26" s="55">
        <v>47.978999999999999</v>
      </c>
      <c r="L26" s="55">
        <v>55.756999999999998</v>
      </c>
      <c r="M26" s="55">
        <v>52.335999999999999</v>
      </c>
      <c r="N26" s="55">
        <v>52.183999999999997</v>
      </c>
      <c r="O26" s="55">
        <v>47.234999999999999</v>
      </c>
      <c r="P26" s="55">
        <v>46.15</v>
      </c>
      <c r="Q26" s="55">
        <v>41.338000000000001</v>
      </c>
      <c r="R26" s="55">
        <v>46.773000000000003</v>
      </c>
      <c r="S26" s="55">
        <v>45.218000000000004</v>
      </c>
      <c r="T26" s="55">
        <v>41.39</v>
      </c>
      <c r="U26" s="55">
        <v>39.781999999999996</v>
      </c>
      <c r="V26" s="55">
        <v>40.085000000000001</v>
      </c>
      <c r="W26" s="55">
        <v>36.731000000000002</v>
      </c>
      <c r="X26" s="55">
        <v>33.725999999999999</v>
      </c>
      <c r="Y26" s="55">
        <v>34.371000000000002</v>
      </c>
      <c r="Z26" s="55">
        <v>34.581000000000003</v>
      </c>
      <c r="AA26" s="55">
        <v>33.518000000000001</v>
      </c>
      <c r="AB26" s="55">
        <v>32.457999999999998</v>
      </c>
      <c r="AC26" s="159">
        <v>33.781999999999996</v>
      </c>
      <c r="AD26" s="166" t="s">
        <v>20</v>
      </c>
      <c r="AE26" s="166">
        <f>AC26/road_by_tot!AC26*100</f>
        <v>48.103320612860969</v>
      </c>
      <c r="AF26" s="166">
        <f t="shared" si="2"/>
        <v>4.0791176289358475</v>
      </c>
    </row>
    <row r="27" spans="1:32" ht="12.75" customHeight="1" x14ac:dyDescent="0.2">
      <c r="A27" s="15"/>
      <c r="B27" s="85" t="s">
        <v>29</v>
      </c>
      <c r="C27" s="146">
        <v>15.430999999999999</v>
      </c>
      <c r="D27" s="147">
        <v>16.356000000000002</v>
      </c>
      <c r="E27" s="147">
        <v>17.041000000000004</v>
      </c>
      <c r="F27" s="147">
        <v>18.585000000000001</v>
      </c>
      <c r="G27" s="147">
        <v>21.701999999999998</v>
      </c>
      <c r="H27" s="155">
        <v>22.733000000000001</v>
      </c>
      <c r="I27" s="155">
        <v>25.077999999999999</v>
      </c>
      <c r="J27" s="155">
        <v>25.835000000000001</v>
      </c>
      <c r="K27" s="155">
        <v>26.52</v>
      </c>
      <c r="L27" s="147">
        <v>26.81</v>
      </c>
      <c r="M27" s="147">
        <v>24.53</v>
      </c>
      <c r="N27" s="147">
        <v>24.75</v>
      </c>
      <c r="O27" s="147">
        <v>22.658000000000001</v>
      </c>
      <c r="P27" s="147">
        <v>19.731999999999999</v>
      </c>
      <c r="Q27" s="147">
        <v>15.584</v>
      </c>
      <c r="R27" s="147">
        <v>14.744999999999999</v>
      </c>
      <c r="S27" s="147">
        <v>14.067</v>
      </c>
      <c r="T27" s="147">
        <v>11.97</v>
      </c>
      <c r="U27" s="147">
        <v>10.36</v>
      </c>
      <c r="V27" s="147">
        <v>10.539</v>
      </c>
      <c r="W27" s="147">
        <v>9.9770000000000003</v>
      </c>
      <c r="X27" s="147">
        <v>9.6340000000000003</v>
      </c>
      <c r="Y27" s="147">
        <v>9.1750000000000007</v>
      </c>
      <c r="Z27" s="147">
        <v>8.8490000000000002</v>
      </c>
      <c r="AA27" s="147">
        <v>9.1950000000000003</v>
      </c>
      <c r="AB27" s="147">
        <v>8.8130000000000006</v>
      </c>
      <c r="AC27" s="148">
        <v>9.2710000000000008</v>
      </c>
      <c r="AD27" s="165" t="s">
        <v>29</v>
      </c>
      <c r="AE27" s="165">
        <f>AC27/road_by_tot!AC27*100</f>
        <v>33.982112748332241</v>
      </c>
      <c r="AF27" s="165">
        <f t="shared" si="2"/>
        <v>5.1968682627936005</v>
      </c>
    </row>
    <row r="28" spans="1:32" ht="12.75" customHeight="1" x14ac:dyDescent="0.2">
      <c r="A28" s="15"/>
      <c r="B28" s="17" t="s">
        <v>13</v>
      </c>
      <c r="C28" s="141"/>
      <c r="D28" s="137"/>
      <c r="E28" s="137"/>
      <c r="F28" s="137"/>
      <c r="G28" s="137"/>
      <c r="H28" s="137">
        <v>27.023</v>
      </c>
      <c r="I28" s="137">
        <v>28.228000000000002</v>
      </c>
      <c r="J28" s="137">
        <v>29.818000000000001</v>
      </c>
      <c r="K28" s="137">
        <v>32.988999999999997</v>
      </c>
      <c r="L28" s="55">
        <v>43.981999999999999</v>
      </c>
      <c r="M28" s="55">
        <v>50.886000000000003</v>
      </c>
      <c r="N28" s="55">
        <v>68.894999999999996</v>
      </c>
      <c r="O28" s="55">
        <v>85.11</v>
      </c>
      <c r="P28" s="55">
        <v>93.013000000000005</v>
      </c>
      <c r="Q28" s="55">
        <v>101.53400000000001</v>
      </c>
      <c r="R28" s="55">
        <v>120.09</v>
      </c>
      <c r="S28" s="55">
        <v>117.917</v>
      </c>
      <c r="T28" s="55">
        <v>133.31899999999999</v>
      </c>
      <c r="U28" s="55">
        <v>147.274</v>
      </c>
      <c r="V28" s="55">
        <v>154.303</v>
      </c>
      <c r="W28" s="55">
        <v>156.03399999999999</v>
      </c>
      <c r="X28" s="55">
        <v>184.11500000000001</v>
      </c>
      <c r="Y28" s="55">
        <v>215.184</v>
      </c>
      <c r="Z28" s="55">
        <v>201.18199999999999</v>
      </c>
      <c r="AA28" s="55">
        <v>229.58699999999999</v>
      </c>
      <c r="AB28" s="55">
        <v>231.108</v>
      </c>
      <c r="AC28" s="159">
        <v>245.09</v>
      </c>
      <c r="AD28" s="166" t="s">
        <v>13</v>
      </c>
      <c r="AE28" s="166">
        <f>AC28/road_by_tot!AC28*100</f>
        <v>64.527934284661157</v>
      </c>
      <c r="AF28" s="166">
        <f t="shared" si="2"/>
        <v>6.0499852882634997</v>
      </c>
    </row>
    <row r="29" spans="1:32" ht="12.75" customHeight="1" x14ac:dyDescent="0.2">
      <c r="A29" s="15"/>
      <c r="B29" s="85" t="s">
        <v>30</v>
      </c>
      <c r="C29" s="146">
        <v>15.5</v>
      </c>
      <c r="D29" s="147">
        <v>16.850000000000001</v>
      </c>
      <c r="E29" s="147">
        <v>18.63</v>
      </c>
      <c r="F29" s="147">
        <v>19.05</v>
      </c>
      <c r="G29" s="194">
        <v>11.778</v>
      </c>
      <c r="H29" s="147">
        <v>12.616</v>
      </c>
      <c r="I29" s="147">
        <v>13.616</v>
      </c>
      <c r="J29" s="147">
        <v>14.807</v>
      </c>
      <c r="K29" s="153">
        <v>13.227</v>
      </c>
      <c r="L29" s="147">
        <v>23.384</v>
      </c>
      <c r="M29" s="147">
        <v>25.163</v>
      </c>
      <c r="N29" s="147">
        <v>27.295000000000002</v>
      </c>
      <c r="O29" s="147">
        <v>27.884</v>
      </c>
      <c r="P29" s="147">
        <v>21.977</v>
      </c>
      <c r="Q29" s="147">
        <v>21.384</v>
      </c>
      <c r="R29" s="147">
        <v>22.486999999999998</v>
      </c>
      <c r="S29" s="147">
        <v>23.78</v>
      </c>
      <c r="T29" s="147">
        <v>21.754000000000001</v>
      </c>
      <c r="U29" s="147">
        <v>26.783000000000001</v>
      </c>
      <c r="V29" s="147">
        <v>24.393999999999998</v>
      </c>
      <c r="W29" s="147">
        <v>21.044</v>
      </c>
      <c r="X29" s="147">
        <v>24.495000000000001</v>
      </c>
      <c r="Y29" s="147">
        <v>23.331</v>
      </c>
      <c r="Z29" s="147">
        <v>22.433</v>
      </c>
      <c r="AA29" s="147">
        <v>20.6</v>
      </c>
      <c r="AB29" s="147">
        <v>15.519</v>
      </c>
      <c r="AC29" s="148">
        <v>22.661000000000001</v>
      </c>
      <c r="AD29" s="165" t="s">
        <v>30</v>
      </c>
      <c r="AE29" s="165">
        <f>AC29/road_by_tot!AC29*100</f>
        <v>70.705148205928253</v>
      </c>
      <c r="AF29" s="165">
        <f t="shared" si="2"/>
        <v>46.021006508151316</v>
      </c>
    </row>
    <row r="30" spans="1:32" ht="12.75" customHeight="1" x14ac:dyDescent="0.2">
      <c r="A30" s="15"/>
      <c r="B30" s="17" t="s">
        <v>14</v>
      </c>
      <c r="C30" s="156"/>
      <c r="D30" s="157"/>
      <c r="E30" s="157"/>
      <c r="F30" s="157"/>
      <c r="G30" s="157">
        <v>3.7289999999999992</v>
      </c>
      <c r="H30" s="163">
        <v>4.4080000000000004</v>
      </c>
      <c r="I30" s="157">
        <v>7.899</v>
      </c>
      <c r="J30" s="157">
        <v>14.37</v>
      </c>
      <c r="K30" s="157">
        <v>17.216000000000001</v>
      </c>
      <c r="L30" s="157">
        <v>22.568999999999999</v>
      </c>
      <c r="M30" s="157">
        <v>32.133000000000003</v>
      </c>
      <c r="N30" s="157">
        <v>34.564999999999998</v>
      </c>
      <c r="O30" s="157">
        <v>35.591000000000001</v>
      </c>
      <c r="P30" s="157">
        <v>33.195999999999998</v>
      </c>
      <c r="Q30" s="157">
        <v>13.39</v>
      </c>
      <c r="R30" s="157">
        <v>13.792999999999999</v>
      </c>
      <c r="S30" s="157">
        <v>14.491</v>
      </c>
      <c r="T30" s="157">
        <v>16.989000000000001</v>
      </c>
      <c r="U30" s="157">
        <v>21.521999999999998</v>
      </c>
      <c r="V30" s="157">
        <v>23</v>
      </c>
      <c r="W30" s="157">
        <v>26.954999999999998</v>
      </c>
      <c r="X30" s="157">
        <v>35.036000000000001</v>
      </c>
      <c r="Y30" s="157">
        <v>41.155999999999999</v>
      </c>
      <c r="Z30" s="157">
        <v>44.404000000000003</v>
      </c>
      <c r="AA30" s="157">
        <v>44.366999999999997</v>
      </c>
      <c r="AB30" s="157">
        <v>37.746000000000002</v>
      </c>
      <c r="AC30" s="158">
        <v>41.390999999999998</v>
      </c>
      <c r="AD30" s="166" t="s">
        <v>14</v>
      </c>
      <c r="AE30" s="166">
        <f>AC30/road_by_tot!AC30*100</f>
        <v>66.922666494203625</v>
      </c>
      <c r="AF30" s="166">
        <f t="shared" si="2"/>
        <v>9.656652360515011</v>
      </c>
    </row>
    <row r="31" spans="1:32" ht="12.75" customHeight="1" x14ac:dyDescent="0.2">
      <c r="A31" s="15"/>
      <c r="B31" s="85" t="s">
        <v>16</v>
      </c>
      <c r="C31" s="146"/>
      <c r="D31" s="147"/>
      <c r="E31" s="147"/>
      <c r="F31" s="147"/>
      <c r="G31" s="147"/>
      <c r="H31" s="147">
        <v>3.4</v>
      </c>
      <c r="I31" s="147">
        <v>5.1079999999999997</v>
      </c>
      <c r="J31" s="147">
        <v>4.6639999999999997</v>
      </c>
      <c r="K31" s="147">
        <v>5.0449999999999999</v>
      </c>
      <c r="L31" s="147">
        <v>6.74</v>
      </c>
      <c r="M31" s="147">
        <v>8.6720000000000006</v>
      </c>
      <c r="N31" s="147">
        <v>9.8339999999999996</v>
      </c>
      <c r="O31" s="147">
        <v>11.161</v>
      </c>
      <c r="P31" s="147">
        <v>13.625</v>
      </c>
      <c r="Q31" s="147">
        <v>12.486000000000001</v>
      </c>
      <c r="R31" s="147">
        <v>13.643000000000001</v>
      </c>
      <c r="S31" s="147">
        <v>14.262</v>
      </c>
      <c r="T31" s="147">
        <v>14.039</v>
      </c>
      <c r="U31" s="147">
        <v>14.016</v>
      </c>
      <c r="V31" s="147">
        <v>14.211</v>
      </c>
      <c r="W31" s="147">
        <v>15.84</v>
      </c>
      <c r="X31" s="147">
        <v>16.573</v>
      </c>
      <c r="Y31" s="147">
        <v>18.504000000000001</v>
      </c>
      <c r="Z31" s="147">
        <v>19.969000000000001</v>
      </c>
      <c r="AA31" s="147">
        <v>21.706</v>
      </c>
      <c r="AB31" s="147">
        <v>20.387</v>
      </c>
      <c r="AC31" s="148">
        <v>22.504000000000001</v>
      </c>
      <c r="AD31" s="165" t="s">
        <v>16</v>
      </c>
      <c r="AE31" s="165">
        <f>AC31/road_by_tot!AC31*100</f>
        <v>90.131368151233588</v>
      </c>
      <c r="AF31" s="165">
        <f t="shared" si="2"/>
        <v>10.384068278805117</v>
      </c>
    </row>
    <row r="32" spans="1:32" ht="12.75" customHeight="1" x14ac:dyDescent="0.2">
      <c r="A32" s="15"/>
      <c r="B32" s="17" t="s">
        <v>15</v>
      </c>
      <c r="C32" s="156"/>
      <c r="D32" s="157"/>
      <c r="E32" s="157"/>
      <c r="F32" s="157"/>
      <c r="G32" s="157"/>
      <c r="H32" s="157">
        <v>9.2840000000000007</v>
      </c>
      <c r="I32" s="157">
        <v>8.4819999999999993</v>
      </c>
      <c r="J32" s="157">
        <v>9.91</v>
      </c>
      <c r="K32" s="157">
        <v>11.544</v>
      </c>
      <c r="L32" s="157">
        <v>13.105</v>
      </c>
      <c r="M32" s="157">
        <v>16.945</v>
      </c>
      <c r="N32" s="157">
        <v>17.009</v>
      </c>
      <c r="O32" s="157">
        <v>21.542000000000002</v>
      </c>
      <c r="P32" s="157">
        <v>22.957000000000001</v>
      </c>
      <c r="Q32" s="157">
        <v>22.187000000000001</v>
      </c>
      <c r="R32" s="157">
        <v>22.376999999999999</v>
      </c>
      <c r="S32" s="157">
        <v>24.271999999999998</v>
      </c>
      <c r="T32" s="157">
        <v>24.62</v>
      </c>
      <c r="U32" s="157">
        <v>25.581</v>
      </c>
      <c r="V32" s="157">
        <v>26.265000000000001</v>
      </c>
      <c r="W32" s="157">
        <v>28.295000000000002</v>
      </c>
      <c r="X32" s="157">
        <v>30.440999999999999</v>
      </c>
      <c r="Y32" s="157">
        <v>29.085000000000001</v>
      </c>
      <c r="Z32" s="157">
        <v>29.109000000000002</v>
      </c>
      <c r="AA32" s="157">
        <v>27.210999999999999</v>
      </c>
      <c r="AB32" s="157">
        <v>25.158000000000001</v>
      </c>
      <c r="AC32" s="158">
        <v>23.888000000000002</v>
      </c>
      <c r="AD32" s="166" t="s">
        <v>15</v>
      </c>
      <c r="AE32" s="166">
        <f>AC32/road_by_tot!AC32*100</f>
        <v>79.143888944107616</v>
      </c>
      <c r="AF32" s="166">
        <f t="shared" si="2"/>
        <v>-5.0480960330709905</v>
      </c>
    </row>
    <row r="33" spans="1:32" ht="12.75" customHeight="1" x14ac:dyDescent="0.2">
      <c r="A33" s="15"/>
      <c r="B33" s="85" t="s">
        <v>31</v>
      </c>
      <c r="C33" s="146">
        <v>2.6960000000000015</v>
      </c>
      <c r="D33" s="147">
        <v>2.8149999999999999</v>
      </c>
      <c r="E33" s="147">
        <v>2.1920000000000002</v>
      </c>
      <c r="F33" s="147">
        <v>2.4890000000000008</v>
      </c>
      <c r="G33" s="147">
        <v>3.85</v>
      </c>
      <c r="H33" s="147">
        <v>4.258</v>
      </c>
      <c r="I33" s="147">
        <v>3.8</v>
      </c>
      <c r="J33" s="147">
        <v>3.8969999999999998</v>
      </c>
      <c r="K33" s="147">
        <v>4.03</v>
      </c>
      <c r="L33" s="147">
        <v>4.96</v>
      </c>
      <c r="M33" s="147">
        <v>4.0430000000000001</v>
      </c>
      <c r="N33" s="147">
        <v>4.25</v>
      </c>
      <c r="O33" s="147">
        <v>3.855</v>
      </c>
      <c r="P33" s="147">
        <v>3.4209999999999998</v>
      </c>
      <c r="Q33" s="147">
        <v>3.411</v>
      </c>
      <c r="R33" s="147">
        <v>4.3760000000000003</v>
      </c>
      <c r="S33" s="147">
        <v>3.1309999999999998</v>
      </c>
      <c r="T33" s="147">
        <v>3.532</v>
      </c>
      <c r="U33" s="147">
        <v>3.4609999999999999</v>
      </c>
      <c r="V33" s="147">
        <v>3.1030000000000002</v>
      </c>
      <c r="W33" s="147">
        <v>3.0539999999999998</v>
      </c>
      <c r="X33" s="147">
        <v>2.2599999999999998</v>
      </c>
      <c r="Y33" s="152">
        <v>1.6359999999999999</v>
      </c>
      <c r="Z33" s="152">
        <v>2.375</v>
      </c>
      <c r="AA33" s="152">
        <v>2.137</v>
      </c>
      <c r="AB33" s="152">
        <v>1.8080000000000001</v>
      </c>
      <c r="AC33" s="178">
        <v>1.966</v>
      </c>
      <c r="AD33" s="85" t="s">
        <v>31</v>
      </c>
      <c r="AE33" s="315">
        <f>AC33/road_by_tot!AC33*100</f>
        <v>6.637855358228105</v>
      </c>
      <c r="AF33" s="315">
        <f t="shared" si="2"/>
        <v>8.7389380530973284</v>
      </c>
    </row>
    <row r="34" spans="1:32" ht="12.75" customHeight="1" x14ac:dyDescent="0.2">
      <c r="A34" s="15"/>
      <c r="B34" s="18" t="s">
        <v>32</v>
      </c>
      <c r="C34" s="342">
        <v>3.2430000000000021</v>
      </c>
      <c r="D34" s="164">
        <v>3.0119999999999969</v>
      </c>
      <c r="E34" s="164">
        <v>2.9239999999999995</v>
      </c>
      <c r="F34" s="164">
        <v>2.9309999999999974</v>
      </c>
      <c r="G34" s="164">
        <v>2.7780000000000022</v>
      </c>
      <c r="H34" s="164">
        <v>4.1689999999999996</v>
      </c>
      <c r="I34" s="164">
        <v>4.1909999999999998</v>
      </c>
      <c r="J34" s="164">
        <v>4.8159999999999998</v>
      </c>
      <c r="K34" s="164">
        <v>5.1710000000000003</v>
      </c>
      <c r="L34" s="164">
        <v>4.258</v>
      </c>
      <c r="M34" s="164">
        <v>3.8740000000000001</v>
      </c>
      <c r="N34" s="164">
        <v>4.444</v>
      </c>
      <c r="O34" s="164">
        <v>4.1449999999999996</v>
      </c>
      <c r="P34" s="164">
        <v>4.4180000000000001</v>
      </c>
      <c r="Q34" s="164">
        <v>2.9239999999999999</v>
      </c>
      <c r="R34" s="164">
        <v>3.536</v>
      </c>
      <c r="S34" s="164">
        <v>3.53</v>
      </c>
      <c r="T34" s="164">
        <v>3.1110000000000002</v>
      </c>
      <c r="U34" s="164">
        <v>2.8140000000000001</v>
      </c>
      <c r="V34" s="164">
        <v>3.1480000000000001</v>
      </c>
      <c r="W34" s="164">
        <v>3.3959999999999999</v>
      </c>
      <c r="X34" s="164">
        <v>3.4129999999999998</v>
      </c>
      <c r="Y34" s="164">
        <v>3.2949999999999999</v>
      </c>
      <c r="Z34" s="164">
        <v>2.8159999999999998</v>
      </c>
      <c r="AA34" s="164">
        <v>2.492</v>
      </c>
      <c r="AB34" s="164">
        <v>2.4729999999999999</v>
      </c>
      <c r="AC34" s="357">
        <v>2.7090000000000001</v>
      </c>
      <c r="AD34" s="422" t="s">
        <v>32</v>
      </c>
      <c r="AE34" s="422">
        <f>AC34/road_by_tot!AC34*100</f>
        <v>5.7049594608823844</v>
      </c>
      <c r="AF34" s="422">
        <f t="shared" si="2"/>
        <v>9.5430651031136478</v>
      </c>
    </row>
    <row r="35" spans="1:32" ht="12.75" customHeight="1" x14ac:dyDescent="0.2">
      <c r="A35" s="15"/>
      <c r="B35" s="202" t="s">
        <v>3</v>
      </c>
      <c r="C35" s="203"/>
      <c r="D35" s="204"/>
      <c r="E35" s="204"/>
      <c r="F35" s="204"/>
      <c r="G35" s="204"/>
      <c r="H35" s="204"/>
      <c r="I35" s="190"/>
      <c r="J35" s="190"/>
      <c r="K35" s="190"/>
      <c r="L35" s="190"/>
      <c r="M35" s="190"/>
      <c r="N35" s="190"/>
      <c r="O35" s="190"/>
      <c r="P35" s="190"/>
      <c r="Q35" s="190"/>
      <c r="R35" s="190"/>
      <c r="S35" s="204"/>
      <c r="T35" s="204"/>
      <c r="U35" s="204"/>
      <c r="V35" s="204"/>
      <c r="W35" s="204"/>
      <c r="X35" s="204"/>
      <c r="Y35" s="204"/>
      <c r="Z35" s="204"/>
      <c r="AA35" s="204"/>
      <c r="AB35" s="204"/>
      <c r="AC35" s="218"/>
      <c r="AD35" s="316" t="s">
        <v>3</v>
      </c>
      <c r="AE35" s="385"/>
      <c r="AF35" s="385"/>
    </row>
    <row r="36" spans="1:32" ht="12.75" customHeight="1" x14ac:dyDescent="0.2">
      <c r="A36" s="15"/>
      <c r="B36" s="17" t="s">
        <v>33</v>
      </c>
      <c r="C36" s="111"/>
      <c r="D36" s="55"/>
      <c r="E36" s="55"/>
      <c r="F36" s="55"/>
      <c r="G36" s="55">
        <v>3.1739999999999999</v>
      </c>
      <c r="H36" s="55">
        <v>3.0179999999999998</v>
      </c>
      <c r="I36" s="55">
        <v>2.786</v>
      </c>
      <c r="J36" s="55">
        <v>2.7050000000000001</v>
      </c>
      <c r="K36" s="55">
        <v>3.0670000000000002</v>
      </c>
      <c r="L36" s="55">
        <v>3.0070000000000001</v>
      </c>
      <c r="M36" s="55">
        <v>2.895</v>
      </c>
      <c r="N36" s="55">
        <v>4.077</v>
      </c>
      <c r="O36" s="55">
        <v>3.948</v>
      </c>
      <c r="P36" s="55">
        <v>3.9380000000000002</v>
      </c>
      <c r="Q36" s="55">
        <v>3.17</v>
      </c>
      <c r="R36" s="55">
        <v>3.407</v>
      </c>
      <c r="S36" s="55">
        <v>3.0569999999999999</v>
      </c>
      <c r="T36" s="55">
        <v>3.1880000000000002</v>
      </c>
      <c r="U36" s="55">
        <v>2.9830000000000001</v>
      </c>
      <c r="V36" s="55">
        <v>2.56</v>
      </c>
      <c r="W36" s="55">
        <v>2.6739999999999999</v>
      </c>
      <c r="X36" s="55">
        <v>2.3969999999999998</v>
      </c>
      <c r="Y36" s="55">
        <v>2.645</v>
      </c>
      <c r="Z36" s="55">
        <v>2.4140000000000001</v>
      </c>
      <c r="AA36" s="55">
        <v>2.0630000000000002</v>
      </c>
      <c r="AB36" s="55">
        <v>2.1640000000000001</v>
      </c>
      <c r="AC36" s="159">
        <v>2.1379999999999999</v>
      </c>
      <c r="AD36" s="166" t="s">
        <v>33</v>
      </c>
      <c r="AE36" s="166">
        <f>AC36/road_by_tot!AC36*100</f>
        <v>9.4798918104021634</v>
      </c>
      <c r="AF36" s="166">
        <f>AB36/AA36*100-100</f>
        <v>4.8957828405234949</v>
      </c>
    </row>
    <row r="37" spans="1:32" ht="12.75" customHeight="1" x14ac:dyDescent="0.2">
      <c r="A37" s="15"/>
      <c r="B37" s="208" t="s">
        <v>68</v>
      </c>
      <c r="C37" s="216">
        <v>0.74610000000000021</v>
      </c>
      <c r="D37" s="193">
        <v>0.69840000000000002</v>
      </c>
      <c r="E37" s="193">
        <v>0.68320000000000003</v>
      </c>
      <c r="F37" s="193">
        <v>0.70009999999999994</v>
      </c>
      <c r="G37" s="193">
        <v>0.78369999999999962</v>
      </c>
      <c r="H37" s="193">
        <v>0.85829999999999984</v>
      </c>
      <c r="I37" s="193">
        <v>0.8642000000000003</v>
      </c>
      <c r="J37" s="193">
        <v>0.9372000000000007</v>
      </c>
      <c r="K37" s="193">
        <v>1.0053000000000001</v>
      </c>
      <c r="L37" s="193">
        <v>1.017639457743915</v>
      </c>
      <c r="M37" s="193">
        <v>0.9917115952670702</v>
      </c>
      <c r="N37" s="193">
        <v>1.0790656375524159</v>
      </c>
      <c r="O37" s="191">
        <v>1.1479988834812849</v>
      </c>
      <c r="P37" s="193">
        <v>4.0979999999999999</v>
      </c>
      <c r="Q37" s="193">
        <v>3.4769999999999999</v>
      </c>
      <c r="R37" s="193">
        <v>3.6869999999999998</v>
      </c>
      <c r="S37" s="193">
        <v>3.6549999999999998</v>
      </c>
      <c r="T37" s="193">
        <v>2.9750000000000001</v>
      </c>
      <c r="U37" s="193">
        <v>2.6589999999999998</v>
      </c>
      <c r="V37" s="193">
        <v>2.4820000000000002</v>
      </c>
      <c r="W37" s="193">
        <v>2.0790000000000002</v>
      </c>
      <c r="X37" s="210">
        <v>1.9950000000000001</v>
      </c>
      <c r="Y37" s="193">
        <v>1.7090000000000001</v>
      </c>
      <c r="Z37" s="193">
        <v>1.784</v>
      </c>
      <c r="AA37" s="193">
        <v>1.8169999999999999</v>
      </c>
      <c r="AB37" s="193">
        <v>1.8380000000000001</v>
      </c>
      <c r="AC37" s="210">
        <v>1.8480000000000001</v>
      </c>
      <c r="AD37" s="227" t="s">
        <v>68</v>
      </c>
      <c r="AE37" s="227">
        <f>AC37/road_by_tot!AC37*100</f>
        <v>14.553472987872107</v>
      </c>
      <c r="AF37" s="227">
        <f>AB37/AA37*100-100</f>
        <v>1.1557512383049158</v>
      </c>
    </row>
    <row r="38" spans="1:32" ht="12.75" customHeight="1" x14ac:dyDescent="0.2">
      <c r="A38" s="15"/>
      <c r="B38" s="188" t="s">
        <v>145</v>
      </c>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72"/>
      <c r="AC38" s="458"/>
      <c r="AD38" s="188" t="s">
        <v>145</v>
      </c>
      <c r="AE38" s="473"/>
      <c r="AF38" s="473"/>
    </row>
    <row r="39" spans="1:32" ht="12.75" customHeight="1" x14ac:dyDescent="0.2">
      <c r="A39" s="15"/>
      <c r="B39" s="17" t="s">
        <v>96</v>
      </c>
      <c r="C39" s="111"/>
      <c r="D39" s="55"/>
      <c r="E39" s="55"/>
      <c r="F39" s="55"/>
      <c r="G39" s="55"/>
      <c r="H39" s="55"/>
      <c r="I39" s="55"/>
      <c r="J39" s="55"/>
      <c r="K39" s="55"/>
      <c r="L39" s="55"/>
      <c r="M39" s="55"/>
      <c r="N39" s="55"/>
      <c r="O39" s="55"/>
      <c r="P39" s="55"/>
      <c r="Q39" s="55"/>
      <c r="R39" s="55"/>
      <c r="S39" s="55"/>
      <c r="T39" s="55"/>
      <c r="U39" s="55"/>
      <c r="V39" s="55"/>
      <c r="W39" s="55"/>
      <c r="X39" s="55">
        <v>5.1999999999999998E-2</v>
      </c>
      <c r="Y39" s="55">
        <v>4.2999999999999997E-2</v>
      </c>
      <c r="Z39" s="55">
        <v>2.9000000000000001E-2</v>
      </c>
      <c r="AA39" s="150">
        <v>2.5999999999999999E-2</v>
      </c>
      <c r="AB39" s="150">
        <v>3.3000000000000002E-2</v>
      </c>
      <c r="AC39" s="170">
        <f>0.047</f>
        <v>4.7E-2</v>
      </c>
      <c r="AD39" s="17" t="s">
        <v>96</v>
      </c>
      <c r="AE39" s="166">
        <f>AC39/road_by_tot!AC39*100</f>
        <v>41.814202594259889</v>
      </c>
      <c r="AF39" s="166">
        <f>AC39/AB39*100-100</f>
        <v>42.424242424242408</v>
      </c>
    </row>
    <row r="40" spans="1:32" ht="12.75" customHeight="1" x14ac:dyDescent="0.2">
      <c r="A40" s="15"/>
      <c r="B40" s="188" t="s">
        <v>146</v>
      </c>
      <c r="C40" s="20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2"/>
      <c r="AB40" s="192"/>
      <c r="AC40" s="211"/>
      <c r="AD40" s="188" t="s">
        <v>146</v>
      </c>
      <c r="AE40" s="385"/>
      <c r="AF40" s="385"/>
    </row>
    <row r="41" spans="1:32" ht="12.75" customHeight="1" x14ac:dyDescent="0.2">
      <c r="A41" s="15"/>
      <c r="B41" s="17" t="s">
        <v>2</v>
      </c>
      <c r="C41" s="111"/>
      <c r="D41" s="55"/>
      <c r="E41" s="55"/>
      <c r="F41" s="55"/>
      <c r="G41" s="55"/>
      <c r="H41" s="55"/>
      <c r="I41" s="55"/>
      <c r="J41" s="55"/>
      <c r="K41" s="55"/>
      <c r="L41" s="55"/>
      <c r="M41" s="55"/>
      <c r="N41" s="55"/>
      <c r="O41" s="55"/>
      <c r="P41" s="55"/>
      <c r="Q41" s="55"/>
      <c r="R41" s="55"/>
      <c r="S41" s="55"/>
      <c r="T41" s="55"/>
      <c r="U41" s="55"/>
      <c r="V41" s="55">
        <v>9.4149999999999991</v>
      </c>
      <c r="W41" s="55">
        <v>9.1159999999999997</v>
      </c>
      <c r="X41" s="55">
        <v>9.4149999999999991</v>
      </c>
      <c r="Y41" s="55">
        <v>9.4969999999999999</v>
      </c>
      <c r="Z41" s="55">
        <v>9.2029999999999994</v>
      </c>
      <c r="AA41" s="55">
        <f>8758/1000</f>
        <v>8.7579999999999991</v>
      </c>
      <c r="AB41" s="55">
        <f>9.145</f>
        <v>9.1449999999999996</v>
      </c>
      <c r="AC41" s="159">
        <v>9.5630000000000006</v>
      </c>
      <c r="AD41" s="17" t="s">
        <v>2</v>
      </c>
      <c r="AE41" s="171">
        <f>AC41/road_by_tot!AC41*100</f>
        <v>83.556138051550903</v>
      </c>
      <c r="AF41" s="171">
        <f t="shared" ref="AF41" si="3">AB41/AA41*100-100</f>
        <v>4.418817081525475</v>
      </c>
    </row>
    <row r="42" spans="1:32" ht="12.75" customHeight="1" x14ac:dyDescent="0.2">
      <c r="A42" s="15"/>
      <c r="B42" s="188" t="s">
        <v>99</v>
      </c>
      <c r="C42" s="200"/>
      <c r="D42" s="190"/>
      <c r="E42" s="190"/>
      <c r="F42" s="190"/>
      <c r="G42" s="190"/>
      <c r="H42" s="190"/>
      <c r="I42" s="190"/>
      <c r="J42" s="190"/>
      <c r="K42" s="190"/>
      <c r="L42" s="190"/>
      <c r="M42" s="190"/>
      <c r="N42" s="190"/>
      <c r="O42" s="190"/>
      <c r="P42" s="190"/>
      <c r="Q42" s="190"/>
      <c r="R42" s="190"/>
      <c r="S42" s="192"/>
      <c r="T42" s="192"/>
      <c r="U42" s="204"/>
      <c r="V42" s="204"/>
      <c r="W42" s="204"/>
      <c r="X42" s="204"/>
      <c r="Y42" s="204"/>
      <c r="Z42" s="204"/>
      <c r="AA42" s="204"/>
      <c r="AB42" s="204"/>
      <c r="AC42" s="218"/>
      <c r="AD42" s="188" t="s">
        <v>99</v>
      </c>
      <c r="AE42" s="402"/>
      <c r="AF42" s="402"/>
    </row>
    <row r="43" spans="1:32" ht="12.75" customHeight="1" x14ac:dyDescent="0.2">
      <c r="A43" s="15"/>
      <c r="B43" s="17" t="s">
        <v>97</v>
      </c>
      <c r="C43" s="111"/>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159"/>
      <c r="AD43" s="17" t="s">
        <v>97</v>
      </c>
      <c r="AE43" s="171"/>
      <c r="AF43" s="171"/>
    </row>
    <row r="44" spans="1:32" ht="12.75" customHeight="1" x14ac:dyDescent="0.2">
      <c r="A44" s="15"/>
      <c r="B44" s="188" t="s">
        <v>17</v>
      </c>
      <c r="C44" s="20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201"/>
      <c r="AD44" s="188" t="s">
        <v>17</v>
      </c>
      <c r="AE44" s="385"/>
      <c r="AF44" s="385"/>
    </row>
    <row r="45" spans="1:32" ht="12.75" customHeight="1" x14ac:dyDescent="0.2">
      <c r="A45" s="15"/>
      <c r="B45" s="17" t="s">
        <v>144</v>
      </c>
      <c r="C45" s="112"/>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162"/>
      <c r="AD45" s="17" t="s">
        <v>144</v>
      </c>
      <c r="AE45" s="422"/>
      <c r="AF45" s="422"/>
    </row>
    <row r="46" spans="1:32" ht="15.75" customHeight="1" x14ac:dyDescent="0.2">
      <c r="B46" s="16" t="s">
        <v>21</v>
      </c>
      <c r="C46" s="478">
        <v>14.786000000000001</v>
      </c>
      <c r="D46" s="394">
        <v>16.004999999999999</v>
      </c>
      <c r="E46" s="394">
        <v>16.697999999999979</v>
      </c>
      <c r="F46" s="394">
        <v>16.568999999999988</v>
      </c>
      <c r="G46" s="394">
        <v>17.241</v>
      </c>
      <c r="H46" s="394">
        <v>15.284000000000001</v>
      </c>
      <c r="I46" s="394">
        <v>13.504</v>
      </c>
      <c r="J46" s="394">
        <v>13.115</v>
      </c>
      <c r="K46" s="394">
        <v>13.21</v>
      </c>
      <c r="L46" s="394">
        <v>11.475</v>
      </c>
      <c r="M46" s="394">
        <v>10.067</v>
      </c>
      <c r="N46" s="394">
        <v>10.709</v>
      </c>
      <c r="O46" s="394">
        <v>10.282999999999999</v>
      </c>
      <c r="P46" s="394">
        <v>9.1509999999999998</v>
      </c>
      <c r="Q46" s="394">
        <v>7.9210000000000003</v>
      </c>
      <c r="R46" s="394">
        <v>8.9320000000000004</v>
      </c>
      <c r="S46" s="181">
        <v>8.8160000000000007</v>
      </c>
      <c r="T46" s="181">
        <v>8.3970000000000002</v>
      </c>
      <c r="U46" s="181">
        <v>8.3689999999999998</v>
      </c>
      <c r="V46" s="181">
        <v>7.7210000000000001</v>
      </c>
      <c r="W46" s="181">
        <v>7.2329999999999997</v>
      </c>
      <c r="X46" s="181">
        <v>6.3209999999999997</v>
      </c>
      <c r="Y46" s="181">
        <v>6.59</v>
      </c>
      <c r="Z46" s="181">
        <v>7.1639999999999997</v>
      </c>
      <c r="AA46" s="181">
        <v>6.4119999999999999</v>
      </c>
      <c r="AB46" s="504">
        <f>2.347+2.338+0.065+0.236</f>
        <v>4.9860000000000007</v>
      </c>
      <c r="AC46" s="102">
        <f>AB46+AB46*AF7/100</f>
        <v>5.330139561378525</v>
      </c>
      <c r="AD46" s="453" t="s">
        <v>21</v>
      </c>
      <c r="AE46" s="471">
        <f>AC46/road_by_tot!AC46*100</f>
        <v>3.4453360695919493</v>
      </c>
      <c r="AF46" s="471">
        <f>AC46/AB46*100-100</f>
        <v>6.9021171556061773</v>
      </c>
    </row>
    <row r="47" spans="1:32" x14ac:dyDescent="0.2">
      <c r="B47" s="580" t="s">
        <v>155</v>
      </c>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05"/>
      <c r="AF47" s="353"/>
    </row>
    <row r="48" spans="1:32" x14ac:dyDescent="0.2">
      <c r="B48" s="126" t="s">
        <v>137</v>
      </c>
    </row>
    <row r="49" spans="2:32" x14ac:dyDescent="0.2">
      <c r="B49" s="3" t="s">
        <v>71</v>
      </c>
    </row>
    <row r="50" spans="2:32" x14ac:dyDescent="0.2">
      <c r="B50" s="89" t="s">
        <v>72</v>
      </c>
    </row>
    <row r="51" spans="2:32" x14ac:dyDescent="0.2">
      <c r="B51" s="579" t="s">
        <v>91</v>
      </c>
      <c r="C51" s="579"/>
      <c r="D51" s="579"/>
      <c r="E51" s="579"/>
      <c r="F51" s="579"/>
      <c r="G51" s="579"/>
      <c r="H51" s="579"/>
      <c r="I51" s="579"/>
      <c r="J51" s="579"/>
      <c r="K51" s="579"/>
      <c r="L51" s="579"/>
      <c r="M51" s="579"/>
      <c r="N51" s="579"/>
      <c r="O51" s="579"/>
      <c r="P51" s="579"/>
      <c r="Q51" s="579"/>
      <c r="R51" s="134"/>
      <c r="S51" s="134"/>
      <c r="T51" s="134"/>
      <c r="U51" s="134"/>
      <c r="V51" s="134"/>
      <c r="W51" s="134"/>
      <c r="X51" s="134"/>
      <c r="Y51" s="134"/>
      <c r="Z51" s="134"/>
      <c r="AA51" s="392"/>
      <c r="AB51" s="412"/>
      <c r="AC51" s="443"/>
      <c r="AD51" s="129"/>
      <c r="AF51" s="354"/>
    </row>
    <row r="59" spans="2:32" x14ac:dyDescent="0.2">
      <c r="U59" s="1"/>
    </row>
  </sheetData>
  <mergeCells count="5">
    <mergeCell ref="B51:Q51"/>
    <mergeCell ref="AE2:AE5"/>
    <mergeCell ref="B2:Q2"/>
    <mergeCell ref="B3:Q3"/>
    <mergeCell ref="B47:AD47"/>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7">
    <pageSetUpPr fitToPage="1"/>
  </sheetPr>
  <dimension ref="A1:AE53"/>
  <sheetViews>
    <sheetView zoomScaleNormal="100" workbookViewId="0">
      <selection activeCell="W7" sqref="W7"/>
    </sheetView>
  </sheetViews>
  <sheetFormatPr defaultRowHeight="12.75" x14ac:dyDescent="0.2"/>
  <cols>
    <col min="1" max="1" width="3.7109375" customWidth="1"/>
    <col min="2" max="2" width="4.5703125" customWidth="1"/>
    <col min="3" max="13" width="7.7109375" customWidth="1"/>
    <col min="14" max="26" width="8.28515625" customWidth="1"/>
    <col min="27" max="27" width="7" customWidth="1"/>
    <col min="28" max="29" width="6.42578125" customWidth="1"/>
    <col min="30" max="30" width="7.42578125" style="167" customWidth="1"/>
    <col min="31" max="31" width="5.7109375" customWidth="1"/>
  </cols>
  <sheetData>
    <row r="1" spans="1:31" ht="14.25" customHeight="1" x14ac:dyDescent="0.2">
      <c r="B1" s="39"/>
      <c r="C1" s="37"/>
      <c r="D1" s="37"/>
      <c r="E1" s="37"/>
      <c r="F1" s="37"/>
      <c r="G1" s="37"/>
      <c r="H1" s="37"/>
      <c r="I1" s="37"/>
      <c r="J1" s="40"/>
      <c r="AD1" s="318" t="s">
        <v>80</v>
      </c>
    </row>
    <row r="2" spans="1:31" s="77" customFormat="1" ht="15" customHeight="1" x14ac:dyDescent="0.2">
      <c r="B2" s="544" t="s">
        <v>130</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row>
    <row r="3" spans="1:31" ht="15" customHeight="1" x14ac:dyDescent="0.2">
      <c r="B3" s="571" t="s">
        <v>127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row>
    <row r="4" spans="1:31" ht="12" customHeight="1" x14ac:dyDescent="0.2">
      <c r="B4" s="4"/>
      <c r="C4" s="23"/>
      <c r="D4" s="23"/>
      <c r="E4" s="23"/>
      <c r="F4" s="23"/>
      <c r="G4" s="23"/>
      <c r="H4" s="23"/>
      <c r="J4" s="22"/>
      <c r="K4" s="22"/>
      <c r="L4" s="22"/>
      <c r="R4" s="21"/>
      <c r="S4" s="21"/>
      <c r="T4" s="21"/>
      <c r="U4" s="21"/>
      <c r="V4" s="21"/>
      <c r="W4" s="21"/>
      <c r="X4" s="173"/>
      <c r="Y4" s="173"/>
      <c r="Z4" s="582" t="s">
        <v>95</v>
      </c>
      <c r="AA4" s="582"/>
      <c r="AB4" s="582"/>
      <c r="AC4" s="582"/>
      <c r="AD4" s="157"/>
      <c r="AE4" s="6"/>
    </row>
    <row r="5" spans="1:31" ht="20.100000000000001" customHeight="1" x14ac:dyDescent="0.2">
      <c r="B5" s="4"/>
      <c r="C5" s="81">
        <v>1995</v>
      </c>
      <c r="D5" s="82">
        <v>1996</v>
      </c>
      <c r="E5" s="82">
        <v>1997</v>
      </c>
      <c r="F5" s="82">
        <v>1998</v>
      </c>
      <c r="G5" s="82">
        <v>1999</v>
      </c>
      <c r="H5" s="82">
        <v>2000</v>
      </c>
      <c r="I5" s="82">
        <v>2001</v>
      </c>
      <c r="J5" s="82">
        <v>2002</v>
      </c>
      <c r="K5" s="82">
        <v>2003</v>
      </c>
      <c r="L5" s="82">
        <v>2004</v>
      </c>
      <c r="M5" s="82">
        <v>2005</v>
      </c>
      <c r="N5" s="82">
        <v>2006</v>
      </c>
      <c r="O5" s="82">
        <v>2007</v>
      </c>
      <c r="P5" s="82">
        <v>2008</v>
      </c>
      <c r="Q5" s="82">
        <v>2009</v>
      </c>
      <c r="R5" s="82">
        <v>2010</v>
      </c>
      <c r="S5" s="82">
        <v>2011</v>
      </c>
      <c r="T5" s="82">
        <v>2012</v>
      </c>
      <c r="U5" s="82">
        <v>2013</v>
      </c>
      <c r="V5" s="82">
        <v>2014</v>
      </c>
      <c r="W5" s="82">
        <v>2015</v>
      </c>
      <c r="X5" s="82">
        <v>2016</v>
      </c>
      <c r="Y5" s="82">
        <v>2017</v>
      </c>
      <c r="Z5" s="82">
        <v>2018</v>
      </c>
      <c r="AA5" s="82">
        <v>2019</v>
      </c>
      <c r="AB5" s="82">
        <v>2020</v>
      </c>
      <c r="AC5" s="82">
        <v>2021</v>
      </c>
      <c r="AD5" s="319" t="s">
        <v>148</v>
      </c>
      <c r="AE5" s="60"/>
    </row>
    <row r="6" spans="1:31" ht="9.9499999999999993" customHeight="1" x14ac:dyDescent="0.2">
      <c r="B6" s="4"/>
      <c r="C6" s="83"/>
      <c r="D6" s="80"/>
      <c r="E6" s="80"/>
      <c r="F6" s="80"/>
      <c r="G6" s="80"/>
      <c r="H6" s="80"/>
      <c r="I6" s="80"/>
      <c r="J6" s="80"/>
      <c r="K6" s="80"/>
      <c r="L6" s="80"/>
      <c r="M6" s="80"/>
      <c r="N6" s="80"/>
      <c r="O6" s="80"/>
      <c r="P6" s="80"/>
      <c r="Q6" s="80"/>
      <c r="R6" s="80"/>
      <c r="S6" s="80"/>
      <c r="T6" s="80"/>
      <c r="U6" s="80"/>
      <c r="V6" s="80"/>
      <c r="W6" s="80"/>
      <c r="X6" s="80"/>
      <c r="Y6" s="80"/>
      <c r="Z6" s="80"/>
      <c r="AA6" s="80"/>
      <c r="AB6" s="80"/>
      <c r="AC6" s="136"/>
      <c r="AD6" s="320" t="s">
        <v>63</v>
      </c>
      <c r="AE6" s="62"/>
    </row>
    <row r="7" spans="1:31" ht="12.75" customHeight="1" x14ac:dyDescent="0.2">
      <c r="B7" s="358" t="s">
        <v>111</v>
      </c>
      <c r="C7" s="272">
        <f>SUM(C8:C34)</f>
        <v>1127.1600000000001</v>
      </c>
      <c r="D7" s="272">
        <f t="shared" ref="D7:AC7" si="0">SUM(D8:D34)</f>
        <v>1136.3789999999997</v>
      </c>
      <c r="E7" s="272">
        <f t="shared" si="0"/>
        <v>1182.4780000000001</v>
      </c>
      <c r="F7" s="272">
        <f t="shared" si="0"/>
        <v>1242.2039999999997</v>
      </c>
      <c r="G7" s="272">
        <f t="shared" si="0"/>
        <v>1294.3619999999999</v>
      </c>
      <c r="H7" s="272">
        <f t="shared" si="0"/>
        <v>1343.867</v>
      </c>
      <c r="I7" s="272">
        <f t="shared" si="0"/>
        <v>1389.2530000000002</v>
      </c>
      <c r="J7" s="272">
        <f t="shared" si="0"/>
        <v>1438.8</v>
      </c>
      <c r="K7" s="272">
        <f t="shared" si="0"/>
        <v>1440.54</v>
      </c>
      <c r="L7" s="272">
        <f t="shared" si="0"/>
        <v>1588.2660000000001</v>
      </c>
      <c r="M7" s="272">
        <f t="shared" si="0"/>
        <v>1633.3100000000002</v>
      </c>
      <c r="N7" s="272">
        <f t="shared" si="0"/>
        <v>1692.2679999999998</v>
      </c>
      <c r="O7" s="272">
        <f t="shared" si="0"/>
        <v>1753.9669999999996</v>
      </c>
      <c r="P7" s="272">
        <f t="shared" si="0"/>
        <v>1730.8300000000002</v>
      </c>
      <c r="Q7" s="272">
        <f t="shared" si="0"/>
        <v>1560.2210000000002</v>
      </c>
      <c r="R7" s="272">
        <f t="shared" si="0"/>
        <v>1609.6789999999999</v>
      </c>
      <c r="S7" s="272">
        <f t="shared" si="0"/>
        <v>1592.1670000000001</v>
      </c>
      <c r="T7" s="272">
        <f t="shared" si="0"/>
        <v>1536.4010000000001</v>
      </c>
      <c r="U7" s="272">
        <f t="shared" si="0"/>
        <v>1571.77</v>
      </c>
      <c r="V7" s="272">
        <f t="shared" si="0"/>
        <v>1584.7149999999999</v>
      </c>
      <c r="W7" s="272">
        <f t="shared" si="0"/>
        <v>1615.1200000000001</v>
      </c>
      <c r="X7" s="272">
        <f t="shared" si="0"/>
        <v>1675.3409999999999</v>
      </c>
      <c r="Y7" s="272">
        <f t="shared" si="0"/>
        <v>1765.6039999999998</v>
      </c>
      <c r="Z7" s="272">
        <f t="shared" si="0"/>
        <v>1763.8989999999999</v>
      </c>
      <c r="AA7" s="272">
        <f t="shared" si="0"/>
        <v>1820.1229999999996</v>
      </c>
      <c r="AB7" s="272">
        <f t="shared" si="0"/>
        <v>1803.8150000000001</v>
      </c>
      <c r="AC7" s="272">
        <f t="shared" si="0"/>
        <v>1921.4290000000001</v>
      </c>
      <c r="AD7" s="274">
        <f>AC7/AB7*100-100</f>
        <v>6.5202917150594715</v>
      </c>
      <c r="AE7" s="270" t="s">
        <v>111</v>
      </c>
    </row>
    <row r="8" spans="1:31" ht="12.75" customHeight="1" x14ac:dyDescent="0.2">
      <c r="A8" s="15"/>
      <c r="B8" s="17" t="s">
        <v>22</v>
      </c>
      <c r="C8" s="143">
        <v>45.6</v>
      </c>
      <c r="D8" s="144">
        <v>41.8</v>
      </c>
      <c r="E8" s="144">
        <v>43.7</v>
      </c>
      <c r="F8" s="144">
        <v>41.1</v>
      </c>
      <c r="G8" s="55">
        <v>37.283999999999999</v>
      </c>
      <c r="H8" s="144">
        <v>51.046999999999997</v>
      </c>
      <c r="I8" s="144">
        <v>53.182000000000002</v>
      </c>
      <c r="J8" s="144">
        <v>52.889000000000003</v>
      </c>
      <c r="K8" s="144">
        <v>50.542000000000002</v>
      </c>
      <c r="L8" s="144">
        <v>47.878</v>
      </c>
      <c r="M8" s="144">
        <v>43.847000000000001</v>
      </c>
      <c r="N8" s="144">
        <v>43.017000000000003</v>
      </c>
      <c r="O8" s="144">
        <v>42.085000000000001</v>
      </c>
      <c r="P8" s="144">
        <v>38.356000000000002</v>
      </c>
      <c r="Q8" s="144">
        <v>36.173999999999999</v>
      </c>
      <c r="R8" s="144">
        <v>35.002000000000002</v>
      </c>
      <c r="S8" s="144">
        <v>33.106999999999999</v>
      </c>
      <c r="T8" s="144">
        <v>32.104999999999997</v>
      </c>
      <c r="U8" s="144">
        <v>32.795999999999999</v>
      </c>
      <c r="V8" s="144">
        <v>31.808</v>
      </c>
      <c r="W8" s="144">
        <v>36.078000000000003</v>
      </c>
      <c r="X8" s="144">
        <v>35.192</v>
      </c>
      <c r="Y8" s="144">
        <v>34.22</v>
      </c>
      <c r="Z8" s="144">
        <v>32.683999999999997</v>
      </c>
      <c r="AA8" s="144">
        <v>34.829000000000001</v>
      </c>
      <c r="AB8" s="144">
        <v>34.378999999999998</v>
      </c>
      <c r="AC8" s="179">
        <v>36.174999999999997</v>
      </c>
      <c r="AD8" s="171">
        <f>AC8/AB8*100-100</f>
        <v>5.2241193751999759</v>
      </c>
      <c r="AE8" s="17" t="s">
        <v>22</v>
      </c>
    </row>
    <row r="9" spans="1:31" ht="12.75" customHeight="1" x14ac:dyDescent="0.2">
      <c r="A9" s="15"/>
      <c r="B9" s="85" t="s">
        <v>5</v>
      </c>
      <c r="C9" s="146">
        <v>5.2</v>
      </c>
      <c r="D9" s="147">
        <v>5.4</v>
      </c>
      <c r="E9" s="147">
        <v>5.6</v>
      </c>
      <c r="F9" s="147">
        <v>5.8</v>
      </c>
      <c r="G9" s="147">
        <v>6</v>
      </c>
      <c r="H9" s="147">
        <v>6.4039999999999999</v>
      </c>
      <c r="I9" s="147">
        <v>8.0470000000000006</v>
      </c>
      <c r="J9" s="147">
        <v>8.8040000000000003</v>
      </c>
      <c r="K9" s="147">
        <v>9.4969999999999999</v>
      </c>
      <c r="L9" s="147">
        <v>11.961</v>
      </c>
      <c r="M9" s="147">
        <v>14.371</v>
      </c>
      <c r="N9" s="147">
        <v>13.765000000000001</v>
      </c>
      <c r="O9" s="147">
        <v>14.624000000000001</v>
      </c>
      <c r="P9" s="147">
        <v>15.321999999999999</v>
      </c>
      <c r="Q9" s="147">
        <v>17.742000000000001</v>
      </c>
      <c r="R9" s="147">
        <v>19.433</v>
      </c>
      <c r="S9" s="147">
        <v>21.213999999999999</v>
      </c>
      <c r="T9" s="147">
        <v>24.372</v>
      </c>
      <c r="U9" s="147">
        <v>27.097000000000001</v>
      </c>
      <c r="V9" s="147">
        <v>27.853999999999999</v>
      </c>
      <c r="W9" s="147">
        <v>32.296999999999997</v>
      </c>
      <c r="X9" s="147">
        <v>35.408999999999999</v>
      </c>
      <c r="Y9" s="147">
        <v>35.15</v>
      </c>
      <c r="Z9" s="147">
        <v>26.95</v>
      </c>
      <c r="AA9" s="147">
        <v>20.550999999999998</v>
      </c>
      <c r="AB9" s="147">
        <v>32.566000000000003</v>
      </c>
      <c r="AC9" s="148">
        <v>35.130000000000003</v>
      </c>
      <c r="AD9" s="315">
        <f t="shared" ref="AD9:AD46" si="1">AC9/AB9*100-100</f>
        <v>7.8732420315666758</v>
      </c>
      <c r="AE9" s="85" t="s">
        <v>5</v>
      </c>
    </row>
    <row r="10" spans="1:31" ht="12.75" customHeight="1" x14ac:dyDescent="0.2">
      <c r="A10" s="15"/>
      <c r="B10" s="17" t="s">
        <v>7</v>
      </c>
      <c r="C10" s="149">
        <v>31.3</v>
      </c>
      <c r="D10" s="150">
        <v>30.1</v>
      </c>
      <c r="E10" s="150">
        <v>30.64</v>
      </c>
      <c r="F10" s="150">
        <v>33.911000000000001</v>
      </c>
      <c r="G10" s="150">
        <v>36.963999999999999</v>
      </c>
      <c r="H10" s="150">
        <v>37.31</v>
      </c>
      <c r="I10" s="150">
        <v>39.067</v>
      </c>
      <c r="J10" s="150">
        <v>43.673999999999999</v>
      </c>
      <c r="K10" s="150">
        <v>46.534999999999997</v>
      </c>
      <c r="L10" s="150">
        <v>46.011000000000003</v>
      </c>
      <c r="M10" s="150">
        <v>43.447000000000003</v>
      </c>
      <c r="N10" s="150">
        <v>50.375999999999998</v>
      </c>
      <c r="O10" s="150">
        <v>48.140999999999998</v>
      </c>
      <c r="P10" s="150">
        <v>50.877000000000002</v>
      </c>
      <c r="Q10" s="150">
        <v>44.954999999999998</v>
      </c>
      <c r="R10" s="150">
        <v>51.832000000000001</v>
      </c>
      <c r="S10" s="150">
        <v>54.83</v>
      </c>
      <c r="T10" s="150">
        <v>51.228000000000002</v>
      </c>
      <c r="U10" s="150">
        <v>54.893000000000001</v>
      </c>
      <c r="V10" s="150">
        <v>54.091999999999999</v>
      </c>
      <c r="W10" s="150">
        <v>58.715000000000003</v>
      </c>
      <c r="X10" s="150">
        <v>50.314999999999998</v>
      </c>
      <c r="Y10" s="150">
        <v>44.274000000000001</v>
      </c>
      <c r="Z10" s="150">
        <v>41.073</v>
      </c>
      <c r="AA10" s="150">
        <v>39.058999999999997</v>
      </c>
      <c r="AB10" s="150">
        <v>56.09</v>
      </c>
      <c r="AC10" s="170">
        <v>63.756</v>
      </c>
      <c r="AD10" s="171">
        <f t="shared" si="1"/>
        <v>13.667320377963989</v>
      </c>
      <c r="AE10" s="17" t="s">
        <v>7</v>
      </c>
    </row>
    <row r="11" spans="1:31" ht="12.75" customHeight="1" x14ac:dyDescent="0.2">
      <c r="A11" s="15"/>
      <c r="B11" s="85" t="s">
        <v>18</v>
      </c>
      <c r="C11" s="146">
        <v>22.4</v>
      </c>
      <c r="D11" s="147">
        <v>21.3</v>
      </c>
      <c r="E11" s="147">
        <v>21.5</v>
      </c>
      <c r="F11" s="147">
        <v>21.4</v>
      </c>
      <c r="G11" s="147">
        <v>23.236000000000001</v>
      </c>
      <c r="H11" s="147">
        <v>24.021000000000001</v>
      </c>
      <c r="I11" s="147">
        <v>22.155999999999999</v>
      </c>
      <c r="J11" s="147">
        <v>22.515999999999998</v>
      </c>
      <c r="K11" s="147">
        <v>23.009</v>
      </c>
      <c r="L11" s="147">
        <v>23.114000000000001</v>
      </c>
      <c r="M11" s="147">
        <v>23.298999999999999</v>
      </c>
      <c r="N11" s="147">
        <v>21.254000000000001</v>
      </c>
      <c r="O11" s="147">
        <v>20.96</v>
      </c>
      <c r="P11" s="147">
        <v>19.48</v>
      </c>
      <c r="Q11" s="147">
        <v>16.876000000000001</v>
      </c>
      <c r="R11" s="147">
        <v>15.018000000000001</v>
      </c>
      <c r="S11" s="147">
        <v>16.12</v>
      </c>
      <c r="T11" s="147">
        <v>16.678999999999998</v>
      </c>
      <c r="U11" s="147">
        <v>16.071999999999999</v>
      </c>
      <c r="V11" s="147">
        <v>16.184000000000001</v>
      </c>
      <c r="W11" s="147">
        <v>15.5</v>
      </c>
      <c r="X11" s="147">
        <v>16.094000000000001</v>
      </c>
      <c r="Y11" s="147">
        <v>15.502000000000001</v>
      </c>
      <c r="Z11" s="147">
        <v>14.997999999999999</v>
      </c>
      <c r="AA11" s="147">
        <v>14.991</v>
      </c>
      <c r="AB11" s="147">
        <v>14.686</v>
      </c>
      <c r="AC11" s="148">
        <v>15.342000000000001</v>
      </c>
      <c r="AD11" s="315">
        <f t="shared" si="1"/>
        <v>4.4668391665531999</v>
      </c>
      <c r="AE11" s="85" t="s">
        <v>18</v>
      </c>
    </row>
    <row r="12" spans="1:31" ht="12.75" customHeight="1" x14ac:dyDescent="0.2">
      <c r="A12" s="15"/>
      <c r="B12" s="17" t="s">
        <v>23</v>
      </c>
      <c r="C12" s="149">
        <v>237.8</v>
      </c>
      <c r="D12" s="150">
        <v>236.6</v>
      </c>
      <c r="E12" s="150">
        <v>245.9</v>
      </c>
      <c r="F12" s="150">
        <v>257.39999999999998</v>
      </c>
      <c r="G12" s="150">
        <v>278.42700000000002</v>
      </c>
      <c r="H12" s="150">
        <v>280.70800000000003</v>
      </c>
      <c r="I12" s="150">
        <v>288.964</v>
      </c>
      <c r="J12" s="150">
        <v>285.214</v>
      </c>
      <c r="K12" s="150">
        <v>290.745</v>
      </c>
      <c r="L12" s="150">
        <v>303.75200000000001</v>
      </c>
      <c r="M12" s="150">
        <v>310.10300000000001</v>
      </c>
      <c r="N12" s="150">
        <v>330.01600000000002</v>
      </c>
      <c r="O12" s="150">
        <v>343.447</v>
      </c>
      <c r="P12" s="150">
        <v>341.53199999999998</v>
      </c>
      <c r="Q12" s="150">
        <v>307.54700000000003</v>
      </c>
      <c r="R12" s="150">
        <v>313.10399999999998</v>
      </c>
      <c r="S12" s="150">
        <v>323.83300000000003</v>
      </c>
      <c r="T12" s="150">
        <v>307.00900000000001</v>
      </c>
      <c r="U12" s="150">
        <v>305.74400000000003</v>
      </c>
      <c r="V12" s="150">
        <v>310.142</v>
      </c>
      <c r="W12" s="150">
        <v>314.81599999999997</v>
      </c>
      <c r="X12" s="150">
        <v>315.774</v>
      </c>
      <c r="Y12" s="150">
        <v>313.149</v>
      </c>
      <c r="Z12" s="150">
        <v>316.77199999999999</v>
      </c>
      <c r="AA12" s="150">
        <v>311.875</v>
      </c>
      <c r="AB12" s="150">
        <v>304.613</v>
      </c>
      <c r="AC12" s="170">
        <v>307.27199999999999</v>
      </c>
      <c r="AD12" s="171">
        <f t="shared" si="1"/>
        <v>0.8729108737972382</v>
      </c>
      <c r="AE12" s="17" t="s">
        <v>23</v>
      </c>
    </row>
    <row r="13" spans="1:31" ht="12.75" customHeight="1" x14ac:dyDescent="0.2">
      <c r="A13" s="15"/>
      <c r="B13" s="85" t="s">
        <v>8</v>
      </c>
      <c r="C13" s="151">
        <v>1.5489999999999999</v>
      </c>
      <c r="D13" s="152">
        <v>1.897</v>
      </c>
      <c r="E13" s="152">
        <v>2.7730000000000001</v>
      </c>
      <c r="F13" s="152">
        <v>3.7909999999999999</v>
      </c>
      <c r="G13" s="152">
        <v>3.9750000000000001</v>
      </c>
      <c r="H13" s="152">
        <v>3.9319999999999999</v>
      </c>
      <c r="I13" s="147">
        <v>4.6769999999999996</v>
      </c>
      <c r="J13" s="153">
        <v>4.3869999999999996</v>
      </c>
      <c r="K13" s="147">
        <v>3.9740000000000002</v>
      </c>
      <c r="L13" s="152">
        <v>5.0990000000000002</v>
      </c>
      <c r="M13" s="152">
        <v>5.8239999999999998</v>
      </c>
      <c r="N13" s="152">
        <v>5.548</v>
      </c>
      <c r="O13" s="152">
        <v>6.4169999999999998</v>
      </c>
      <c r="P13" s="152">
        <v>7.3540000000000001</v>
      </c>
      <c r="Q13" s="152">
        <v>5.34</v>
      </c>
      <c r="R13" s="152">
        <v>5.6139999999999999</v>
      </c>
      <c r="S13" s="152">
        <v>5.9119999999999999</v>
      </c>
      <c r="T13" s="152">
        <v>5.7910000000000004</v>
      </c>
      <c r="U13" s="152">
        <v>5.9859999999999998</v>
      </c>
      <c r="V13" s="152">
        <v>6.31</v>
      </c>
      <c r="W13" s="152">
        <v>6.2629999999999999</v>
      </c>
      <c r="X13" s="152">
        <v>6.7160000000000002</v>
      </c>
      <c r="Y13" s="152">
        <v>6.1890000000000001</v>
      </c>
      <c r="Z13" s="152">
        <v>5.7750000000000004</v>
      </c>
      <c r="AA13" s="152">
        <v>4.7939999999999996</v>
      </c>
      <c r="AB13" s="152">
        <v>4.2789999999999999</v>
      </c>
      <c r="AC13" s="178">
        <v>5.2370000000000001</v>
      </c>
      <c r="AD13" s="315">
        <f t="shared" si="1"/>
        <v>22.38840850666044</v>
      </c>
      <c r="AE13" s="85" t="s">
        <v>8</v>
      </c>
    </row>
    <row r="14" spans="1:31" ht="12.75" customHeight="1" x14ac:dyDescent="0.2">
      <c r="A14" s="15"/>
      <c r="B14" s="17" t="s">
        <v>26</v>
      </c>
      <c r="C14" s="143">
        <v>5.5</v>
      </c>
      <c r="D14" s="144">
        <v>6.3</v>
      </c>
      <c r="E14" s="144">
        <v>7</v>
      </c>
      <c r="F14" s="144">
        <v>8.1999999999999993</v>
      </c>
      <c r="G14" s="144">
        <v>10.206</v>
      </c>
      <c r="H14" s="144">
        <v>12.275</v>
      </c>
      <c r="I14" s="144">
        <v>12.324999999999999</v>
      </c>
      <c r="J14" s="144">
        <v>14.275</v>
      </c>
      <c r="K14" s="144">
        <v>15.65</v>
      </c>
      <c r="L14" s="144">
        <v>17.143999999999998</v>
      </c>
      <c r="M14" s="144">
        <v>17.91</v>
      </c>
      <c r="N14" s="144">
        <v>17.454000000000001</v>
      </c>
      <c r="O14" s="144">
        <v>19.02</v>
      </c>
      <c r="P14" s="144">
        <v>17.402000000000001</v>
      </c>
      <c r="Q14" s="144">
        <v>11.686999999999999</v>
      </c>
      <c r="R14" s="144">
        <v>10.939</v>
      </c>
      <c r="S14" s="144">
        <v>10.108000000000001</v>
      </c>
      <c r="T14" s="144">
        <v>9.9760000000000009</v>
      </c>
      <c r="U14" s="144">
        <v>9.2149999999999999</v>
      </c>
      <c r="V14" s="144">
        <v>9.7509999999999994</v>
      </c>
      <c r="W14" s="144">
        <v>9.9</v>
      </c>
      <c r="X14" s="144">
        <v>11.616</v>
      </c>
      <c r="Y14" s="144">
        <v>11.836</v>
      </c>
      <c r="Z14" s="144">
        <v>11.6</v>
      </c>
      <c r="AA14" s="144">
        <v>12.444000000000001</v>
      </c>
      <c r="AB14" s="144">
        <v>11.423999999999999</v>
      </c>
      <c r="AC14" s="179">
        <v>12.493</v>
      </c>
      <c r="AD14" s="171">
        <f t="shared" si="1"/>
        <v>9.3574929971988752</v>
      </c>
      <c r="AE14" s="17" t="s">
        <v>26</v>
      </c>
    </row>
    <row r="15" spans="1:31" ht="12.75" customHeight="1" x14ac:dyDescent="0.2">
      <c r="A15" s="15"/>
      <c r="B15" s="85" t="s">
        <v>19</v>
      </c>
      <c r="C15" s="154">
        <v>24</v>
      </c>
      <c r="D15" s="155">
        <v>25.05</v>
      </c>
      <c r="E15" s="155">
        <v>26.12</v>
      </c>
      <c r="F15" s="155">
        <v>27.2</v>
      </c>
      <c r="G15" s="155">
        <v>28.1</v>
      </c>
      <c r="H15" s="155">
        <v>29</v>
      </c>
      <c r="I15" s="155">
        <v>30</v>
      </c>
      <c r="J15" s="155">
        <v>31</v>
      </c>
      <c r="K15" s="194">
        <v>19.34</v>
      </c>
      <c r="L15" s="152">
        <v>36.773000000000003</v>
      </c>
      <c r="M15" s="152">
        <v>23.760999999999999</v>
      </c>
      <c r="N15" s="152">
        <v>34.002000000000002</v>
      </c>
      <c r="O15" s="147">
        <v>27.791</v>
      </c>
      <c r="P15" s="147">
        <v>28.85</v>
      </c>
      <c r="Q15" s="147">
        <v>28.585000000000001</v>
      </c>
      <c r="R15" s="147">
        <v>29.815000000000001</v>
      </c>
      <c r="S15" s="147">
        <v>20.597000000000001</v>
      </c>
      <c r="T15" s="147">
        <v>20.838999999999999</v>
      </c>
      <c r="U15" s="147">
        <v>16.582999999999998</v>
      </c>
      <c r="V15" s="147">
        <v>19.222999999999999</v>
      </c>
      <c r="W15" s="147">
        <v>19.763999999999999</v>
      </c>
      <c r="X15" s="194">
        <v>20.873999999999999</v>
      </c>
      <c r="Y15" s="147">
        <v>28.376999999999999</v>
      </c>
      <c r="Z15" s="147">
        <v>29.279</v>
      </c>
      <c r="AA15" s="147">
        <v>28.196999999999999</v>
      </c>
      <c r="AB15" s="147">
        <v>25.161000000000001</v>
      </c>
      <c r="AC15" s="148">
        <v>21.053000000000001</v>
      </c>
      <c r="AD15" s="315">
        <f t="shared" si="1"/>
        <v>-16.326855053455745</v>
      </c>
      <c r="AE15" s="85" t="s">
        <v>19</v>
      </c>
    </row>
    <row r="16" spans="1:31" ht="12.75" customHeight="1" x14ac:dyDescent="0.2">
      <c r="A16" s="15"/>
      <c r="B16" s="17" t="s">
        <v>24</v>
      </c>
      <c r="C16" s="156">
        <v>101.6</v>
      </c>
      <c r="D16" s="157">
        <v>102</v>
      </c>
      <c r="E16" s="157">
        <v>109.5</v>
      </c>
      <c r="F16" s="157">
        <v>125</v>
      </c>
      <c r="G16" s="157">
        <v>134.262</v>
      </c>
      <c r="H16" s="157">
        <v>148.71700000000001</v>
      </c>
      <c r="I16" s="157">
        <v>161.04499999999999</v>
      </c>
      <c r="J16" s="157">
        <v>184.54900000000001</v>
      </c>
      <c r="K16" s="157">
        <v>192.596</v>
      </c>
      <c r="L16" s="157">
        <v>220.822</v>
      </c>
      <c r="M16" s="157">
        <v>233.23</v>
      </c>
      <c r="N16" s="157">
        <v>241.78800000000001</v>
      </c>
      <c r="O16" s="157">
        <v>258.875</v>
      </c>
      <c r="P16" s="157">
        <v>242.983</v>
      </c>
      <c r="Q16" s="157">
        <v>211.89500000000001</v>
      </c>
      <c r="R16" s="157">
        <v>210.06800000000001</v>
      </c>
      <c r="S16" s="157">
        <v>206.84299999999999</v>
      </c>
      <c r="T16" s="157">
        <v>199.209</v>
      </c>
      <c r="U16" s="157">
        <v>192.59700000000001</v>
      </c>
      <c r="V16" s="157">
        <v>195.767</v>
      </c>
      <c r="W16" s="157">
        <v>209.39</v>
      </c>
      <c r="X16" s="157">
        <v>216.99700000000001</v>
      </c>
      <c r="Y16" s="157">
        <v>231.10900000000001</v>
      </c>
      <c r="Z16" s="157">
        <v>238.994</v>
      </c>
      <c r="AA16" s="157">
        <v>249.559</v>
      </c>
      <c r="AB16" s="157">
        <v>242.268</v>
      </c>
      <c r="AC16" s="158">
        <v>270.17599999999999</v>
      </c>
      <c r="AD16" s="171">
        <f t="shared" si="1"/>
        <v>11.519474301187117</v>
      </c>
      <c r="AE16" s="17" t="s">
        <v>24</v>
      </c>
    </row>
    <row r="17" spans="1:31" ht="12.75" customHeight="1" x14ac:dyDescent="0.2">
      <c r="A17" s="15"/>
      <c r="B17" s="85" t="s">
        <v>25</v>
      </c>
      <c r="C17" s="151">
        <v>178.2</v>
      </c>
      <c r="D17" s="152">
        <v>180</v>
      </c>
      <c r="E17" s="152">
        <v>181.4</v>
      </c>
      <c r="F17" s="152">
        <v>189.1</v>
      </c>
      <c r="G17" s="152">
        <v>204.71299999999999</v>
      </c>
      <c r="H17" s="152">
        <v>203.999</v>
      </c>
      <c r="I17" s="152">
        <v>206.87</v>
      </c>
      <c r="J17" s="152">
        <v>204.35900000000001</v>
      </c>
      <c r="K17" s="152">
        <v>203.608</v>
      </c>
      <c r="L17" s="152">
        <v>212.20099999999999</v>
      </c>
      <c r="M17" s="152">
        <v>205.28399999999999</v>
      </c>
      <c r="N17" s="152">
        <v>211.44499999999999</v>
      </c>
      <c r="O17" s="152">
        <v>219.21199999999999</v>
      </c>
      <c r="P17" s="152">
        <v>206.304</v>
      </c>
      <c r="Q17" s="152">
        <v>173.62100000000001</v>
      </c>
      <c r="R17" s="152">
        <v>182.19300000000001</v>
      </c>
      <c r="S17" s="152">
        <v>185.685</v>
      </c>
      <c r="T17" s="152">
        <v>172.44499999999999</v>
      </c>
      <c r="U17" s="152">
        <v>171.47200000000001</v>
      </c>
      <c r="V17" s="152">
        <v>165.22499999999999</v>
      </c>
      <c r="W17" s="152">
        <v>153.58000000000001</v>
      </c>
      <c r="X17" s="152">
        <v>155.84299999999999</v>
      </c>
      <c r="Y17" s="152">
        <v>167.691</v>
      </c>
      <c r="Z17" s="152">
        <v>171.875</v>
      </c>
      <c r="AA17" s="152">
        <v>174.06100000000001</v>
      </c>
      <c r="AB17" s="152">
        <v>169.66300000000001</v>
      </c>
      <c r="AC17" s="178">
        <v>174.85300000000001</v>
      </c>
      <c r="AD17" s="315">
        <f t="shared" si="1"/>
        <v>3.0590052044346692</v>
      </c>
      <c r="AE17" s="85" t="s">
        <v>25</v>
      </c>
    </row>
    <row r="18" spans="1:31" ht="12.75" customHeight="1" x14ac:dyDescent="0.2">
      <c r="A18" s="15"/>
      <c r="B18" s="17" t="s">
        <v>36</v>
      </c>
      <c r="C18" s="111"/>
      <c r="D18" s="55"/>
      <c r="E18" s="55"/>
      <c r="F18" s="137"/>
      <c r="G18" s="55">
        <v>2.4239999999999999</v>
      </c>
      <c r="H18" s="55">
        <v>2.8559999999999999</v>
      </c>
      <c r="I18" s="55">
        <v>6.7829999999999995</v>
      </c>
      <c r="J18" s="55">
        <v>7.4130000000000003</v>
      </c>
      <c r="K18" s="55">
        <v>8.2409999999999997</v>
      </c>
      <c r="L18" s="55">
        <v>8.8189999999999991</v>
      </c>
      <c r="M18" s="55">
        <v>9.3279999999999994</v>
      </c>
      <c r="N18" s="55">
        <v>10.175000000000001</v>
      </c>
      <c r="O18" s="55">
        <v>10.502000000000001</v>
      </c>
      <c r="P18" s="55">
        <v>11.042</v>
      </c>
      <c r="Q18" s="55">
        <v>9.4260000000000002</v>
      </c>
      <c r="R18" s="55">
        <v>8.7799999999999994</v>
      </c>
      <c r="S18" s="55">
        <v>8.9260000000000002</v>
      </c>
      <c r="T18" s="55">
        <v>8.6489999999999991</v>
      </c>
      <c r="U18" s="55">
        <v>9.1329999999999991</v>
      </c>
      <c r="V18" s="55">
        <v>9.3810000000000002</v>
      </c>
      <c r="W18" s="55">
        <v>10.439</v>
      </c>
      <c r="X18" s="55">
        <v>11.337</v>
      </c>
      <c r="Y18" s="55">
        <v>11.834</v>
      </c>
      <c r="Z18" s="55">
        <v>12.635</v>
      </c>
      <c r="AA18" s="55">
        <v>12.477</v>
      </c>
      <c r="AB18" s="55">
        <v>12.255000000000001</v>
      </c>
      <c r="AC18" s="159">
        <v>13.629</v>
      </c>
      <c r="AD18" s="171">
        <f t="shared" si="1"/>
        <v>11.211750305997555</v>
      </c>
      <c r="AE18" s="17" t="s">
        <v>36</v>
      </c>
    </row>
    <row r="19" spans="1:31" ht="12.75" customHeight="1" x14ac:dyDescent="0.2">
      <c r="A19" s="15"/>
      <c r="B19" s="85" t="s">
        <v>27</v>
      </c>
      <c r="C19" s="154">
        <v>174.43100000000001</v>
      </c>
      <c r="D19" s="155">
        <v>175.45</v>
      </c>
      <c r="E19" s="155">
        <v>178.35300000000001</v>
      </c>
      <c r="F19" s="155">
        <v>180.482</v>
      </c>
      <c r="G19" s="155">
        <v>177.291</v>
      </c>
      <c r="H19" s="155">
        <v>184.67699999999999</v>
      </c>
      <c r="I19" s="155">
        <v>186.51300000000001</v>
      </c>
      <c r="J19" s="147">
        <v>192.68100000000001</v>
      </c>
      <c r="K19" s="147">
        <v>174.08799999999999</v>
      </c>
      <c r="L19" s="147">
        <v>196.98</v>
      </c>
      <c r="M19" s="147">
        <v>211.804</v>
      </c>
      <c r="N19" s="147">
        <v>187.065</v>
      </c>
      <c r="O19" s="147">
        <v>179.411</v>
      </c>
      <c r="P19" s="147">
        <v>180.46100000000001</v>
      </c>
      <c r="Q19" s="147">
        <v>167.62700000000001</v>
      </c>
      <c r="R19" s="147">
        <v>175.77500000000001</v>
      </c>
      <c r="S19" s="147">
        <v>142.84299999999999</v>
      </c>
      <c r="T19" s="147">
        <v>124.015</v>
      </c>
      <c r="U19" s="147">
        <v>127.241</v>
      </c>
      <c r="V19" s="147">
        <v>117.813</v>
      </c>
      <c r="W19" s="147">
        <v>116.82</v>
      </c>
      <c r="X19" s="147">
        <v>112.637</v>
      </c>
      <c r="Y19" s="147">
        <v>119.687</v>
      </c>
      <c r="Z19" s="147">
        <v>124.91500000000001</v>
      </c>
      <c r="AA19" s="147">
        <v>137.98599999999999</v>
      </c>
      <c r="AB19" s="147">
        <v>133.22200000000001</v>
      </c>
      <c r="AC19" s="148">
        <v>144.98599999999999</v>
      </c>
      <c r="AD19" s="315">
        <f t="shared" si="1"/>
        <v>8.8303733617570543</v>
      </c>
      <c r="AE19" s="85" t="s">
        <v>27</v>
      </c>
    </row>
    <row r="20" spans="1:31" ht="12.75" customHeight="1" x14ac:dyDescent="0.2">
      <c r="A20" s="15"/>
      <c r="B20" s="17" t="s">
        <v>6</v>
      </c>
      <c r="C20" s="111">
        <v>1.2</v>
      </c>
      <c r="D20" s="55">
        <v>1.23</v>
      </c>
      <c r="E20" s="55">
        <v>1.25</v>
      </c>
      <c r="F20" s="55">
        <v>1.29</v>
      </c>
      <c r="G20" s="55">
        <v>1.3</v>
      </c>
      <c r="H20" s="55">
        <v>1.31</v>
      </c>
      <c r="I20" s="55">
        <v>1.32</v>
      </c>
      <c r="J20" s="55">
        <v>1.3220000000000001</v>
      </c>
      <c r="K20" s="55">
        <v>1.401</v>
      </c>
      <c r="L20" s="55">
        <v>1.119</v>
      </c>
      <c r="M20" s="55">
        <v>1.393</v>
      </c>
      <c r="N20" s="55">
        <v>1.165</v>
      </c>
      <c r="O20" s="55">
        <v>1.202</v>
      </c>
      <c r="P20" s="55">
        <v>1.3080000000000001</v>
      </c>
      <c r="Q20" s="55">
        <v>0.96299999999999997</v>
      </c>
      <c r="R20" s="55">
        <v>1.087</v>
      </c>
      <c r="S20" s="55">
        <v>0.94099999999999995</v>
      </c>
      <c r="T20" s="55">
        <v>0.89600000000000002</v>
      </c>
      <c r="U20" s="55">
        <v>0.63400000000000001</v>
      </c>
      <c r="V20" s="55">
        <v>0.53800000000000003</v>
      </c>
      <c r="W20" s="55">
        <v>0.56299999999999994</v>
      </c>
      <c r="X20" s="55">
        <v>0.70299999999999996</v>
      </c>
      <c r="Y20" s="55">
        <v>0.82599999999999996</v>
      </c>
      <c r="Z20" s="55">
        <v>0.89200000000000002</v>
      </c>
      <c r="AA20" s="55">
        <v>0.85799999999999998</v>
      </c>
      <c r="AB20" s="55">
        <v>0.70899999999999996</v>
      </c>
      <c r="AC20" s="159">
        <v>0.73099999999999998</v>
      </c>
      <c r="AD20" s="171">
        <f t="shared" si="1"/>
        <v>3.1029619181946373</v>
      </c>
      <c r="AE20" s="17" t="s">
        <v>6</v>
      </c>
    </row>
    <row r="21" spans="1:31" ht="12.75" customHeight="1" x14ac:dyDescent="0.2">
      <c r="A21" s="15"/>
      <c r="B21" s="85" t="s">
        <v>10</v>
      </c>
      <c r="C21" s="146">
        <v>1.83</v>
      </c>
      <c r="D21" s="147">
        <v>2.2080000000000002</v>
      </c>
      <c r="E21" s="147">
        <v>3.3519999999999999</v>
      </c>
      <c r="F21" s="147">
        <v>4.1079999999999997</v>
      </c>
      <c r="G21" s="147">
        <v>4.1609999999999996</v>
      </c>
      <c r="H21" s="147">
        <v>4.7889999999999997</v>
      </c>
      <c r="I21" s="147">
        <v>5.36</v>
      </c>
      <c r="J21" s="147">
        <v>6.2</v>
      </c>
      <c r="K21" s="147">
        <v>6.8079999999999998</v>
      </c>
      <c r="L21" s="147">
        <v>7.3810000000000002</v>
      </c>
      <c r="M21" s="147">
        <v>8.3940000000000001</v>
      </c>
      <c r="N21" s="147">
        <v>10.753</v>
      </c>
      <c r="O21" s="147">
        <v>13.204000000000001</v>
      </c>
      <c r="P21" s="147">
        <v>12.343999999999999</v>
      </c>
      <c r="Q21" s="147">
        <v>8.1150000000000002</v>
      </c>
      <c r="R21" s="147">
        <v>10.59</v>
      </c>
      <c r="S21" s="147">
        <v>12.131</v>
      </c>
      <c r="T21" s="147">
        <v>12.178000000000001</v>
      </c>
      <c r="U21" s="147">
        <v>12.816000000000001</v>
      </c>
      <c r="V21" s="147">
        <v>13.67</v>
      </c>
      <c r="W21" s="147">
        <v>14.69</v>
      </c>
      <c r="X21" s="147">
        <v>14.227</v>
      </c>
      <c r="Y21" s="147">
        <v>14.972</v>
      </c>
      <c r="Z21" s="147">
        <v>14.997</v>
      </c>
      <c r="AA21" s="147">
        <v>14.965</v>
      </c>
      <c r="AB21" s="147">
        <v>13.705</v>
      </c>
      <c r="AC21" s="148">
        <v>15.103</v>
      </c>
      <c r="AD21" s="315">
        <f t="shared" si="1"/>
        <v>10.20065669463699</v>
      </c>
      <c r="AE21" s="85" t="s">
        <v>10</v>
      </c>
    </row>
    <row r="22" spans="1:31" ht="12.75" customHeight="1" x14ac:dyDescent="0.2">
      <c r="A22" s="15"/>
      <c r="B22" s="17" t="s">
        <v>11</v>
      </c>
      <c r="C22" s="111">
        <v>5.2</v>
      </c>
      <c r="D22" s="55">
        <v>4.1909999999999998</v>
      </c>
      <c r="E22" s="55">
        <v>5.1459999999999999</v>
      </c>
      <c r="F22" s="55">
        <v>5.6109999999999998</v>
      </c>
      <c r="G22" s="55">
        <v>7.74</v>
      </c>
      <c r="H22" s="55">
        <v>7.7690000000000001</v>
      </c>
      <c r="I22" s="55">
        <v>8.2739999999999991</v>
      </c>
      <c r="J22" s="55">
        <v>10.709</v>
      </c>
      <c r="K22" s="55">
        <v>11.462</v>
      </c>
      <c r="L22" s="55">
        <v>12.279</v>
      </c>
      <c r="M22" s="55">
        <v>15.907999999999999</v>
      </c>
      <c r="N22" s="55">
        <v>18.134</v>
      </c>
      <c r="O22" s="55">
        <v>20.277999999999999</v>
      </c>
      <c r="P22" s="55">
        <v>20.419</v>
      </c>
      <c r="Q22" s="55">
        <v>17.757000000000001</v>
      </c>
      <c r="R22" s="55">
        <v>19.398</v>
      </c>
      <c r="S22" s="55">
        <v>21.512</v>
      </c>
      <c r="T22" s="55">
        <v>23.449000000000002</v>
      </c>
      <c r="U22" s="55">
        <v>26.338000000000001</v>
      </c>
      <c r="V22" s="55">
        <v>28.067</v>
      </c>
      <c r="W22" s="55">
        <v>26.484999999999999</v>
      </c>
      <c r="X22" s="55">
        <v>30.974</v>
      </c>
      <c r="Y22" s="55">
        <v>39.098999999999997</v>
      </c>
      <c r="Z22" s="55">
        <v>43.59</v>
      </c>
      <c r="AA22" s="55">
        <v>53.116999999999997</v>
      </c>
      <c r="AB22" s="55">
        <v>55.292000000000002</v>
      </c>
      <c r="AC22" s="159">
        <v>57.755000000000003</v>
      </c>
      <c r="AD22" s="171">
        <f t="shared" si="1"/>
        <v>4.4545323012370659</v>
      </c>
      <c r="AE22" s="17" t="s">
        <v>11</v>
      </c>
    </row>
    <row r="23" spans="1:31" ht="12.75" customHeight="1" x14ac:dyDescent="0.2">
      <c r="A23" s="15"/>
      <c r="B23" s="85" t="s">
        <v>28</v>
      </c>
      <c r="C23" s="146">
        <v>5.5</v>
      </c>
      <c r="D23" s="147">
        <v>3.5</v>
      </c>
      <c r="E23" s="147">
        <v>4.4000000000000004</v>
      </c>
      <c r="F23" s="147">
        <v>5</v>
      </c>
      <c r="G23" s="147">
        <v>6.3129999999999997</v>
      </c>
      <c r="H23" s="147">
        <v>7.609</v>
      </c>
      <c r="I23" s="147">
        <v>8.6999999999999993</v>
      </c>
      <c r="J23" s="147">
        <v>9.1790000000000003</v>
      </c>
      <c r="K23" s="147">
        <v>9.6449999999999996</v>
      </c>
      <c r="L23" s="147">
        <v>9.5749999999999993</v>
      </c>
      <c r="M23" s="147">
        <v>8.8030000000000008</v>
      </c>
      <c r="N23" s="147">
        <v>8.8070000000000004</v>
      </c>
      <c r="O23" s="147">
        <v>9.5619999999999994</v>
      </c>
      <c r="P23" s="147">
        <v>8.9649999999999999</v>
      </c>
      <c r="Q23" s="147">
        <v>8.4</v>
      </c>
      <c r="R23" s="147">
        <v>8.6940000000000008</v>
      </c>
      <c r="S23" s="147">
        <v>8.8350000000000009</v>
      </c>
      <c r="T23" s="147">
        <v>7.95</v>
      </c>
      <c r="U23" s="147">
        <v>8.6059999999999999</v>
      </c>
      <c r="V23" s="147">
        <v>9.5990000000000002</v>
      </c>
      <c r="W23" s="147">
        <v>7.8490000000000002</v>
      </c>
      <c r="X23" s="147">
        <v>8.2970000000000006</v>
      </c>
      <c r="Y23" s="147">
        <v>8.0920000000000005</v>
      </c>
      <c r="Z23" s="147">
        <v>6.8</v>
      </c>
      <c r="AA23" s="147">
        <v>7.3810000000000002</v>
      </c>
      <c r="AB23" s="147">
        <v>6.1760000000000002</v>
      </c>
      <c r="AC23" s="148">
        <v>6.9039999999999999</v>
      </c>
      <c r="AD23" s="315">
        <f t="shared" si="1"/>
        <v>11.787564766839381</v>
      </c>
      <c r="AE23" s="85" t="s">
        <v>28</v>
      </c>
    </row>
    <row r="24" spans="1:31" ht="12.75" customHeight="1" x14ac:dyDescent="0.2">
      <c r="A24" s="15"/>
      <c r="B24" s="17" t="s">
        <v>9</v>
      </c>
      <c r="C24" s="149">
        <v>13.8</v>
      </c>
      <c r="D24" s="150">
        <v>14.3</v>
      </c>
      <c r="E24" s="150">
        <v>14.9</v>
      </c>
      <c r="F24" s="150">
        <v>18.673999999999999</v>
      </c>
      <c r="G24" s="150">
        <v>18.599</v>
      </c>
      <c r="H24" s="150">
        <v>19.123999999999999</v>
      </c>
      <c r="I24" s="150">
        <v>18.486000000000001</v>
      </c>
      <c r="J24" s="150">
        <v>17.913</v>
      </c>
      <c r="K24" s="150">
        <v>18.207999999999998</v>
      </c>
      <c r="L24" s="150">
        <v>20.608000000000001</v>
      </c>
      <c r="M24" s="150">
        <v>25.152000000000001</v>
      </c>
      <c r="N24" s="150">
        <v>30.478999999999999</v>
      </c>
      <c r="O24" s="150">
        <v>35.805</v>
      </c>
      <c r="P24" s="150">
        <v>35.759</v>
      </c>
      <c r="Q24" s="150">
        <v>35.372999999999998</v>
      </c>
      <c r="R24" s="150">
        <v>33.720999999999997</v>
      </c>
      <c r="S24" s="150">
        <v>34.529000000000003</v>
      </c>
      <c r="T24" s="150">
        <v>33.735999999999997</v>
      </c>
      <c r="U24" s="150">
        <v>35.817999999999998</v>
      </c>
      <c r="V24" s="150">
        <v>37.517000000000003</v>
      </c>
      <c r="W24" s="150">
        <v>38.353000000000002</v>
      </c>
      <c r="X24" s="150">
        <v>40.002000000000002</v>
      </c>
      <c r="Y24" s="150">
        <v>39.683999999999997</v>
      </c>
      <c r="Z24" s="150">
        <v>37.948</v>
      </c>
      <c r="AA24" s="150">
        <v>36.951000000000001</v>
      </c>
      <c r="AB24" s="150">
        <v>32.223999999999997</v>
      </c>
      <c r="AC24" s="170">
        <v>37.100999999999999</v>
      </c>
      <c r="AD24" s="171">
        <f t="shared" si="1"/>
        <v>15.134682224429</v>
      </c>
      <c r="AE24" s="17" t="s">
        <v>9</v>
      </c>
    </row>
    <row r="25" spans="1:31" ht="12.75" customHeight="1" x14ac:dyDescent="0.2">
      <c r="A25" s="15"/>
      <c r="B25" s="54" t="s">
        <v>12</v>
      </c>
      <c r="C25" s="154">
        <v>0.25</v>
      </c>
      <c r="D25" s="155">
        <v>0.25</v>
      </c>
      <c r="E25" s="155">
        <v>0.25</v>
      </c>
      <c r="F25" s="155">
        <v>0.25</v>
      </c>
      <c r="G25" s="155">
        <v>0.25</v>
      </c>
      <c r="H25" s="155">
        <v>0.25</v>
      </c>
      <c r="I25" s="155">
        <v>0.25</v>
      </c>
      <c r="J25" s="155">
        <v>0.25</v>
      </c>
      <c r="K25" s="155">
        <v>0.25</v>
      </c>
      <c r="L25" s="155">
        <v>0.25</v>
      </c>
      <c r="M25" s="155">
        <v>0.25</v>
      </c>
      <c r="N25" s="155">
        <v>0.25</v>
      </c>
      <c r="O25" s="155">
        <v>0.25</v>
      </c>
      <c r="P25" s="155">
        <v>0.25</v>
      </c>
      <c r="Q25" s="155">
        <v>0.25</v>
      </c>
      <c r="R25" s="155">
        <v>0.25</v>
      </c>
      <c r="S25" s="155">
        <v>0.25</v>
      </c>
      <c r="T25" s="155">
        <v>0.25</v>
      </c>
      <c r="U25" s="155">
        <v>0.25</v>
      </c>
      <c r="V25" s="155">
        <v>0.25</v>
      </c>
      <c r="W25" s="155">
        <v>0.25</v>
      </c>
      <c r="X25" s="155">
        <v>0.25</v>
      </c>
      <c r="Y25" s="155">
        <v>0.25</v>
      </c>
      <c r="Z25" s="155">
        <v>0.25</v>
      </c>
      <c r="AA25" s="155">
        <v>0.25</v>
      </c>
      <c r="AB25" s="155">
        <v>0.25</v>
      </c>
      <c r="AC25" s="174">
        <v>0.25</v>
      </c>
      <c r="AD25" s="261">
        <f t="shared" si="1"/>
        <v>0</v>
      </c>
      <c r="AE25" s="54" t="s">
        <v>12</v>
      </c>
    </row>
    <row r="26" spans="1:31" ht="12.75" customHeight="1" x14ac:dyDescent="0.2">
      <c r="A26" s="15"/>
      <c r="B26" s="17" t="s">
        <v>20</v>
      </c>
      <c r="C26" s="111">
        <v>67.099999999999994</v>
      </c>
      <c r="D26" s="55">
        <v>69.400000000000006</v>
      </c>
      <c r="E26" s="55">
        <v>70.599999999999994</v>
      </c>
      <c r="F26" s="55">
        <v>78.5</v>
      </c>
      <c r="G26" s="55">
        <v>83.563999999999993</v>
      </c>
      <c r="H26" s="55">
        <v>79.564999999999998</v>
      </c>
      <c r="I26" s="55">
        <v>78.492000000000004</v>
      </c>
      <c r="J26" s="55">
        <v>77.418000000000006</v>
      </c>
      <c r="K26" s="55">
        <v>79.765000000000001</v>
      </c>
      <c r="L26" s="55">
        <v>89.694999999999993</v>
      </c>
      <c r="M26" s="55">
        <v>84.162999999999997</v>
      </c>
      <c r="N26" s="55">
        <v>83.192999999999998</v>
      </c>
      <c r="O26" s="55">
        <v>77.921000000000006</v>
      </c>
      <c r="P26" s="55">
        <v>78.159000000000006</v>
      </c>
      <c r="Q26" s="55">
        <v>72.674999999999997</v>
      </c>
      <c r="R26" s="55">
        <v>76.835999999999999</v>
      </c>
      <c r="S26" s="55">
        <v>75.543000000000006</v>
      </c>
      <c r="T26" s="55">
        <v>70.084999999999994</v>
      </c>
      <c r="U26" s="55">
        <v>72.081000000000003</v>
      </c>
      <c r="V26" s="55">
        <v>72.337999999999994</v>
      </c>
      <c r="W26" s="55">
        <v>68.900000000000006</v>
      </c>
      <c r="X26" s="55">
        <v>67.778999999999996</v>
      </c>
      <c r="Y26" s="55">
        <v>67.533000000000001</v>
      </c>
      <c r="Z26" s="55">
        <v>68.876000000000005</v>
      </c>
      <c r="AA26" s="55">
        <v>68.923000000000002</v>
      </c>
      <c r="AB26" s="55">
        <v>67.593999999999994</v>
      </c>
      <c r="AC26" s="159">
        <v>70.227999999999994</v>
      </c>
      <c r="AD26" s="171">
        <f t="shared" si="1"/>
        <v>3.8967955735716089</v>
      </c>
      <c r="AE26" s="17" t="s">
        <v>20</v>
      </c>
    </row>
    <row r="27" spans="1:31" ht="12.75" customHeight="1" x14ac:dyDescent="0.2">
      <c r="A27" s="15"/>
      <c r="B27" s="85" t="s">
        <v>29</v>
      </c>
      <c r="C27" s="146">
        <v>26.5</v>
      </c>
      <c r="D27" s="147">
        <v>27.8</v>
      </c>
      <c r="E27" s="147">
        <v>28.6</v>
      </c>
      <c r="F27" s="147">
        <v>30.3</v>
      </c>
      <c r="G27" s="152">
        <v>33.981999999999999</v>
      </c>
      <c r="H27" s="152">
        <v>35.122</v>
      </c>
      <c r="I27" s="152">
        <v>37.531999999999996</v>
      </c>
      <c r="J27" s="152">
        <v>38.497999999999998</v>
      </c>
      <c r="K27" s="152">
        <v>39.557000000000002</v>
      </c>
      <c r="L27" s="152">
        <v>39.186</v>
      </c>
      <c r="M27" s="152">
        <v>37.043999999999997</v>
      </c>
      <c r="N27" s="152">
        <v>39.186999999999998</v>
      </c>
      <c r="O27" s="152">
        <v>37.402000000000001</v>
      </c>
      <c r="P27" s="152">
        <v>34.313000000000002</v>
      </c>
      <c r="Q27" s="152">
        <v>29.074999999999999</v>
      </c>
      <c r="R27" s="152">
        <v>28.658999999999999</v>
      </c>
      <c r="S27" s="152">
        <v>28.542000000000002</v>
      </c>
      <c r="T27" s="152">
        <v>26.088999999999999</v>
      </c>
      <c r="U27" s="152">
        <v>24.213000000000001</v>
      </c>
      <c r="V27" s="152">
        <v>25.26</v>
      </c>
      <c r="W27" s="152">
        <v>25.457999999999998</v>
      </c>
      <c r="X27" s="152">
        <v>26.138000000000002</v>
      </c>
      <c r="Y27" s="152">
        <v>25.978000000000002</v>
      </c>
      <c r="Z27" s="152">
        <v>25.763000000000002</v>
      </c>
      <c r="AA27" s="152">
        <v>26.443999999999999</v>
      </c>
      <c r="AB27" s="152">
        <v>25.91</v>
      </c>
      <c r="AC27" s="178">
        <v>27.282</v>
      </c>
      <c r="AD27" s="315">
        <f t="shared" si="1"/>
        <v>5.2952527981474447</v>
      </c>
      <c r="AE27" s="85" t="s">
        <v>29</v>
      </c>
    </row>
    <row r="28" spans="1:31" ht="12.75" customHeight="1" x14ac:dyDescent="0.2">
      <c r="A28" s="15"/>
      <c r="B28" s="17" t="s">
        <v>13</v>
      </c>
      <c r="C28" s="141">
        <v>51.2</v>
      </c>
      <c r="D28" s="137">
        <v>56.513000000000005</v>
      </c>
      <c r="E28" s="137">
        <v>63.683999999999997</v>
      </c>
      <c r="F28" s="137">
        <v>69.542000000000002</v>
      </c>
      <c r="G28" s="137">
        <v>70.451999999999998</v>
      </c>
      <c r="H28" s="137">
        <v>75.022999999999996</v>
      </c>
      <c r="I28" s="137">
        <v>77.227999999999994</v>
      </c>
      <c r="J28" s="137">
        <v>80.317999999999998</v>
      </c>
      <c r="K28" s="137">
        <v>85.989000000000004</v>
      </c>
      <c r="L28" s="55">
        <v>102.807</v>
      </c>
      <c r="M28" s="55">
        <v>111.82599999999999</v>
      </c>
      <c r="N28" s="55">
        <v>128.315</v>
      </c>
      <c r="O28" s="55">
        <v>150.87899999999999</v>
      </c>
      <c r="P28" s="55">
        <v>164.93</v>
      </c>
      <c r="Q28" s="55">
        <v>180.74199999999999</v>
      </c>
      <c r="R28" s="55">
        <v>202.30799999999999</v>
      </c>
      <c r="S28" s="55">
        <v>207.65100000000001</v>
      </c>
      <c r="T28" s="55">
        <v>222.33199999999999</v>
      </c>
      <c r="U28" s="55">
        <v>247.59399999999999</v>
      </c>
      <c r="V28" s="55">
        <v>250.93100000000001</v>
      </c>
      <c r="W28" s="55">
        <v>260.71300000000002</v>
      </c>
      <c r="X28" s="55">
        <v>290.74900000000002</v>
      </c>
      <c r="Y28" s="55">
        <v>335.22</v>
      </c>
      <c r="Z28" s="55">
        <v>315.87400000000002</v>
      </c>
      <c r="AA28" s="55">
        <v>348.952</v>
      </c>
      <c r="AB28" s="55">
        <v>354.92700000000002</v>
      </c>
      <c r="AC28" s="159">
        <v>379.82</v>
      </c>
      <c r="AD28" s="171">
        <f t="shared" si="1"/>
        <v>7.0135549000216884</v>
      </c>
      <c r="AE28" s="17" t="s">
        <v>13</v>
      </c>
    </row>
    <row r="29" spans="1:31" ht="12.75" customHeight="1" x14ac:dyDescent="0.2">
      <c r="A29" s="15"/>
      <c r="B29" s="85" t="s">
        <v>30</v>
      </c>
      <c r="C29" s="146">
        <v>32</v>
      </c>
      <c r="D29" s="147">
        <v>33.64</v>
      </c>
      <c r="E29" s="147">
        <v>35.96</v>
      </c>
      <c r="F29" s="147">
        <v>36.68</v>
      </c>
      <c r="G29" s="194">
        <v>26.087</v>
      </c>
      <c r="H29" s="147">
        <v>26.835999999999999</v>
      </c>
      <c r="I29" s="147">
        <v>29.966999999999999</v>
      </c>
      <c r="J29" s="147">
        <v>29.724</v>
      </c>
      <c r="K29" s="147">
        <v>27.425000000000001</v>
      </c>
      <c r="L29" s="194">
        <v>40.819000000000003</v>
      </c>
      <c r="M29" s="147">
        <v>42.606999999999999</v>
      </c>
      <c r="N29" s="147">
        <v>44.835000000000001</v>
      </c>
      <c r="O29" s="147">
        <v>46.203000000000003</v>
      </c>
      <c r="P29" s="147">
        <v>39.091000000000001</v>
      </c>
      <c r="Q29" s="147">
        <v>35.808</v>
      </c>
      <c r="R29" s="147">
        <v>35.368000000000002</v>
      </c>
      <c r="S29" s="147">
        <v>36.453000000000003</v>
      </c>
      <c r="T29" s="147">
        <v>32.935000000000002</v>
      </c>
      <c r="U29" s="147">
        <v>36.555</v>
      </c>
      <c r="V29" s="147">
        <v>34.863</v>
      </c>
      <c r="W29" s="147">
        <v>31.835000000000001</v>
      </c>
      <c r="X29" s="147">
        <v>34.877000000000002</v>
      </c>
      <c r="Y29" s="147">
        <v>34.186</v>
      </c>
      <c r="Z29" s="147">
        <v>32.963000000000001</v>
      </c>
      <c r="AA29" s="147">
        <v>31.013999999999999</v>
      </c>
      <c r="AB29" s="147">
        <v>24.241</v>
      </c>
      <c r="AC29" s="148">
        <v>32.049999999999997</v>
      </c>
      <c r="AD29" s="315">
        <f t="shared" si="1"/>
        <v>32.214017573532431</v>
      </c>
      <c r="AE29" s="85" t="s">
        <v>30</v>
      </c>
    </row>
    <row r="30" spans="1:31" ht="12.75" customHeight="1" x14ac:dyDescent="0.2">
      <c r="A30" s="15"/>
      <c r="B30" s="17" t="s">
        <v>14</v>
      </c>
      <c r="C30" s="156">
        <v>19.7</v>
      </c>
      <c r="D30" s="157">
        <v>19.8</v>
      </c>
      <c r="E30" s="157">
        <v>21.8</v>
      </c>
      <c r="F30" s="157">
        <v>15.785</v>
      </c>
      <c r="G30" s="157">
        <v>13.456</v>
      </c>
      <c r="H30" s="163">
        <v>14.288</v>
      </c>
      <c r="I30" s="157">
        <v>18.544</v>
      </c>
      <c r="J30" s="157">
        <v>25.35</v>
      </c>
      <c r="K30" s="157">
        <v>30.853000000000002</v>
      </c>
      <c r="L30" s="157">
        <v>37.22</v>
      </c>
      <c r="M30" s="157">
        <v>51.531999999999996</v>
      </c>
      <c r="N30" s="157">
        <v>57.287999999999997</v>
      </c>
      <c r="O30" s="157">
        <v>59.524000000000001</v>
      </c>
      <c r="P30" s="157">
        <v>56.386000000000003</v>
      </c>
      <c r="Q30" s="157">
        <v>34.268999999999998</v>
      </c>
      <c r="R30" s="157">
        <v>25.888999999999999</v>
      </c>
      <c r="S30" s="157">
        <v>26.349</v>
      </c>
      <c r="T30" s="157">
        <v>29.661999999999999</v>
      </c>
      <c r="U30" s="157">
        <v>34.026000000000003</v>
      </c>
      <c r="V30" s="157">
        <v>35.136000000000003</v>
      </c>
      <c r="W30" s="157">
        <v>39.023000000000003</v>
      </c>
      <c r="X30" s="157">
        <v>48.176000000000002</v>
      </c>
      <c r="Y30" s="157">
        <v>54.704000000000001</v>
      </c>
      <c r="Z30" s="157">
        <v>58.762</v>
      </c>
      <c r="AA30" s="157">
        <v>61.040999999999997</v>
      </c>
      <c r="AB30" s="157">
        <v>55.027000000000001</v>
      </c>
      <c r="AC30" s="158">
        <v>61.848999999999997</v>
      </c>
      <c r="AD30" s="171">
        <f t="shared" si="1"/>
        <v>12.397550293492273</v>
      </c>
      <c r="AE30" s="17" t="s">
        <v>14</v>
      </c>
    </row>
    <row r="31" spans="1:31" ht="12.75" customHeight="1" x14ac:dyDescent="0.2">
      <c r="A31" s="15"/>
      <c r="B31" s="85" t="s">
        <v>16</v>
      </c>
      <c r="C31" s="146">
        <v>3.3</v>
      </c>
      <c r="D31" s="147">
        <v>3.5</v>
      </c>
      <c r="E31" s="147">
        <v>3.9</v>
      </c>
      <c r="F31" s="147">
        <v>3.8</v>
      </c>
      <c r="G31" s="147">
        <v>4.2</v>
      </c>
      <c r="H31" s="147">
        <v>5.3</v>
      </c>
      <c r="I31" s="147">
        <v>7.0350000000000001</v>
      </c>
      <c r="J31" s="147">
        <v>6.609</v>
      </c>
      <c r="K31" s="147">
        <v>7.04</v>
      </c>
      <c r="L31" s="147">
        <v>9.0069999999999997</v>
      </c>
      <c r="M31" s="147">
        <v>11.032</v>
      </c>
      <c r="N31" s="147">
        <v>12.112</v>
      </c>
      <c r="O31" s="147">
        <v>13.734</v>
      </c>
      <c r="P31" s="147">
        <v>16.260999999999999</v>
      </c>
      <c r="Q31" s="147">
        <v>14.762</v>
      </c>
      <c r="R31" s="147">
        <v>15.930999999999999</v>
      </c>
      <c r="S31" s="147">
        <v>16.439</v>
      </c>
      <c r="T31" s="147">
        <v>15.888</v>
      </c>
      <c r="U31" s="147">
        <v>15.904999999999999</v>
      </c>
      <c r="V31" s="147">
        <v>16.273</v>
      </c>
      <c r="W31" s="147">
        <v>17.908999999999999</v>
      </c>
      <c r="X31" s="147">
        <v>18.707000000000001</v>
      </c>
      <c r="Y31" s="147">
        <v>20.814</v>
      </c>
      <c r="Z31" s="147">
        <v>22.225000000000001</v>
      </c>
      <c r="AA31" s="147">
        <v>24.010999999999999</v>
      </c>
      <c r="AB31" s="147">
        <v>22.661999999999999</v>
      </c>
      <c r="AC31" s="148">
        <v>24.968</v>
      </c>
      <c r="AD31" s="315">
        <f t="shared" si="1"/>
        <v>10.175624393257436</v>
      </c>
      <c r="AE31" s="85" t="s">
        <v>16</v>
      </c>
    </row>
    <row r="32" spans="1:31" ht="12.75" customHeight="1" x14ac:dyDescent="0.2">
      <c r="A32" s="15"/>
      <c r="B32" s="17" t="s">
        <v>15</v>
      </c>
      <c r="C32" s="156">
        <v>15.9</v>
      </c>
      <c r="D32" s="157">
        <v>15.85</v>
      </c>
      <c r="E32" s="157">
        <v>15.35</v>
      </c>
      <c r="F32" s="157">
        <v>17.88</v>
      </c>
      <c r="G32" s="157">
        <v>18.52</v>
      </c>
      <c r="H32" s="157">
        <v>14.34</v>
      </c>
      <c r="I32" s="157">
        <v>13.8</v>
      </c>
      <c r="J32" s="157">
        <v>14.93</v>
      </c>
      <c r="K32" s="157">
        <v>16.748000000000001</v>
      </c>
      <c r="L32" s="157">
        <v>18.527000000000001</v>
      </c>
      <c r="M32" s="157">
        <v>22.565999999999999</v>
      </c>
      <c r="N32" s="157">
        <v>22.212</v>
      </c>
      <c r="O32" s="157">
        <v>27.158999999999999</v>
      </c>
      <c r="P32" s="157">
        <v>29.276</v>
      </c>
      <c r="Q32" s="157">
        <v>27.704999999999998</v>
      </c>
      <c r="R32" s="157">
        <v>27.574999999999999</v>
      </c>
      <c r="S32" s="157">
        <v>29.178999999999998</v>
      </c>
      <c r="T32" s="157">
        <v>29.693000000000001</v>
      </c>
      <c r="U32" s="157">
        <v>30.146999999999998</v>
      </c>
      <c r="V32" s="157">
        <v>31.358000000000001</v>
      </c>
      <c r="W32" s="157">
        <v>33.54</v>
      </c>
      <c r="X32" s="157">
        <v>36.139000000000003</v>
      </c>
      <c r="Y32" s="157">
        <v>35.411000000000001</v>
      </c>
      <c r="Z32" s="157">
        <v>35.585999999999999</v>
      </c>
      <c r="AA32" s="157">
        <v>33.941000000000003</v>
      </c>
      <c r="AB32" s="157">
        <v>31.634</v>
      </c>
      <c r="AC32" s="158">
        <v>30.183</v>
      </c>
      <c r="AD32" s="171">
        <f t="shared" si="1"/>
        <v>-4.5868369475880399</v>
      </c>
      <c r="AE32" s="17" t="s">
        <v>15</v>
      </c>
    </row>
    <row r="33" spans="1:31" ht="12.75" customHeight="1" x14ac:dyDescent="0.2">
      <c r="A33" s="15"/>
      <c r="B33" s="85" t="s">
        <v>31</v>
      </c>
      <c r="C33" s="146">
        <v>24.5</v>
      </c>
      <c r="D33" s="147">
        <v>25</v>
      </c>
      <c r="E33" s="147">
        <v>25.7</v>
      </c>
      <c r="F33" s="147">
        <v>28.1</v>
      </c>
      <c r="G33" s="147">
        <v>29.655999999999999</v>
      </c>
      <c r="H33" s="147">
        <v>31.975000000000001</v>
      </c>
      <c r="I33" s="147">
        <v>30.478000000000002</v>
      </c>
      <c r="J33" s="147">
        <v>31.966999999999999</v>
      </c>
      <c r="K33" s="147">
        <v>30.925999999999998</v>
      </c>
      <c r="L33" s="147">
        <v>32.29</v>
      </c>
      <c r="M33" s="147">
        <v>31.856999999999999</v>
      </c>
      <c r="N33" s="147">
        <v>29.715</v>
      </c>
      <c r="O33" s="147">
        <v>29.818999999999999</v>
      </c>
      <c r="P33" s="147">
        <v>31.036000000000001</v>
      </c>
      <c r="Q33" s="147">
        <v>27.805</v>
      </c>
      <c r="R33" s="147">
        <v>29.532</v>
      </c>
      <c r="S33" s="147">
        <v>26.863</v>
      </c>
      <c r="T33" s="147">
        <v>25.46</v>
      </c>
      <c r="U33" s="147">
        <v>24.428999999999998</v>
      </c>
      <c r="V33" s="147">
        <v>23.401</v>
      </c>
      <c r="W33" s="147">
        <v>24.488</v>
      </c>
      <c r="X33" s="147">
        <v>26.846</v>
      </c>
      <c r="Y33" s="147">
        <v>27.966000000000001</v>
      </c>
      <c r="Z33" s="147">
        <v>28.344999999999999</v>
      </c>
      <c r="AA33" s="147">
        <v>28.847999999999999</v>
      </c>
      <c r="AB33" s="147">
        <v>29.670999999999999</v>
      </c>
      <c r="AC33" s="148">
        <v>29.617999999999999</v>
      </c>
      <c r="AD33" s="315">
        <f t="shared" si="1"/>
        <v>-0.17862559401436329</v>
      </c>
      <c r="AE33" s="85" t="s">
        <v>31</v>
      </c>
    </row>
    <row r="34" spans="1:31" ht="12.75" customHeight="1" x14ac:dyDescent="0.2">
      <c r="A34" s="15"/>
      <c r="B34" s="18" t="s">
        <v>32</v>
      </c>
      <c r="C34" s="342">
        <v>31.6</v>
      </c>
      <c r="D34" s="164">
        <v>33.299999999999997</v>
      </c>
      <c r="E34" s="164">
        <v>35.1</v>
      </c>
      <c r="F34" s="164">
        <v>33.299999999999997</v>
      </c>
      <c r="G34" s="164">
        <v>33.200000000000003</v>
      </c>
      <c r="H34" s="164">
        <v>35.621000000000002</v>
      </c>
      <c r="I34" s="164">
        <v>34.158000000000001</v>
      </c>
      <c r="J34" s="164">
        <v>36.652000000000001</v>
      </c>
      <c r="K34" s="164">
        <v>36.637999999999998</v>
      </c>
      <c r="L34" s="164">
        <v>36.948999999999998</v>
      </c>
      <c r="M34" s="164">
        <v>38.575000000000003</v>
      </c>
      <c r="N34" s="164">
        <v>39.917999999999999</v>
      </c>
      <c r="O34" s="164">
        <v>40.54</v>
      </c>
      <c r="P34" s="164">
        <v>42.37</v>
      </c>
      <c r="Q34" s="164">
        <v>35.046999999999997</v>
      </c>
      <c r="R34" s="164">
        <v>36.268000000000001</v>
      </c>
      <c r="S34" s="164">
        <v>36.932000000000002</v>
      </c>
      <c r="T34" s="164">
        <v>33.481000000000002</v>
      </c>
      <c r="U34" s="164">
        <v>33.529000000000003</v>
      </c>
      <c r="V34" s="356">
        <v>41.963999999999999</v>
      </c>
      <c r="W34" s="164">
        <v>41.502000000000002</v>
      </c>
      <c r="X34" s="164">
        <v>42.673000000000002</v>
      </c>
      <c r="Y34" s="164">
        <v>41.850999999999999</v>
      </c>
      <c r="Z34" s="164">
        <v>43.478000000000002</v>
      </c>
      <c r="AA34" s="164">
        <v>42.603999999999999</v>
      </c>
      <c r="AB34" s="164">
        <v>43.186999999999998</v>
      </c>
      <c r="AC34" s="357">
        <v>47.484999999999999</v>
      </c>
      <c r="AD34" s="324">
        <f t="shared" si="1"/>
        <v>9.952068909625595</v>
      </c>
      <c r="AE34" s="18" t="s">
        <v>32</v>
      </c>
    </row>
    <row r="35" spans="1:31" ht="15.75" customHeight="1" x14ac:dyDescent="0.2">
      <c r="A35" s="15"/>
      <c r="B35" s="202" t="s">
        <v>100</v>
      </c>
      <c r="C35" s="203">
        <v>0.5</v>
      </c>
      <c r="D35" s="204">
        <v>0.5</v>
      </c>
      <c r="E35" s="204">
        <v>0.5</v>
      </c>
      <c r="F35" s="204">
        <v>0.5</v>
      </c>
      <c r="G35" s="204">
        <v>0.6</v>
      </c>
      <c r="H35" s="204">
        <v>0.6</v>
      </c>
      <c r="I35" s="205">
        <v>0.64200000000000002</v>
      </c>
      <c r="J35" s="205">
        <v>0.66</v>
      </c>
      <c r="K35" s="205">
        <v>0.67900000000000005</v>
      </c>
      <c r="L35" s="205">
        <v>0.69899999999999995</v>
      </c>
      <c r="M35" s="205">
        <v>0.74099999999999999</v>
      </c>
      <c r="N35" s="205">
        <v>0.78600000000000003</v>
      </c>
      <c r="O35" s="205">
        <v>0.82499999999999996</v>
      </c>
      <c r="P35" s="205">
        <v>0.80500000000000005</v>
      </c>
      <c r="Q35" s="205">
        <v>0.81299999999999994</v>
      </c>
      <c r="R35" s="205">
        <v>0.80600000000000005</v>
      </c>
      <c r="S35" s="206">
        <v>0.77700000000000002</v>
      </c>
      <c r="T35" s="206">
        <v>0.78600000000000003</v>
      </c>
      <c r="U35" s="206">
        <v>0.80800000000000005</v>
      </c>
      <c r="V35" s="206">
        <v>0.85</v>
      </c>
      <c r="W35" s="206">
        <f>0.907</f>
        <v>0.90700000000000003</v>
      </c>
      <c r="X35" s="206">
        <f>1052/1000</f>
        <v>1.052</v>
      </c>
      <c r="Y35" s="206">
        <f>1150/1000</f>
        <v>1.1499999999999999</v>
      </c>
      <c r="Z35" s="206">
        <f>1186/1000</f>
        <v>1.1859999999999999</v>
      </c>
      <c r="AA35" s="206">
        <f>1.176</f>
        <v>1.1759999999999999</v>
      </c>
      <c r="AB35" s="192">
        <f>0.91</f>
        <v>0.91</v>
      </c>
      <c r="AC35" s="218">
        <f>AVERAGE(Z35:AB35)</f>
        <v>1.0906666666666667</v>
      </c>
      <c r="AD35" s="385">
        <f>AC35/AB35*100-100</f>
        <v>19.853479853479854</v>
      </c>
      <c r="AE35" s="188" t="s">
        <v>100</v>
      </c>
    </row>
    <row r="36" spans="1:31" ht="16.5" customHeight="1" x14ac:dyDescent="0.2">
      <c r="A36" s="15"/>
      <c r="B36" s="17" t="s">
        <v>33</v>
      </c>
      <c r="C36" s="111">
        <v>9.6999999999999993</v>
      </c>
      <c r="D36" s="55">
        <v>12.5</v>
      </c>
      <c r="E36" s="55">
        <v>14.1</v>
      </c>
      <c r="F36" s="55">
        <v>14.8</v>
      </c>
      <c r="G36" s="55">
        <v>14.916</v>
      </c>
      <c r="H36" s="55">
        <v>15.132</v>
      </c>
      <c r="I36" s="55">
        <v>15.179</v>
      </c>
      <c r="J36" s="55">
        <v>15.426</v>
      </c>
      <c r="K36" s="55">
        <v>16.59</v>
      </c>
      <c r="L36" s="55">
        <v>17.46</v>
      </c>
      <c r="M36" s="55">
        <v>18.247</v>
      </c>
      <c r="N36" s="55">
        <v>19.387</v>
      </c>
      <c r="O36" s="55">
        <v>19.375</v>
      </c>
      <c r="P36" s="55">
        <v>20.594999999999999</v>
      </c>
      <c r="Q36" s="55">
        <v>18.446999999999999</v>
      </c>
      <c r="R36" s="55">
        <v>19.751000000000001</v>
      </c>
      <c r="S36" s="55">
        <v>19.187999999999999</v>
      </c>
      <c r="T36" s="55">
        <v>20.170999999999999</v>
      </c>
      <c r="U36" s="55">
        <v>21.317</v>
      </c>
      <c r="V36" s="55">
        <v>21.594000000000001</v>
      </c>
      <c r="W36" s="55">
        <v>23.135999999999999</v>
      </c>
      <c r="X36" s="55">
        <v>20.91</v>
      </c>
      <c r="Y36" s="55">
        <v>21.385000000000002</v>
      </c>
      <c r="Z36" s="55">
        <v>21.338000000000001</v>
      </c>
      <c r="AA36" s="55">
        <v>21.463000000000001</v>
      </c>
      <c r="AB36" s="55">
        <v>21.399000000000001</v>
      </c>
      <c r="AC36" s="159">
        <v>22.553000000000001</v>
      </c>
      <c r="AD36" s="171">
        <f>AC36/AB36*100-100</f>
        <v>5.3927753633347351</v>
      </c>
      <c r="AE36" s="17" t="s">
        <v>33</v>
      </c>
    </row>
    <row r="37" spans="1:31" ht="21" customHeight="1" x14ac:dyDescent="0.2">
      <c r="A37" s="15"/>
      <c r="B37" s="208" t="s">
        <v>65</v>
      </c>
      <c r="C37" s="216">
        <v>9.1106999999999996</v>
      </c>
      <c r="D37" s="193">
        <v>8.9961000000000002</v>
      </c>
      <c r="E37" s="193">
        <v>9.1339000000000006</v>
      </c>
      <c r="F37" s="193">
        <v>9.5456000000000003</v>
      </c>
      <c r="G37" s="193">
        <v>9.5649999999999995</v>
      </c>
      <c r="H37" s="193">
        <v>9.7912999999999997</v>
      </c>
      <c r="I37" s="193">
        <v>9.5617999999999999</v>
      </c>
      <c r="J37" s="193">
        <v>9.8147000000000002</v>
      </c>
      <c r="K37" s="193">
        <v>9.8916000000000004</v>
      </c>
      <c r="L37" s="193">
        <v>10.126178484062402</v>
      </c>
      <c r="M37" s="193">
        <v>10.198044499594255</v>
      </c>
      <c r="N37" s="193">
        <v>10.43279130775176</v>
      </c>
      <c r="O37" s="191">
        <v>10.794153844901221</v>
      </c>
      <c r="P37" s="193">
        <v>13.911</v>
      </c>
      <c r="Q37" s="193">
        <v>13.173999999999999</v>
      </c>
      <c r="R37" s="193">
        <v>13.237</v>
      </c>
      <c r="S37" s="193">
        <v>13.567</v>
      </c>
      <c r="T37" s="193">
        <v>12.965999999999999</v>
      </c>
      <c r="U37" s="193">
        <v>12.817</v>
      </c>
      <c r="V37" s="193">
        <v>13.067</v>
      </c>
      <c r="W37" s="193">
        <v>12.441000000000001</v>
      </c>
      <c r="X37" s="193">
        <v>12.134</v>
      </c>
      <c r="Y37" s="193">
        <v>11.946999999999999</v>
      </c>
      <c r="Z37" s="193">
        <v>12.5</v>
      </c>
      <c r="AA37" s="193">
        <v>12.398999999999999</v>
      </c>
      <c r="AB37" s="193">
        <v>12.486000000000001</v>
      </c>
      <c r="AC37" s="210">
        <v>12.698</v>
      </c>
      <c r="AD37" s="317">
        <f>AC37/AB37*100-100</f>
        <v>1.6979016498478217</v>
      </c>
      <c r="AE37" s="208" t="s">
        <v>65</v>
      </c>
    </row>
    <row r="38" spans="1:31" ht="12.75" customHeight="1" x14ac:dyDescent="0.2">
      <c r="A38" s="15"/>
      <c r="B38" s="188" t="s">
        <v>145</v>
      </c>
      <c r="C38" s="200"/>
      <c r="D38" s="190"/>
      <c r="E38" s="190"/>
      <c r="F38" s="190"/>
      <c r="G38" s="190"/>
      <c r="H38" s="190"/>
      <c r="I38" s="190"/>
      <c r="J38" s="190"/>
      <c r="K38" s="190"/>
      <c r="L38" s="190"/>
      <c r="M38" s="190"/>
      <c r="N38" s="190"/>
      <c r="O38" s="190">
        <v>1.6479999999999999</v>
      </c>
      <c r="P38" s="190">
        <v>1.873</v>
      </c>
      <c r="Q38" s="190">
        <v>1.7110000000000001</v>
      </c>
      <c r="R38" s="190"/>
      <c r="S38" s="190">
        <v>1.718</v>
      </c>
      <c r="T38" s="190">
        <v>2.31</v>
      </c>
      <c r="U38" s="190">
        <v>2.7389999999999999</v>
      </c>
      <c r="V38" s="190">
        <v>3.125</v>
      </c>
      <c r="W38" s="190">
        <v>3.4049999999999998</v>
      </c>
      <c r="X38" s="190">
        <v>4.0149999999999997</v>
      </c>
      <c r="Y38" s="190">
        <v>4.28</v>
      </c>
      <c r="Z38" s="192">
        <v>4.3031000000000006</v>
      </c>
      <c r="AA38" s="192">
        <v>4.375</v>
      </c>
      <c r="AB38" s="206">
        <v>3.8180000000000001</v>
      </c>
      <c r="AC38" s="218">
        <f>AVERAGE(Z38:AB38)</f>
        <v>4.1653666666666664</v>
      </c>
      <c r="AD38" s="385">
        <f t="shared" si="1"/>
        <v>9.0981316570630355</v>
      </c>
      <c r="AE38" s="188" t="s">
        <v>145</v>
      </c>
    </row>
    <row r="39" spans="1:31" ht="12.75" customHeight="1" x14ac:dyDescent="0.2">
      <c r="A39" s="15"/>
      <c r="B39" s="17" t="s">
        <v>96</v>
      </c>
      <c r="C39" s="111"/>
      <c r="D39" s="55"/>
      <c r="E39" s="55"/>
      <c r="F39" s="55"/>
      <c r="G39" s="55"/>
      <c r="H39" s="55"/>
      <c r="I39" s="55">
        <v>7.8E-2</v>
      </c>
      <c r="J39" s="55">
        <v>7.0999999999999994E-2</v>
      </c>
      <c r="K39" s="55">
        <v>7.0999999999999994E-2</v>
      </c>
      <c r="L39" s="55">
        <v>6.5000000000000002E-2</v>
      </c>
      <c r="M39" s="55">
        <v>6.0999999999999999E-2</v>
      </c>
      <c r="N39" s="55">
        <v>7.2999999999999995E-2</v>
      </c>
      <c r="O39" s="55">
        <v>9.1999999999999998E-2</v>
      </c>
      <c r="P39" s="55">
        <v>0.13700000000000001</v>
      </c>
      <c r="Q39" s="55">
        <v>0.17899999999999999</v>
      </c>
      <c r="R39" s="55">
        <v>0.16700000000000001</v>
      </c>
      <c r="S39" s="55">
        <v>0.10199999999999999</v>
      </c>
      <c r="T39" s="55">
        <v>7.5999999999999998E-2</v>
      </c>
      <c r="U39" s="55">
        <v>6.7000000000000004E-2</v>
      </c>
      <c r="V39" s="55">
        <v>0.122</v>
      </c>
      <c r="W39" s="386">
        <v>0.13971700000000001</v>
      </c>
      <c r="X39" s="386">
        <v>0.12</v>
      </c>
      <c r="Y39" s="386">
        <v>0.10299999999999999</v>
      </c>
      <c r="Z39" s="386">
        <v>7.8E-2</v>
      </c>
      <c r="AA39" s="386">
        <v>8.1000000000000003E-2</v>
      </c>
      <c r="AB39" s="386">
        <v>9.0999999999999998E-2</v>
      </c>
      <c r="AC39" s="387">
        <f>0.112402</f>
        <v>0.112402</v>
      </c>
      <c r="AD39" s="171">
        <f t="shared" si="1"/>
        <v>23.518681318681331</v>
      </c>
      <c r="AE39" s="17" t="s">
        <v>96</v>
      </c>
    </row>
    <row r="40" spans="1:31" ht="12.75" customHeight="1" x14ac:dyDescent="0.2">
      <c r="A40" s="15"/>
      <c r="B40" s="188" t="s">
        <v>146</v>
      </c>
      <c r="C40" s="458"/>
      <c r="D40" s="458"/>
      <c r="E40" s="458"/>
      <c r="F40" s="458"/>
      <c r="G40" s="458"/>
      <c r="H40" s="190">
        <v>1.0009999999999999</v>
      </c>
      <c r="I40" s="190">
        <v>0.96399999999999997</v>
      </c>
      <c r="J40" s="190">
        <v>1.1519999999999999</v>
      </c>
      <c r="K40" s="190">
        <v>1.4590000000000001</v>
      </c>
      <c r="L40" s="190">
        <v>2.161</v>
      </c>
      <c r="M40" s="190">
        <v>2.4049999999999998</v>
      </c>
      <c r="N40" s="190">
        <v>2.5670000000000002</v>
      </c>
      <c r="O40" s="190">
        <v>2.7429999999999999</v>
      </c>
      <c r="P40" s="190">
        <v>2.9660000000000002</v>
      </c>
      <c r="Q40" s="190">
        <v>2.714</v>
      </c>
      <c r="R40" s="190">
        <v>3.2330000000000001</v>
      </c>
      <c r="S40" s="190">
        <v>3.597</v>
      </c>
      <c r="T40" s="190">
        <v>3.9540000000000002</v>
      </c>
      <c r="U40" s="190">
        <v>4.423</v>
      </c>
      <c r="V40" s="190">
        <v>4.306</v>
      </c>
      <c r="W40" s="190">
        <v>4.2169999999999996</v>
      </c>
      <c r="X40" s="190">
        <v>4.6929999999999996</v>
      </c>
      <c r="Y40" s="190">
        <v>5.008</v>
      </c>
      <c r="Z40" s="192">
        <v>5.2898999999999994</v>
      </c>
      <c r="AA40" s="192">
        <v>5.5664999999999996</v>
      </c>
      <c r="AB40" s="192">
        <v>5.5510000000000002</v>
      </c>
      <c r="AC40" s="190">
        <v>6.3461000000000007</v>
      </c>
      <c r="AD40" s="385">
        <f t="shared" si="1"/>
        <v>14.323545307151875</v>
      </c>
      <c r="AE40" s="188" t="s">
        <v>146</v>
      </c>
    </row>
    <row r="41" spans="1:31" ht="12.75" customHeight="1" x14ac:dyDescent="0.2">
      <c r="A41" s="15"/>
      <c r="B41" s="17" t="s">
        <v>2</v>
      </c>
      <c r="C41" s="111" t="s">
        <v>34</v>
      </c>
      <c r="D41" s="55" t="s">
        <v>34</v>
      </c>
      <c r="E41" s="55" t="s">
        <v>34</v>
      </c>
      <c r="F41" s="55" t="s">
        <v>34</v>
      </c>
      <c r="G41" s="55"/>
      <c r="H41" s="55"/>
      <c r="I41" s="55">
        <v>3.1309999999999998</v>
      </c>
      <c r="J41" s="55">
        <v>4</v>
      </c>
      <c r="K41" s="55">
        <v>5.4509999999999996</v>
      </c>
      <c r="L41" s="55">
        <v>5.3410000000000002</v>
      </c>
      <c r="M41" s="55">
        <v>5.577</v>
      </c>
      <c r="N41" s="55">
        <v>8.2989999999999995</v>
      </c>
      <c r="O41" s="55">
        <v>5.9379999999999997</v>
      </c>
      <c r="P41" s="55">
        <v>3.9780000000000002</v>
      </c>
      <c r="Q41" s="55">
        <v>4.0350000000000001</v>
      </c>
      <c r="R41" s="55">
        <v>4.2350000000000003</v>
      </c>
      <c r="S41" s="55">
        <v>5.3810000000000002</v>
      </c>
      <c r="T41" s="55">
        <v>5.8019999999999996</v>
      </c>
      <c r="U41" s="55">
        <v>5.1449999999999996</v>
      </c>
      <c r="V41" s="195">
        <v>10.621</v>
      </c>
      <c r="W41" s="55">
        <v>10.19</v>
      </c>
      <c r="X41" s="55">
        <v>10.589</v>
      </c>
      <c r="Y41" s="55">
        <v>10.851000000000001</v>
      </c>
      <c r="Z41" s="55">
        <v>10.637</v>
      </c>
      <c r="AA41" s="55">
        <f>10.267</f>
        <v>10.266999999999999</v>
      </c>
      <c r="AB41" s="55">
        <f>10644/1000</f>
        <v>10.644</v>
      </c>
      <c r="AC41" s="159">
        <v>11.445</v>
      </c>
      <c r="AD41" s="171">
        <f t="shared" si="1"/>
        <v>7.5253664036076628</v>
      </c>
      <c r="AE41" s="17" t="s">
        <v>2</v>
      </c>
    </row>
    <row r="42" spans="1:31" ht="12.75" customHeight="1" x14ac:dyDescent="0.2">
      <c r="A42" s="15"/>
      <c r="B42" s="188" t="s">
        <v>99</v>
      </c>
      <c r="C42" s="460">
        <v>2.077</v>
      </c>
      <c r="D42" s="192">
        <v>2.2480000000000002</v>
      </c>
      <c r="E42" s="192">
        <v>1.34</v>
      </c>
      <c r="F42" s="192">
        <v>1.83</v>
      </c>
      <c r="G42" s="192">
        <v>2.0110000000000001</v>
      </c>
      <c r="H42" s="192">
        <v>2.1640000000000001</v>
      </c>
      <c r="I42" s="192">
        <v>2.2309999999999999</v>
      </c>
      <c r="J42" s="192">
        <v>2.3519999999999999</v>
      </c>
      <c r="K42" s="192">
        <v>2.5299999999999998</v>
      </c>
      <c r="L42" s="192">
        <v>2.798</v>
      </c>
      <c r="M42" s="192">
        <v>3.21</v>
      </c>
      <c r="N42" s="192">
        <v>3.306</v>
      </c>
      <c r="O42" s="192">
        <v>3.5840000000000001</v>
      </c>
      <c r="P42" s="192">
        <v>4.0979999999999999</v>
      </c>
      <c r="Q42" s="192">
        <v>4.4450000000000003</v>
      </c>
      <c r="R42" s="192">
        <v>4.6260000000000003</v>
      </c>
      <c r="S42" s="192">
        <v>3.8050000000000002</v>
      </c>
      <c r="T42" s="192">
        <v>3.2229999999999999</v>
      </c>
      <c r="U42" s="192">
        <v>3.4969999999999999</v>
      </c>
      <c r="V42" s="204">
        <f>AVERAGE(S42:U42)</f>
        <v>3.5083333333333333</v>
      </c>
      <c r="W42" s="204">
        <f>AVERAGE(T42:V42)</f>
        <v>3.4094444444444445</v>
      </c>
      <c r="X42" s="204">
        <f>AVERAGE(U42:W42)</f>
        <v>3.4715925925925926</v>
      </c>
      <c r="Y42" s="204">
        <f>AVERAGE(V42:X42)</f>
        <v>3.4631234567901235</v>
      </c>
      <c r="Z42" s="204">
        <f>AVERAGE(V42:X42)</f>
        <v>3.4631234567901235</v>
      </c>
      <c r="AA42" s="204">
        <f>AVERAGE(X42:Z42)</f>
        <v>3.4659465020576135</v>
      </c>
      <c r="AB42" s="204">
        <f>AVERAGE(Y42:AA42)</f>
        <v>3.4640644718792868</v>
      </c>
      <c r="AC42" s="204">
        <f>AVERAGE(Z42:AB42)</f>
        <v>3.4643781435756744</v>
      </c>
      <c r="AD42" s="385">
        <f t="shared" si="1"/>
        <v>9.0550190082723248E-3</v>
      </c>
      <c r="AE42" s="188" t="s">
        <v>99</v>
      </c>
    </row>
    <row r="43" spans="1:31" ht="12.75" customHeight="1" x14ac:dyDescent="0.2">
      <c r="A43" s="15"/>
      <c r="B43" s="17" t="s">
        <v>97</v>
      </c>
      <c r="C43" s="111"/>
      <c r="D43" s="55"/>
      <c r="E43" s="55">
        <v>0.96799999999999997</v>
      </c>
      <c r="F43" s="55">
        <v>0.875</v>
      </c>
      <c r="G43" s="55">
        <v>0.55200000000000005</v>
      </c>
      <c r="H43" s="55">
        <v>0.58199999999999996</v>
      </c>
      <c r="I43" s="55">
        <v>0.47499999999999998</v>
      </c>
      <c r="J43" s="55">
        <v>0.45900000000000002</v>
      </c>
      <c r="K43" s="55">
        <v>0.45200000000000001</v>
      </c>
      <c r="L43" s="55">
        <v>0.27700000000000002</v>
      </c>
      <c r="M43" s="55">
        <v>0.68</v>
      </c>
      <c r="N43" s="55">
        <v>0.79800000000000004</v>
      </c>
      <c r="O43" s="55">
        <v>1.161</v>
      </c>
      <c r="P43" s="55">
        <v>1.1120000000000001</v>
      </c>
      <c r="Q43" s="55">
        <v>1.1850000000000001</v>
      </c>
      <c r="R43" s="55">
        <v>1.6890000000000001</v>
      </c>
      <c r="S43" s="55">
        <v>1.907</v>
      </c>
      <c r="T43" s="55">
        <v>2.4740000000000002</v>
      </c>
      <c r="U43" s="55">
        <v>2.8239999999999998</v>
      </c>
      <c r="V43" s="55">
        <v>2.9590000000000001</v>
      </c>
      <c r="W43" s="55">
        <v>2.9729999999999999</v>
      </c>
      <c r="X43" s="55">
        <v>4.2990000000000004</v>
      </c>
      <c r="Y43" s="55">
        <v>4.9800000000000004</v>
      </c>
      <c r="Z43" s="150">
        <f>6443/1000</f>
        <v>6.4429999999999996</v>
      </c>
      <c r="AA43" s="150">
        <v>8.1750000000000007</v>
      </c>
      <c r="AB43" s="150">
        <f>7741/1000</f>
        <v>7.7409999999999997</v>
      </c>
      <c r="AC43" s="170">
        <v>10.108000000000001</v>
      </c>
      <c r="AD43" s="171">
        <f t="shared" si="1"/>
        <v>30.577444774576946</v>
      </c>
      <c r="AE43" s="17" t="s">
        <v>97</v>
      </c>
    </row>
    <row r="44" spans="1:31" ht="12.75" customHeight="1" x14ac:dyDescent="0.2">
      <c r="A44" s="15"/>
      <c r="B44" s="188" t="s">
        <v>66</v>
      </c>
      <c r="C44" s="200">
        <v>112.5</v>
      </c>
      <c r="D44" s="190">
        <v>135.80000000000001</v>
      </c>
      <c r="E44" s="190">
        <v>139.80000000000001</v>
      </c>
      <c r="F44" s="190">
        <v>152.21</v>
      </c>
      <c r="G44" s="190">
        <v>150.97399999999999</v>
      </c>
      <c r="H44" s="190">
        <v>161.55199999999999</v>
      </c>
      <c r="I44" s="190">
        <v>151.42099999999999</v>
      </c>
      <c r="J44" s="190">
        <v>150.91200000000001</v>
      </c>
      <c r="K44" s="190">
        <v>152.16300000000001</v>
      </c>
      <c r="L44" s="190">
        <v>156.85300000000001</v>
      </c>
      <c r="M44" s="190">
        <v>166.83099999999999</v>
      </c>
      <c r="N44" s="190">
        <v>177.399</v>
      </c>
      <c r="O44" s="190">
        <v>181.33</v>
      </c>
      <c r="P44" s="190">
        <v>181.935</v>
      </c>
      <c r="Q44" s="190">
        <v>176.45500000000001</v>
      </c>
      <c r="R44" s="190">
        <v>190.36500000000001</v>
      </c>
      <c r="S44" s="190">
        <v>203.072</v>
      </c>
      <c r="T44" s="190">
        <f>road_by_nat!T44</f>
        <v>216.12299999999999</v>
      </c>
      <c r="U44" s="190">
        <v>224.048</v>
      </c>
      <c r="V44" s="190">
        <v>234.49199999999999</v>
      </c>
      <c r="W44" s="190">
        <v>244.32900000000001</v>
      </c>
      <c r="X44" s="190">
        <v>253.13900000000001</v>
      </c>
      <c r="Y44" s="190">
        <v>262.8</v>
      </c>
      <c r="Z44" s="190">
        <v>266.50200000000001</v>
      </c>
      <c r="AA44" s="190">
        <f>267579/1000</f>
        <v>267.57900000000001</v>
      </c>
      <c r="AB44" s="192">
        <f>272913/1000</f>
        <v>272.91300000000001</v>
      </c>
      <c r="AC44" s="211">
        <v>311.81799999999998</v>
      </c>
      <c r="AD44" s="385">
        <f t="shared" si="1"/>
        <v>14.255458699292433</v>
      </c>
      <c r="AE44" s="188" t="s">
        <v>66</v>
      </c>
    </row>
    <row r="45" spans="1:31" ht="12.75" customHeight="1" x14ac:dyDescent="0.2">
      <c r="A45" s="15"/>
      <c r="B45" s="18" t="s">
        <v>144</v>
      </c>
      <c r="C45" s="112"/>
      <c r="D45" s="56"/>
      <c r="E45" s="56"/>
      <c r="F45" s="56"/>
      <c r="G45" s="56"/>
      <c r="H45" s="56">
        <v>2.4900000000000002</v>
      </c>
      <c r="I45" s="56">
        <v>2.988</v>
      </c>
      <c r="J45" s="56">
        <v>4.0869999999999997</v>
      </c>
      <c r="K45" s="56">
        <v>5.3339999999999996</v>
      </c>
      <c r="L45" s="56">
        <v>7.9809999999999999</v>
      </c>
      <c r="M45" s="56">
        <v>9.18</v>
      </c>
      <c r="N45" s="56">
        <v>11.337</v>
      </c>
      <c r="O45" s="56">
        <v>14.284000000000001</v>
      </c>
      <c r="P45" s="56">
        <v>19.8</v>
      </c>
      <c r="Q45" s="56">
        <v>49.231999999999999</v>
      </c>
      <c r="R45" s="56">
        <v>53.917999999999999</v>
      </c>
      <c r="S45" s="56">
        <v>57.308</v>
      </c>
      <c r="T45" s="56">
        <v>57.453000000000003</v>
      </c>
      <c r="U45" s="56">
        <v>58.683</v>
      </c>
      <c r="V45" s="56">
        <v>55.963999999999999</v>
      </c>
      <c r="W45" s="56">
        <v>53.292999999999999</v>
      </c>
      <c r="X45" s="56">
        <v>58.03</v>
      </c>
      <c r="Y45" s="56">
        <v>62.296999999999997</v>
      </c>
      <c r="Z45" s="56">
        <v>72.067999999999998</v>
      </c>
      <c r="AA45" s="56">
        <v>64.953000000000003</v>
      </c>
      <c r="AB45" s="214">
        <v>65.177000000000007</v>
      </c>
      <c r="AC45" s="263">
        <f>AVERAGE(Z45:AB45)</f>
        <v>67.399333333333345</v>
      </c>
      <c r="AD45" s="324">
        <f t="shared" si="1"/>
        <v>3.4096895121489723</v>
      </c>
      <c r="AE45" s="18" t="s">
        <v>144</v>
      </c>
    </row>
    <row r="46" spans="1:31" ht="15.75" customHeight="1" x14ac:dyDescent="0.2">
      <c r="B46" s="86" t="s">
        <v>21</v>
      </c>
      <c r="C46" s="160">
        <v>161.5</v>
      </c>
      <c r="D46" s="161">
        <v>166.2</v>
      </c>
      <c r="E46" s="161">
        <v>169.2</v>
      </c>
      <c r="F46" s="161">
        <v>172</v>
      </c>
      <c r="G46" s="161">
        <v>166.26</v>
      </c>
      <c r="H46" s="161">
        <v>165.62100000000001</v>
      </c>
      <c r="I46" s="161">
        <v>163.26400000000001</v>
      </c>
      <c r="J46" s="161">
        <v>164.035</v>
      </c>
      <c r="K46" s="161">
        <v>167.143</v>
      </c>
      <c r="L46" s="161">
        <v>162.654</v>
      </c>
      <c r="M46" s="161">
        <v>161.285</v>
      </c>
      <c r="N46" s="161">
        <v>165.47900000000001</v>
      </c>
      <c r="O46" s="161">
        <v>170.99100000000001</v>
      </c>
      <c r="P46" s="161">
        <v>160.29599999999999</v>
      </c>
      <c r="Q46" s="161">
        <v>139.536</v>
      </c>
      <c r="R46" s="161">
        <v>146.685</v>
      </c>
      <c r="S46" s="177">
        <v>148.733</v>
      </c>
      <c r="T46" s="177">
        <v>150.94900000000001</v>
      </c>
      <c r="U46" s="177">
        <v>139.703</v>
      </c>
      <c r="V46" s="177">
        <v>135.393</v>
      </c>
      <c r="W46" s="177">
        <v>150.101</v>
      </c>
      <c r="X46" s="177">
        <v>155.042</v>
      </c>
      <c r="Y46" s="177">
        <v>153.93899999999999</v>
      </c>
      <c r="Z46" s="177">
        <v>159.28200000000001</v>
      </c>
      <c r="AA46" s="177">
        <v>160.83099999999999</v>
      </c>
      <c r="AB46" s="456">
        <f>154.52</f>
        <v>154.52000000000001</v>
      </c>
      <c r="AC46" s="406">
        <f>road_by_nat!AC46+road_by_int!AC46</f>
        <v>154.70594025417682</v>
      </c>
      <c r="AD46" s="317">
        <f t="shared" si="1"/>
        <v>0.12033410184884019</v>
      </c>
      <c r="AE46" s="86" t="s">
        <v>21</v>
      </c>
    </row>
    <row r="47" spans="1:31" ht="6.75" customHeight="1" x14ac:dyDescent="0.2">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321"/>
      <c r="AE47" s="228"/>
    </row>
    <row r="48" spans="1:31" ht="12.75" customHeight="1" x14ac:dyDescent="0.2">
      <c r="B48" s="275" t="s">
        <v>159</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322"/>
      <c r="AE48" s="245"/>
    </row>
    <row r="49" spans="2:31" x14ac:dyDescent="0.2">
      <c r="B49" s="126" t="s">
        <v>137</v>
      </c>
    </row>
    <row r="50" spans="2:31" ht="12.75" customHeight="1" x14ac:dyDescent="0.2">
      <c r="B50" s="3" t="s">
        <v>70</v>
      </c>
    </row>
    <row r="51" spans="2:31" x14ac:dyDescent="0.2">
      <c r="B51" s="89" t="s">
        <v>72</v>
      </c>
    </row>
    <row r="52" spans="2:31" x14ac:dyDescent="0.2">
      <c r="B52" s="168" t="s">
        <v>117</v>
      </c>
      <c r="C52" s="88"/>
      <c r="D52" s="88"/>
      <c r="E52" s="88"/>
      <c r="F52" s="88"/>
      <c r="G52" s="88"/>
      <c r="H52" s="88"/>
      <c r="I52" s="88"/>
      <c r="J52" s="88"/>
      <c r="K52" s="88"/>
      <c r="L52" s="88"/>
      <c r="M52" s="88"/>
      <c r="AD52" s="368"/>
    </row>
    <row r="53" spans="2:31" x14ac:dyDescent="0.2">
      <c r="B53" s="278" t="s">
        <v>118</v>
      </c>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323"/>
      <c r="AE53" s="129"/>
    </row>
  </sheetData>
  <mergeCells count="3">
    <mergeCell ref="Z4:AC4"/>
    <mergeCell ref="B2:AE2"/>
    <mergeCell ref="B3:AE3"/>
  </mergeCells>
  <phoneticPr fontId="5"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8">
    <pageSetUpPr fitToPage="1"/>
  </sheetPr>
  <dimension ref="A1:U48"/>
  <sheetViews>
    <sheetView workbookViewId="0">
      <selection activeCell="X25" sqref="X25"/>
    </sheetView>
  </sheetViews>
  <sheetFormatPr defaultRowHeight="12.75" x14ac:dyDescent="0.2"/>
  <cols>
    <col min="1" max="1" width="3.7109375" customWidth="1"/>
    <col min="2" max="2" width="4.5703125" customWidth="1"/>
    <col min="3" max="3" width="7.7109375" customWidth="1"/>
    <col min="4" max="17" width="8.28515625" customWidth="1"/>
    <col min="18" max="19" width="7.42578125" customWidth="1"/>
    <col min="20" max="20" width="6" customWidth="1"/>
    <col min="21" max="21" width="6.28515625" customWidth="1"/>
  </cols>
  <sheetData>
    <row r="1" spans="1:21" ht="14.25" customHeight="1" x14ac:dyDescent="0.2">
      <c r="B1" s="39"/>
      <c r="T1" s="6" t="s">
        <v>103</v>
      </c>
    </row>
    <row r="2" spans="1:21" s="77" customFormat="1" ht="15" customHeight="1" x14ac:dyDescent="0.2">
      <c r="B2" s="544" t="s">
        <v>107</v>
      </c>
      <c r="C2" s="570"/>
      <c r="D2" s="570"/>
      <c r="E2" s="570"/>
      <c r="F2" s="570"/>
      <c r="G2" s="570"/>
      <c r="H2" s="570"/>
      <c r="I2" s="570"/>
      <c r="J2" s="570"/>
      <c r="K2" s="570"/>
      <c r="L2" s="570"/>
      <c r="M2" s="570"/>
      <c r="N2" s="570"/>
      <c r="O2" s="570"/>
      <c r="P2" s="570"/>
      <c r="Q2" s="570"/>
      <c r="R2" s="570"/>
      <c r="S2" s="570"/>
      <c r="T2" s="570"/>
      <c r="U2" s="570"/>
    </row>
    <row r="3" spans="1:21" ht="15" customHeight="1" x14ac:dyDescent="0.2">
      <c r="B3" s="571" t="s">
        <v>131</v>
      </c>
      <c r="C3" s="572"/>
      <c r="D3" s="572"/>
      <c r="E3" s="572"/>
      <c r="F3" s="572"/>
      <c r="G3" s="572"/>
      <c r="H3" s="572"/>
      <c r="I3" s="572"/>
      <c r="J3" s="572"/>
      <c r="K3" s="572"/>
      <c r="L3" s="572"/>
      <c r="M3" s="572"/>
      <c r="N3" s="572"/>
      <c r="O3" s="572"/>
      <c r="P3" s="572"/>
      <c r="Q3" s="572"/>
      <c r="R3" s="572"/>
      <c r="S3" s="572"/>
      <c r="T3" s="572"/>
      <c r="U3" s="572"/>
    </row>
    <row r="4" spans="1:21" ht="12" customHeight="1" x14ac:dyDescent="0.2">
      <c r="B4" s="4"/>
      <c r="H4" s="21"/>
      <c r="I4" s="21"/>
      <c r="J4" s="21"/>
      <c r="K4" s="21"/>
      <c r="L4" s="21"/>
      <c r="M4" s="21"/>
      <c r="O4" s="173"/>
      <c r="P4" s="583" t="s">
        <v>95</v>
      </c>
      <c r="Q4" s="583"/>
      <c r="R4" s="583"/>
      <c r="S4" s="583"/>
      <c r="T4" s="21"/>
      <c r="U4" s="6"/>
    </row>
    <row r="5" spans="1:21" ht="20.100000000000001" customHeight="1" x14ac:dyDescent="0.2">
      <c r="B5" s="4"/>
      <c r="C5" s="81">
        <v>2005</v>
      </c>
      <c r="D5" s="82">
        <v>2006</v>
      </c>
      <c r="E5" s="82">
        <v>2007</v>
      </c>
      <c r="F5" s="82">
        <v>2008</v>
      </c>
      <c r="G5" s="82">
        <v>2009</v>
      </c>
      <c r="H5" s="82">
        <v>2010</v>
      </c>
      <c r="I5" s="82">
        <v>2011</v>
      </c>
      <c r="J5" s="82">
        <v>2012</v>
      </c>
      <c r="K5" s="82">
        <v>2013</v>
      </c>
      <c r="L5" s="82">
        <v>2014</v>
      </c>
      <c r="M5" s="82">
        <v>2015</v>
      </c>
      <c r="N5" s="82">
        <v>2016</v>
      </c>
      <c r="O5" s="82">
        <v>2017</v>
      </c>
      <c r="P5" s="82">
        <v>2018</v>
      </c>
      <c r="Q5" s="82">
        <v>2019</v>
      </c>
      <c r="R5" s="82">
        <v>2020</v>
      </c>
      <c r="S5" s="82">
        <v>2021</v>
      </c>
      <c r="T5" s="96" t="s">
        <v>148</v>
      </c>
      <c r="U5" s="60"/>
    </row>
    <row r="6" spans="1:21" ht="9.9499999999999993" customHeight="1" x14ac:dyDescent="0.2">
      <c r="B6" s="4"/>
      <c r="C6" s="83"/>
      <c r="D6" s="80"/>
      <c r="E6" s="80"/>
      <c r="F6" s="80"/>
      <c r="G6" s="80"/>
      <c r="H6" s="80"/>
      <c r="I6" s="80"/>
      <c r="J6" s="80"/>
      <c r="K6" s="80"/>
      <c r="L6" s="80"/>
      <c r="M6" s="80"/>
      <c r="N6" s="80"/>
      <c r="O6" s="80"/>
      <c r="P6" s="80"/>
      <c r="Q6" s="80"/>
      <c r="R6" s="80"/>
      <c r="S6" s="136"/>
      <c r="T6" s="72" t="s">
        <v>63</v>
      </c>
      <c r="U6" s="62"/>
    </row>
    <row r="7" spans="1:21" ht="12.75" customHeight="1" x14ac:dyDescent="0.2">
      <c r="B7" s="270" t="s">
        <v>111</v>
      </c>
      <c r="C7" s="279">
        <f>SUM(C8:C34)</f>
        <v>1588.1540655743293</v>
      </c>
      <c r="D7" s="279">
        <f>SUM(D8:D34)</f>
        <v>1638.7945822386714</v>
      </c>
      <c r="E7" s="279">
        <f>SUM(E8:E34)</f>
        <v>1697.6440389755346</v>
      </c>
      <c r="F7" s="279">
        <f t="shared" ref="F7:O7" si="0">SUM(F8:F34)</f>
        <v>1676.4616408826394</v>
      </c>
      <c r="G7" s="279">
        <f t="shared" si="0"/>
        <v>1515.3165860635595</v>
      </c>
      <c r="H7" s="279">
        <f t="shared" si="0"/>
        <v>1558.2925344262567</v>
      </c>
      <c r="I7" s="279">
        <f t="shared" si="0"/>
        <v>1541.6311993737638</v>
      </c>
      <c r="J7" s="279">
        <f t="shared" si="0"/>
        <v>1481.6904120467425</v>
      </c>
      <c r="K7" s="279">
        <f t="shared" si="0"/>
        <v>1516.3640398284499</v>
      </c>
      <c r="L7" s="279">
        <f t="shared" si="0"/>
        <v>1527.4346235799926</v>
      </c>
      <c r="M7" s="279">
        <f t="shared" si="0"/>
        <v>1561.9876827709111</v>
      </c>
      <c r="N7" s="279">
        <f t="shared" si="0"/>
        <v>1619.7477300951773</v>
      </c>
      <c r="O7" s="279">
        <f t="shared" si="0"/>
        <v>1707.3138634168388</v>
      </c>
      <c r="P7" s="279">
        <v>1707.4960000000001</v>
      </c>
      <c r="Q7" s="279">
        <f>SUM(Q8:Q34)</f>
        <v>1764.788</v>
      </c>
      <c r="R7" s="279">
        <f t="shared" ref="R7:S7" si="1">SUM(R8:R34)</f>
        <v>1745.3319999999999</v>
      </c>
      <c r="S7" s="530">
        <f t="shared" si="1"/>
        <v>1862.5149999999996</v>
      </c>
      <c r="T7" s="418">
        <f>S7/R7*100-100</f>
        <v>6.7140807594199714</v>
      </c>
      <c r="U7" s="270" t="s">
        <v>111</v>
      </c>
    </row>
    <row r="8" spans="1:21" ht="12.75" customHeight="1" x14ac:dyDescent="0.2">
      <c r="A8" s="15"/>
      <c r="B8" s="17" t="s">
        <v>22</v>
      </c>
      <c r="C8" s="144">
        <v>46.763014045659183</v>
      </c>
      <c r="D8" s="144">
        <v>47.963910197433698</v>
      </c>
      <c r="E8" s="144">
        <v>49.05179900580638</v>
      </c>
      <c r="F8" s="144">
        <v>47.058469513292096</v>
      </c>
      <c r="G8" s="144">
        <v>44.42591767204744</v>
      </c>
      <c r="H8" s="144">
        <v>45.630946980216287</v>
      </c>
      <c r="I8" s="144">
        <v>45.567818510325395</v>
      </c>
      <c r="J8" s="144">
        <v>45.849215594985679</v>
      </c>
      <c r="K8" s="144">
        <v>47.597470067830429</v>
      </c>
      <c r="L8" s="144">
        <v>47.951368608799811</v>
      </c>
      <c r="M8" s="144">
        <v>50.475109944329908</v>
      </c>
      <c r="N8" s="169">
        <v>52.334927832222299</v>
      </c>
      <c r="O8" s="144">
        <v>52.141982515231632</v>
      </c>
      <c r="P8" s="144">
        <v>50.918999999999997</v>
      </c>
      <c r="Q8" s="144">
        <v>52.436999999999998</v>
      </c>
      <c r="R8" s="144">
        <v>51.947000000000003</v>
      </c>
      <c r="S8" s="179">
        <v>54.747</v>
      </c>
      <c r="T8" s="462">
        <f>S8/R8*100-100</f>
        <v>5.3901091497102698</v>
      </c>
      <c r="U8" s="17" t="s">
        <v>22</v>
      </c>
    </row>
    <row r="9" spans="1:21" ht="12.75" customHeight="1" x14ac:dyDescent="0.2">
      <c r="A9" s="15"/>
      <c r="B9" s="85" t="s">
        <v>5</v>
      </c>
      <c r="C9" s="147">
        <v>11.007035810527396</v>
      </c>
      <c r="D9" s="147">
        <v>10.972872576275181</v>
      </c>
      <c r="E9" s="147">
        <v>10.439787754898461</v>
      </c>
      <c r="F9" s="147">
        <v>9.768980578108053</v>
      </c>
      <c r="G9" s="147">
        <v>8.7465351270823106</v>
      </c>
      <c r="H9" s="147">
        <v>8.8941473866294007</v>
      </c>
      <c r="I9" s="147">
        <v>9.7291795574239703</v>
      </c>
      <c r="J9" s="147">
        <v>9.2672677197473412</v>
      </c>
      <c r="K9" s="147">
        <v>10.955057214037225</v>
      </c>
      <c r="L9" s="147">
        <v>10.342981147523485</v>
      </c>
      <c r="M9" s="147">
        <v>11.17881401918992</v>
      </c>
      <c r="N9" s="147">
        <v>11.17439999737501</v>
      </c>
      <c r="O9" s="147">
        <v>12.035847741418761</v>
      </c>
      <c r="P9" s="147">
        <v>11.143000000000001</v>
      </c>
      <c r="Q9" s="147">
        <v>8.7059999999999995</v>
      </c>
      <c r="R9" s="147">
        <v>11.005000000000001</v>
      </c>
      <c r="S9" s="148">
        <v>13.266999999999999</v>
      </c>
      <c r="T9" s="165">
        <f t="shared" ref="T9:T34" si="2">S9/R9*100-100</f>
        <v>20.554293502953186</v>
      </c>
      <c r="U9" s="85" t="s">
        <v>5</v>
      </c>
    </row>
    <row r="10" spans="1:21" ht="12.75" customHeight="1" x14ac:dyDescent="0.2">
      <c r="A10" s="15"/>
      <c r="B10" s="17" t="s">
        <v>7</v>
      </c>
      <c r="C10" s="150">
        <v>32.288744390890884</v>
      </c>
      <c r="D10" s="150">
        <v>33.697465023117374</v>
      </c>
      <c r="E10" s="150">
        <v>33.984590250888957</v>
      </c>
      <c r="F10" s="150">
        <v>32.558348109780937</v>
      </c>
      <c r="G10" s="150">
        <v>29.159244054916382</v>
      </c>
      <c r="H10" s="150">
        <v>31.979649503595233</v>
      </c>
      <c r="I10" s="150">
        <v>33.162197746669882</v>
      </c>
      <c r="J10" s="150">
        <v>32.462423124963493</v>
      </c>
      <c r="K10" s="150">
        <v>35.408702291282921</v>
      </c>
      <c r="L10" s="150">
        <v>37.006453438367203</v>
      </c>
      <c r="M10" s="150">
        <v>42.673603793811331</v>
      </c>
      <c r="N10" s="150">
        <v>43.313230000595709</v>
      </c>
      <c r="O10" s="150">
        <v>43.074044073474894</v>
      </c>
      <c r="P10" s="150">
        <v>43.448999999999998</v>
      </c>
      <c r="Q10" s="150">
        <v>45.649000000000001</v>
      </c>
      <c r="R10" s="150">
        <v>51.71</v>
      </c>
      <c r="S10" s="170">
        <v>55.107999999999997</v>
      </c>
      <c r="T10" s="166">
        <f t="shared" si="2"/>
        <v>6.5712628118352256</v>
      </c>
      <c r="U10" s="17" t="s">
        <v>7</v>
      </c>
    </row>
    <row r="11" spans="1:21" ht="12.75" customHeight="1" x14ac:dyDescent="0.2">
      <c r="A11" s="15"/>
      <c r="B11" s="85" t="s">
        <v>18</v>
      </c>
      <c r="C11" s="147">
        <v>16.786513223591253</v>
      </c>
      <c r="D11" s="147">
        <v>17.692258729141255</v>
      </c>
      <c r="E11" s="147">
        <v>18.387594020981314</v>
      </c>
      <c r="F11" s="147">
        <v>18.91441807897732</v>
      </c>
      <c r="G11" s="147">
        <v>16.915748243820389</v>
      </c>
      <c r="H11" s="147">
        <v>17.243749269546619</v>
      </c>
      <c r="I11" s="147">
        <v>18.438395166590464</v>
      </c>
      <c r="J11" s="147">
        <v>18.571037617626171</v>
      </c>
      <c r="K11" s="147">
        <v>19.296721203207024</v>
      </c>
      <c r="L11" s="147">
        <v>19.517265790013017</v>
      </c>
      <c r="M11" s="147">
        <v>19.128622625910943</v>
      </c>
      <c r="N11" s="147">
        <v>20.598863081338418</v>
      </c>
      <c r="O11" s="147">
        <v>20.352101420361723</v>
      </c>
      <c r="P11" s="147">
        <v>19.306000000000001</v>
      </c>
      <c r="Q11" s="147">
        <v>19.460999999999999</v>
      </c>
      <c r="R11" s="147">
        <v>20.209</v>
      </c>
      <c r="S11" s="148">
        <v>20.818999999999999</v>
      </c>
      <c r="T11" s="165">
        <f t="shared" si="2"/>
        <v>3.0184571230639961</v>
      </c>
      <c r="U11" s="85" t="s">
        <v>18</v>
      </c>
    </row>
    <row r="12" spans="1:21" ht="12.75" customHeight="1" x14ac:dyDescent="0.2">
      <c r="A12" s="15"/>
      <c r="B12" s="17" t="s">
        <v>23</v>
      </c>
      <c r="C12" s="150">
        <v>370.79611532682497</v>
      </c>
      <c r="D12" s="150">
        <v>394.4637780630344</v>
      </c>
      <c r="E12" s="150">
        <v>413.15934772379165</v>
      </c>
      <c r="F12" s="150">
        <v>419.98022530633915</v>
      </c>
      <c r="G12" s="150">
        <v>385.29438178325245</v>
      </c>
      <c r="H12" s="150">
        <v>404.91844653132574</v>
      </c>
      <c r="I12" s="150">
        <v>417.56680148009582</v>
      </c>
      <c r="J12" s="150">
        <v>408.24934363709872</v>
      </c>
      <c r="K12" s="150">
        <v>416.58011557540999</v>
      </c>
      <c r="L12" s="150">
        <v>426.90867609510144</v>
      </c>
      <c r="M12" s="150">
        <v>433.09730988167325</v>
      </c>
      <c r="N12" s="150">
        <v>447.19334384124119</v>
      </c>
      <c r="O12" s="150">
        <v>463.02016952996769</v>
      </c>
      <c r="P12" s="150">
        <v>458.57100000000003</v>
      </c>
      <c r="Q12" s="150">
        <v>469.29300000000001</v>
      </c>
      <c r="R12" s="150">
        <v>466.41399999999999</v>
      </c>
      <c r="S12" s="170">
        <v>480.154</v>
      </c>
      <c r="T12" s="166">
        <f t="shared" si="2"/>
        <v>2.9458806982637782</v>
      </c>
      <c r="U12" s="17" t="s">
        <v>23</v>
      </c>
    </row>
    <row r="13" spans="1:21" ht="12.75" customHeight="1" x14ac:dyDescent="0.2">
      <c r="A13" s="15"/>
      <c r="B13" s="85" t="s">
        <v>8</v>
      </c>
      <c r="C13" s="152">
        <v>2.670218256504957</v>
      </c>
      <c r="D13" s="152">
        <v>2.869056913484314</v>
      </c>
      <c r="E13" s="152">
        <v>2.9354882647712865</v>
      </c>
      <c r="F13" s="152">
        <v>2.7715629772013086</v>
      </c>
      <c r="G13" s="152">
        <v>2.0761908485298957</v>
      </c>
      <c r="H13" s="152">
        <v>2.1707540736261453</v>
      </c>
      <c r="I13" s="152">
        <v>2.4813760688613411</v>
      </c>
      <c r="J13" s="152">
        <v>2.5326302330762411</v>
      </c>
      <c r="K13" s="152">
        <v>2.6890309917138522</v>
      </c>
      <c r="L13" s="152">
        <v>2.6421129128425931</v>
      </c>
      <c r="M13" s="152">
        <v>2.8361051051217756</v>
      </c>
      <c r="N13" s="152">
        <v>3.1149281194758776</v>
      </c>
      <c r="O13" s="152">
        <v>2.9125503564786106</v>
      </c>
      <c r="P13" s="152">
        <v>3.0139999999999998</v>
      </c>
      <c r="Q13" s="152">
        <v>2.9780000000000002</v>
      </c>
      <c r="R13" s="152">
        <v>2.7509999999999999</v>
      </c>
      <c r="S13" s="178">
        <v>3.1709999999999998</v>
      </c>
      <c r="T13" s="165">
        <f t="shared" si="2"/>
        <v>15.267175572519093</v>
      </c>
      <c r="U13" s="85" t="s">
        <v>8</v>
      </c>
    </row>
    <row r="14" spans="1:21" ht="12.75" customHeight="1" x14ac:dyDescent="0.2">
      <c r="A14" s="15"/>
      <c r="B14" s="17" t="s">
        <v>26</v>
      </c>
      <c r="C14" s="144">
        <v>15.612619075343829</v>
      </c>
      <c r="D14" s="144">
        <v>15.515330391542724</v>
      </c>
      <c r="E14" s="144">
        <v>16.246972097592554</v>
      </c>
      <c r="F14" s="144">
        <v>14.847004373113187</v>
      </c>
      <c r="G14" s="144">
        <v>9.814266919633539</v>
      </c>
      <c r="H14" s="144">
        <v>9.6558252938964202</v>
      </c>
      <c r="I14" s="144">
        <v>9.0306056411654509</v>
      </c>
      <c r="J14" s="144">
        <v>8.8170886771555406</v>
      </c>
      <c r="K14" s="144">
        <v>8.5535881199183681</v>
      </c>
      <c r="L14" s="144">
        <v>9.0115559012090944</v>
      </c>
      <c r="M14" s="144">
        <v>9.2192328228836491</v>
      </c>
      <c r="N14" s="144">
        <v>10.589506012559722</v>
      </c>
      <c r="O14" s="144">
        <v>10.610887752757121</v>
      </c>
      <c r="P14" s="144">
        <v>10.829000000000001</v>
      </c>
      <c r="Q14" s="144">
        <v>11.625999999999999</v>
      </c>
      <c r="R14" s="144">
        <v>9.6449999999999996</v>
      </c>
      <c r="S14" s="179">
        <v>10.848000000000001</v>
      </c>
      <c r="T14" s="462">
        <f t="shared" si="2"/>
        <v>12.472783825816492</v>
      </c>
      <c r="U14" s="17" t="s">
        <v>26</v>
      </c>
    </row>
    <row r="15" spans="1:21" ht="12.75" customHeight="1" x14ac:dyDescent="0.2">
      <c r="A15" s="15"/>
      <c r="B15" s="85" t="s">
        <v>19</v>
      </c>
      <c r="C15" s="152">
        <v>21.916598855311484</v>
      </c>
      <c r="D15" s="152">
        <v>28.970940114922165</v>
      </c>
      <c r="E15" s="147">
        <v>24.143190174937523</v>
      </c>
      <c r="F15" s="147">
        <v>26.445160535546503</v>
      </c>
      <c r="G15" s="147">
        <v>26.075647513472227</v>
      </c>
      <c r="H15" s="147">
        <v>27.645544661844863</v>
      </c>
      <c r="I15" s="147">
        <v>18.734846730275756</v>
      </c>
      <c r="J15" s="147">
        <v>18.62974648294</v>
      </c>
      <c r="K15" s="147">
        <v>15.187698792609384</v>
      </c>
      <c r="L15" s="147">
        <v>17.530279659674548</v>
      </c>
      <c r="M15" s="147">
        <v>17.652723082841643</v>
      </c>
      <c r="N15" s="147">
        <v>19.341888388527117</v>
      </c>
      <c r="O15" s="147">
        <v>19.717029962458312</v>
      </c>
      <c r="P15" s="147">
        <v>19.379000000000001</v>
      </c>
      <c r="Q15" s="147">
        <v>18.977</v>
      </c>
      <c r="R15" s="147">
        <v>16.783000000000001</v>
      </c>
      <c r="S15" s="148">
        <v>19.696999999999999</v>
      </c>
      <c r="T15" s="165">
        <f t="shared" si="2"/>
        <v>17.362807602931525</v>
      </c>
      <c r="U15" s="85" t="s">
        <v>19</v>
      </c>
    </row>
    <row r="16" spans="1:21" ht="12.75" customHeight="1" x14ac:dyDescent="0.2">
      <c r="A16" s="15"/>
      <c r="B16" s="17" t="s">
        <v>24</v>
      </c>
      <c r="C16" s="157">
        <v>210.72119561327622</v>
      </c>
      <c r="D16" s="157">
        <v>220.1293027852322</v>
      </c>
      <c r="E16" s="157">
        <v>237.26616542326778</v>
      </c>
      <c r="F16" s="157">
        <v>217.319783899161</v>
      </c>
      <c r="G16" s="157">
        <v>189.43479571602757</v>
      </c>
      <c r="H16" s="157">
        <v>184.4014915288827</v>
      </c>
      <c r="I16" s="157">
        <v>179.86855247564554</v>
      </c>
      <c r="J16" s="157">
        <v>169.76957151140692</v>
      </c>
      <c r="K16" s="157">
        <v>166.11563522961055</v>
      </c>
      <c r="L16" s="157">
        <v>167.11144979536269</v>
      </c>
      <c r="M16" s="157">
        <v>177.99508268987074</v>
      </c>
      <c r="N16" s="157">
        <v>186.70061371205631</v>
      </c>
      <c r="O16" s="157">
        <v>197.95774587195447</v>
      </c>
      <c r="P16" s="157">
        <v>203.62200000000001</v>
      </c>
      <c r="Q16" s="157">
        <v>212.70500000000001</v>
      </c>
      <c r="R16" s="157">
        <v>207.453</v>
      </c>
      <c r="S16" s="158">
        <v>231.08699999999999</v>
      </c>
      <c r="T16" s="462">
        <f t="shared" si="2"/>
        <v>11.392459978886777</v>
      </c>
      <c r="U16" s="17" t="s">
        <v>24</v>
      </c>
    </row>
    <row r="17" spans="1:21" ht="12.75" customHeight="1" x14ac:dyDescent="0.2">
      <c r="A17" s="15"/>
      <c r="B17" s="85" t="s">
        <v>25</v>
      </c>
      <c r="C17" s="152">
        <v>294.53781071988692</v>
      </c>
      <c r="D17" s="152">
        <v>303.93056686590086</v>
      </c>
      <c r="E17" s="152">
        <v>315.32721576011994</v>
      </c>
      <c r="F17" s="152">
        <v>301.42667973424125</v>
      </c>
      <c r="G17" s="152">
        <v>261.74858388974764</v>
      </c>
      <c r="H17" s="152">
        <v>275.13000270342462</v>
      </c>
      <c r="I17" s="152">
        <v>273.3770401042355</v>
      </c>
      <c r="J17" s="152">
        <v>259.05725243365947</v>
      </c>
      <c r="K17" s="152">
        <v>263.73821668291089</v>
      </c>
      <c r="L17" s="152">
        <v>259.86095283024679</v>
      </c>
      <c r="M17" s="152">
        <v>251.18195955553662</v>
      </c>
      <c r="N17" s="152">
        <v>258.56341746541659</v>
      </c>
      <c r="O17" s="152">
        <v>277.83382609574682</v>
      </c>
      <c r="P17" s="152">
        <v>281.63099999999997</v>
      </c>
      <c r="Q17" s="152">
        <v>289.32900000000001</v>
      </c>
      <c r="R17" s="152">
        <v>280.09899999999999</v>
      </c>
      <c r="S17" s="178">
        <v>295.03500000000003</v>
      </c>
      <c r="T17" s="165">
        <f t="shared" si="2"/>
        <v>5.3324003298833844</v>
      </c>
      <c r="U17" s="85" t="s">
        <v>25</v>
      </c>
    </row>
    <row r="18" spans="1:21" ht="12.75" customHeight="1" x14ac:dyDescent="0.2">
      <c r="A18" s="15"/>
      <c r="B18" s="17" t="s">
        <v>36</v>
      </c>
      <c r="C18" s="55">
        <v>10.483056070627628</v>
      </c>
      <c r="D18" s="55">
        <v>10.909940770981342</v>
      </c>
      <c r="E18" s="55">
        <v>11.03297977974009</v>
      </c>
      <c r="F18" s="55">
        <v>10.375046058567255</v>
      </c>
      <c r="G18" s="55">
        <v>8.4965357312965324</v>
      </c>
      <c r="H18" s="55">
        <v>7.9261240979092866</v>
      </c>
      <c r="I18" s="55">
        <v>7.7327653363939088</v>
      </c>
      <c r="J18" s="55">
        <v>7.4133645033315698</v>
      </c>
      <c r="K18" s="55">
        <v>7.6965559610878485</v>
      </c>
      <c r="L18" s="55">
        <v>7.566195616055122</v>
      </c>
      <c r="M18" s="55">
        <v>8.2194421919714156</v>
      </c>
      <c r="N18" s="55">
        <v>8.2502072088045892</v>
      </c>
      <c r="O18" s="55">
        <v>9.469843573041226</v>
      </c>
      <c r="P18" s="55">
        <v>9.5210000000000008</v>
      </c>
      <c r="Q18" s="55">
        <v>9.0340000000000007</v>
      </c>
      <c r="R18" s="55">
        <v>9.2810000000000006</v>
      </c>
      <c r="S18" s="159">
        <v>9.3019999999999996</v>
      </c>
      <c r="T18" s="166">
        <f t="shared" si="2"/>
        <v>0.22626872104298457</v>
      </c>
      <c r="U18" s="17" t="s">
        <v>36</v>
      </c>
    </row>
    <row r="19" spans="1:21" ht="12.75" customHeight="1" x14ac:dyDescent="0.2">
      <c r="A19" s="15"/>
      <c r="B19" s="85" t="s">
        <v>27</v>
      </c>
      <c r="C19" s="147">
        <v>203.95294284383934</v>
      </c>
      <c r="D19" s="147">
        <v>190.0707919389948</v>
      </c>
      <c r="E19" s="147">
        <v>186.79745099660789</v>
      </c>
      <c r="F19" s="147">
        <v>187.5037110470505</v>
      </c>
      <c r="G19" s="147">
        <v>176.42696498971071</v>
      </c>
      <c r="H19" s="147">
        <v>183.60681268352803</v>
      </c>
      <c r="I19" s="147">
        <v>157.32085045794125</v>
      </c>
      <c r="J19" s="147">
        <v>139.46045552236427</v>
      </c>
      <c r="K19" s="147">
        <v>141.79304194107172</v>
      </c>
      <c r="L19" s="147">
        <v>133.02703381047397</v>
      </c>
      <c r="M19" s="147">
        <v>133.97003876677221</v>
      </c>
      <c r="N19" s="147">
        <v>131.69514287846371</v>
      </c>
      <c r="O19" s="147">
        <v>142.07681353460256</v>
      </c>
      <c r="P19" s="147">
        <v>146.26499999999999</v>
      </c>
      <c r="Q19" s="147">
        <v>158.30699999999999</v>
      </c>
      <c r="R19" s="147">
        <v>152.864</v>
      </c>
      <c r="S19" s="148">
        <v>167.88499999999999</v>
      </c>
      <c r="T19" s="165">
        <f t="shared" si="2"/>
        <v>9.8263816202637457</v>
      </c>
      <c r="U19" s="85" t="s">
        <v>27</v>
      </c>
    </row>
    <row r="20" spans="1:21" ht="12.75" customHeight="1" x14ac:dyDescent="0.2">
      <c r="A20" s="15"/>
      <c r="B20" s="17" t="s">
        <v>6</v>
      </c>
      <c r="C20" s="55">
        <v>1.3740000000000001</v>
      </c>
      <c r="D20" s="55">
        <v>1.145</v>
      </c>
      <c r="E20" s="55">
        <v>1.1839999999999999</v>
      </c>
      <c r="F20" s="55">
        <v>1.296</v>
      </c>
      <c r="G20" s="55">
        <v>0.94399999999999995</v>
      </c>
      <c r="H20" s="55">
        <v>1.0660000000000001</v>
      </c>
      <c r="I20" s="55">
        <v>0.92300000000000004</v>
      </c>
      <c r="J20" s="55">
        <v>0.88</v>
      </c>
      <c r="K20" s="55">
        <v>0.61799999999999999</v>
      </c>
      <c r="L20" s="55">
        <v>0.52600000000000002</v>
      </c>
      <c r="M20" s="55">
        <v>0.54800000000000004</v>
      </c>
      <c r="N20" s="55">
        <v>0.68400000000000005</v>
      </c>
      <c r="O20" s="55">
        <v>0.80200000000000005</v>
      </c>
      <c r="P20" s="55">
        <v>0.86499999999999999</v>
      </c>
      <c r="Q20" s="55">
        <v>0.83099999999999996</v>
      </c>
      <c r="R20" s="55">
        <v>0.67200000000000004</v>
      </c>
      <c r="S20" s="159">
        <v>0.70299999999999996</v>
      </c>
      <c r="T20" s="166">
        <f t="shared" si="2"/>
        <v>4.6130952380952266</v>
      </c>
      <c r="U20" s="17" t="s">
        <v>6</v>
      </c>
    </row>
    <row r="21" spans="1:21" ht="12.75" customHeight="1" x14ac:dyDescent="0.2">
      <c r="A21" s="15"/>
      <c r="B21" s="85" t="s">
        <v>10</v>
      </c>
      <c r="C21" s="147">
        <v>3.7360190296953761</v>
      </c>
      <c r="D21" s="147">
        <v>3.9484290348493487</v>
      </c>
      <c r="E21" s="147">
        <v>4.4073087578065175</v>
      </c>
      <c r="F21" s="147">
        <v>3.8857887870287251</v>
      </c>
      <c r="G21" s="147">
        <v>3.2108269453857816</v>
      </c>
      <c r="H21" s="147">
        <v>3.7423899740928328</v>
      </c>
      <c r="I21" s="147">
        <v>4.007675239415379</v>
      </c>
      <c r="J21" s="147">
        <v>4.1224687058952076</v>
      </c>
      <c r="K21" s="147">
        <v>4.5353622032258327</v>
      </c>
      <c r="L21" s="147">
        <v>4.4960255062688477</v>
      </c>
      <c r="M21" s="147">
        <v>4.797262003193814</v>
      </c>
      <c r="N21" s="147">
        <v>4.8547685600879102</v>
      </c>
      <c r="O21" s="147">
        <v>5.2767113811710811</v>
      </c>
      <c r="P21" s="147">
        <v>5.6870000000000003</v>
      </c>
      <c r="Q21" s="147">
        <v>5.3819999999999997</v>
      </c>
      <c r="R21" s="147">
        <v>6.149</v>
      </c>
      <c r="S21" s="148">
        <v>6.4169999999999998</v>
      </c>
      <c r="T21" s="165">
        <f t="shared" si="2"/>
        <v>4.3584322654089931</v>
      </c>
      <c r="U21" s="85" t="s">
        <v>10</v>
      </c>
    </row>
    <row r="22" spans="1:21" ht="12.75" customHeight="1" x14ac:dyDescent="0.2">
      <c r="A22" s="15"/>
      <c r="B22" s="17" t="s">
        <v>11</v>
      </c>
      <c r="C22" s="55">
        <v>4.3513532077765911</v>
      </c>
      <c r="D22" s="55">
        <v>5.0789104620356111</v>
      </c>
      <c r="E22" s="55">
        <v>5.8571309853276174</v>
      </c>
      <c r="F22" s="55">
        <v>5.4529833045731886</v>
      </c>
      <c r="G22" s="55">
        <v>5.0029435929245141</v>
      </c>
      <c r="H22" s="55">
        <v>5.0228402420568683</v>
      </c>
      <c r="I22" s="55">
        <v>5.3923231920486563</v>
      </c>
      <c r="J22" s="55">
        <v>5.9841807369090105</v>
      </c>
      <c r="K22" s="55">
        <v>6.6910372613651123</v>
      </c>
      <c r="L22" s="55">
        <v>6.7138771237216694</v>
      </c>
      <c r="M22" s="55">
        <v>7.2773203916716893</v>
      </c>
      <c r="N22" s="55">
        <v>7.4312378973444613</v>
      </c>
      <c r="O22" s="55">
        <v>7.7006125771429987</v>
      </c>
      <c r="P22" s="55">
        <v>7.9779999999999998</v>
      </c>
      <c r="Q22" s="55">
        <v>7.8159999999999998</v>
      </c>
      <c r="R22" s="55">
        <v>8.6669999999999998</v>
      </c>
      <c r="S22" s="159">
        <v>8.7249999999999996</v>
      </c>
      <c r="T22" s="166">
        <f t="shared" si="2"/>
        <v>0.66920503057575331</v>
      </c>
      <c r="U22" s="17" t="s">
        <v>11</v>
      </c>
    </row>
    <row r="23" spans="1:21" ht="12.75" customHeight="1" x14ac:dyDescent="0.2">
      <c r="A23" s="15"/>
      <c r="B23" s="85" t="s">
        <v>28</v>
      </c>
      <c r="C23" s="147">
        <v>1.8788998995106998</v>
      </c>
      <c r="D23" s="147">
        <v>1.8961685926874257</v>
      </c>
      <c r="E23" s="147">
        <v>2.0006935580327831</v>
      </c>
      <c r="F23" s="147">
        <v>2.1804820101599613</v>
      </c>
      <c r="G23" s="147">
        <v>1.9610770952484999</v>
      </c>
      <c r="H23" s="147">
        <v>2.1045873313087924</v>
      </c>
      <c r="I23" s="147">
        <v>2.1570893408303609</v>
      </c>
      <c r="J23" s="147">
        <v>2.7314068623047962</v>
      </c>
      <c r="K23" s="147">
        <v>2.4594908349359192</v>
      </c>
      <c r="L23" s="147">
        <v>2.9091572417584697</v>
      </c>
      <c r="M23" s="147">
        <v>2.4915117464717325</v>
      </c>
      <c r="N23" s="147">
        <v>2.6771081775198144</v>
      </c>
      <c r="O23" s="147">
        <v>2.7280032062239346</v>
      </c>
      <c r="P23" s="147">
        <v>2.3130000000000002</v>
      </c>
      <c r="Q23" s="147">
        <v>2.3679999999999999</v>
      </c>
      <c r="R23" s="147">
        <v>2.085</v>
      </c>
      <c r="S23" s="148">
        <v>2.33</v>
      </c>
      <c r="T23" s="165">
        <f t="shared" si="2"/>
        <v>11.750599520383702</v>
      </c>
      <c r="U23" s="85" t="s">
        <v>28</v>
      </c>
    </row>
    <row r="24" spans="1:21" ht="12.75" customHeight="1" x14ac:dyDescent="0.2">
      <c r="A24" s="15"/>
      <c r="B24" s="17" t="s">
        <v>9</v>
      </c>
      <c r="C24" s="150">
        <v>22.208822375569891</v>
      </c>
      <c r="D24" s="150">
        <v>24.254655709452589</v>
      </c>
      <c r="E24" s="150">
        <v>26.157507043904019</v>
      </c>
      <c r="F24" s="150">
        <v>27.20579472873975</v>
      </c>
      <c r="G24" s="150">
        <v>22.343334546697704</v>
      </c>
      <c r="H24" s="150">
        <v>21.303895740560723</v>
      </c>
      <c r="I24" s="150">
        <v>21.073462215707782</v>
      </c>
      <c r="J24" s="150">
        <v>19.759008554103961</v>
      </c>
      <c r="K24" s="150">
        <v>20.04905203532147</v>
      </c>
      <c r="L24" s="150">
        <v>20.744700850786078</v>
      </c>
      <c r="M24" s="150">
        <v>22.110045296972469</v>
      </c>
      <c r="N24" s="150">
        <v>24.326412668600184</v>
      </c>
      <c r="O24" s="150">
        <v>25.814104274718961</v>
      </c>
      <c r="P24" s="150">
        <v>26.995999999999999</v>
      </c>
      <c r="Q24" s="150">
        <v>27.696000000000002</v>
      </c>
      <c r="R24" s="150">
        <v>26.216999999999999</v>
      </c>
      <c r="S24" s="170">
        <v>29.725999999999999</v>
      </c>
      <c r="T24" s="166">
        <f t="shared" si="2"/>
        <v>13.384445207308232</v>
      </c>
      <c r="U24" s="17" t="s">
        <v>9</v>
      </c>
    </row>
    <row r="25" spans="1:21" ht="12.75" customHeight="1" x14ac:dyDescent="0.2">
      <c r="A25" s="15"/>
      <c r="B25" s="54" t="s">
        <v>12</v>
      </c>
      <c r="C25" s="250"/>
      <c r="D25" s="251"/>
      <c r="E25" s="251"/>
      <c r="F25" s="251"/>
      <c r="G25" s="251"/>
      <c r="H25" s="251"/>
      <c r="I25" s="251"/>
      <c r="J25" s="251"/>
      <c r="K25" s="251"/>
      <c r="L25" s="251"/>
      <c r="M25" s="251"/>
      <c r="N25" s="251"/>
      <c r="O25" s="251"/>
      <c r="P25" s="251"/>
      <c r="Q25" s="251"/>
      <c r="R25" s="251"/>
      <c r="S25" s="417"/>
      <c r="T25" s="461"/>
      <c r="U25" s="54" t="s">
        <v>12</v>
      </c>
    </row>
    <row r="26" spans="1:21" ht="12.75" customHeight="1" x14ac:dyDescent="0.2">
      <c r="A26" s="15"/>
      <c r="B26" s="17" t="s">
        <v>20</v>
      </c>
      <c r="C26" s="55">
        <v>49.746290616969461</v>
      </c>
      <c r="D26" s="55">
        <v>50.083234522714591</v>
      </c>
      <c r="E26" s="55">
        <v>49.985052920931601</v>
      </c>
      <c r="F26" s="55">
        <v>51.369646436130203</v>
      </c>
      <c r="G26" s="55">
        <v>48.981111527442742</v>
      </c>
      <c r="H26" s="55">
        <v>49.170720022948395</v>
      </c>
      <c r="I26" s="55">
        <v>49.140716806790834</v>
      </c>
      <c r="J26" s="55">
        <v>47.017593275768981</v>
      </c>
      <c r="K26" s="55">
        <v>50.997288204977004</v>
      </c>
      <c r="L26" s="55">
        <v>51.542722008564532</v>
      </c>
      <c r="M26" s="55">
        <v>51.708573289029772</v>
      </c>
      <c r="N26" s="55">
        <v>54.81124017816478</v>
      </c>
      <c r="O26" s="55">
        <v>54.251892052395981</v>
      </c>
      <c r="P26" s="55">
        <v>55.134999999999998</v>
      </c>
      <c r="Q26" s="55">
        <v>57.072000000000003</v>
      </c>
      <c r="R26" s="55">
        <v>56.942999999999998</v>
      </c>
      <c r="S26" s="159">
        <v>58.487000000000002</v>
      </c>
      <c r="T26" s="166">
        <f t="shared" si="2"/>
        <v>2.7114834132378149</v>
      </c>
      <c r="U26" s="17" t="s">
        <v>20</v>
      </c>
    </row>
    <row r="27" spans="1:21" ht="12.75" customHeight="1" x14ac:dyDescent="0.2">
      <c r="A27" s="15"/>
      <c r="B27" s="85" t="s">
        <v>29</v>
      </c>
      <c r="C27" s="152">
        <v>32.381380726022428</v>
      </c>
      <c r="D27" s="152">
        <v>35.440497776109034</v>
      </c>
      <c r="E27" s="152">
        <v>38.547623944633933</v>
      </c>
      <c r="F27" s="152">
        <v>41.111043866369045</v>
      </c>
      <c r="G27" s="152">
        <v>35.72898571925888</v>
      </c>
      <c r="H27" s="152">
        <v>37.861436321100896</v>
      </c>
      <c r="I27" s="152">
        <v>39.078174158318348</v>
      </c>
      <c r="J27" s="152">
        <v>38.019854220087701</v>
      </c>
      <c r="K27" s="152">
        <v>38.564206558852241</v>
      </c>
      <c r="L27" s="152">
        <v>39.681254952828191</v>
      </c>
      <c r="M27" s="152">
        <v>41.449088446107396</v>
      </c>
      <c r="N27" s="152">
        <v>43.106108200398779</v>
      </c>
      <c r="O27" s="152">
        <v>45.802811042269653</v>
      </c>
      <c r="P27" s="152">
        <v>46.262</v>
      </c>
      <c r="Q27" s="152">
        <v>47.057000000000002</v>
      </c>
      <c r="R27" s="152">
        <v>46.987000000000002</v>
      </c>
      <c r="S27" s="178">
        <v>49.808999999999997</v>
      </c>
      <c r="T27" s="165">
        <f t="shared" si="2"/>
        <v>6.0059165301040736</v>
      </c>
      <c r="U27" s="85" t="s">
        <v>29</v>
      </c>
    </row>
    <row r="28" spans="1:21" ht="12.75" customHeight="1" x14ac:dyDescent="0.2">
      <c r="A28" s="15"/>
      <c r="B28" s="17" t="s">
        <v>13</v>
      </c>
      <c r="C28" s="55">
        <v>86.811539828735874</v>
      </c>
      <c r="D28" s="55">
        <v>91.000122864066057</v>
      </c>
      <c r="E28" s="55">
        <v>95.3348474163421</v>
      </c>
      <c r="F28" s="55">
        <v>101.63664418474924</v>
      </c>
      <c r="G28" s="55">
        <v>107.35587481029782</v>
      </c>
      <c r="H28" s="55">
        <v>116.21699760290893</v>
      </c>
      <c r="I28" s="55">
        <v>125.60186987621069</v>
      </c>
      <c r="J28" s="55">
        <v>127.87654066091758</v>
      </c>
      <c r="K28" s="55">
        <v>141.54009254631984</v>
      </c>
      <c r="L28" s="55">
        <v>138.53842626631351</v>
      </c>
      <c r="M28" s="55">
        <v>147.39897075507085</v>
      </c>
      <c r="N28" s="55">
        <v>154.2049325524055</v>
      </c>
      <c r="O28" s="55">
        <v>173.99416191817039</v>
      </c>
      <c r="P28" s="55">
        <v>161.92500000000001</v>
      </c>
      <c r="Q28" s="55">
        <v>173.06800000000001</v>
      </c>
      <c r="R28" s="55">
        <v>175.14099999999999</v>
      </c>
      <c r="S28" s="159">
        <v>189.78</v>
      </c>
      <c r="T28" s="166">
        <f t="shared" si="2"/>
        <v>8.3584083681148371</v>
      </c>
      <c r="U28" s="17" t="s">
        <v>13</v>
      </c>
    </row>
    <row r="29" spans="1:21" ht="12.75" customHeight="1" x14ac:dyDescent="0.2">
      <c r="A29" s="15"/>
      <c r="B29" s="85" t="s">
        <v>30</v>
      </c>
      <c r="C29" s="147">
        <v>23.861106448547513</v>
      </c>
      <c r="D29" s="147">
        <v>24.434706019003297</v>
      </c>
      <c r="E29" s="147">
        <v>25.877326629317771</v>
      </c>
      <c r="F29" s="147">
        <v>23.675799061433665</v>
      </c>
      <c r="G29" s="147">
        <v>20.921435122121764</v>
      </c>
      <c r="H29" s="147">
        <v>18.94939533184484</v>
      </c>
      <c r="I29" s="147">
        <v>19.056490446758794</v>
      </c>
      <c r="J29" s="147">
        <v>16.459519422327858</v>
      </c>
      <c r="K29" s="147">
        <v>15.759662951489654</v>
      </c>
      <c r="L29" s="147">
        <v>16.649660760584609</v>
      </c>
      <c r="M29" s="147">
        <v>16.323326054359946</v>
      </c>
      <c r="N29" s="147">
        <v>16.381950518936026</v>
      </c>
      <c r="O29" s="147">
        <v>16.744558735023528</v>
      </c>
      <c r="P29" s="147">
        <v>16.658000000000001</v>
      </c>
      <c r="Q29" s="147">
        <v>16.611999999999998</v>
      </c>
      <c r="R29" s="147">
        <v>13.929</v>
      </c>
      <c r="S29" s="148">
        <v>15.618</v>
      </c>
      <c r="T29" s="165">
        <f t="shared" si="2"/>
        <v>12.125780745207848</v>
      </c>
      <c r="U29" s="85" t="s">
        <v>30</v>
      </c>
    </row>
    <row r="30" spans="1:21" ht="12.75" customHeight="1" x14ac:dyDescent="0.2">
      <c r="A30" s="15"/>
      <c r="B30" s="17" t="s">
        <v>14</v>
      </c>
      <c r="C30" s="157">
        <v>32.50925754118051</v>
      </c>
      <c r="D30" s="157">
        <v>32.572396729346828</v>
      </c>
      <c r="E30" s="157">
        <v>33.914632044073144</v>
      </c>
      <c r="F30" s="157">
        <v>30.958933923373845</v>
      </c>
      <c r="G30" s="157">
        <v>25.14834193788769</v>
      </c>
      <c r="H30" s="157">
        <v>15.615036670078807</v>
      </c>
      <c r="I30" s="157">
        <v>15.447449865840989</v>
      </c>
      <c r="J30" s="157">
        <v>16.868975603035491</v>
      </c>
      <c r="K30" s="157">
        <v>17.011316994194889</v>
      </c>
      <c r="L30" s="157">
        <v>16.545707198199835</v>
      </c>
      <c r="M30" s="157">
        <v>16.460377863863872</v>
      </c>
      <c r="N30" s="157">
        <v>18.019906432523726</v>
      </c>
      <c r="O30" s="157">
        <v>19.39257899131335</v>
      </c>
      <c r="P30" s="157">
        <v>19.948</v>
      </c>
      <c r="Q30" s="157">
        <v>22.315000000000001</v>
      </c>
      <c r="R30" s="157">
        <v>21.675999999999998</v>
      </c>
      <c r="S30" s="158">
        <v>26.79</v>
      </c>
      <c r="T30" s="462">
        <f t="shared" si="2"/>
        <v>23.592913821738335</v>
      </c>
      <c r="U30" s="17" t="s">
        <v>14</v>
      </c>
    </row>
    <row r="31" spans="1:21" ht="12.75" customHeight="1" x14ac:dyDescent="0.2">
      <c r="A31" s="15"/>
      <c r="B31" s="85" t="s">
        <v>16</v>
      </c>
      <c r="C31" s="147">
        <v>7.3073122476044743</v>
      </c>
      <c r="D31" s="147">
        <v>8.0428943982190795</v>
      </c>
      <c r="E31" s="147">
        <v>8.4568880112995366</v>
      </c>
      <c r="F31" s="147">
        <v>8.4354199391810649</v>
      </c>
      <c r="G31" s="147">
        <v>7.3127216380563187</v>
      </c>
      <c r="H31" s="147">
        <v>7.3215131671523483</v>
      </c>
      <c r="I31" s="147">
        <v>7.29226014649901</v>
      </c>
      <c r="J31" s="147">
        <v>7.1062669197662203</v>
      </c>
      <c r="K31" s="147">
        <v>7.1245771161421674</v>
      </c>
      <c r="L31" s="147">
        <v>7.3182379906363213</v>
      </c>
      <c r="M31" s="147">
        <v>7.7547086514279373</v>
      </c>
      <c r="N31" s="147">
        <v>8.49107880919804</v>
      </c>
      <c r="O31" s="147">
        <v>9.3349884177767475</v>
      </c>
      <c r="P31" s="147">
        <v>9.4600000000000009</v>
      </c>
      <c r="Q31" s="147">
        <v>9.5950000000000006</v>
      </c>
      <c r="R31" s="147">
        <v>8.9629999999999992</v>
      </c>
      <c r="S31" s="148">
        <v>9.7780000000000005</v>
      </c>
      <c r="T31" s="165">
        <f t="shared" si="2"/>
        <v>9.0929376324891251</v>
      </c>
      <c r="U31" s="85" t="s">
        <v>16</v>
      </c>
    </row>
    <row r="32" spans="1:21" ht="12.75" customHeight="1" x14ac:dyDescent="0.2">
      <c r="A32" s="15"/>
      <c r="B32" s="17" t="s">
        <v>15</v>
      </c>
      <c r="C32" s="157">
        <v>10.527937660073155</v>
      </c>
      <c r="D32" s="157">
        <v>10.399220059945735</v>
      </c>
      <c r="E32" s="157">
        <v>12.16331567337247</v>
      </c>
      <c r="F32" s="157">
        <v>12.672540648940206</v>
      </c>
      <c r="G32" s="157">
        <v>11.607004611092629</v>
      </c>
      <c r="H32" s="157">
        <v>11.776453602577616</v>
      </c>
      <c r="I32" s="157">
        <v>11.951399957128286</v>
      </c>
      <c r="J32" s="157">
        <v>12.19854239892241</v>
      </c>
      <c r="K32" s="157">
        <v>12.292664272707704</v>
      </c>
      <c r="L32" s="157">
        <v>12.98100023272082</v>
      </c>
      <c r="M32" s="157">
        <v>13.856634169545718</v>
      </c>
      <c r="N32" s="157">
        <v>14.928548061067952</v>
      </c>
      <c r="O32" s="157">
        <v>16.36118040671677</v>
      </c>
      <c r="P32" s="157">
        <v>16.52</v>
      </c>
      <c r="Q32" s="157">
        <v>17.187999999999999</v>
      </c>
      <c r="R32" s="157">
        <v>16.478999999999999</v>
      </c>
      <c r="S32" s="158">
        <v>16.509</v>
      </c>
      <c r="T32" s="462">
        <f t="shared" si="2"/>
        <v>0.18204988166759506</v>
      </c>
      <c r="U32" s="17" t="s">
        <v>15</v>
      </c>
    </row>
    <row r="33" spans="1:21" ht="12.75" customHeight="1" x14ac:dyDescent="0.2">
      <c r="A33" s="15"/>
      <c r="B33" s="85" t="s">
        <v>31</v>
      </c>
      <c r="C33" s="147">
        <v>28.808963842747477</v>
      </c>
      <c r="D33" s="147">
        <v>26.52365723807053</v>
      </c>
      <c r="E33" s="147">
        <v>27.050020167292349</v>
      </c>
      <c r="F33" s="147">
        <v>28.714320893272802</v>
      </c>
      <c r="G33" s="147">
        <v>25.397070133212612</v>
      </c>
      <c r="H33" s="147">
        <v>26.488763955975031</v>
      </c>
      <c r="I33" s="147">
        <v>24.595234999554382</v>
      </c>
      <c r="J33" s="147">
        <v>22.994069037448622</v>
      </c>
      <c r="K33" s="147">
        <v>21.893340495448285</v>
      </c>
      <c r="L33" s="147">
        <v>21.485661551596859</v>
      </c>
      <c r="M33" s="147">
        <v>22.776604819795246</v>
      </c>
      <c r="N33" s="147">
        <v>25.713294066867185</v>
      </c>
      <c r="O33" s="147">
        <v>27.463857468641315</v>
      </c>
      <c r="P33" s="147">
        <v>27.256</v>
      </c>
      <c r="Q33" s="147">
        <v>27.782</v>
      </c>
      <c r="R33" s="147">
        <v>28.942</v>
      </c>
      <c r="S33" s="148">
        <v>29.03</v>
      </c>
      <c r="T33" s="165">
        <f t="shared" si="2"/>
        <v>0.3040563886393528</v>
      </c>
      <c r="U33" s="85" t="s">
        <v>31</v>
      </c>
    </row>
    <row r="34" spans="1:21" ht="12.75" customHeight="1" x14ac:dyDescent="0.2">
      <c r="A34" s="15"/>
      <c r="B34" s="18" t="s">
        <v>32</v>
      </c>
      <c r="C34" s="164">
        <v>45.115317917611733</v>
      </c>
      <c r="D34" s="164">
        <v>46.788474462111537</v>
      </c>
      <c r="E34" s="164">
        <v>47.93511056979689</v>
      </c>
      <c r="F34" s="164">
        <v>48.896852887309201</v>
      </c>
      <c r="G34" s="164">
        <v>40.78704589439581</v>
      </c>
      <c r="H34" s="164">
        <v>42.44900974922502</v>
      </c>
      <c r="I34" s="164">
        <v>42.903623853035562</v>
      </c>
      <c r="J34" s="164">
        <v>39.592588590899169</v>
      </c>
      <c r="K34" s="164">
        <v>41.216114282780183</v>
      </c>
      <c r="L34" s="164">
        <v>48.825866290343065</v>
      </c>
      <c r="M34" s="164">
        <v>49.407214803486937</v>
      </c>
      <c r="N34" s="164">
        <v>51.24667543398651</v>
      </c>
      <c r="O34" s="164">
        <v>50.443560517780583</v>
      </c>
      <c r="P34" s="164">
        <v>52.841999999999999</v>
      </c>
      <c r="Q34" s="164">
        <v>51.503999999999998</v>
      </c>
      <c r="R34" s="164">
        <v>52.320999999999998</v>
      </c>
      <c r="S34" s="357">
        <v>57.692999999999998</v>
      </c>
      <c r="T34" s="463">
        <f t="shared" si="2"/>
        <v>10.267387855736715</v>
      </c>
      <c r="U34" s="18" t="s">
        <v>32</v>
      </c>
    </row>
    <row r="35" spans="1:21" ht="12.75" customHeight="1" x14ac:dyDescent="0.2">
      <c r="A35" s="15"/>
      <c r="B35" s="202" t="s">
        <v>3</v>
      </c>
      <c r="C35" s="205"/>
      <c r="D35" s="205"/>
      <c r="E35" s="205"/>
      <c r="F35" s="205"/>
      <c r="G35" s="205"/>
      <c r="H35" s="205"/>
      <c r="I35" s="206"/>
      <c r="J35" s="206"/>
      <c r="K35" s="206"/>
      <c r="L35" s="206"/>
      <c r="M35" s="206"/>
      <c r="N35" s="206"/>
      <c r="O35" s="206"/>
      <c r="P35" s="206"/>
      <c r="Q35" s="192"/>
      <c r="R35" s="192"/>
      <c r="S35" s="211"/>
      <c r="T35" s="421"/>
      <c r="U35" s="202" t="s">
        <v>3</v>
      </c>
    </row>
    <row r="36" spans="1:21" ht="12.75" customHeight="1" x14ac:dyDescent="0.2">
      <c r="A36" s="15"/>
      <c r="B36" s="17" t="s">
        <v>33</v>
      </c>
      <c r="C36" s="55">
        <v>17.146508685921173</v>
      </c>
      <c r="D36" s="55">
        <v>17.822798132876812</v>
      </c>
      <c r="E36" s="55">
        <v>17.911175138471659</v>
      </c>
      <c r="F36" s="55">
        <v>19.587450219743701</v>
      </c>
      <c r="G36" s="55">
        <v>17.868884368585746</v>
      </c>
      <c r="H36" s="55">
        <v>19.14077040984116</v>
      </c>
      <c r="I36" s="55">
        <v>19.110573286643771</v>
      </c>
      <c r="J36" s="55">
        <v>20.03683130473766</v>
      </c>
      <c r="K36" s="55">
        <v>22.02071044532175</v>
      </c>
      <c r="L36" s="55">
        <v>22.226176453058674</v>
      </c>
      <c r="M36" s="55">
        <v>23.704846203244088</v>
      </c>
      <c r="N36" s="55">
        <v>22.207108104762266</v>
      </c>
      <c r="O36" s="55">
        <v>22.594634233774766</v>
      </c>
      <c r="P36" s="55">
        <v>22.493751897110126</v>
      </c>
      <c r="Q36" s="55">
        <v>22.751000000000001</v>
      </c>
      <c r="R36" s="55">
        <v>22.79</v>
      </c>
      <c r="S36" s="159">
        <v>24.283999999999999</v>
      </c>
      <c r="T36" s="348">
        <f>S36/R36*100-100</f>
        <v>6.5555068012286029</v>
      </c>
      <c r="U36" s="17" t="s">
        <v>33</v>
      </c>
    </row>
    <row r="37" spans="1:21" x14ac:dyDescent="0.2">
      <c r="B37" s="208" t="s">
        <v>4</v>
      </c>
      <c r="C37" s="193">
        <v>23.007696856879679</v>
      </c>
      <c r="D37" s="193">
        <v>23.258567549690142</v>
      </c>
      <c r="E37" s="193">
        <v>22.048322357583544</v>
      </c>
      <c r="F37" s="193">
        <v>22.285776574414683</v>
      </c>
      <c r="G37" s="193">
        <v>20.886453776546631</v>
      </c>
      <c r="H37" s="193">
        <v>21.60194082713814</v>
      </c>
      <c r="I37" s="193">
        <v>21.171207494683856</v>
      </c>
      <c r="J37" s="193">
        <v>20.849872959497766</v>
      </c>
      <c r="K37" s="193">
        <v>20.827749283283858</v>
      </c>
      <c r="L37" s="193">
        <v>21.688390603630552</v>
      </c>
      <c r="M37" s="193">
        <v>20.820411101023264</v>
      </c>
      <c r="N37" s="193">
        <v>20.76417288942179</v>
      </c>
      <c r="O37" s="193">
        <v>21.875010098478988</v>
      </c>
      <c r="P37" s="193">
        <v>22.091059661936551</v>
      </c>
      <c r="Q37" s="193">
        <v>22.335999999999999</v>
      </c>
      <c r="R37" s="193">
        <v>22.966000000000001</v>
      </c>
      <c r="S37" s="210">
        <v>23.747</v>
      </c>
      <c r="T37" s="227">
        <f>S37/R37*100-100</f>
        <v>3.4006792650004343</v>
      </c>
      <c r="U37" s="208" t="s">
        <v>4</v>
      </c>
    </row>
    <row r="38" spans="1:21" ht="12.75" customHeight="1" x14ac:dyDescent="0.2">
      <c r="A38" s="15"/>
      <c r="B38" s="18" t="s">
        <v>21</v>
      </c>
      <c r="C38" s="56">
        <v>167.29812396915941</v>
      </c>
      <c r="D38" s="56">
        <v>171.49776888484439</v>
      </c>
      <c r="E38" s="56">
        <v>178.13460293899621</v>
      </c>
      <c r="F38" s="56">
        <v>167.65821628614697</v>
      </c>
      <c r="G38" s="56">
        <v>145.00440997187189</v>
      </c>
      <c r="H38" s="56">
        <v>151.50926881682688</v>
      </c>
      <c r="I38" s="214">
        <v>152.76906487027637</v>
      </c>
      <c r="J38" s="214">
        <v>155.91290480172725</v>
      </c>
      <c r="K38" s="214">
        <v>144.63260766892483</v>
      </c>
      <c r="L38" s="214">
        <v>141.67944962930397</v>
      </c>
      <c r="M38" s="214">
        <v>157.21354583421615</v>
      </c>
      <c r="N38" s="214">
        <v>163.9781658715238</v>
      </c>
      <c r="O38" s="214">
        <v>161.72473366088923</v>
      </c>
      <c r="P38" s="214">
        <v>165.36411521055106</v>
      </c>
      <c r="Q38" s="214">
        <v>168.10387021550426</v>
      </c>
      <c r="R38" s="468"/>
      <c r="S38" s="474"/>
      <c r="T38" s="476"/>
      <c r="U38" s="18" t="s">
        <v>21</v>
      </c>
    </row>
    <row r="39" spans="1:21" ht="12.75" customHeight="1" x14ac:dyDescent="0.2">
      <c r="A39" s="15"/>
      <c r="B39" s="280" t="s">
        <v>141</v>
      </c>
      <c r="C39" s="245"/>
      <c r="D39" s="245"/>
      <c r="E39" s="245"/>
      <c r="F39" s="245"/>
      <c r="G39" s="245"/>
      <c r="H39" s="245"/>
      <c r="I39" s="245"/>
      <c r="J39" s="245"/>
      <c r="K39" s="245"/>
      <c r="L39" s="245"/>
      <c r="M39" s="245"/>
      <c r="N39" s="245"/>
      <c r="O39" s="245"/>
      <c r="P39" s="245"/>
      <c r="Q39" s="245"/>
      <c r="R39" s="245"/>
      <c r="S39" s="245"/>
      <c r="T39" s="245"/>
      <c r="U39" s="245"/>
    </row>
    <row r="40" spans="1:21" ht="12.75" customHeight="1" x14ac:dyDescent="0.2">
      <c r="A40" s="15"/>
      <c r="B40" s="126" t="s">
        <v>137</v>
      </c>
    </row>
    <row r="41" spans="1:21" ht="12.75" customHeight="1" x14ac:dyDescent="0.2">
      <c r="A41" s="15"/>
      <c r="B41" s="3" t="s">
        <v>70</v>
      </c>
    </row>
    <row r="42" spans="1:21" ht="12.75" customHeight="1" x14ac:dyDescent="0.2">
      <c r="A42" s="15"/>
      <c r="B42" s="89" t="s">
        <v>72</v>
      </c>
    </row>
    <row r="43" spans="1:21" ht="12.75" customHeight="1" x14ac:dyDescent="0.2">
      <c r="A43" s="15"/>
      <c r="B43" s="559" t="s">
        <v>140</v>
      </c>
      <c r="C43" s="559"/>
      <c r="D43" s="559"/>
      <c r="E43" s="559"/>
      <c r="F43" s="559"/>
      <c r="G43" s="559"/>
      <c r="H43" s="559"/>
      <c r="I43" s="559"/>
      <c r="J43" s="559"/>
      <c r="K43" s="559"/>
      <c r="L43" s="559"/>
      <c r="M43" s="559"/>
      <c r="N43" s="559"/>
      <c r="O43" s="559"/>
      <c r="P43" s="559"/>
      <c r="Q43" s="559"/>
      <c r="R43" s="559"/>
      <c r="S43" s="559"/>
      <c r="T43" s="559"/>
      <c r="U43" s="559"/>
    </row>
    <row r="44" spans="1:21" ht="12.75" customHeight="1" x14ac:dyDescent="0.2">
      <c r="A44" s="15"/>
      <c r="B44" s="559" t="s">
        <v>156</v>
      </c>
      <c r="C44" s="559"/>
      <c r="D44" s="559"/>
      <c r="E44" s="559"/>
      <c r="F44" s="559"/>
      <c r="G44" s="559"/>
      <c r="H44" s="559"/>
      <c r="I44" s="559"/>
      <c r="J44" s="559"/>
      <c r="K44" s="559"/>
      <c r="L44" s="559"/>
      <c r="M44" s="559"/>
      <c r="N44" s="559"/>
      <c r="O44" s="559"/>
      <c r="P44" s="559"/>
      <c r="Q44" s="559"/>
      <c r="R44" s="559"/>
      <c r="S44" s="559"/>
      <c r="T44" s="559"/>
      <c r="U44" s="559"/>
    </row>
    <row r="45" spans="1:21" ht="12.75" customHeight="1" x14ac:dyDescent="0.2">
      <c r="A45" s="15"/>
    </row>
    <row r="46" spans="1:21" ht="12.75" customHeight="1" x14ac:dyDescent="0.2"/>
    <row r="47" spans="1:21" ht="12.75" customHeight="1" x14ac:dyDescent="0.2"/>
    <row r="48" spans="1:21" ht="57" customHeight="1" x14ac:dyDescent="0.2"/>
  </sheetData>
  <mergeCells count="5">
    <mergeCell ref="B2:U2"/>
    <mergeCell ref="B3:U3"/>
    <mergeCell ref="B43:U43"/>
    <mergeCell ref="P4:S4"/>
    <mergeCell ref="B44:U44"/>
  </mergeCells>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4">
    <pageSetUpPr fitToPage="1"/>
  </sheetPr>
  <dimension ref="A1:BF65"/>
  <sheetViews>
    <sheetView zoomScale="85" zoomScaleNormal="85" workbookViewId="0">
      <selection activeCell="J66" sqref="J66"/>
    </sheetView>
  </sheetViews>
  <sheetFormatPr defaultRowHeight="12.75" x14ac:dyDescent="0.2"/>
  <cols>
    <col min="1" max="1" width="3.5703125" customWidth="1"/>
    <col min="2" max="2" width="7.28515625" style="3" customWidth="1"/>
    <col min="3" max="20" width="6.7109375" style="3" customWidth="1"/>
    <col min="21" max="34" width="7.28515625" style="3" customWidth="1"/>
    <col min="35" max="36" width="6.85546875" style="3" customWidth="1"/>
    <col min="37" max="37" width="5.7109375" style="303" customWidth="1"/>
    <col min="38" max="38" width="5.5703125" style="3" customWidth="1"/>
    <col min="39" max="16384" width="9.140625" style="3"/>
  </cols>
  <sheetData>
    <row r="1" spans="1:58" ht="14.25" customHeight="1" x14ac:dyDescent="0.2">
      <c r="AA1" s="38"/>
    </row>
    <row r="2" spans="1:58" s="45" customFormat="1" ht="30" customHeight="1" x14ac:dyDescent="0.2">
      <c r="A2"/>
      <c r="B2" s="41"/>
      <c r="C2" s="42"/>
      <c r="D2" s="42"/>
      <c r="E2" s="37"/>
      <c r="F2" s="37"/>
      <c r="G2" s="37"/>
      <c r="H2" s="37"/>
      <c r="I2" s="37"/>
      <c r="J2" s="37"/>
      <c r="K2" s="37"/>
      <c r="L2" s="37"/>
      <c r="M2" s="37"/>
      <c r="N2" s="37"/>
      <c r="O2" s="37"/>
      <c r="P2" s="37"/>
      <c r="Q2" s="37"/>
      <c r="R2" s="3"/>
      <c r="S2" s="3"/>
      <c r="T2" s="3"/>
      <c r="U2" s="38"/>
      <c r="V2" s="38"/>
      <c r="W2" s="38"/>
      <c r="X2" s="38"/>
      <c r="Y2" s="38"/>
      <c r="Z2" s="38"/>
      <c r="AA2" s="38"/>
      <c r="AB2" s="38"/>
      <c r="AC2" s="38"/>
      <c r="AD2" s="38"/>
      <c r="AE2" s="38"/>
      <c r="AF2" s="38"/>
      <c r="AG2" s="38"/>
      <c r="AH2" s="38"/>
      <c r="AI2" s="38"/>
      <c r="AJ2" s="38"/>
      <c r="AK2" s="303"/>
      <c r="AL2" s="38" t="s">
        <v>81</v>
      </c>
      <c r="AM2" s="3"/>
      <c r="AN2" s="3"/>
      <c r="AO2" s="3"/>
      <c r="AP2" s="3"/>
      <c r="AQ2" s="3"/>
      <c r="AR2" s="3"/>
      <c r="AS2" s="3"/>
      <c r="AT2" s="3"/>
      <c r="AU2" s="3"/>
      <c r="AV2" s="3"/>
      <c r="AW2" s="3"/>
      <c r="AX2" s="3"/>
      <c r="AY2" s="3"/>
      <c r="AZ2" s="3"/>
      <c r="BA2" s="3"/>
      <c r="BB2" s="3"/>
      <c r="BC2" s="3"/>
      <c r="BD2" s="3"/>
      <c r="BE2" s="3"/>
      <c r="BF2" s="3"/>
    </row>
    <row r="3" spans="1:58" ht="15.75" x14ac:dyDescent="0.2">
      <c r="A3" s="77"/>
      <c r="B3" s="588" t="s">
        <v>38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row>
    <row r="4" spans="1:58" ht="20.100000000000001" customHeight="1" x14ac:dyDescent="0.2">
      <c r="B4" s="4"/>
      <c r="C4" s="4"/>
      <c r="E4" s="27"/>
      <c r="F4" s="27"/>
      <c r="G4" s="27"/>
      <c r="H4" s="440"/>
      <c r="I4" s="27"/>
      <c r="J4" s="439"/>
      <c r="K4" s="439"/>
      <c r="L4" s="439"/>
      <c r="M4" s="439"/>
      <c r="N4" s="439"/>
      <c r="O4" s="439"/>
      <c r="P4" s="439"/>
      <c r="Q4" s="439"/>
      <c r="R4" s="439"/>
      <c r="X4" s="173"/>
      <c r="Y4" s="21"/>
      <c r="Z4" s="21"/>
      <c r="AA4" s="21"/>
      <c r="AB4" s="21"/>
      <c r="AC4" s="21"/>
      <c r="AD4" s="21"/>
      <c r="AE4" s="173"/>
      <c r="AF4" s="173"/>
      <c r="AH4" s="583" t="s">
        <v>95</v>
      </c>
      <c r="AI4" s="583"/>
      <c r="AJ4" s="583"/>
      <c r="AK4" s="283"/>
      <c r="AL4" s="43"/>
    </row>
    <row r="5" spans="1:58" ht="14.25" customHeight="1" x14ac:dyDescent="0.2">
      <c r="B5" s="31"/>
      <c r="C5" s="361">
        <v>1970</v>
      </c>
      <c r="D5" s="361">
        <v>1980</v>
      </c>
      <c r="E5" s="362">
        <v>1990</v>
      </c>
      <c r="F5" s="362">
        <v>1991</v>
      </c>
      <c r="G5" s="362">
        <v>1992</v>
      </c>
      <c r="H5" s="362">
        <v>1993</v>
      </c>
      <c r="I5" s="362">
        <v>1994</v>
      </c>
      <c r="J5" s="362">
        <v>1995</v>
      </c>
      <c r="K5" s="362">
        <v>1996</v>
      </c>
      <c r="L5" s="362">
        <v>1997</v>
      </c>
      <c r="M5" s="362">
        <v>1998</v>
      </c>
      <c r="N5" s="362">
        <v>1999</v>
      </c>
      <c r="O5" s="362">
        <v>2000</v>
      </c>
      <c r="P5" s="362">
        <v>2001</v>
      </c>
      <c r="Q5" s="362">
        <v>2002</v>
      </c>
      <c r="R5" s="362">
        <v>2003</v>
      </c>
      <c r="S5" s="362">
        <v>2004</v>
      </c>
      <c r="T5" s="362">
        <v>2005</v>
      </c>
      <c r="U5" s="362">
        <v>2006</v>
      </c>
      <c r="V5" s="362">
        <v>2007</v>
      </c>
      <c r="W5" s="362">
        <v>2008</v>
      </c>
      <c r="X5" s="362">
        <v>2009</v>
      </c>
      <c r="Y5" s="362">
        <v>2010</v>
      </c>
      <c r="Z5" s="362">
        <v>2011</v>
      </c>
      <c r="AA5" s="362">
        <v>2012</v>
      </c>
      <c r="AB5" s="362">
        <v>2013</v>
      </c>
      <c r="AC5" s="362">
        <v>2014</v>
      </c>
      <c r="AD5" s="362">
        <v>2015</v>
      </c>
      <c r="AE5" s="362">
        <v>2016</v>
      </c>
      <c r="AF5" s="362">
        <v>2017</v>
      </c>
      <c r="AG5" s="362">
        <v>2018</v>
      </c>
      <c r="AH5" s="362">
        <v>2019</v>
      </c>
      <c r="AI5" s="362">
        <v>2020</v>
      </c>
      <c r="AJ5" s="362">
        <v>2021</v>
      </c>
      <c r="AK5" s="585" t="s">
        <v>148</v>
      </c>
      <c r="AL5" s="370"/>
    </row>
    <row r="6" spans="1:58" ht="9" customHeight="1" x14ac:dyDescent="0.2">
      <c r="B6" s="128"/>
      <c r="C6" s="100"/>
      <c r="D6" s="10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136"/>
      <c r="AK6" s="586"/>
      <c r="AL6" s="87"/>
    </row>
    <row r="7" spans="1:58" ht="12.75" customHeight="1" x14ac:dyDescent="0.2">
      <c r="B7" s="84" t="s">
        <v>111</v>
      </c>
      <c r="C7" s="428">
        <v>526.51900000000001</v>
      </c>
      <c r="D7" s="428">
        <v>623.61599999999999</v>
      </c>
      <c r="E7" s="277">
        <v>510.34299999999996</v>
      </c>
      <c r="F7" s="277">
        <v>428.62901099999999</v>
      </c>
      <c r="G7" s="277">
        <v>378.96459099999998</v>
      </c>
      <c r="H7" s="277">
        <v>357.89550899999995</v>
      </c>
      <c r="I7" s="277">
        <v>367.15225799999996</v>
      </c>
      <c r="J7" s="277">
        <v>374.81806800000004</v>
      </c>
      <c r="K7" s="277">
        <v>378.76300000000009</v>
      </c>
      <c r="L7" s="277">
        <v>394.35199999999992</v>
      </c>
      <c r="M7" s="277">
        <v>377.03752500000002</v>
      </c>
      <c r="N7" s="277">
        <v>367.11001500293986</v>
      </c>
      <c r="O7" s="277">
        <v>387.9207546422241</v>
      </c>
      <c r="P7" s="277">
        <v>369.25330225225701</v>
      </c>
      <c r="Q7" s="277">
        <v>368.16119255303101</v>
      </c>
      <c r="R7" s="277">
        <v>376.30926875462399</v>
      </c>
      <c r="S7" s="277">
        <f t="shared" ref="S7:AH7" si="0">SUM(S8:S34)</f>
        <v>390.03499999999997</v>
      </c>
      <c r="T7" s="277">
        <f t="shared" si="0"/>
        <v>394.59700000000004</v>
      </c>
      <c r="U7" s="277">
        <f t="shared" si="0"/>
        <v>416.24600000000004</v>
      </c>
      <c r="V7" s="277">
        <f t="shared" si="0"/>
        <v>430.72400000000005</v>
      </c>
      <c r="W7" s="277">
        <f t="shared" si="0"/>
        <v>421.68599999999992</v>
      </c>
      <c r="X7" s="277">
        <f t="shared" si="0"/>
        <v>344.36900000000003</v>
      </c>
      <c r="Y7" s="277">
        <f t="shared" si="0"/>
        <v>374.95499999999998</v>
      </c>
      <c r="Z7" s="277">
        <f t="shared" si="0"/>
        <v>401.12199999999984</v>
      </c>
      <c r="AA7" s="277">
        <f t="shared" si="0"/>
        <v>385.18899999999996</v>
      </c>
      <c r="AB7" s="277">
        <f t="shared" si="0"/>
        <v>384.31900000000007</v>
      </c>
      <c r="AC7" s="277">
        <f t="shared" si="0"/>
        <v>388.93199999999996</v>
      </c>
      <c r="AD7" s="277">
        <f t="shared" si="0"/>
        <v>398.51700000000011</v>
      </c>
      <c r="AE7" s="277">
        <f t="shared" si="0"/>
        <v>407.45800000000008</v>
      </c>
      <c r="AF7" s="277">
        <f t="shared" si="0"/>
        <v>411.27800000000002</v>
      </c>
      <c r="AG7" s="277">
        <f t="shared" si="0"/>
        <v>418.31399999999996</v>
      </c>
      <c r="AH7" s="277">
        <f t="shared" si="0"/>
        <v>407.92099999999999</v>
      </c>
      <c r="AI7" s="277">
        <f>SUM(AI8:AI34)</f>
        <v>377.30700000000007</v>
      </c>
      <c r="AJ7" s="277">
        <f>SUM(AJ8:AJ34)</f>
        <v>409.57198254603679</v>
      </c>
      <c r="AK7" s="427">
        <f>AJ7/AI7*100-100</f>
        <v>8.5513872114847373</v>
      </c>
      <c r="AL7" s="84" t="s">
        <v>111</v>
      </c>
    </row>
    <row r="8" spans="1:58" ht="12.75" customHeight="1" x14ac:dyDescent="0.2">
      <c r="A8" s="15"/>
      <c r="B8" s="16" t="s">
        <v>22</v>
      </c>
      <c r="C8" s="281">
        <v>7.8760000000000003</v>
      </c>
      <c r="D8" s="281">
        <v>8.0370000000000008</v>
      </c>
      <c r="E8" s="281">
        <v>8.3699999999999992</v>
      </c>
      <c r="F8" s="169">
        <v>8.2029999999999994</v>
      </c>
      <c r="G8" s="169">
        <v>8.3610000000000007</v>
      </c>
      <c r="H8" s="169">
        <v>7.5960000000000001</v>
      </c>
      <c r="I8" s="169">
        <v>8.0969999999999995</v>
      </c>
      <c r="J8" s="169">
        <v>7.3040000000000003</v>
      </c>
      <c r="K8" s="169">
        <v>7.2439999999999998</v>
      </c>
      <c r="L8" s="169">
        <v>7.4649999999999999</v>
      </c>
      <c r="M8" s="169">
        <v>7.6</v>
      </c>
      <c r="N8" s="282">
        <v>7.3920000000000003</v>
      </c>
      <c r="O8" s="169">
        <v>7.6740000000000004</v>
      </c>
      <c r="P8" s="169">
        <v>7.0810000000000004</v>
      </c>
      <c r="Q8" s="169">
        <v>7.2969999999999997</v>
      </c>
      <c r="R8" s="169">
        <v>7.2930000000000001</v>
      </c>
      <c r="S8" s="169">
        <v>7.6909999999999998</v>
      </c>
      <c r="T8" s="169">
        <v>8.1300000000000008</v>
      </c>
      <c r="U8" s="169">
        <v>8.5719999999999992</v>
      </c>
      <c r="V8" s="169">
        <v>9.2579999999999991</v>
      </c>
      <c r="W8" s="169">
        <v>8.9269999999999996</v>
      </c>
      <c r="X8" s="169">
        <v>6.3739999999999997</v>
      </c>
      <c r="Y8" s="169">
        <v>7.476</v>
      </c>
      <c r="Z8" s="197">
        <v>7.593</v>
      </c>
      <c r="AA8" s="169">
        <f>(1700+1700+1600+1500)/1000+0.78</f>
        <v>7.28</v>
      </c>
      <c r="AB8" s="140">
        <v>7.28</v>
      </c>
      <c r="AC8" s="140">
        <v>7.28</v>
      </c>
      <c r="AD8" s="140">
        <v>7.28</v>
      </c>
      <c r="AE8" s="140">
        <v>7.28</v>
      </c>
      <c r="AF8" s="438">
        <v>7.7</v>
      </c>
      <c r="AG8" s="140">
        <v>7.5</v>
      </c>
      <c r="AH8" s="140">
        <v>7.4</v>
      </c>
      <c r="AI8" s="137">
        <v>6.7</v>
      </c>
      <c r="AJ8" s="103">
        <f>AI8+AI8*6523/6245/100</f>
        <v>6.7699825460368297</v>
      </c>
      <c r="AK8" s="453">
        <f t="shared" ref="AK8:AK46" si="1">AJ8/AI8*100-100</f>
        <v>1.0445156124899881</v>
      </c>
      <c r="AL8" s="16" t="s">
        <v>22</v>
      </c>
    </row>
    <row r="9" spans="1:58" ht="12.75" customHeight="1" x14ac:dyDescent="0.2">
      <c r="A9" s="15"/>
      <c r="B9" s="85" t="s">
        <v>5</v>
      </c>
      <c r="C9" s="146">
        <v>13.7</v>
      </c>
      <c r="D9" s="146">
        <v>17.68</v>
      </c>
      <c r="E9" s="146">
        <v>14.13</v>
      </c>
      <c r="F9" s="147">
        <v>8.6999999999999993</v>
      </c>
      <c r="G9" s="147">
        <v>7.76</v>
      </c>
      <c r="H9" s="147">
        <v>7.7</v>
      </c>
      <c r="I9" s="147">
        <v>7.77</v>
      </c>
      <c r="J9" s="147">
        <v>8.6</v>
      </c>
      <c r="K9" s="147">
        <v>7.5170000000000003</v>
      </c>
      <c r="L9" s="147">
        <v>7.4050000000000002</v>
      </c>
      <c r="M9" s="147">
        <v>6.1520000000000001</v>
      </c>
      <c r="N9" s="147">
        <v>5.2</v>
      </c>
      <c r="O9" s="147">
        <v>5.5380000000000003</v>
      </c>
      <c r="P9" s="147">
        <v>4.9000000000000004</v>
      </c>
      <c r="Q9" s="147">
        <v>4.6269999999999998</v>
      </c>
      <c r="R9" s="147">
        <v>5.274</v>
      </c>
      <c r="S9" s="147">
        <v>5.2110000000000003</v>
      </c>
      <c r="T9" s="147">
        <v>5.1630000000000003</v>
      </c>
      <c r="U9" s="147">
        <v>5.3959999999999999</v>
      </c>
      <c r="V9" s="147">
        <v>5.2409999999999997</v>
      </c>
      <c r="W9" s="147">
        <v>4.6929999999999996</v>
      </c>
      <c r="X9" s="147">
        <v>3.145</v>
      </c>
      <c r="Y9" s="147">
        <v>3.0640000000000001</v>
      </c>
      <c r="Z9" s="147">
        <v>3.2909999999999999</v>
      </c>
      <c r="AA9" s="147">
        <v>2.907</v>
      </c>
      <c r="AB9" s="147">
        <v>3.246</v>
      </c>
      <c r="AC9" s="147">
        <v>3.4390000000000001</v>
      </c>
      <c r="AD9" s="147">
        <v>3.65</v>
      </c>
      <c r="AE9" s="147">
        <v>3.4340000000000002</v>
      </c>
      <c r="AF9" s="147">
        <v>3.931</v>
      </c>
      <c r="AG9" s="147">
        <v>3.8239999999999998</v>
      </c>
      <c r="AH9" s="147">
        <v>3.9020000000000001</v>
      </c>
      <c r="AI9" s="147">
        <v>4.5030000000000001</v>
      </c>
      <c r="AJ9" s="147">
        <v>4.657</v>
      </c>
      <c r="AK9" s="315">
        <f t="shared" si="1"/>
        <v>3.4199422607150751</v>
      </c>
      <c r="AL9" s="85" t="s">
        <v>5</v>
      </c>
    </row>
    <row r="10" spans="1:58" ht="12.75" customHeight="1" x14ac:dyDescent="0.2">
      <c r="A10" s="15"/>
      <c r="B10" s="17" t="s">
        <v>7</v>
      </c>
      <c r="C10" s="149"/>
      <c r="D10" s="149"/>
      <c r="E10" s="149"/>
      <c r="F10" s="150"/>
      <c r="G10" s="150"/>
      <c r="H10" s="150">
        <v>25.2</v>
      </c>
      <c r="I10" s="150">
        <v>22.8</v>
      </c>
      <c r="J10" s="150">
        <v>22.623000000000001</v>
      </c>
      <c r="K10" s="150">
        <v>22.338999999999999</v>
      </c>
      <c r="L10" s="150">
        <v>21.01</v>
      </c>
      <c r="M10" s="150">
        <v>18.709</v>
      </c>
      <c r="N10" s="150">
        <v>16.713000000000001</v>
      </c>
      <c r="O10" s="150">
        <v>17.495999999999999</v>
      </c>
      <c r="P10" s="150">
        <v>16.899999999999999</v>
      </c>
      <c r="Q10" s="150">
        <v>15.81</v>
      </c>
      <c r="R10" s="150">
        <v>15.862</v>
      </c>
      <c r="S10" s="150">
        <v>15.092000000000001</v>
      </c>
      <c r="T10" s="150">
        <v>14.866</v>
      </c>
      <c r="U10" s="150">
        <v>15.779</v>
      </c>
      <c r="V10" s="150">
        <v>16.303999999999998</v>
      </c>
      <c r="W10" s="150">
        <v>15.436999999999999</v>
      </c>
      <c r="X10" s="150">
        <v>12.791</v>
      </c>
      <c r="Y10" s="150">
        <v>13.77</v>
      </c>
      <c r="Z10" s="150">
        <v>14.316000000000001</v>
      </c>
      <c r="AA10" s="150">
        <v>14.266999999999999</v>
      </c>
      <c r="AB10" s="150">
        <v>13.965</v>
      </c>
      <c r="AC10" s="150">
        <v>14.574999999999999</v>
      </c>
      <c r="AD10" s="150">
        <v>15.260999999999999</v>
      </c>
      <c r="AE10" s="150">
        <v>15.619</v>
      </c>
      <c r="AF10" s="150">
        <v>15.843</v>
      </c>
      <c r="AG10" s="150">
        <v>16.564</v>
      </c>
      <c r="AH10" s="150">
        <v>16.18</v>
      </c>
      <c r="AI10" s="150">
        <v>15.250999999999999</v>
      </c>
      <c r="AJ10" s="150">
        <v>16.326000000000001</v>
      </c>
      <c r="AK10" s="171">
        <f t="shared" si="1"/>
        <v>7.0487181168447961</v>
      </c>
      <c r="AL10" s="17" t="s">
        <v>7</v>
      </c>
    </row>
    <row r="11" spans="1:58" ht="12.75" customHeight="1" x14ac:dyDescent="0.2">
      <c r="A11" s="15"/>
      <c r="B11" s="85" t="s">
        <v>18</v>
      </c>
      <c r="C11" s="146">
        <v>1.7010000000000001</v>
      </c>
      <c r="D11" s="146">
        <v>1.619</v>
      </c>
      <c r="E11" s="146">
        <v>1.73</v>
      </c>
      <c r="F11" s="147">
        <v>1.8580000000000001</v>
      </c>
      <c r="G11" s="147">
        <v>1.87</v>
      </c>
      <c r="H11" s="147">
        <v>1.796</v>
      </c>
      <c r="I11" s="147">
        <v>2.008</v>
      </c>
      <c r="J11" s="147">
        <v>1.9850000000000001</v>
      </c>
      <c r="K11" s="147">
        <v>1.7569999999999999</v>
      </c>
      <c r="L11" s="147">
        <v>1.9830000000000001</v>
      </c>
      <c r="M11" s="147">
        <v>2.0579999999999998</v>
      </c>
      <c r="N11" s="147">
        <v>1.9379999999999999</v>
      </c>
      <c r="O11" s="147">
        <v>2.0249999999999999</v>
      </c>
      <c r="P11" s="147">
        <v>2.0910000000000002</v>
      </c>
      <c r="Q11" s="147">
        <v>1.877</v>
      </c>
      <c r="R11" s="147">
        <v>1.9850000000000001</v>
      </c>
      <c r="S11" s="147">
        <v>2.3210000000000002</v>
      </c>
      <c r="T11" s="147">
        <v>1.976</v>
      </c>
      <c r="U11" s="147">
        <v>1.8919999999999999</v>
      </c>
      <c r="V11" s="147">
        <v>1.7789999999999999</v>
      </c>
      <c r="W11" s="147">
        <v>1.8660000000000001</v>
      </c>
      <c r="X11" s="147">
        <v>1.7</v>
      </c>
      <c r="Y11" s="147">
        <v>2.2389999999999999</v>
      </c>
      <c r="Z11" s="147">
        <v>2.6139999999999999</v>
      </c>
      <c r="AA11" s="147">
        <v>2.278</v>
      </c>
      <c r="AB11" s="147">
        <v>2.4489999999999998</v>
      </c>
      <c r="AC11" s="147">
        <v>2.4529999999999998</v>
      </c>
      <c r="AD11" s="147">
        <v>2.6030000000000002</v>
      </c>
      <c r="AE11" s="147">
        <v>2.6160000000000001</v>
      </c>
      <c r="AF11" s="147">
        <v>2.653</v>
      </c>
      <c r="AG11" s="147">
        <v>2.5939999999999999</v>
      </c>
      <c r="AH11" s="147">
        <v>2.5249999999999999</v>
      </c>
      <c r="AI11" s="147">
        <v>2.4500000000000002</v>
      </c>
      <c r="AJ11" s="147">
        <v>1.986</v>
      </c>
      <c r="AK11" s="315">
        <f t="shared" si="1"/>
        <v>-18.938775510204081</v>
      </c>
      <c r="AL11" s="85" t="s">
        <v>18</v>
      </c>
    </row>
    <row r="12" spans="1:58" ht="12.75" customHeight="1" x14ac:dyDescent="0.2">
      <c r="A12" s="15"/>
      <c r="B12" s="17" t="s">
        <v>23</v>
      </c>
      <c r="C12" s="149">
        <v>113</v>
      </c>
      <c r="D12" s="149">
        <v>121.3</v>
      </c>
      <c r="E12" s="149">
        <v>101.7</v>
      </c>
      <c r="F12" s="150">
        <v>82.2</v>
      </c>
      <c r="G12" s="150">
        <v>72.8</v>
      </c>
      <c r="H12" s="150">
        <v>65.599999999999994</v>
      </c>
      <c r="I12" s="150">
        <v>70.7</v>
      </c>
      <c r="J12" s="150">
        <v>70.5</v>
      </c>
      <c r="K12" s="150">
        <v>70</v>
      </c>
      <c r="L12" s="150">
        <v>73.900000000000006</v>
      </c>
      <c r="M12" s="150">
        <v>74.2</v>
      </c>
      <c r="N12" s="150">
        <v>76.822000000000003</v>
      </c>
      <c r="O12" s="150">
        <v>82.674999999999997</v>
      </c>
      <c r="P12" s="150">
        <v>81.042000000000002</v>
      </c>
      <c r="Q12" s="150">
        <v>81.058999999999997</v>
      </c>
      <c r="R12" s="150">
        <v>85.128</v>
      </c>
      <c r="S12" s="150">
        <v>86.409000000000006</v>
      </c>
      <c r="T12" s="150">
        <v>95.42</v>
      </c>
      <c r="U12" s="150">
        <v>107.00700000000001</v>
      </c>
      <c r="V12" s="150">
        <v>114.61499999999999</v>
      </c>
      <c r="W12" s="150">
        <v>115.652</v>
      </c>
      <c r="X12" s="150">
        <v>95.834000000000003</v>
      </c>
      <c r="Y12" s="150">
        <v>107.31699999999999</v>
      </c>
      <c r="Z12" s="150">
        <v>113.31699999999999</v>
      </c>
      <c r="AA12" s="150">
        <v>110.065</v>
      </c>
      <c r="AB12" s="150">
        <v>112.613</v>
      </c>
      <c r="AC12" s="150">
        <v>112.629</v>
      </c>
      <c r="AD12" s="393">
        <v>116.63200000000001</v>
      </c>
      <c r="AE12" s="187">
        <v>126.68600000000001</v>
      </c>
      <c r="AF12" s="187">
        <v>117.38200000000001</v>
      </c>
      <c r="AG12" s="187">
        <v>117.931</v>
      </c>
      <c r="AH12" s="187">
        <v>119.47</v>
      </c>
      <c r="AI12" s="187">
        <v>109.21899999999999</v>
      </c>
      <c r="AJ12" s="187">
        <v>123.935</v>
      </c>
      <c r="AK12" s="171">
        <f t="shared" si="1"/>
        <v>13.4738461256741</v>
      </c>
      <c r="AL12" s="17" t="s">
        <v>23</v>
      </c>
    </row>
    <row r="13" spans="1:58" ht="12.75" customHeight="1" x14ac:dyDescent="0.2">
      <c r="A13" s="15"/>
      <c r="B13" s="85" t="s">
        <v>8</v>
      </c>
      <c r="C13" s="151">
        <v>5.7</v>
      </c>
      <c r="D13" s="151">
        <v>6.5</v>
      </c>
      <c r="E13" s="151">
        <v>6.98</v>
      </c>
      <c r="F13" s="152">
        <v>6.5</v>
      </c>
      <c r="G13" s="152">
        <v>3.4</v>
      </c>
      <c r="H13" s="152">
        <v>4.2</v>
      </c>
      <c r="I13" s="152">
        <v>3.6</v>
      </c>
      <c r="J13" s="152">
        <v>3.8450000000000002</v>
      </c>
      <c r="K13" s="152">
        <v>4.1980000000000004</v>
      </c>
      <c r="L13" s="152">
        <v>5.1020000000000003</v>
      </c>
      <c r="M13" s="152">
        <v>6.0789999999999997</v>
      </c>
      <c r="N13" s="152">
        <v>7.2949999999999999</v>
      </c>
      <c r="O13" s="152">
        <v>8.1020000000000003</v>
      </c>
      <c r="P13" s="147">
        <v>8.5570000000000004</v>
      </c>
      <c r="Q13" s="153">
        <v>9.6969999999999992</v>
      </c>
      <c r="R13" s="147">
        <v>9.67</v>
      </c>
      <c r="S13" s="152">
        <v>10.488</v>
      </c>
      <c r="T13" s="152">
        <v>10.638999999999999</v>
      </c>
      <c r="U13" s="152">
        <v>10.417999999999999</v>
      </c>
      <c r="V13" s="152">
        <v>8.43</v>
      </c>
      <c r="W13" s="152">
        <v>5.9429999999999996</v>
      </c>
      <c r="X13" s="152">
        <v>5.9470000000000001</v>
      </c>
      <c r="Y13" s="152">
        <v>6.6379999999999999</v>
      </c>
      <c r="Z13" s="152">
        <v>6.2709999999999999</v>
      </c>
      <c r="AA13" s="152">
        <v>5.1289999999999996</v>
      </c>
      <c r="AB13" s="152">
        <v>4.7220000000000004</v>
      </c>
      <c r="AC13" s="152">
        <v>3.2559999999999998</v>
      </c>
      <c r="AD13" s="152">
        <v>3.117</v>
      </c>
      <c r="AE13" s="152">
        <v>2.34</v>
      </c>
      <c r="AF13" s="152">
        <v>2.3250000000000002</v>
      </c>
      <c r="AG13" s="152">
        <v>2.5880000000000001</v>
      </c>
      <c r="AH13" s="152">
        <v>2.1549999999999998</v>
      </c>
      <c r="AI13" s="152">
        <v>1.7290000000000001</v>
      </c>
      <c r="AJ13" s="152">
        <v>2.1240000000000001</v>
      </c>
      <c r="AK13" s="315">
        <f t="shared" si="1"/>
        <v>22.845575477154426</v>
      </c>
      <c r="AL13" s="85" t="s">
        <v>8</v>
      </c>
    </row>
    <row r="14" spans="1:58" ht="12.75" customHeight="1" x14ac:dyDescent="0.2">
      <c r="A14" s="15"/>
      <c r="B14" s="17" t="s">
        <v>26</v>
      </c>
      <c r="C14" s="143">
        <v>0.54500000000000004</v>
      </c>
      <c r="D14" s="143">
        <v>0.63700000000000001</v>
      </c>
      <c r="E14" s="143">
        <v>0.58899999999999997</v>
      </c>
      <c r="F14" s="144">
        <v>0.60299999999999998</v>
      </c>
      <c r="G14" s="144">
        <v>0.63300000000000001</v>
      </c>
      <c r="H14" s="144">
        <v>0.57499999999999996</v>
      </c>
      <c r="I14" s="144">
        <v>0.56899999999999995</v>
      </c>
      <c r="J14" s="144">
        <v>0.60199999999999998</v>
      </c>
      <c r="K14" s="144">
        <v>0.56999999999999995</v>
      </c>
      <c r="L14" s="144">
        <v>0.52200000000000002</v>
      </c>
      <c r="M14" s="144">
        <v>0.46600000000000003</v>
      </c>
      <c r="N14" s="144">
        <v>0.52600000000000002</v>
      </c>
      <c r="O14" s="144">
        <v>0.49099999999999999</v>
      </c>
      <c r="P14" s="144">
        <v>0.51600000000000001</v>
      </c>
      <c r="Q14" s="144">
        <v>0.42599999999999999</v>
      </c>
      <c r="R14" s="144">
        <v>0.39800000000000002</v>
      </c>
      <c r="S14" s="144">
        <v>0.39900000000000002</v>
      </c>
      <c r="T14" s="144">
        <v>0.30299999999999999</v>
      </c>
      <c r="U14" s="144">
        <v>0.20499999999999999</v>
      </c>
      <c r="V14" s="144">
        <v>0.129</v>
      </c>
      <c r="W14" s="144">
        <v>0.10299999999999999</v>
      </c>
      <c r="X14" s="144">
        <v>7.9000000000000001E-2</v>
      </c>
      <c r="Y14" s="144">
        <v>9.1999999999999998E-2</v>
      </c>
      <c r="Z14" s="144">
        <v>0.105</v>
      </c>
      <c r="AA14" s="144">
        <v>9.0999999999999998E-2</v>
      </c>
      <c r="AB14" s="144">
        <v>9.9000000000000005E-2</v>
      </c>
      <c r="AC14" s="144">
        <v>0.1</v>
      </c>
      <c r="AD14" s="144">
        <v>9.6000000000000002E-2</v>
      </c>
      <c r="AE14" s="144">
        <v>0.10100000000000001</v>
      </c>
      <c r="AF14" s="144">
        <v>0.1</v>
      </c>
      <c r="AG14" s="144">
        <v>8.8999999999999996E-2</v>
      </c>
      <c r="AH14" s="144">
        <v>7.1999999999999995E-2</v>
      </c>
      <c r="AI14" s="144">
        <v>7.3999999999999996E-2</v>
      </c>
      <c r="AJ14" s="144">
        <v>7.0000000000000007E-2</v>
      </c>
      <c r="AK14" s="171">
        <f t="shared" si="1"/>
        <v>-5.4054054054053893</v>
      </c>
      <c r="AL14" s="17" t="s">
        <v>26</v>
      </c>
    </row>
    <row r="15" spans="1:58" ht="12.75" customHeight="1" x14ac:dyDescent="0.2">
      <c r="A15" s="15"/>
      <c r="B15" s="85" t="s">
        <v>19</v>
      </c>
      <c r="C15" s="154">
        <v>0.68799999999999994</v>
      </c>
      <c r="D15" s="154">
        <v>0.81399999999999995</v>
      </c>
      <c r="E15" s="154">
        <v>0.60899999999999999</v>
      </c>
      <c r="F15" s="155">
        <v>0.56100000000000005</v>
      </c>
      <c r="G15" s="155">
        <v>0.52700000000000002</v>
      </c>
      <c r="H15" s="155">
        <v>0.503</v>
      </c>
      <c r="I15" s="155">
        <v>0.31</v>
      </c>
      <c r="J15" s="155">
        <v>0.29199999999999998</v>
      </c>
      <c r="K15" s="155">
        <v>0.33700000000000002</v>
      </c>
      <c r="L15" s="155">
        <v>0.317</v>
      </c>
      <c r="M15" s="155">
        <v>0.32600000000000001</v>
      </c>
      <c r="N15" s="155">
        <v>0.32600000000000001</v>
      </c>
      <c r="O15" s="155">
        <v>0.42699999999999999</v>
      </c>
      <c r="P15" s="155">
        <v>0.38</v>
      </c>
      <c r="Q15" s="155">
        <v>0.32700000000000001</v>
      </c>
      <c r="R15" s="147">
        <v>0.45600000000000002</v>
      </c>
      <c r="S15" s="152">
        <v>0.59199999999999997</v>
      </c>
      <c r="T15" s="152">
        <v>0.61299999999999999</v>
      </c>
      <c r="U15" s="152">
        <v>0.66200000000000003</v>
      </c>
      <c r="V15" s="147">
        <v>0.83499999999999996</v>
      </c>
      <c r="W15" s="147">
        <v>0.78600000000000003</v>
      </c>
      <c r="X15" s="147">
        <v>0.55200000000000005</v>
      </c>
      <c r="Y15" s="147">
        <v>0.61399999999999999</v>
      </c>
      <c r="Z15" s="147">
        <v>0.35199999999999998</v>
      </c>
      <c r="AA15" s="147">
        <v>0.28299999999999997</v>
      </c>
      <c r="AB15" s="147">
        <v>0.23699999999999999</v>
      </c>
      <c r="AC15" s="147">
        <v>0.311</v>
      </c>
      <c r="AD15" s="147">
        <v>0.29399999999999998</v>
      </c>
      <c r="AE15" s="147">
        <v>0.254</v>
      </c>
      <c r="AF15" s="147">
        <v>0.35799999999999998</v>
      </c>
      <c r="AG15" s="147">
        <v>0.40799999999999997</v>
      </c>
      <c r="AH15" s="147">
        <v>0.49099999999999999</v>
      </c>
      <c r="AI15" s="147">
        <v>0.55500000000000005</v>
      </c>
      <c r="AJ15" s="147">
        <v>0.57799999999999996</v>
      </c>
      <c r="AK15" s="315">
        <f t="shared" si="1"/>
        <v>4.1441441441441214</v>
      </c>
      <c r="AL15" s="315" t="s">
        <v>19</v>
      </c>
    </row>
    <row r="16" spans="1:58" ht="12.75" customHeight="1" x14ac:dyDescent="0.2">
      <c r="A16" s="15"/>
      <c r="B16" s="17" t="s">
        <v>24</v>
      </c>
      <c r="C16" s="156">
        <v>9.7409999999999997</v>
      </c>
      <c r="D16" s="156">
        <v>11.281000000000001</v>
      </c>
      <c r="E16" s="156">
        <v>11.153</v>
      </c>
      <c r="F16" s="157">
        <v>10.462</v>
      </c>
      <c r="G16" s="157">
        <v>9.2050000000000001</v>
      </c>
      <c r="H16" s="157">
        <v>7.8360000000000003</v>
      </c>
      <c r="I16" s="157">
        <v>9.0890000000000004</v>
      </c>
      <c r="J16" s="157">
        <v>10.955</v>
      </c>
      <c r="K16" s="157">
        <v>11.125</v>
      </c>
      <c r="L16" s="157">
        <v>12.510999999999999</v>
      </c>
      <c r="M16" s="157">
        <v>11.321999999999999</v>
      </c>
      <c r="N16" s="157">
        <v>11.487</v>
      </c>
      <c r="O16" s="260">
        <v>12.170999999999999</v>
      </c>
      <c r="P16" s="157">
        <v>12.321999999999999</v>
      </c>
      <c r="Q16" s="157">
        <v>12.247</v>
      </c>
      <c r="R16" s="157">
        <v>12.411</v>
      </c>
      <c r="S16" s="157">
        <v>12.436</v>
      </c>
      <c r="T16" s="157">
        <v>11.585000000000001</v>
      </c>
      <c r="U16" s="157">
        <v>11.541</v>
      </c>
      <c r="V16" s="157">
        <v>11.237</v>
      </c>
      <c r="W16" s="157">
        <v>10.971</v>
      </c>
      <c r="X16" s="157">
        <v>7.806</v>
      </c>
      <c r="Y16" s="157">
        <v>8.9130000000000003</v>
      </c>
      <c r="Z16" s="157">
        <v>9.4510000000000005</v>
      </c>
      <c r="AA16" s="157">
        <v>9.4580000000000002</v>
      </c>
      <c r="AB16" s="157">
        <v>9.3379999999999992</v>
      </c>
      <c r="AC16" s="157">
        <v>10.385</v>
      </c>
      <c r="AD16" s="157">
        <v>11.028</v>
      </c>
      <c r="AE16" s="157">
        <v>10.55</v>
      </c>
      <c r="AF16" s="157">
        <v>10.548999999999999</v>
      </c>
      <c r="AG16" s="157">
        <v>10.65</v>
      </c>
      <c r="AH16" s="157">
        <v>10.71</v>
      </c>
      <c r="AI16" s="157">
        <v>8.92</v>
      </c>
      <c r="AJ16" s="157">
        <v>10.298999999999999</v>
      </c>
      <c r="AK16" s="171">
        <f t="shared" si="1"/>
        <v>15.459641255605376</v>
      </c>
      <c r="AL16" s="17" t="s">
        <v>24</v>
      </c>
    </row>
    <row r="17" spans="1:38" ht="12.75" customHeight="1" x14ac:dyDescent="0.2">
      <c r="A17" s="15"/>
      <c r="B17" s="85" t="s">
        <v>25</v>
      </c>
      <c r="C17" s="151">
        <v>67.585999999999999</v>
      </c>
      <c r="D17" s="151">
        <v>68.814999999999998</v>
      </c>
      <c r="E17" s="151">
        <v>52.24</v>
      </c>
      <c r="F17" s="152">
        <v>52.430011</v>
      </c>
      <c r="G17" s="152">
        <v>51.180591</v>
      </c>
      <c r="H17" s="152">
        <v>45.582509000000002</v>
      </c>
      <c r="I17" s="152">
        <v>48.871257999999997</v>
      </c>
      <c r="J17" s="152">
        <v>48.266067999999997</v>
      </c>
      <c r="K17" s="152">
        <v>50.113</v>
      </c>
      <c r="L17" s="152">
        <v>54.246000000000002</v>
      </c>
      <c r="M17" s="152">
        <v>54.099525000000007</v>
      </c>
      <c r="N17" s="152">
        <v>54.53801500294</v>
      </c>
      <c r="O17" s="152">
        <v>57.72575464222399</v>
      </c>
      <c r="P17" s="152">
        <v>51.718302252257004</v>
      </c>
      <c r="Q17" s="152">
        <v>51.288192553031003</v>
      </c>
      <c r="R17" s="152">
        <v>48.057268754624005</v>
      </c>
      <c r="S17" s="152">
        <v>45.121000000000002</v>
      </c>
      <c r="T17" s="152">
        <v>40.701000000000001</v>
      </c>
      <c r="U17" s="152">
        <v>41.179000000000002</v>
      </c>
      <c r="V17" s="152">
        <v>42.612000000000002</v>
      </c>
      <c r="W17" s="152">
        <v>40.436</v>
      </c>
      <c r="X17" s="152">
        <v>32.128999999999998</v>
      </c>
      <c r="Y17" s="152">
        <v>29.965</v>
      </c>
      <c r="Z17" s="152">
        <v>34.201999999999998</v>
      </c>
      <c r="AA17" s="152">
        <v>32.539000000000001</v>
      </c>
      <c r="AB17" s="152">
        <v>32.229999999999997</v>
      </c>
      <c r="AC17" s="152">
        <v>32.595999999999997</v>
      </c>
      <c r="AD17" s="152">
        <v>36.328000000000003</v>
      </c>
      <c r="AE17" s="152">
        <v>34.761000000000003</v>
      </c>
      <c r="AF17" s="152">
        <v>35.655000000000001</v>
      </c>
      <c r="AG17" s="152">
        <v>34.061</v>
      </c>
      <c r="AH17" s="152">
        <v>33.670999999999999</v>
      </c>
      <c r="AI17" s="152">
        <v>31.559000000000001</v>
      </c>
      <c r="AJ17" s="152">
        <v>35.750999999999998</v>
      </c>
      <c r="AK17" s="315">
        <f t="shared" si="1"/>
        <v>13.283057131087787</v>
      </c>
      <c r="AL17" s="85" t="s">
        <v>25</v>
      </c>
    </row>
    <row r="18" spans="1:38" ht="12.75" customHeight="1" x14ac:dyDescent="0.2">
      <c r="A18" s="15"/>
      <c r="B18" s="17" t="s">
        <v>36</v>
      </c>
      <c r="C18" s="111"/>
      <c r="D18" s="111"/>
      <c r="E18" s="111" t="s">
        <v>34</v>
      </c>
      <c r="F18" s="55"/>
      <c r="G18" s="55"/>
      <c r="H18" s="55"/>
      <c r="I18" s="55"/>
      <c r="J18" s="55">
        <v>1.974</v>
      </c>
      <c r="K18" s="55">
        <v>1.7170000000000001</v>
      </c>
      <c r="L18" s="55">
        <v>1.7150000000000001</v>
      </c>
      <c r="M18" s="137">
        <v>1.831</v>
      </c>
      <c r="N18" s="55">
        <v>1.6850000000000001</v>
      </c>
      <c r="O18" s="55">
        <v>1.788</v>
      </c>
      <c r="P18" s="55">
        <v>2.0739999999999998</v>
      </c>
      <c r="Q18" s="55">
        <v>2.206</v>
      </c>
      <c r="R18" s="55">
        <v>2.4870000000000001</v>
      </c>
      <c r="S18" s="55">
        <v>2.4929999999999999</v>
      </c>
      <c r="T18" s="55">
        <v>2.835</v>
      </c>
      <c r="U18" s="55">
        <v>3.3050000000000002</v>
      </c>
      <c r="V18" s="55">
        <v>3.5739999999999998</v>
      </c>
      <c r="W18" s="55">
        <v>3.3119999999999998</v>
      </c>
      <c r="X18" s="55">
        <v>2.641</v>
      </c>
      <c r="Y18" s="55">
        <v>2.6179999999999999</v>
      </c>
      <c r="Z18" s="55">
        <v>2.4380000000000002</v>
      </c>
      <c r="AA18" s="55">
        <v>2.3319999999999999</v>
      </c>
      <c r="AB18" s="55">
        <v>2.0859999999999999</v>
      </c>
      <c r="AC18" s="55">
        <v>2.1190000000000002</v>
      </c>
      <c r="AD18" s="55">
        <v>2.1840000000000002</v>
      </c>
      <c r="AE18" s="55">
        <v>2.16</v>
      </c>
      <c r="AF18" s="55">
        <v>2.5920000000000001</v>
      </c>
      <c r="AG18" s="55">
        <v>2.7429999999999999</v>
      </c>
      <c r="AH18" s="55">
        <v>2.911</v>
      </c>
      <c r="AI18" s="55">
        <v>3.2789999999999999</v>
      </c>
      <c r="AJ18" s="55">
        <v>3.1720000000000002</v>
      </c>
      <c r="AK18" s="171">
        <f t="shared" si="1"/>
        <v>-3.263189996950274</v>
      </c>
      <c r="AL18" s="17" t="s">
        <v>36</v>
      </c>
    </row>
    <row r="19" spans="1:38" ht="12.75" customHeight="1" x14ac:dyDescent="0.2">
      <c r="A19" s="15"/>
      <c r="B19" s="85" t="s">
        <v>27</v>
      </c>
      <c r="C19" s="154">
        <v>18.068999999999999</v>
      </c>
      <c r="D19" s="154">
        <v>18.384</v>
      </c>
      <c r="E19" s="154">
        <v>19.361000000000001</v>
      </c>
      <c r="F19" s="155">
        <v>19.963000000000001</v>
      </c>
      <c r="G19" s="155">
        <v>19.266999999999999</v>
      </c>
      <c r="H19" s="155">
        <v>18.12</v>
      </c>
      <c r="I19" s="155">
        <v>20.425000000000001</v>
      </c>
      <c r="J19" s="155">
        <v>21.69</v>
      </c>
      <c r="K19" s="155">
        <v>21.033999999999999</v>
      </c>
      <c r="L19" s="155">
        <v>22.902999999999999</v>
      </c>
      <c r="M19" s="155">
        <v>22.454000000000001</v>
      </c>
      <c r="N19" s="155">
        <v>21.548999999999999</v>
      </c>
      <c r="O19" s="155">
        <v>22.817</v>
      </c>
      <c r="P19" s="155">
        <v>21.762</v>
      </c>
      <c r="Q19" s="147">
        <v>20.678999999999998</v>
      </c>
      <c r="R19" s="147">
        <v>20.298999999999999</v>
      </c>
      <c r="S19" s="147">
        <v>22.183</v>
      </c>
      <c r="T19" s="147">
        <v>22.760999999999999</v>
      </c>
      <c r="U19" s="147">
        <v>24.151</v>
      </c>
      <c r="V19" s="147">
        <v>25.285</v>
      </c>
      <c r="W19" s="147">
        <v>23.831</v>
      </c>
      <c r="X19" s="147">
        <v>17.791</v>
      </c>
      <c r="Y19" s="147">
        <v>18.616</v>
      </c>
      <c r="Z19" s="147">
        <v>19.786999999999999</v>
      </c>
      <c r="AA19" s="147">
        <v>20.244</v>
      </c>
      <c r="AB19" s="147">
        <v>19.036999999999999</v>
      </c>
      <c r="AC19" s="147">
        <v>20.157</v>
      </c>
      <c r="AD19" s="147">
        <v>20.780999999999999</v>
      </c>
      <c r="AE19" s="147">
        <v>22.712</v>
      </c>
      <c r="AF19" s="147">
        <v>22.335000000000001</v>
      </c>
      <c r="AG19" s="147">
        <v>22.07</v>
      </c>
      <c r="AH19" s="147">
        <v>21.309000000000001</v>
      </c>
      <c r="AI19" s="147">
        <v>20.75</v>
      </c>
      <c r="AJ19" s="147">
        <v>24.262</v>
      </c>
      <c r="AK19" s="315">
        <f t="shared" si="1"/>
        <v>16.925301204819277</v>
      </c>
      <c r="AL19" s="85" t="s">
        <v>27</v>
      </c>
    </row>
    <row r="20" spans="1:38" ht="12.75" customHeight="1" x14ac:dyDescent="0.2">
      <c r="A20" s="15"/>
      <c r="B20" s="17" t="s">
        <v>6</v>
      </c>
      <c r="C20" s="111" t="s">
        <v>35</v>
      </c>
      <c r="D20" s="111" t="s">
        <v>35</v>
      </c>
      <c r="E20" s="111" t="s">
        <v>35</v>
      </c>
      <c r="F20" s="55" t="s">
        <v>35</v>
      </c>
      <c r="G20" s="55" t="s">
        <v>35</v>
      </c>
      <c r="H20" s="55" t="s">
        <v>35</v>
      </c>
      <c r="I20" s="55" t="s">
        <v>35</v>
      </c>
      <c r="J20" s="55" t="s">
        <v>35</v>
      </c>
      <c r="K20" s="55" t="s">
        <v>35</v>
      </c>
      <c r="L20" s="55" t="s">
        <v>35</v>
      </c>
      <c r="M20" s="55" t="s">
        <v>35</v>
      </c>
      <c r="N20" s="55" t="s">
        <v>35</v>
      </c>
      <c r="O20" s="55" t="s">
        <v>35</v>
      </c>
      <c r="P20" s="55" t="s">
        <v>35</v>
      </c>
      <c r="Q20" s="55" t="s">
        <v>35</v>
      </c>
      <c r="R20" s="55" t="s">
        <v>35</v>
      </c>
      <c r="S20" s="55" t="s">
        <v>35</v>
      </c>
      <c r="T20" s="55" t="s">
        <v>35</v>
      </c>
      <c r="U20" s="55" t="s">
        <v>35</v>
      </c>
      <c r="V20" s="55" t="s">
        <v>35</v>
      </c>
      <c r="W20" s="55" t="s">
        <v>35</v>
      </c>
      <c r="X20" s="55" t="s">
        <v>35</v>
      </c>
      <c r="Y20" s="55" t="s">
        <v>35</v>
      </c>
      <c r="Z20" s="55" t="s">
        <v>35</v>
      </c>
      <c r="AA20" s="55" t="s">
        <v>35</v>
      </c>
      <c r="AB20" s="150" t="s">
        <v>35</v>
      </c>
      <c r="AC20" s="150" t="s">
        <v>35</v>
      </c>
      <c r="AD20" s="150" t="s">
        <v>35</v>
      </c>
      <c r="AE20" s="150" t="s">
        <v>35</v>
      </c>
      <c r="AF20" s="150" t="s">
        <v>35</v>
      </c>
      <c r="AG20" s="150" t="s">
        <v>35</v>
      </c>
      <c r="AH20" s="150" t="s">
        <v>35</v>
      </c>
      <c r="AI20" s="150" t="s">
        <v>35</v>
      </c>
      <c r="AJ20" s="150" t="s">
        <v>35</v>
      </c>
      <c r="AK20" s="454" t="s">
        <v>35</v>
      </c>
      <c r="AL20" s="17" t="s">
        <v>6</v>
      </c>
    </row>
    <row r="21" spans="1:38" ht="12.75" customHeight="1" x14ac:dyDescent="0.2">
      <c r="A21" s="15"/>
      <c r="B21" s="85" t="s">
        <v>10</v>
      </c>
      <c r="C21" s="146">
        <v>15.52</v>
      </c>
      <c r="D21" s="146">
        <v>17.59</v>
      </c>
      <c r="E21" s="146">
        <v>18.54</v>
      </c>
      <c r="F21" s="147">
        <v>16.7</v>
      </c>
      <c r="G21" s="147">
        <v>10.119999999999999</v>
      </c>
      <c r="H21" s="147">
        <v>9.85</v>
      </c>
      <c r="I21" s="147">
        <v>9.52</v>
      </c>
      <c r="J21" s="147">
        <v>9.76</v>
      </c>
      <c r="K21" s="147">
        <v>12.413</v>
      </c>
      <c r="L21" s="147">
        <v>13.97</v>
      </c>
      <c r="M21" s="147">
        <v>12.996</v>
      </c>
      <c r="N21" s="147">
        <v>12.21</v>
      </c>
      <c r="O21" s="147">
        <v>13.31</v>
      </c>
      <c r="P21" s="147">
        <v>14.18</v>
      </c>
      <c r="Q21" s="147">
        <v>15.02</v>
      </c>
      <c r="R21" s="147">
        <v>17.954999999999998</v>
      </c>
      <c r="S21" s="147">
        <v>18.617999999999999</v>
      </c>
      <c r="T21" s="147">
        <v>19.779</v>
      </c>
      <c r="U21" s="147">
        <v>16.831</v>
      </c>
      <c r="V21" s="147">
        <v>18.312999999999999</v>
      </c>
      <c r="W21" s="147">
        <v>19.581</v>
      </c>
      <c r="X21" s="147">
        <v>18.725000000000001</v>
      </c>
      <c r="Y21" s="147">
        <v>17.178999999999998</v>
      </c>
      <c r="Z21" s="147">
        <v>21.41</v>
      </c>
      <c r="AA21" s="147">
        <v>21.867000000000001</v>
      </c>
      <c r="AB21" s="147">
        <v>19.532</v>
      </c>
      <c r="AC21" s="147">
        <v>19.440999999999999</v>
      </c>
      <c r="AD21" s="147">
        <v>18.905999999999999</v>
      </c>
      <c r="AE21" s="147">
        <v>15.872999999999999</v>
      </c>
      <c r="AF21" s="147">
        <v>15.013999999999999</v>
      </c>
      <c r="AG21" s="147">
        <v>17.859000000000002</v>
      </c>
      <c r="AH21" s="147">
        <v>15.019</v>
      </c>
      <c r="AI21" s="147">
        <v>7.9790000000000001</v>
      </c>
      <c r="AJ21" s="147">
        <v>7.367</v>
      </c>
      <c r="AK21" s="315">
        <f t="shared" si="1"/>
        <v>-7.6701341020177978</v>
      </c>
      <c r="AL21" s="85" t="s">
        <v>10</v>
      </c>
    </row>
    <row r="22" spans="1:38" ht="12.75" customHeight="1" x14ac:dyDescent="0.2">
      <c r="A22" s="15"/>
      <c r="B22" s="17" t="s">
        <v>11</v>
      </c>
      <c r="C22" s="111">
        <v>13.57</v>
      </c>
      <c r="D22" s="111">
        <v>18.239999999999998</v>
      </c>
      <c r="E22" s="111">
        <v>19.260000000000002</v>
      </c>
      <c r="F22" s="55">
        <v>17.7</v>
      </c>
      <c r="G22" s="55">
        <v>11.34</v>
      </c>
      <c r="H22" s="55">
        <v>9.9</v>
      </c>
      <c r="I22" s="55">
        <v>8</v>
      </c>
      <c r="J22" s="55">
        <v>7.2</v>
      </c>
      <c r="K22" s="55">
        <v>8.1029999999999998</v>
      </c>
      <c r="L22" s="55">
        <v>8.6219999999999999</v>
      </c>
      <c r="M22" s="55">
        <v>8.2650000000000006</v>
      </c>
      <c r="N22" s="55">
        <v>7.8490000000000002</v>
      </c>
      <c r="O22" s="55">
        <v>8.9179999999999993</v>
      </c>
      <c r="P22" s="55">
        <v>7.7409999999999997</v>
      </c>
      <c r="Q22" s="55">
        <v>9.7669999999999995</v>
      </c>
      <c r="R22" s="55">
        <v>11.457000000000001</v>
      </c>
      <c r="S22" s="55">
        <v>11.637</v>
      </c>
      <c r="T22" s="55">
        <v>12.457000000000001</v>
      </c>
      <c r="U22" s="55">
        <v>12.896000000000001</v>
      </c>
      <c r="V22" s="55">
        <v>14.372999999999999</v>
      </c>
      <c r="W22" s="55">
        <v>14.747999999999999</v>
      </c>
      <c r="X22" s="55">
        <v>11.888</v>
      </c>
      <c r="Y22" s="55">
        <v>13.430999999999999</v>
      </c>
      <c r="Z22" s="55">
        <v>15.087999999999999</v>
      </c>
      <c r="AA22" s="55">
        <v>14.172000000000001</v>
      </c>
      <c r="AB22" s="55">
        <v>13.343999999999999</v>
      </c>
      <c r="AC22" s="55">
        <v>14.307</v>
      </c>
      <c r="AD22" s="55">
        <v>14.036</v>
      </c>
      <c r="AE22" s="55">
        <v>13.79</v>
      </c>
      <c r="AF22" s="55">
        <v>15.414</v>
      </c>
      <c r="AG22" s="55">
        <v>16.885000000000002</v>
      </c>
      <c r="AH22" s="55">
        <v>16.181000000000001</v>
      </c>
      <c r="AI22" s="55">
        <v>15.865</v>
      </c>
      <c r="AJ22" s="55">
        <v>14.566000000000001</v>
      </c>
      <c r="AK22" s="171">
        <f t="shared" si="1"/>
        <v>-8.1878348566025778</v>
      </c>
      <c r="AL22" s="17" t="s">
        <v>11</v>
      </c>
    </row>
    <row r="23" spans="1:38" ht="12.75" customHeight="1" x14ac:dyDescent="0.2">
      <c r="A23" s="15"/>
      <c r="B23" s="85" t="s">
        <v>28</v>
      </c>
      <c r="C23" s="146">
        <v>0.76300000000000001</v>
      </c>
      <c r="D23" s="146">
        <v>0.66500000000000004</v>
      </c>
      <c r="E23" s="146">
        <v>0.61499999999999999</v>
      </c>
      <c r="F23" s="147">
        <v>0.622</v>
      </c>
      <c r="G23" s="147">
        <v>0.59699999999999998</v>
      </c>
      <c r="H23" s="147">
        <v>0.60699999999999998</v>
      </c>
      <c r="I23" s="147">
        <v>0.64500000000000002</v>
      </c>
      <c r="J23" s="147">
        <v>0.52900000000000003</v>
      </c>
      <c r="K23" s="147">
        <v>0.53</v>
      </c>
      <c r="L23" s="147">
        <v>0.56599999999999995</v>
      </c>
      <c r="M23" s="147">
        <v>0.57399999999999995</v>
      </c>
      <c r="N23" s="147">
        <v>0.60799999999999998</v>
      </c>
      <c r="O23" s="147">
        <v>0.63200000000000001</v>
      </c>
      <c r="P23" s="147">
        <v>0.58499999999999996</v>
      </c>
      <c r="Q23" s="147">
        <v>0.55000000000000004</v>
      </c>
      <c r="R23" s="147">
        <v>0.52500000000000002</v>
      </c>
      <c r="S23" s="147">
        <v>0.55900000000000005</v>
      </c>
      <c r="T23" s="147">
        <v>0.39200000000000002</v>
      </c>
      <c r="U23" s="147">
        <v>0.441</v>
      </c>
      <c r="V23" s="147">
        <v>0.57399999999999995</v>
      </c>
      <c r="W23" s="147">
        <v>0.27900000000000003</v>
      </c>
      <c r="X23" s="147">
        <v>0.2</v>
      </c>
      <c r="Y23" s="147">
        <v>0.32300000000000001</v>
      </c>
      <c r="Z23" s="147">
        <v>0.28799999999999998</v>
      </c>
      <c r="AA23" s="152">
        <v>0.23100000000000001</v>
      </c>
      <c r="AB23" s="152">
        <v>0.218</v>
      </c>
      <c r="AC23" s="152">
        <v>0.20799999999999999</v>
      </c>
      <c r="AD23" s="152">
        <v>0.20699999999999999</v>
      </c>
      <c r="AE23" s="152">
        <v>0.20100000000000001</v>
      </c>
      <c r="AF23" s="152">
        <v>0.21299999999999999</v>
      </c>
      <c r="AG23" s="152">
        <v>0.223</v>
      </c>
      <c r="AH23" s="152">
        <v>0.191</v>
      </c>
      <c r="AI23" s="152">
        <v>0.16200000000000001</v>
      </c>
      <c r="AJ23" s="152">
        <v>0.17599999999999999</v>
      </c>
      <c r="AK23" s="315">
        <f t="shared" si="1"/>
        <v>8.6419753086419746</v>
      </c>
      <c r="AL23" s="85" t="s">
        <v>28</v>
      </c>
    </row>
    <row r="24" spans="1:38" ht="12.75" customHeight="1" x14ac:dyDescent="0.2">
      <c r="A24" s="15"/>
      <c r="B24" s="17" t="s">
        <v>9</v>
      </c>
      <c r="C24" s="149">
        <v>19.82</v>
      </c>
      <c r="D24" s="149">
        <v>24.4</v>
      </c>
      <c r="E24" s="149">
        <v>16.8</v>
      </c>
      <c r="F24" s="150">
        <v>11.9</v>
      </c>
      <c r="G24" s="150">
        <v>10</v>
      </c>
      <c r="H24" s="150">
        <v>7.7</v>
      </c>
      <c r="I24" s="150">
        <v>7.7</v>
      </c>
      <c r="J24" s="150">
        <v>8.4</v>
      </c>
      <c r="K24" s="150">
        <v>7.6</v>
      </c>
      <c r="L24" s="150">
        <v>8.1470000000000002</v>
      </c>
      <c r="M24" s="150">
        <v>8.15</v>
      </c>
      <c r="N24" s="150">
        <v>8.5</v>
      </c>
      <c r="O24" s="150">
        <v>8.8000000000000007</v>
      </c>
      <c r="P24" s="150">
        <v>7.7</v>
      </c>
      <c r="Q24" s="150">
        <v>7.8</v>
      </c>
      <c r="R24" s="150">
        <v>7.6139999999999999</v>
      </c>
      <c r="S24" s="150">
        <v>8.7490000000000006</v>
      </c>
      <c r="T24" s="150">
        <v>9.09</v>
      </c>
      <c r="U24" s="150">
        <v>10.167</v>
      </c>
      <c r="V24" s="150">
        <v>10.048</v>
      </c>
      <c r="W24" s="150">
        <v>9.8740000000000006</v>
      </c>
      <c r="X24" s="150">
        <v>7.673</v>
      </c>
      <c r="Y24" s="150">
        <v>8.8089999999999993</v>
      </c>
      <c r="Z24" s="150">
        <v>9.1180000000000003</v>
      </c>
      <c r="AA24" s="150">
        <v>9.23</v>
      </c>
      <c r="AB24" s="150">
        <v>9.7219999999999995</v>
      </c>
      <c r="AC24" s="150">
        <v>10.157999999999999</v>
      </c>
      <c r="AD24" s="150">
        <v>10.01</v>
      </c>
      <c r="AE24" s="150">
        <v>10.528</v>
      </c>
      <c r="AF24" s="150">
        <v>13.356</v>
      </c>
      <c r="AG24" s="150">
        <v>10.584</v>
      </c>
      <c r="AH24" s="150">
        <v>10.625</v>
      </c>
      <c r="AI24" s="150">
        <v>11.595000000000001</v>
      </c>
      <c r="AJ24" s="150">
        <v>11.347</v>
      </c>
      <c r="AK24" s="171">
        <f t="shared" si="1"/>
        <v>-2.138852953859427</v>
      </c>
      <c r="AL24" s="17" t="s">
        <v>9</v>
      </c>
    </row>
    <row r="25" spans="1:38" ht="12.75" customHeight="1" x14ac:dyDescent="0.2">
      <c r="A25" s="15"/>
      <c r="B25" s="54" t="s">
        <v>12</v>
      </c>
      <c r="C25" s="154" t="s">
        <v>35</v>
      </c>
      <c r="D25" s="154" t="s">
        <v>35</v>
      </c>
      <c r="E25" s="154" t="s">
        <v>35</v>
      </c>
      <c r="F25" s="155" t="s">
        <v>35</v>
      </c>
      <c r="G25" s="155" t="s">
        <v>35</v>
      </c>
      <c r="H25" s="155" t="s">
        <v>35</v>
      </c>
      <c r="I25" s="155" t="s">
        <v>35</v>
      </c>
      <c r="J25" s="155" t="s">
        <v>35</v>
      </c>
      <c r="K25" s="155" t="s">
        <v>35</v>
      </c>
      <c r="L25" s="155" t="s">
        <v>35</v>
      </c>
      <c r="M25" s="155" t="s">
        <v>35</v>
      </c>
      <c r="N25" s="155" t="s">
        <v>35</v>
      </c>
      <c r="O25" s="155" t="s">
        <v>35</v>
      </c>
      <c r="P25" s="155" t="s">
        <v>35</v>
      </c>
      <c r="Q25" s="155" t="s">
        <v>35</v>
      </c>
      <c r="R25" s="155" t="s">
        <v>35</v>
      </c>
      <c r="S25" s="155" t="s">
        <v>35</v>
      </c>
      <c r="T25" s="155" t="s">
        <v>35</v>
      </c>
      <c r="U25" s="155" t="s">
        <v>35</v>
      </c>
      <c r="V25" s="155" t="s">
        <v>35</v>
      </c>
      <c r="W25" s="155" t="s">
        <v>35</v>
      </c>
      <c r="X25" s="155" t="s">
        <v>35</v>
      </c>
      <c r="Y25" s="155" t="s">
        <v>35</v>
      </c>
      <c r="Z25" s="155" t="s">
        <v>35</v>
      </c>
      <c r="AA25" s="155" t="s">
        <v>35</v>
      </c>
      <c r="AB25" s="155" t="s">
        <v>35</v>
      </c>
      <c r="AC25" s="155" t="s">
        <v>35</v>
      </c>
      <c r="AD25" s="155" t="s">
        <v>35</v>
      </c>
      <c r="AE25" s="155" t="s">
        <v>35</v>
      </c>
      <c r="AF25" s="155" t="s">
        <v>35</v>
      </c>
      <c r="AG25" s="155" t="s">
        <v>35</v>
      </c>
      <c r="AH25" s="155" t="s">
        <v>35</v>
      </c>
      <c r="AI25" s="155" t="s">
        <v>35</v>
      </c>
      <c r="AJ25" s="155" t="s">
        <v>35</v>
      </c>
      <c r="AK25" s="455" t="s">
        <v>35</v>
      </c>
      <c r="AL25" s="54" t="s">
        <v>12</v>
      </c>
    </row>
    <row r="26" spans="1:38" ht="12.75" customHeight="1" x14ac:dyDescent="0.2">
      <c r="A26" s="15"/>
      <c r="B26" s="17" t="s">
        <v>20</v>
      </c>
      <c r="C26" s="111">
        <v>3.7149999999999999</v>
      </c>
      <c r="D26" s="111">
        <v>3.468</v>
      </c>
      <c r="E26" s="111">
        <v>3.07</v>
      </c>
      <c r="F26" s="55">
        <v>3.0379999999999998</v>
      </c>
      <c r="G26" s="55">
        <v>2.76</v>
      </c>
      <c r="H26" s="55">
        <v>2.68</v>
      </c>
      <c r="I26" s="55">
        <v>2.83</v>
      </c>
      <c r="J26" s="55">
        <v>3.1</v>
      </c>
      <c r="K26" s="55">
        <v>3.1230000000000002</v>
      </c>
      <c r="L26" s="55">
        <v>3.4060000000000001</v>
      </c>
      <c r="M26" s="55">
        <v>3.778</v>
      </c>
      <c r="N26" s="55">
        <v>3.988</v>
      </c>
      <c r="O26" s="55">
        <v>4.5220000000000002</v>
      </c>
      <c r="P26" s="55">
        <v>4.2930000000000001</v>
      </c>
      <c r="Q26" s="55">
        <v>4.024</v>
      </c>
      <c r="R26" s="55">
        <v>4.7050000000000001</v>
      </c>
      <c r="S26" s="55">
        <v>5.8310000000000004</v>
      </c>
      <c r="T26" s="55">
        <v>5.8650000000000002</v>
      </c>
      <c r="U26" s="55">
        <v>6.2889999999999997</v>
      </c>
      <c r="V26" s="55">
        <v>7.2160000000000002</v>
      </c>
      <c r="W26" s="55">
        <v>6.984</v>
      </c>
      <c r="X26" s="55">
        <v>5.5780000000000003</v>
      </c>
      <c r="Y26" s="55">
        <v>5.9249999999999998</v>
      </c>
      <c r="Z26" s="55">
        <v>6.3780000000000001</v>
      </c>
      <c r="AA26" s="150">
        <v>6.1420000000000003</v>
      </c>
      <c r="AB26" s="150">
        <v>6.0780000000000003</v>
      </c>
      <c r="AC26" s="150">
        <v>6.1689999999999996</v>
      </c>
      <c r="AD26" s="150">
        <v>6.5449999999999999</v>
      </c>
      <c r="AE26" s="150">
        <v>6.641</v>
      </c>
      <c r="AF26" s="150">
        <v>6.4669999999999996</v>
      </c>
      <c r="AG26" s="150">
        <v>7.0229999999999997</v>
      </c>
      <c r="AH26" s="150">
        <v>7.08</v>
      </c>
      <c r="AI26" s="150">
        <v>6.665</v>
      </c>
      <c r="AJ26" s="150">
        <v>7.1879999999999997</v>
      </c>
      <c r="AK26" s="171">
        <f t="shared" si="1"/>
        <v>7.8469617404351055</v>
      </c>
      <c r="AL26" s="17" t="s">
        <v>20</v>
      </c>
    </row>
    <row r="27" spans="1:38" ht="12.75" customHeight="1" x14ac:dyDescent="0.2">
      <c r="A27" s="15"/>
      <c r="B27" s="85" t="s">
        <v>29</v>
      </c>
      <c r="C27" s="146">
        <v>9.8680000000000003</v>
      </c>
      <c r="D27" s="146">
        <v>11.002000000000001</v>
      </c>
      <c r="E27" s="146">
        <v>12.157999999999999</v>
      </c>
      <c r="F27" s="147">
        <v>12.321999999999999</v>
      </c>
      <c r="G27" s="147">
        <v>11.57</v>
      </c>
      <c r="H27" s="147">
        <v>11.24</v>
      </c>
      <c r="I27" s="147">
        <v>12.42</v>
      </c>
      <c r="J27" s="147">
        <v>13.2</v>
      </c>
      <c r="K27" s="147">
        <v>13.33</v>
      </c>
      <c r="L27" s="147">
        <v>14.199</v>
      </c>
      <c r="M27" s="147">
        <v>14.71</v>
      </c>
      <c r="N27" s="147">
        <v>15.04</v>
      </c>
      <c r="O27" s="155">
        <v>16.600000000000001</v>
      </c>
      <c r="P27" s="155">
        <v>16.893000000000001</v>
      </c>
      <c r="Q27" s="155">
        <v>17.13</v>
      </c>
      <c r="R27" s="155">
        <v>16.866</v>
      </c>
      <c r="S27" s="147">
        <v>18.757000000000001</v>
      </c>
      <c r="T27" s="147">
        <v>18.957000000000001</v>
      </c>
      <c r="U27" s="147">
        <v>20.98</v>
      </c>
      <c r="V27" s="147">
        <v>21.370999999999999</v>
      </c>
      <c r="W27" s="147">
        <v>21.914999999999999</v>
      </c>
      <c r="X27" s="147">
        <v>17.766999999999999</v>
      </c>
      <c r="Y27" s="147">
        <v>19.832999999999998</v>
      </c>
      <c r="Z27" s="147">
        <v>20.344999999999999</v>
      </c>
      <c r="AA27" s="152">
        <v>19.498999999999999</v>
      </c>
      <c r="AB27" s="152">
        <v>19.277999999999999</v>
      </c>
      <c r="AC27" s="152">
        <v>20.745999999999999</v>
      </c>
      <c r="AD27" s="152">
        <v>20.814</v>
      </c>
      <c r="AE27" s="152">
        <v>21.361000000000001</v>
      </c>
      <c r="AF27" s="152">
        <v>22.256</v>
      </c>
      <c r="AG27" s="152">
        <v>21.995999999999999</v>
      </c>
      <c r="AH27" s="152">
        <v>21.736000000000001</v>
      </c>
      <c r="AI27" s="152">
        <v>20.498000000000001</v>
      </c>
      <c r="AJ27" s="152">
        <v>21.779</v>
      </c>
      <c r="AK27" s="315">
        <f t="shared" si="1"/>
        <v>6.2493901844082274</v>
      </c>
      <c r="AL27" s="85" t="s">
        <v>29</v>
      </c>
    </row>
    <row r="28" spans="1:38" ht="12.75" customHeight="1" x14ac:dyDescent="0.2">
      <c r="A28" s="15"/>
      <c r="B28" s="17" t="s">
        <v>13</v>
      </c>
      <c r="C28" s="141">
        <v>98</v>
      </c>
      <c r="D28" s="141">
        <v>132.4</v>
      </c>
      <c r="E28" s="141">
        <v>81.599999999999994</v>
      </c>
      <c r="F28" s="137">
        <v>65.2</v>
      </c>
      <c r="G28" s="137">
        <v>57.8</v>
      </c>
      <c r="H28" s="137">
        <v>63.2</v>
      </c>
      <c r="I28" s="137">
        <v>64.7</v>
      </c>
      <c r="J28" s="137">
        <v>68.2</v>
      </c>
      <c r="K28" s="137">
        <v>67.400000000000006</v>
      </c>
      <c r="L28" s="137">
        <v>67.7</v>
      </c>
      <c r="M28" s="137">
        <v>60.9</v>
      </c>
      <c r="N28" s="137">
        <v>55.1</v>
      </c>
      <c r="O28" s="137">
        <v>54</v>
      </c>
      <c r="P28" s="137">
        <v>47.7</v>
      </c>
      <c r="Q28" s="137">
        <v>46.6</v>
      </c>
      <c r="R28" s="137">
        <v>47.406999999999996</v>
      </c>
      <c r="S28" s="55">
        <v>52.332000000000001</v>
      </c>
      <c r="T28" s="55">
        <v>49.972000000000001</v>
      </c>
      <c r="U28" s="55">
        <v>53.622</v>
      </c>
      <c r="V28" s="55">
        <v>54.253</v>
      </c>
      <c r="W28" s="55">
        <v>52.042999999999999</v>
      </c>
      <c r="X28" s="55">
        <v>43.445</v>
      </c>
      <c r="Y28" s="55">
        <v>48.704999999999998</v>
      </c>
      <c r="Z28" s="55">
        <v>53.746000000000002</v>
      </c>
      <c r="AA28" s="150">
        <v>48.902999999999999</v>
      </c>
      <c r="AB28" s="150">
        <v>50.881</v>
      </c>
      <c r="AC28" s="150">
        <v>50.073</v>
      </c>
      <c r="AD28" s="150">
        <v>50.603000000000002</v>
      </c>
      <c r="AE28" s="150">
        <v>50.65</v>
      </c>
      <c r="AF28" s="150">
        <v>54.796999999999997</v>
      </c>
      <c r="AG28" s="150">
        <v>59.387999999999998</v>
      </c>
      <c r="AH28" s="150">
        <v>54.584000000000003</v>
      </c>
      <c r="AI28" s="150">
        <v>51.095999999999997</v>
      </c>
      <c r="AJ28" s="150">
        <v>54.387</v>
      </c>
      <c r="AK28" s="171">
        <f t="shared" si="1"/>
        <v>6.4408172851103842</v>
      </c>
      <c r="AL28" s="17" t="s">
        <v>13</v>
      </c>
    </row>
    <row r="29" spans="1:38" ht="12.75" customHeight="1" x14ac:dyDescent="0.2">
      <c r="A29" s="15"/>
      <c r="B29" s="85" t="s">
        <v>30</v>
      </c>
      <c r="C29" s="146">
        <v>0.77600000000000002</v>
      </c>
      <c r="D29" s="146">
        <v>1.0009999999999999</v>
      </c>
      <c r="E29" s="146">
        <v>1.4590000000000001</v>
      </c>
      <c r="F29" s="147">
        <v>1.66</v>
      </c>
      <c r="G29" s="147">
        <v>1.7669999999999999</v>
      </c>
      <c r="H29" s="147">
        <v>1.6659999999999999</v>
      </c>
      <c r="I29" s="147">
        <v>1.635</v>
      </c>
      <c r="J29" s="147">
        <v>2.0190000000000001</v>
      </c>
      <c r="K29" s="147">
        <v>1.857</v>
      </c>
      <c r="L29" s="147">
        <v>2.2469999999999999</v>
      </c>
      <c r="M29" s="147">
        <v>2.048</v>
      </c>
      <c r="N29" s="147">
        <v>2.1789999999999998</v>
      </c>
      <c r="O29" s="147">
        <v>2.1829999999999998</v>
      </c>
      <c r="P29" s="147">
        <v>2.1379999999999999</v>
      </c>
      <c r="Q29" s="147">
        <v>2.1930000000000001</v>
      </c>
      <c r="R29" s="147">
        <v>2.073</v>
      </c>
      <c r="S29" s="147">
        <v>2.282</v>
      </c>
      <c r="T29" s="147">
        <v>2.4220000000000002</v>
      </c>
      <c r="U29" s="147">
        <v>2.4300000000000002</v>
      </c>
      <c r="V29" s="147">
        <v>2.5859999999999999</v>
      </c>
      <c r="W29" s="147">
        <v>2.5489999999999999</v>
      </c>
      <c r="X29" s="147">
        <v>2.1739999999999999</v>
      </c>
      <c r="Y29" s="147">
        <v>2.3130000000000002</v>
      </c>
      <c r="Z29" s="147">
        <v>2.3220000000000001</v>
      </c>
      <c r="AA29" s="152">
        <v>2.4209999999999998</v>
      </c>
      <c r="AB29" s="152">
        <v>2.29</v>
      </c>
      <c r="AC29" s="152">
        <v>2.4340000000000002</v>
      </c>
      <c r="AD29" s="152">
        <v>2.6880000000000002</v>
      </c>
      <c r="AE29" s="152">
        <v>2.774</v>
      </c>
      <c r="AF29" s="152">
        <v>2.7509999999999999</v>
      </c>
      <c r="AG29" s="152">
        <v>2.7650000000000001</v>
      </c>
      <c r="AH29" s="152">
        <v>2.4780000000000002</v>
      </c>
      <c r="AI29" s="152">
        <v>2.302</v>
      </c>
      <c r="AJ29" s="152">
        <v>1.881</v>
      </c>
      <c r="AK29" s="315">
        <f t="shared" si="1"/>
        <v>-18.288444830582108</v>
      </c>
      <c r="AL29" s="85" t="s">
        <v>30</v>
      </c>
    </row>
    <row r="30" spans="1:38" ht="12.75" customHeight="1" x14ac:dyDescent="0.2">
      <c r="A30" s="15"/>
      <c r="B30" s="17" t="s">
        <v>14</v>
      </c>
      <c r="C30" s="156">
        <v>43.1</v>
      </c>
      <c r="D30" s="156">
        <v>64.8</v>
      </c>
      <c r="E30" s="156">
        <v>48.911999999999999</v>
      </c>
      <c r="F30" s="157">
        <v>32.561</v>
      </c>
      <c r="G30" s="157">
        <v>24.387</v>
      </c>
      <c r="H30" s="157">
        <v>22.045999999999999</v>
      </c>
      <c r="I30" s="157">
        <v>21.745999999999999</v>
      </c>
      <c r="J30" s="157">
        <v>17.907</v>
      </c>
      <c r="K30" s="157">
        <v>24.254000000000001</v>
      </c>
      <c r="L30" s="157">
        <v>22.111000000000001</v>
      </c>
      <c r="M30" s="157">
        <v>16.619</v>
      </c>
      <c r="N30" s="157">
        <v>14.679</v>
      </c>
      <c r="O30" s="163">
        <v>16.353999999999999</v>
      </c>
      <c r="P30" s="157">
        <v>16.102</v>
      </c>
      <c r="Q30" s="157">
        <v>15.218</v>
      </c>
      <c r="R30" s="157">
        <v>15.039</v>
      </c>
      <c r="S30" s="157">
        <v>17.021999999999998</v>
      </c>
      <c r="T30" s="157">
        <v>16.582000000000001</v>
      </c>
      <c r="U30" s="157">
        <v>15.791</v>
      </c>
      <c r="V30" s="157">
        <v>15.757</v>
      </c>
      <c r="W30" s="157">
        <v>15.236000000000001</v>
      </c>
      <c r="X30" s="157">
        <v>11.087999999999999</v>
      </c>
      <c r="Y30" s="157">
        <v>12.375</v>
      </c>
      <c r="Z30" s="157">
        <v>14.718999999999999</v>
      </c>
      <c r="AA30" s="144">
        <v>13.472</v>
      </c>
      <c r="AB30" s="144">
        <v>12.941000000000001</v>
      </c>
      <c r="AC30" s="144">
        <v>12.263999999999999</v>
      </c>
      <c r="AD30" s="144">
        <v>13.673</v>
      </c>
      <c r="AE30" s="144">
        <v>13.535</v>
      </c>
      <c r="AF30" s="144">
        <v>13.782</v>
      </c>
      <c r="AG30" s="144">
        <v>13.076000000000001</v>
      </c>
      <c r="AH30" s="144">
        <v>13.311999999999999</v>
      </c>
      <c r="AI30" s="144">
        <v>12.291</v>
      </c>
      <c r="AJ30" s="144">
        <v>13.625</v>
      </c>
      <c r="AK30" s="171">
        <f t="shared" si="1"/>
        <v>10.853470018712883</v>
      </c>
      <c r="AL30" s="17" t="s">
        <v>14</v>
      </c>
    </row>
    <row r="31" spans="1:38" ht="12.75" customHeight="1" x14ac:dyDescent="0.2">
      <c r="A31" s="15"/>
      <c r="B31" s="85" t="s">
        <v>16</v>
      </c>
      <c r="C31" s="146">
        <v>3.3</v>
      </c>
      <c r="D31" s="146">
        <v>3.8</v>
      </c>
      <c r="E31" s="146">
        <v>4.21</v>
      </c>
      <c r="F31" s="147">
        <v>3.2</v>
      </c>
      <c r="G31" s="147">
        <v>2.57</v>
      </c>
      <c r="H31" s="147">
        <v>2.2599999999999998</v>
      </c>
      <c r="I31" s="147">
        <v>2.5</v>
      </c>
      <c r="J31" s="147">
        <v>3.0760000000000001</v>
      </c>
      <c r="K31" s="147">
        <v>2.5499999999999998</v>
      </c>
      <c r="L31" s="147">
        <v>2.9</v>
      </c>
      <c r="M31" s="147">
        <v>2.9</v>
      </c>
      <c r="N31" s="147">
        <v>2.7839999999999998</v>
      </c>
      <c r="O31" s="147">
        <v>2.8570000000000002</v>
      </c>
      <c r="P31" s="147">
        <v>2.8370000000000002</v>
      </c>
      <c r="Q31" s="147">
        <v>3.0779999999999998</v>
      </c>
      <c r="R31" s="147">
        <v>3.0179999999999998</v>
      </c>
      <c r="S31" s="147">
        <v>3.149</v>
      </c>
      <c r="T31" s="147">
        <v>3.2450000000000001</v>
      </c>
      <c r="U31" s="147">
        <v>3.3730000000000002</v>
      </c>
      <c r="V31" s="147">
        <v>3.6030000000000002</v>
      </c>
      <c r="W31" s="147">
        <v>3.52</v>
      </c>
      <c r="X31" s="147">
        <v>2.8170000000000002</v>
      </c>
      <c r="Y31" s="147">
        <v>3.4209999999999998</v>
      </c>
      <c r="Z31" s="147">
        <v>3.7519999999999998</v>
      </c>
      <c r="AA31" s="152">
        <v>3.47</v>
      </c>
      <c r="AB31" s="152">
        <v>3.7989999999999999</v>
      </c>
      <c r="AC31" s="152">
        <v>4.1100000000000003</v>
      </c>
      <c r="AD31" s="152">
        <v>4.1749999999999998</v>
      </c>
      <c r="AE31" s="152">
        <v>4.3600000000000003</v>
      </c>
      <c r="AF31" s="152">
        <v>5.1280000000000001</v>
      </c>
      <c r="AG31" s="152">
        <v>5.1509999999999998</v>
      </c>
      <c r="AH31" s="152">
        <v>5.2919999999999998</v>
      </c>
      <c r="AI31" s="152">
        <v>4.726</v>
      </c>
      <c r="AJ31" s="152">
        <v>4.9370000000000003</v>
      </c>
      <c r="AK31" s="315">
        <f t="shared" si="1"/>
        <v>4.4646635632670524</v>
      </c>
      <c r="AL31" s="85" t="s">
        <v>16</v>
      </c>
    </row>
    <row r="32" spans="1:38" ht="12.75" customHeight="1" x14ac:dyDescent="0.2">
      <c r="A32" s="15"/>
      <c r="B32" s="17" t="s">
        <v>15</v>
      </c>
      <c r="C32" s="156"/>
      <c r="D32" s="156"/>
      <c r="E32" s="156"/>
      <c r="F32" s="157"/>
      <c r="G32" s="157"/>
      <c r="H32" s="157">
        <v>14.2</v>
      </c>
      <c r="I32" s="157">
        <v>12.2</v>
      </c>
      <c r="J32" s="157">
        <v>13.8</v>
      </c>
      <c r="K32" s="157">
        <v>12</v>
      </c>
      <c r="L32" s="157">
        <v>12.368</v>
      </c>
      <c r="M32" s="157">
        <v>11.753</v>
      </c>
      <c r="N32" s="157">
        <v>9.859</v>
      </c>
      <c r="O32" s="157">
        <v>11.233000000000001</v>
      </c>
      <c r="P32" s="157">
        <v>10.93</v>
      </c>
      <c r="Q32" s="157">
        <v>10.38</v>
      </c>
      <c r="R32" s="157">
        <v>10.113</v>
      </c>
      <c r="S32" s="157">
        <v>9.702</v>
      </c>
      <c r="T32" s="157">
        <v>9.4629999999999992</v>
      </c>
      <c r="U32" s="157">
        <v>9.9879999999999995</v>
      </c>
      <c r="V32" s="157">
        <v>9.6470000000000002</v>
      </c>
      <c r="W32" s="157">
        <v>9.2989999999999995</v>
      </c>
      <c r="X32" s="157">
        <v>6.9640000000000004</v>
      </c>
      <c r="Y32" s="157">
        <v>8.1050000000000004</v>
      </c>
      <c r="Z32" s="157">
        <v>7.96</v>
      </c>
      <c r="AA32" s="144">
        <v>7.5910000000000002</v>
      </c>
      <c r="AB32" s="144">
        <v>8.4939999999999998</v>
      </c>
      <c r="AC32" s="144">
        <v>8.8290000000000006</v>
      </c>
      <c r="AD32" s="144">
        <v>8.4390000000000001</v>
      </c>
      <c r="AE32" s="144">
        <v>8.3699999999999992</v>
      </c>
      <c r="AF32" s="144">
        <v>8.4770000000000003</v>
      </c>
      <c r="AG32" s="144">
        <v>8.3729999999999993</v>
      </c>
      <c r="AH32" s="144">
        <v>8.1340000000000003</v>
      </c>
      <c r="AI32" s="144">
        <v>6.9080000000000004</v>
      </c>
      <c r="AJ32" s="144">
        <v>8.19</v>
      </c>
      <c r="AK32" s="171">
        <f t="shared" si="1"/>
        <v>18.558193398957727</v>
      </c>
      <c r="AL32" s="17" t="s">
        <v>15</v>
      </c>
    </row>
    <row r="33" spans="1:58" ht="12.75" customHeight="1" x14ac:dyDescent="0.2">
      <c r="A33" s="15"/>
      <c r="B33" s="85" t="s">
        <v>31</v>
      </c>
      <c r="C33" s="146">
        <v>6.27</v>
      </c>
      <c r="D33" s="146">
        <v>8.3350000000000009</v>
      </c>
      <c r="E33" s="146">
        <v>8.3569999999999993</v>
      </c>
      <c r="F33" s="147">
        <v>7.63</v>
      </c>
      <c r="G33" s="147">
        <v>7.8479999999999999</v>
      </c>
      <c r="H33" s="147">
        <v>9.26</v>
      </c>
      <c r="I33" s="147">
        <v>9.9480000000000004</v>
      </c>
      <c r="J33" s="147">
        <v>9.6</v>
      </c>
      <c r="K33" s="147">
        <v>8.8059999999999992</v>
      </c>
      <c r="L33" s="147">
        <v>9.8559999999999999</v>
      </c>
      <c r="M33" s="147">
        <v>9.8849999999999998</v>
      </c>
      <c r="N33" s="147">
        <v>9.7530000000000001</v>
      </c>
      <c r="O33" s="147">
        <v>10.106999999999999</v>
      </c>
      <c r="P33" s="147">
        <v>9.8569999999999993</v>
      </c>
      <c r="Q33" s="147">
        <v>9.6639999999999997</v>
      </c>
      <c r="R33" s="147">
        <v>10.047000000000001</v>
      </c>
      <c r="S33" s="147">
        <v>10.105</v>
      </c>
      <c r="T33" s="147">
        <v>9.7059999999999995</v>
      </c>
      <c r="U33" s="147">
        <v>11.06</v>
      </c>
      <c r="V33" s="147">
        <v>10.433999999999999</v>
      </c>
      <c r="W33" s="147">
        <v>10.776999999999999</v>
      </c>
      <c r="X33" s="147">
        <v>8.8719999999999999</v>
      </c>
      <c r="Y33" s="147">
        <v>9.75</v>
      </c>
      <c r="Z33" s="147">
        <v>9.3949999999999996</v>
      </c>
      <c r="AA33" s="152">
        <v>9.2750000000000004</v>
      </c>
      <c r="AB33" s="152">
        <v>9.4700000000000006</v>
      </c>
      <c r="AC33" s="152">
        <v>9.5969999999999995</v>
      </c>
      <c r="AD33" s="152">
        <v>8.468</v>
      </c>
      <c r="AE33" s="152">
        <v>9.4559999999999995</v>
      </c>
      <c r="AF33" s="152">
        <v>10.362</v>
      </c>
      <c r="AG33" s="152">
        <v>11.175000000000001</v>
      </c>
      <c r="AH33" s="152">
        <v>10.271000000000001</v>
      </c>
      <c r="AI33" s="152">
        <v>10.137</v>
      </c>
      <c r="AJ33" s="152">
        <v>10.75</v>
      </c>
      <c r="AK33" s="315">
        <f t="shared" si="1"/>
        <v>6.0471539903324469</v>
      </c>
      <c r="AL33" s="85" t="s">
        <v>31</v>
      </c>
    </row>
    <row r="34" spans="1:58" ht="12.75" customHeight="1" x14ac:dyDescent="0.2">
      <c r="A34" s="15"/>
      <c r="B34" s="18" t="s">
        <v>32</v>
      </c>
      <c r="C34" s="342">
        <v>17.311</v>
      </c>
      <c r="D34" s="342">
        <v>16.648</v>
      </c>
      <c r="E34" s="342">
        <v>19.100000000000001</v>
      </c>
      <c r="F34" s="164">
        <v>18.815999999999999</v>
      </c>
      <c r="G34" s="164">
        <v>19.202000000000002</v>
      </c>
      <c r="H34" s="164">
        <v>18.577999999999999</v>
      </c>
      <c r="I34" s="164">
        <v>19.068999999999999</v>
      </c>
      <c r="J34" s="164">
        <v>19.390999999999998</v>
      </c>
      <c r="K34" s="164">
        <v>18.846</v>
      </c>
      <c r="L34" s="164">
        <v>19.181000000000001</v>
      </c>
      <c r="M34" s="164">
        <v>19.163</v>
      </c>
      <c r="N34" s="164">
        <v>19.09</v>
      </c>
      <c r="O34" s="164">
        <v>19.475000000000001</v>
      </c>
      <c r="P34" s="164">
        <v>18.954000000000001</v>
      </c>
      <c r="Q34" s="164">
        <v>19.196999999999999</v>
      </c>
      <c r="R34" s="164">
        <v>20.170000000000002</v>
      </c>
      <c r="S34" s="164">
        <v>20.856000000000002</v>
      </c>
      <c r="T34" s="164">
        <v>21.675000000000001</v>
      </c>
      <c r="U34" s="164">
        <v>22.271000000000001</v>
      </c>
      <c r="V34" s="164">
        <v>23.25</v>
      </c>
      <c r="W34" s="164">
        <v>22.923999999999999</v>
      </c>
      <c r="X34" s="164">
        <v>20.388999999999999</v>
      </c>
      <c r="Y34" s="164">
        <v>23.463999999999999</v>
      </c>
      <c r="Z34" s="164">
        <v>22.864000000000001</v>
      </c>
      <c r="AA34" s="310">
        <v>22.042999999999999</v>
      </c>
      <c r="AB34" s="310">
        <v>20.97</v>
      </c>
      <c r="AC34" s="310">
        <v>21.295999999999999</v>
      </c>
      <c r="AD34" s="310">
        <v>20.699000000000002</v>
      </c>
      <c r="AE34" s="310">
        <v>21.405999999999999</v>
      </c>
      <c r="AF34" s="310">
        <v>21.838000000000001</v>
      </c>
      <c r="AG34" s="310">
        <v>22.794</v>
      </c>
      <c r="AH34" s="310">
        <v>22.222000000000001</v>
      </c>
      <c r="AI34" s="310">
        <v>22.094000000000001</v>
      </c>
      <c r="AJ34" s="310">
        <v>23.449000000000002</v>
      </c>
      <c r="AK34" s="324">
        <f t="shared" si="1"/>
        <v>6.1328867565854921</v>
      </c>
      <c r="AL34" s="18" t="s">
        <v>32</v>
      </c>
    </row>
    <row r="35" spans="1:58" ht="12.75" customHeight="1" x14ac:dyDescent="0.2">
      <c r="A35" s="15"/>
      <c r="B35" s="188" t="s">
        <v>3</v>
      </c>
      <c r="C35" s="189" t="s">
        <v>35</v>
      </c>
      <c r="D35" s="189" t="s">
        <v>35</v>
      </c>
      <c r="E35" s="204" t="s">
        <v>35</v>
      </c>
      <c r="F35" s="204" t="s">
        <v>35</v>
      </c>
      <c r="G35" s="204" t="s">
        <v>35</v>
      </c>
      <c r="H35" s="204" t="s">
        <v>35</v>
      </c>
      <c r="I35" s="204" t="s">
        <v>35</v>
      </c>
      <c r="J35" s="204" t="s">
        <v>35</v>
      </c>
      <c r="K35" s="204" t="s">
        <v>35</v>
      </c>
      <c r="L35" s="204" t="s">
        <v>35</v>
      </c>
      <c r="M35" s="204" t="s">
        <v>35</v>
      </c>
      <c r="N35" s="204" t="s">
        <v>35</v>
      </c>
      <c r="O35" s="204" t="s">
        <v>35</v>
      </c>
      <c r="P35" s="190" t="s">
        <v>35</v>
      </c>
      <c r="Q35" s="190" t="s">
        <v>35</v>
      </c>
      <c r="R35" s="190" t="s">
        <v>35</v>
      </c>
      <c r="S35" s="190" t="s">
        <v>35</v>
      </c>
      <c r="T35" s="190" t="s">
        <v>35</v>
      </c>
      <c r="U35" s="190" t="s">
        <v>35</v>
      </c>
      <c r="V35" s="190" t="s">
        <v>35</v>
      </c>
      <c r="W35" s="190" t="s">
        <v>35</v>
      </c>
      <c r="X35" s="190" t="s">
        <v>35</v>
      </c>
      <c r="Y35" s="190" t="s">
        <v>35</v>
      </c>
      <c r="Z35" s="204" t="s">
        <v>35</v>
      </c>
      <c r="AA35" s="204" t="s">
        <v>35</v>
      </c>
      <c r="AB35" s="204" t="s">
        <v>35</v>
      </c>
      <c r="AC35" s="204" t="s">
        <v>35</v>
      </c>
      <c r="AD35" s="204" t="s">
        <v>35</v>
      </c>
      <c r="AE35" s="204" t="s">
        <v>35</v>
      </c>
      <c r="AF35" s="204" t="s">
        <v>35</v>
      </c>
      <c r="AG35" s="204" t="s">
        <v>35</v>
      </c>
      <c r="AH35" s="204" t="s">
        <v>35</v>
      </c>
      <c r="AI35" s="204" t="s">
        <v>35</v>
      </c>
      <c r="AJ35" s="204" t="s">
        <v>35</v>
      </c>
      <c r="AK35" s="477" t="s">
        <v>35</v>
      </c>
      <c r="AL35" s="188" t="s">
        <v>3</v>
      </c>
    </row>
    <row r="36" spans="1:58" ht="17.25" customHeight="1" x14ac:dyDescent="0.2">
      <c r="A36" s="15"/>
      <c r="B36" s="17" t="s">
        <v>33</v>
      </c>
      <c r="C36" s="92">
        <v>2.6</v>
      </c>
      <c r="D36" s="92">
        <v>3</v>
      </c>
      <c r="E36" s="55">
        <v>2.6</v>
      </c>
      <c r="F36" s="55">
        <v>2.7</v>
      </c>
      <c r="G36" s="55">
        <v>2.7</v>
      </c>
      <c r="H36" s="55">
        <v>2.9</v>
      </c>
      <c r="I36" s="55">
        <v>2.7</v>
      </c>
      <c r="J36" s="55">
        <v>2.7</v>
      </c>
      <c r="K36" s="55">
        <v>2.8</v>
      </c>
      <c r="L36" s="55">
        <v>3</v>
      </c>
      <c r="M36" s="55">
        <v>2.9</v>
      </c>
      <c r="N36" s="55">
        <v>2.9</v>
      </c>
      <c r="O36" s="55">
        <v>3</v>
      </c>
      <c r="P36" s="55">
        <v>2.9</v>
      </c>
      <c r="Q36" s="55">
        <v>2.7</v>
      </c>
      <c r="R36" s="55">
        <v>2.6269999999999998</v>
      </c>
      <c r="S36" s="55">
        <v>2.8450000000000002</v>
      </c>
      <c r="T36" s="55">
        <v>3.1819999999999999</v>
      </c>
      <c r="U36" s="55">
        <v>3.351</v>
      </c>
      <c r="V36" s="55">
        <v>3.5019999999999998</v>
      </c>
      <c r="W36" s="55">
        <v>3.621</v>
      </c>
      <c r="X36" s="55">
        <v>3.5059999999999998</v>
      </c>
      <c r="Y36" s="55">
        <v>3.496</v>
      </c>
      <c r="Z36" s="55">
        <v>3.5739999999999998</v>
      </c>
      <c r="AA36" s="55">
        <v>3.4889999999999999</v>
      </c>
      <c r="AB36" s="55">
        <v>3.383</v>
      </c>
      <c r="AC36" s="55">
        <v>3.5390000000000001</v>
      </c>
      <c r="AD36" s="55">
        <v>3.4980000000000002</v>
      </c>
      <c r="AE36" s="55">
        <v>3.3119999999999998</v>
      </c>
      <c r="AF36" s="55">
        <v>4.04</v>
      </c>
      <c r="AG36" s="55">
        <v>3.97</v>
      </c>
      <c r="AH36" s="55">
        <v>3.903</v>
      </c>
      <c r="AI36" s="55">
        <v>4.1100000000000003</v>
      </c>
      <c r="AJ36" s="159">
        <v>4.3049999999999997</v>
      </c>
      <c r="AK36" s="171">
        <f>AJ36/AI36*100-100</f>
        <v>4.7445255474452495</v>
      </c>
      <c r="AL36" s="17" t="s">
        <v>33</v>
      </c>
    </row>
    <row r="37" spans="1:58" ht="13.5" customHeight="1" x14ac:dyDescent="0.2">
      <c r="A37" s="15"/>
      <c r="B37" s="208" t="s">
        <v>4</v>
      </c>
      <c r="C37" s="209">
        <v>6.9</v>
      </c>
      <c r="D37" s="209">
        <v>7.8</v>
      </c>
      <c r="E37" s="193">
        <v>9.0449999999999999</v>
      </c>
      <c r="F37" s="193">
        <v>8.9169999999999998</v>
      </c>
      <c r="G37" s="193">
        <v>8.4580000000000002</v>
      </c>
      <c r="H37" s="193">
        <v>8.0510000000000002</v>
      </c>
      <c r="I37" s="193">
        <v>8.8190000000000008</v>
      </c>
      <c r="J37" s="193">
        <v>8.8559999999999999</v>
      </c>
      <c r="K37" s="193">
        <v>8.0310000000000006</v>
      </c>
      <c r="L37" s="193">
        <v>8.8360000000000003</v>
      </c>
      <c r="M37" s="193">
        <v>9.4109999999999996</v>
      </c>
      <c r="N37" s="193">
        <v>9.8309999999999995</v>
      </c>
      <c r="O37" s="193">
        <v>11.08</v>
      </c>
      <c r="P37" s="193">
        <v>11.172000000000001</v>
      </c>
      <c r="Q37" s="193">
        <v>10.746</v>
      </c>
      <c r="R37" s="193">
        <v>10.598000000000001</v>
      </c>
      <c r="S37" s="193">
        <v>11.489000000000001</v>
      </c>
      <c r="T37" s="193">
        <v>11.677</v>
      </c>
      <c r="U37" s="193">
        <v>12.465999999999999</v>
      </c>
      <c r="V37" s="191">
        <v>11.952</v>
      </c>
      <c r="W37" s="193">
        <v>12.265000000000001</v>
      </c>
      <c r="X37" s="193">
        <v>10.565</v>
      </c>
      <c r="Y37" s="193">
        <v>11.074</v>
      </c>
      <c r="Z37" s="193">
        <v>11.526</v>
      </c>
      <c r="AA37" s="193">
        <v>11.061</v>
      </c>
      <c r="AB37" s="193">
        <v>11.811999999999999</v>
      </c>
      <c r="AC37" s="193">
        <v>12.313000000000001</v>
      </c>
      <c r="AD37" s="193">
        <v>12.430999999999999</v>
      </c>
      <c r="AE37" s="193">
        <v>12.446999999999999</v>
      </c>
      <c r="AF37" s="193">
        <v>11.664999999999999</v>
      </c>
      <c r="AG37" s="193">
        <v>11.776</v>
      </c>
      <c r="AH37" s="193">
        <v>11.673</v>
      </c>
      <c r="AI37" s="193">
        <v>11.067</v>
      </c>
      <c r="AJ37" s="210">
        <v>12.023</v>
      </c>
      <c r="AK37" s="317">
        <f>AJ37/AI37*100-100</f>
        <v>8.6382940272883246</v>
      </c>
      <c r="AL37" s="208" t="s">
        <v>4</v>
      </c>
    </row>
    <row r="38" spans="1:58" s="388" customFormat="1" ht="12.75" customHeight="1" x14ac:dyDescent="0.2">
      <c r="A38" s="508"/>
      <c r="B38" s="17" t="s">
        <v>145</v>
      </c>
      <c r="C38" s="111"/>
      <c r="D38" s="531"/>
      <c r="E38" s="55"/>
      <c r="F38" s="55"/>
      <c r="G38" s="55"/>
      <c r="H38" s="55"/>
      <c r="I38" s="55"/>
      <c r="J38" s="55"/>
      <c r="K38" s="55"/>
      <c r="L38" s="55"/>
      <c r="M38" s="55"/>
      <c r="N38" s="55"/>
      <c r="O38" s="150">
        <v>0.14000000000000001</v>
      </c>
      <c r="P38" s="150">
        <v>0.28000000000000003</v>
      </c>
      <c r="Q38" s="150">
        <v>0.308</v>
      </c>
      <c r="R38" s="150">
        <v>0.318</v>
      </c>
      <c r="S38" s="150">
        <v>0.36299999999999999</v>
      </c>
      <c r="T38" s="150">
        <v>0.379</v>
      </c>
      <c r="U38" s="150">
        <v>0.372</v>
      </c>
      <c r="V38" s="150">
        <v>1.0880000000000001</v>
      </c>
      <c r="W38" s="150">
        <v>1.242</v>
      </c>
      <c r="X38" s="150">
        <v>0.99199999999999999</v>
      </c>
      <c r="Y38" s="150">
        <v>0.877</v>
      </c>
      <c r="Z38" s="150">
        <v>1.018</v>
      </c>
      <c r="AA38" s="150">
        <v>1.1499999999999999</v>
      </c>
      <c r="AB38" s="150">
        <v>1.2430000000000001</v>
      </c>
      <c r="AC38" s="150">
        <v>1.3129999999999999</v>
      </c>
      <c r="AD38" s="150">
        <v>1.2849999999999999</v>
      </c>
      <c r="AE38" s="150">
        <v>1.1419999999999999</v>
      </c>
      <c r="AF38" s="150">
        <v>1.1160000000000001</v>
      </c>
      <c r="AG38" s="150">
        <v>1.179</v>
      </c>
      <c r="AH38" s="150">
        <v>1.2749999999999999</v>
      </c>
      <c r="AI38" s="150">
        <v>1.03</v>
      </c>
      <c r="AJ38" s="150">
        <v>1.181</v>
      </c>
      <c r="AK38" s="171">
        <f t="shared" si="1"/>
        <v>14.660194174757279</v>
      </c>
      <c r="AL38" s="17" t="s">
        <v>145</v>
      </c>
    </row>
    <row r="39" spans="1:58" ht="12.75" customHeight="1" x14ac:dyDescent="0.2">
      <c r="A39" s="15"/>
      <c r="B39" s="188" t="s">
        <v>96</v>
      </c>
      <c r="C39" s="189"/>
      <c r="D39" s="189"/>
      <c r="E39" s="190"/>
      <c r="F39" s="190"/>
      <c r="G39" s="190"/>
      <c r="H39" s="190"/>
      <c r="I39" s="190"/>
      <c r="J39" s="190"/>
      <c r="K39" s="190"/>
      <c r="L39" s="190"/>
      <c r="M39" s="190"/>
      <c r="N39" s="190"/>
      <c r="O39" s="190"/>
      <c r="P39" s="190"/>
      <c r="Q39" s="190"/>
      <c r="R39" s="190"/>
      <c r="S39" s="190"/>
      <c r="T39" s="190"/>
      <c r="U39" s="190"/>
      <c r="V39" s="190">
        <v>0.185</v>
      </c>
      <c r="W39" s="190">
        <v>0.183</v>
      </c>
      <c r="X39" s="190">
        <v>0.1</v>
      </c>
      <c r="Y39" s="190">
        <v>0.15</v>
      </c>
      <c r="Z39" s="190">
        <v>0.13600000000000001</v>
      </c>
      <c r="AA39" s="190">
        <v>7.2999999999999995E-2</v>
      </c>
      <c r="AB39" s="190">
        <v>0.105</v>
      </c>
      <c r="AC39" s="190">
        <v>9.4E-2</v>
      </c>
      <c r="AD39" s="190">
        <v>0.112</v>
      </c>
      <c r="AE39" s="190">
        <v>0.11249000000000001</v>
      </c>
      <c r="AF39" s="190">
        <v>0.16900000000000001</v>
      </c>
      <c r="AG39" s="190">
        <v>0.113</v>
      </c>
      <c r="AH39" s="190">
        <v>0.13</v>
      </c>
      <c r="AI39" s="190">
        <v>0.13</v>
      </c>
      <c r="AJ39" s="190">
        <f>127222/1000000</f>
        <v>0.127222</v>
      </c>
      <c r="AK39" s="385">
        <f t="shared" si="1"/>
        <v>-2.1369230769230825</v>
      </c>
      <c r="AL39" s="188" t="s">
        <v>96</v>
      </c>
    </row>
    <row r="40" spans="1:58" s="388" customFormat="1" ht="12.75" customHeight="1" x14ac:dyDescent="0.2">
      <c r="A40" s="508"/>
      <c r="B40" s="17" t="s">
        <v>146</v>
      </c>
      <c r="C40" s="92"/>
      <c r="D40" s="92"/>
      <c r="E40" s="55"/>
      <c r="F40" s="55"/>
      <c r="G40" s="55"/>
      <c r="H40" s="55"/>
      <c r="I40" s="55"/>
      <c r="J40" s="55"/>
      <c r="K40" s="55"/>
      <c r="L40" s="55"/>
      <c r="M40" s="55"/>
      <c r="N40" s="55"/>
      <c r="O40" s="55">
        <v>1.538</v>
      </c>
      <c r="P40" s="55">
        <v>2.0489999999999999</v>
      </c>
      <c r="Q40" s="55">
        <v>2.7149999999999999</v>
      </c>
      <c r="R40" s="55">
        <v>3</v>
      </c>
      <c r="S40" s="55">
        <v>2.968</v>
      </c>
      <c r="T40" s="55">
        <v>2.98</v>
      </c>
      <c r="U40" s="55">
        <v>3.6560000000000001</v>
      </c>
      <c r="V40" s="55">
        <v>3.0920000000000001</v>
      </c>
      <c r="W40" s="55">
        <v>2.8730000000000002</v>
      </c>
      <c r="X40" s="55">
        <v>1.0580000000000001</v>
      </c>
      <c r="Y40" s="55">
        <v>0.95899999999999996</v>
      </c>
      <c r="Z40" s="55">
        <v>1.196</v>
      </c>
      <c r="AA40" s="55">
        <v>0.96</v>
      </c>
      <c r="AB40" s="55">
        <v>1.2270000000000001</v>
      </c>
      <c r="AC40" s="55">
        <v>1.1819999999999999</v>
      </c>
      <c r="AD40" s="55">
        <v>0.96299999999999997</v>
      </c>
      <c r="AE40" s="55">
        <v>0.79</v>
      </c>
      <c r="AF40" s="55">
        <v>0.98699999999999999</v>
      </c>
      <c r="AG40" s="55">
        <v>1.012</v>
      </c>
      <c r="AH40" s="55">
        <v>0.94029999999999991</v>
      </c>
      <c r="AI40" s="55">
        <v>0.59899999999999998</v>
      </c>
      <c r="AJ40" s="55">
        <v>0.66449999999999998</v>
      </c>
      <c r="AK40" s="171">
        <f t="shared" si="1"/>
        <v>10.934891485809686</v>
      </c>
      <c r="AL40" s="17" t="s">
        <v>146</v>
      </c>
    </row>
    <row r="41" spans="1:58" s="388" customFormat="1" ht="12.75" customHeight="1" x14ac:dyDescent="0.2">
      <c r="A41" s="508"/>
      <c r="B41" s="188" t="s">
        <v>2</v>
      </c>
      <c r="C41" s="189" t="s">
        <v>34</v>
      </c>
      <c r="D41" s="189" t="s">
        <v>34</v>
      </c>
      <c r="E41" s="190" t="s">
        <v>34</v>
      </c>
      <c r="F41" s="190"/>
      <c r="G41" s="190"/>
      <c r="H41" s="190"/>
      <c r="I41" s="190"/>
      <c r="J41" s="190"/>
      <c r="K41" s="190"/>
      <c r="L41" s="190"/>
      <c r="M41" s="190"/>
      <c r="N41" s="190"/>
      <c r="O41" s="190">
        <v>0.5</v>
      </c>
      <c r="P41" s="190">
        <v>0.46200000000000002</v>
      </c>
      <c r="Q41" s="190">
        <v>0.33400000000000002</v>
      </c>
      <c r="R41" s="190">
        <v>0.373</v>
      </c>
      <c r="S41" s="190">
        <v>0.42599999999999999</v>
      </c>
      <c r="T41" s="190">
        <v>0.53100000000000003</v>
      </c>
      <c r="U41" s="190">
        <v>0.61399999999999999</v>
      </c>
      <c r="V41" s="190">
        <v>0.77800000000000002</v>
      </c>
      <c r="W41" s="190">
        <v>0.74299999999999999</v>
      </c>
      <c r="X41" s="190">
        <v>0.497</v>
      </c>
      <c r="Y41" s="190">
        <v>0.52500000000000002</v>
      </c>
      <c r="Z41" s="190">
        <v>0.47899999999999998</v>
      </c>
      <c r="AA41" s="190">
        <v>0.42299999999999999</v>
      </c>
      <c r="AB41" s="190">
        <v>0.42099999999999999</v>
      </c>
      <c r="AC41" s="190">
        <v>0.41099999999999998</v>
      </c>
      <c r="AD41" s="190">
        <v>0.27800000000000002</v>
      </c>
      <c r="AE41" s="190">
        <v>0.222</v>
      </c>
      <c r="AF41" s="190">
        <v>0.27700000000000002</v>
      </c>
      <c r="AG41" s="190">
        <v>0.307</v>
      </c>
      <c r="AH41" s="190">
        <v>0.35</v>
      </c>
      <c r="AI41" s="190">
        <v>0.34200000000000003</v>
      </c>
      <c r="AJ41" s="190">
        <v>0.38100000000000001</v>
      </c>
      <c r="AK41" s="385">
        <f t="shared" si="1"/>
        <v>11.403508771929822</v>
      </c>
      <c r="AL41" s="188" t="s">
        <v>2</v>
      </c>
      <c r="AM41" s="3"/>
      <c r="AN41" s="3"/>
      <c r="AO41" s="3"/>
      <c r="AP41" s="3"/>
      <c r="AQ41" s="3"/>
      <c r="AR41" s="3"/>
      <c r="AS41" s="3"/>
      <c r="AT41" s="3"/>
      <c r="AU41" s="3"/>
      <c r="AV41" s="3"/>
      <c r="AW41" s="3"/>
      <c r="AX41" s="3"/>
      <c r="AY41" s="3"/>
      <c r="AZ41" s="3"/>
      <c r="BA41" s="3"/>
      <c r="BB41" s="3"/>
      <c r="BC41" s="3"/>
      <c r="BD41" s="3"/>
      <c r="BE41" s="3"/>
      <c r="BF41" s="3"/>
    </row>
    <row r="42" spans="1:58" s="388" customFormat="1" ht="12.75" customHeight="1" x14ac:dyDescent="0.2">
      <c r="A42" s="508"/>
      <c r="B42" s="17" t="s">
        <v>99</v>
      </c>
      <c r="C42" s="111">
        <v>0.16</v>
      </c>
      <c r="D42" s="111">
        <v>0.47699999999999998</v>
      </c>
      <c r="E42" s="111">
        <v>0.58399999999999996</v>
      </c>
      <c r="F42" s="55">
        <v>0.27800000000000002</v>
      </c>
      <c r="G42" s="195">
        <v>0.06</v>
      </c>
      <c r="H42" s="55">
        <v>5.3999999999999999E-2</v>
      </c>
      <c r="I42" s="55">
        <v>5.2999999999999999E-2</v>
      </c>
      <c r="J42" s="55">
        <v>5.2999999999999999E-2</v>
      </c>
      <c r="K42" s="55">
        <v>4.2000000000000003E-2</v>
      </c>
      <c r="L42" s="55">
        <v>2.3E-2</v>
      </c>
      <c r="M42" s="55">
        <v>2.5000000000000001E-2</v>
      </c>
      <c r="N42" s="55">
        <v>2.5999999999999999E-2</v>
      </c>
      <c r="O42" s="55">
        <v>2.8000000000000001E-2</v>
      </c>
      <c r="P42" s="55">
        <v>1.9E-2</v>
      </c>
      <c r="Q42" s="55">
        <v>2.1000000000000001E-2</v>
      </c>
      <c r="R42" s="55">
        <v>3.2000000000000001E-2</v>
      </c>
      <c r="S42" s="55">
        <v>3.2000000000000001E-2</v>
      </c>
      <c r="T42" s="55">
        <v>2.5999999999999999E-2</v>
      </c>
      <c r="U42" s="55">
        <v>3.5999999999999997E-2</v>
      </c>
      <c r="V42" s="55">
        <v>5.2999999999999999E-2</v>
      </c>
      <c r="W42" s="55">
        <v>5.1999999999999998E-2</v>
      </c>
      <c r="X42" s="55">
        <v>4.5999999999999999E-2</v>
      </c>
      <c r="Y42" s="55">
        <v>6.6177E-2</v>
      </c>
      <c r="Z42" s="150">
        <v>5.0122E-2</v>
      </c>
      <c r="AA42" s="150">
        <v>2.5307E-2</v>
      </c>
      <c r="AB42" s="150">
        <v>2.2974999999999999E-2</v>
      </c>
      <c r="AC42" s="150">
        <v>3.9889000000000001E-2</v>
      </c>
      <c r="AD42" s="150">
        <v>2.3E-2</v>
      </c>
      <c r="AE42" s="150">
        <v>8.9999999999999993E-3</v>
      </c>
      <c r="AF42" s="150">
        <v>2.5000000000000001E-2</v>
      </c>
      <c r="AG42" s="150">
        <v>0.02</v>
      </c>
      <c r="AH42" s="150">
        <f>43/1000</f>
        <v>4.2999999999999997E-2</v>
      </c>
      <c r="AI42" s="150">
        <f>26/1000</f>
        <v>2.5999999999999999E-2</v>
      </c>
      <c r="AJ42" s="150">
        <v>2.5115118700000001E-2</v>
      </c>
      <c r="AK42" s="171">
        <f t="shared" si="1"/>
        <v>-3.4033896153846115</v>
      </c>
      <c r="AL42" s="17" t="s">
        <v>99</v>
      </c>
    </row>
    <row r="43" spans="1:58" s="388" customFormat="1" ht="12.75" customHeight="1" x14ac:dyDescent="0.2">
      <c r="A43" s="508"/>
      <c r="B43" s="188" t="s">
        <v>97</v>
      </c>
      <c r="C43" s="189"/>
      <c r="D43" s="189"/>
      <c r="E43" s="190"/>
      <c r="F43" s="190"/>
      <c r="G43" s="190"/>
      <c r="H43" s="190"/>
      <c r="I43" s="190"/>
      <c r="J43" s="190"/>
      <c r="K43" s="190"/>
      <c r="L43" s="190"/>
      <c r="M43" s="190"/>
      <c r="N43" s="190"/>
      <c r="O43" s="190"/>
      <c r="P43" s="190"/>
      <c r="Q43" s="190"/>
      <c r="R43" s="190"/>
      <c r="S43" s="190"/>
      <c r="T43" s="190"/>
      <c r="U43" s="190"/>
      <c r="V43" s="190"/>
      <c r="W43" s="190">
        <v>4.3390000000000004</v>
      </c>
      <c r="X43" s="190">
        <v>2.9670000000000001</v>
      </c>
      <c r="Y43" s="190">
        <v>3.5219999999999998</v>
      </c>
      <c r="Z43" s="190">
        <v>3.6110000000000002</v>
      </c>
      <c r="AA43" s="190">
        <v>2.7690000000000001</v>
      </c>
      <c r="AB43" s="190">
        <v>3.0219999999999998</v>
      </c>
      <c r="AC43" s="190">
        <v>2.988</v>
      </c>
      <c r="AD43" s="190">
        <v>3.2480000000000002</v>
      </c>
      <c r="AE43" s="190">
        <v>3.0870000000000002</v>
      </c>
      <c r="AF43" s="190">
        <v>3.2879999999999998</v>
      </c>
      <c r="AG43" s="192">
        <f>3186/1000</f>
        <v>3.1859999999999999</v>
      </c>
      <c r="AH43" s="192">
        <f>2865/1000</f>
        <v>2.8650000000000002</v>
      </c>
      <c r="AI43" s="192">
        <f>2747/1000</f>
        <v>2.7469999999999999</v>
      </c>
      <c r="AJ43" s="192">
        <v>2.9249999999999998</v>
      </c>
      <c r="AK43" s="385">
        <f t="shared" si="1"/>
        <v>6.4797961412449894</v>
      </c>
      <c r="AL43" s="188" t="s">
        <v>97</v>
      </c>
      <c r="AM43" s="3"/>
      <c r="AN43" s="3"/>
      <c r="AO43" s="3"/>
      <c r="AP43" s="3"/>
      <c r="AQ43" s="3"/>
      <c r="AR43" s="3"/>
      <c r="AS43" s="3"/>
      <c r="AT43" s="3"/>
      <c r="AU43" s="3"/>
      <c r="AV43" s="3"/>
      <c r="AW43" s="3"/>
      <c r="AX43" s="3"/>
      <c r="AY43" s="3"/>
      <c r="AZ43" s="3"/>
      <c r="BA43" s="3"/>
      <c r="BB43" s="3"/>
      <c r="BC43" s="3"/>
      <c r="BD43" s="3"/>
      <c r="BE43" s="3"/>
      <c r="BF43" s="3"/>
    </row>
    <row r="44" spans="1:58" s="388" customFormat="1" ht="12.75" customHeight="1" x14ac:dyDescent="0.2">
      <c r="A44" s="508"/>
      <c r="B44" s="17" t="s">
        <v>17</v>
      </c>
      <c r="C44" s="92">
        <v>5.5</v>
      </c>
      <c r="D44" s="92">
        <v>5</v>
      </c>
      <c r="E44" s="55">
        <v>7.8940000000000001</v>
      </c>
      <c r="F44" s="55">
        <v>7.9770000000000003</v>
      </c>
      <c r="G44" s="55">
        <v>8.2309999999999999</v>
      </c>
      <c r="H44" s="55">
        <v>8.3960000000000008</v>
      </c>
      <c r="I44" s="55">
        <v>8.2029999999999994</v>
      </c>
      <c r="J44" s="55">
        <v>8.5060000000000002</v>
      </c>
      <c r="K44" s="55">
        <v>8.9039999999999999</v>
      </c>
      <c r="L44" s="55">
        <v>9.6059999999999999</v>
      </c>
      <c r="M44" s="55">
        <v>8.3689999999999998</v>
      </c>
      <c r="N44" s="55">
        <v>8.23</v>
      </c>
      <c r="O44" s="55">
        <v>9.7569999999999997</v>
      </c>
      <c r="P44" s="55">
        <v>7.4829999999999997</v>
      </c>
      <c r="Q44" s="55">
        <v>7.1760000000000002</v>
      </c>
      <c r="R44" s="55">
        <v>8.6120000000000001</v>
      </c>
      <c r="S44" s="55">
        <v>9.3320000000000007</v>
      </c>
      <c r="T44" s="55">
        <v>9.077</v>
      </c>
      <c r="U44" s="55">
        <v>9.5440000000000005</v>
      </c>
      <c r="V44" s="55">
        <v>9.7550000000000008</v>
      </c>
      <c r="W44" s="55">
        <v>10.552</v>
      </c>
      <c r="X44" s="55">
        <v>10.163</v>
      </c>
      <c r="Y44" s="55">
        <v>11.3</v>
      </c>
      <c r="Z44" s="55">
        <v>11.303000000000001</v>
      </c>
      <c r="AA44" s="55">
        <v>11.223000000000001</v>
      </c>
      <c r="AB44" s="55">
        <v>10.75</v>
      </c>
      <c r="AC44" s="55">
        <v>11.601000000000001</v>
      </c>
      <c r="AD44" s="55">
        <v>10.178000000000001</v>
      </c>
      <c r="AE44" s="55">
        <v>11.423999999999999</v>
      </c>
      <c r="AF44" s="55">
        <v>12.676</v>
      </c>
      <c r="AG44" s="55">
        <v>12.637</v>
      </c>
      <c r="AH44" s="55">
        <v>14.707000000000001</v>
      </c>
      <c r="AI44" s="55">
        <v>15.345000000000001</v>
      </c>
      <c r="AJ44" s="159">
        <v>14.621</v>
      </c>
      <c r="AK44" s="171">
        <f t="shared" si="1"/>
        <v>-4.7181492342782718</v>
      </c>
      <c r="AL44" s="17" t="s">
        <v>17</v>
      </c>
    </row>
    <row r="45" spans="1:58" s="388" customFormat="1" ht="12.75" customHeight="1" x14ac:dyDescent="0.2">
      <c r="A45" s="508"/>
      <c r="B45" s="208" t="s">
        <v>144</v>
      </c>
      <c r="C45" s="209"/>
      <c r="D45" s="209"/>
      <c r="E45" s="193"/>
      <c r="F45" s="193"/>
      <c r="G45" s="193"/>
      <c r="H45" s="193"/>
      <c r="I45" s="193"/>
      <c r="J45" s="193"/>
      <c r="K45" s="193"/>
      <c r="L45" s="193"/>
      <c r="M45" s="193"/>
      <c r="N45" s="193"/>
      <c r="O45" s="193">
        <v>172.84</v>
      </c>
      <c r="P45" s="193">
        <v>177.465</v>
      </c>
      <c r="Q45" s="193">
        <v>193.14</v>
      </c>
      <c r="R45" s="193">
        <v>225.28700000000001</v>
      </c>
      <c r="S45" s="193">
        <v>233.98699999999999</v>
      </c>
      <c r="T45" s="193">
        <v>223.98</v>
      </c>
      <c r="U45" s="193">
        <v>240.81</v>
      </c>
      <c r="V45" s="193">
        <v>262.50400000000002</v>
      </c>
      <c r="W45" s="193">
        <v>257.00700000000001</v>
      </c>
      <c r="X45" s="193">
        <v>196.18799999999999</v>
      </c>
      <c r="Y45" s="193">
        <v>218.09100000000001</v>
      </c>
      <c r="Z45" s="193">
        <v>243.86600000000001</v>
      </c>
      <c r="AA45" s="193">
        <v>237.72200000000001</v>
      </c>
      <c r="AB45" s="193">
        <v>224.434</v>
      </c>
      <c r="AC45" s="193">
        <v>210.15700000000001</v>
      </c>
      <c r="AD45" s="193">
        <v>195.054</v>
      </c>
      <c r="AE45" s="193">
        <v>187.55699999999999</v>
      </c>
      <c r="AF45" s="193">
        <v>191.91399999999999</v>
      </c>
      <c r="AG45" s="193">
        <v>186.34399999999999</v>
      </c>
      <c r="AH45" s="193">
        <v>181.84399999999999</v>
      </c>
      <c r="AI45" s="193">
        <v>175.58699999999999</v>
      </c>
      <c r="AJ45" s="298">
        <f>AVERAGE(AG45:AI45)</f>
        <v>181.25833333333333</v>
      </c>
      <c r="AK45" s="317">
        <f t="shared" si="1"/>
        <v>3.2299278040705417</v>
      </c>
      <c r="AL45" s="208" t="s">
        <v>144</v>
      </c>
      <c r="AM45" s="3"/>
      <c r="AN45" s="3"/>
      <c r="AO45" s="3"/>
      <c r="AP45" s="3"/>
      <c r="AQ45" s="3"/>
      <c r="AR45" s="3"/>
      <c r="AS45" s="3"/>
      <c r="AT45" s="3"/>
      <c r="AU45" s="3"/>
      <c r="AV45" s="3"/>
      <c r="AW45" s="3"/>
      <c r="AX45" s="3"/>
      <c r="AY45" s="3"/>
      <c r="AZ45" s="3"/>
      <c r="BA45" s="3"/>
      <c r="BB45" s="3"/>
      <c r="BC45" s="3"/>
      <c r="BD45" s="3"/>
      <c r="BE45" s="3"/>
      <c r="BF45" s="3"/>
    </row>
    <row r="46" spans="1:58" s="388" customFormat="1" ht="12" customHeight="1" x14ac:dyDescent="0.2">
      <c r="B46" s="16" t="s">
        <v>21</v>
      </c>
      <c r="C46" s="478">
        <v>24.55</v>
      </c>
      <c r="D46" s="478">
        <v>17.815999999999999</v>
      </c>
      <c r="E46" s="478">
        <v>16</v>
      </c>
      <c r="F46" s="394">
        <v>15.3</v>
      </c>
      <c r="G46" s="394">
        <v>15.5</v>
      </c>
      <c r="H46" s="394">
        <v>13.8</v>
      </c>
      <c r="I46" s="394">
        <v>13</v>
      </c>
      <c r="J46" s="394">
        <v>13.3</v>
      </c>
      <c r="K46" s="394">
        <v>15.1</v>
      </c>
      <c r="L46" s="394">
        <v>16.899999999999999</v>
      </c>
      <c r="M46" s="394">
        <v>17.3</v>
      </c>
      <c r="N46" s="394">
        <v>18.2</v>
      </c>
      <c r="O46" s="394">
        <v>18.100000000000001</v>
      </c>
      <c r="P46" s="394">
        <v>19.399999999999999</v>
      </c>
      <c r="Q46" s="394">
        <v>18.5</v>
      </c>
      <c r="R46" s="394">
        <v>18.734000000000002</v>
      </c>
      <c r="S46" s="394">
        <v>22.552</v>
      </c>
      <c r="T46" s="394">
        <v>21.427</v>
      </c>
      <c r="U46" s="394">
        <v>21.919</v>
      </c>
      <c r="V46" s="394">
        <v>21.265000000000001</v>
      </c>
      <c r="W46" s="394">
        <v>21.077000000000002</v>
      </c>
      <c r="X46" s="394">
        <v>19.170999999999999</v>
      </c>
      <c r="Y46" s="394">
        <v>18.576000000000001</v>
      </c>
      <c r="Z46" s="181">
        <v>20.974</v>
      </c>
      <c r="AA46" s="181">
        <v>21.443999999999999</v>
      </c>
      <c r="AB46" s="181">
        <v>22.401</v>
      </c>
      <c r="AC46" s="181">
        <v>22.143000000000001</v>
      </c>
      <c r="AD46" s="181">
        <v>19.341999999999999</v>
      </c>
      <c r="AE46" s="181">
        <v>17.053000000000001</v>
      </c>
      <c r="AF46" s="181">
        <v>17.167000000000002</v>
      </c>
      <c r="AG46" s="181">
        <v>17.206</v>
      </c>
      <c r="AH46" s="181">
        <v>16.884</v>
      </c>
      <c r="AI46" s="181">
        <v>15.21212270599</v>
      </c>
      <c r="AJ46" s="475">
        <f>AI46+AI46*T52/100</f>
        <v>15.21212270599</v>
      </c>
      <c r="AK46" s="453">
        <f t="shared" si="1"/>
        <v>0</v>
      </c>
      <c r="AL46" s="16" t="s">
        <v>21</v>
      </c>
    </row>
    <row r="47" spans="1:58" x14ac:dyDescent="0.2">
      <c r="B47" s="589" t="s">
        <v>157</v>
      </c>
      <c r="C47" s="590"/>
      <c r="D47" s="590"/>
      <c r="E47" s="590"/>
      <c r="F47" s="590"/>
      <c r="G47" s="590"/>
      <c r="H47" s="590"/>
      <c r="I47" s="590"/>
      <c r="J47" s="590"/>
      <c r="K47" s="590"/>
      <c r="L47" s="590"/>
      <c r="M47" s="590"/>
      <c r="N47" s="590"/>
      <c r="O47" s="590"/>
      <c r="P47" s="590"/>
      <c r="Q47" s="590"/>
      <c r="R47" s="590"/>
      <c r="S47" s="590"/>
      <c r="T47" s="590"/>
      <c r="U47" s="590"/>
      <c r="V47" s="590"/>
      <c r="W47" s="590"/>
      <c r="X47" s="590"/>
      <c r="Y47" s="590"/>
      <c r="Z47" s="590"/>
      <c r="AA47" s="590"/>
      <c r="AB47" s="590"/>
      <c r="AC47" s="590"/>
      <c r="AD47" s="590"/>
      <c r="AE47" s="590"/>
      <c r="AF47" s="590"/>
      <c r="AG47" s="590"/>
      <c r="AH47" s="590"/>
      <c r="AI47" s="590"/>
      <c r="AJ47" s="590"/>
      <c r="AK47" s="590"/>
      <c r="AL47" s="590"/>
    </row>
    <row r="48" spans="1:58" x14ac:dyDescent="0.2">
      <c r="B48" s="180" t="s">
        <v>149</v>
      </c>
      <c r="C48" s="376"/>
      <c r="D48" s="376"/>
      <c r="E48" s="376"/>
      <c r="F48" s="376"/>
      <c r="G48" s="376"/>
      <c r="H48" s="376"/>
      <c r="I48" s="376"/>
      <c r="J48" s="376"/>
      <c r="K48" s="376"/>
      <c r="L48" s="376"/>
      <c r="M48" s="376"/>
      <c r="N48" s="376"/>
      <c r="AC48" s="121"/>
      <c r="AD48" s="121"/>
      <c r="AE48" s="121"/>
      <c r="AF48" s="121"/>
      <c r="AG48" s="121"/>
      <c r="AH48" s="121"/>
      <c r="AI48" s="121"/>
      <c r="AJ48" s="121"/>
    </row>
    <row r="49" spans="2:38" x14ac:dyDescent="0.2">
      <c r="B49" s="587" t="s">
        <v>142</v>
      </c>
      <c r="C49" s="587"/>
      <c r="D49" s="587"/>
      <c r="E49" s="587"/>
      <c r="F49" s="587"/>
      <c r="G49" s="587"/>
      <c r="H49" s="587"/>
      <c r="I49" s="587"/>
      <c r="J49" s="587"/>
      <c r="K49" s="587"/>
      <c r="L49" s="587"/>
      <c r="M49" s="587"/>
      <c r="N49" s="587"/>
      <c r="O49" s="587"/>
      <c r="R49" s="2"/>
      <c r="AK49" s="371"/>
    </row>
    <row r="50" spans="2:38" x14ac:dyDescent="0.2">
      <c r="U50"/>
      <c r="V50"/>
      <c r="W50"/>
      <c r="X50"/>
      <c r="AE50" s="584"/>
      <c r="AF50" s="584"/>
      <c r="AG50" s="584"/>
      <c r="AH50" s="584"/>
      <c r="AI50" s="584"/>
      <c r="AJ50" s="584"/>
      <c r="AK50" s="584"/>
      <c r="AL50" s="584"/>
    </row>
    <row r="51" spans="2:38" x14ac:dyDescent="0.2">
      <c r="AE51" s="584"/>
      <c r="AF51" s="584"/>
      <c r="AG51" s="584"/>
      <c r="AH51" s="584"/>
      <c r="AI51" s="584"/>
      <c r="AJ51" s="584"/>
      <c r="AK51" s="584"/>
      <c r="AL51" s="584"/>
    </row>
    <row r="65" ht="18.75" customHeight="1" x14ac:dyDescent="0.2"/>
  </sheetData>
  <mergeCells count="7">
    <mergeCell ref="AE51:AL51"/>
    <mergeCell ref="AK5:AK6"/>
    <mergeCell ref="B49:O49"/>
    <mergeCell ref="B3:AL3"/>
    <mergeCell ref="B47:AL47"/>
    <mergeCell ref="AH4:AJ4"/>
    <mergeCell ref="AE50:AL50"/>
  </mergeCells>
  <phoneticPr fontId="5" type="noConversion"/>
  <hyperlinks>
    <hyperlink ref="Z51" r:id="rId1" display="http://stats.oecd.org/OECDStat_Metadata/ShowMetadata.ashx?Dataset=ITF_GOODS_TRANSPORT&amp;ShowOnWeb=true&amp;Lang=en" xr:uid="{00000000-0004-0000-0800-000000000000}"/>
    <hyperlink ref="AB52" r:id="rId2" display="http://stats.oecd.org/OECDStat_Metadata/ShowMetadata.ashx?Dataset=ITF_GOODS_TRANSPORT&amp;Coords=[VARIABLE].[T-GOODS-TOT-INLD]&amp;ShowOnWeb=true&amp;Lang=en" xr:uid="{00000000-0004-0000-0800-000001000000}"/>
    <hyperlink ref="AA51" r:id="rId3" tooltip="Click once to display linked information. Click and hold to select this cell." display="http://stats.oecd.org/OECDStat_Metadata/ShowMetadata.ashx?Dataset=ITF_GOODS_TRANSPORT&amp;ShowOnWeb=true&amp;Lang=en" xr:uid="{00000000-0004-0000-0800-00000B000000}"/>
  </hyperlinks>
  <printOptions horizontalCentered="1"/>
  <pageMargins left="0.6692913385826772" right="0.27559055118110237" top="0.51181102362204722" bottom="0.27559055118110237" header="0" footer="0"/>
  <pageSetup paperSize="9"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T2.2</vt:lpstr>
      <vt:lpstr>freight_graph</vt:lpstr>
      <vt:lpstr>perf_mode_tkm</vt:lpstr>
      <vt:lpstr>perf_land _tkm</vt:lpstr>
      <vt:lpstr>road_by_nat</vt:lpstr>
      <vt:lpstr>road_by_int</vt:lpstr>
      <vt:lpstr>road_by_tot</vt:lpstr>
      <vt:lpstr>road_ter</vt:lpstr>
      <vt:lpstr>rail_tkm</vt:lpstr>
      <vt:lpstr>iww</vt:lpstr>
      <vt:lpstr>pipeline</vt:lpstr>
      <vt:lpstr>usa_goods</vt:lpstr>
      <vt:lpstr>T2.2!A</vt:lpstr>
      <vt:lpstr>iww!Print_Area</vt:lpstr>
      <vt:lpstr>perf_mode_tkm!Print_Area</vt:lpstr>
      <vt:lpstr>pipeline!Print_Area</vt:lpstr>
      <vt:lpstr>rail_tkm!Print_Area</vt:lpstr>
      <vt:lpstr>road_by_int!Print_Area</vt:lpstr>
      <vt:lpstr>road_by_nat!Print_Area</vt:lpstr>
      <vt:lpstr>road_by_tot!Print_Area</vt:lpstr>
      <vt:lpstr>road_ter!Print_Area</vt:lpstr>
      <vt:lpstr>T2.2!Print_Area</vt:lpstr>
      <vt:lpstr>usa_goods!Print_Area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Iuliana</cp:lastModifiedBy>
  <cp:lastPrinted>2019-05-14T08:11:29Z</cp:lastPrinted>
  <dcterms:created xsi:type="dcterms:W3CDTF">2003-09-05T14:33:05Z</dcterms:created>
  <dcterms:modified xsi:type="dcterms:W3CDTF">2023-09-20T08:10:01Z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2023-06-07T09:27:42Z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4f275b2f-44ee-4c03-8223-65a75c64c566</vt:lpwstr>
  </property>
  <property fmtid="{D5CDD505-2E9C-101B-9397-08002B2CF9AE}" pid="8" name="MSIP_Label_6bd9ddd1-4d20-43f6-abfa-fc3c07406f94_ContentBits">
    <vt:lpwstr>0</vt:lpwstr>
  </property>
</Properties>
</file>