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75" windowWidth="18765" windowHeight="11640" tabRatio="882" activeTab="8"/>
  </bookViews>
  <sheets>
    <sheet name="T2.5" sheetId="169" r:id="rId1"/>
    <sheet name="motorway" sheetId="107" r:id="rId2"/>
    <sheet name="length_road" sheetId="108" r:id="rId3"/>
    <sheet name="rail_length" sheetId="104" r:id="rId4"/>
    <sheet name="rail_hs" sheetId="170" r:id="rId5"/>
    <sheet name="rail_gauge" sheetId="106" r:id="rId6"/>
    <sheet name="airports" sheetId="166" r:id="rId7"/>
    <sheet name="length_iww" sheetId="110" r:id="rId8"/>
    <sheet name="length_oil" sheetId="109" r:id="rId9"/>
  </sheets>
  <definedNames>
    <definedName name="A" localSheetId="0">T2.5!$A$65497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6">airports!$B$1:$I$45</definedName>
    <definedName name="_xlnm.Print_Area" localSheetId="7">length_iww!$B$1:$S$48</definedName>
    <definedName name="_xlnm.Print_Area" localSheetId="8">length_oil!$B$1:$W$48</definedName>
    <definedName name="_xlnm.Print_Area" localSheetId="2">length_road!#REF!</definedName>
    <definedName name="_xlnm.Print_Area" localSheetId="1">motorway!$B$1:$W$49</definedName>
    <definedName name="_xlnm.Print_Area" localSheetId="5">rail_gauge!$B$1:$G$48</definedName>
    <definedName name="_xlnm.Print_Area" localSheetId="4">rail_hs!$B$1:$L$75</definedName>
    <definedName name="_xlnm.Print_Area" localSheetId="3">rail_length!$B$1:$AA$46</definedName>
    <definedName name="_xlnm.Print_Area" localSheetId="0">T2.5!$A$1:$E$23</definedName>
    <definedName name="Z_534C28F4_E90D_11D3_A4B3_0050041AE0D6_.wvu.PrintArea" localSheetId="2" hidden="1">length_road!#REF!</definedName>
  </definedNames>
  <calcPr calcId="145621"/>
</workbook>
</file>

<file path=xl/calcChain.xml><?xml version="1.0" encoding="utf-8"?>
<calcChain xmlns="http://schemas.openxmlformats.org/spreadsheetml/2006/main">
  <c r="L39" i="170" l="1"/>
  <c r="AB7" i="109" l="1"/>
  <c r="AB6" i="109"/>
  <c r="AB8" i="109" l="1"/>
  <c r="X7" i="110"/>
  <c r="X6" i="110"/>
  <c r="X8" i="110" s="1"/>
  <c r="AH41" i="104" l="1"/>
  <c r="AH40" i="104"/>
  <c r="AH39" i="104"/>
  <c r="AH38" i="104"/>
  <c r="AH37" i="104"/>
  <c r="AH35" i="104"/>
  <c r="AH34" i="104"/>
  <c r="AH33" i="104"/>
  <c r="AH32" i="104"/>
  <c r="AH31" i="104"/>
  <c r="AH30" i="104"/>
  <c r="AH29" i="104"/>
  <c r="AH27" i="104"/>
  <c r="AH24" i="104"/>
  <c r="AH23" i="104"/>
  <c r="AH22" i="104"/>
  <c r="AH19" i="104"/>
  <c r="AH16" i="104"/>
  <c r="AH15" i="104"/>
  <c r="AH14" i="104"/>
  <c r="AH11" i="104"/>
  <c r="AH10" i="104"/>
  <c r="AG44" i="104"/>
  <c r="AH44" i="104" s="1"/>
  <c r="Y44" i="104"/>
  <c r="AG36" i="104"/>
  <c r="AH36" i="104" s="1"/>
  <c r="AG28" i="104"/>
  <c r="AH28" i="104" s="1"/>
  <c r="Y28" i="104"/>
  <c r="AG25" i="104"/>
  <c r="AH25" i="104" s="1"/>
  <c r="Y25" i="104"/>
  <c r="Y20" i="104"/>
  <c r="AG20" i="104"/>
  <c r="Y43" i="104"/>
  <c r="AH43" i="104" s="1"/>
  <c r="X43" i="104"/>
  <c r="W43" i="104"/>
  <c r="Y17" i="104"/>
  <c r="AH17" i="104" s="1"/>
  <c r="Y12" i="104"/>
  <c r="AH12" i="104" s="1"/>
  <c r="AG18" i="104"/>
  <c r="AH18" i="104" s="1"/>
  <c r="AF18" i="104"/>
  <c r="AG13" i="104"/>
  <c r="AH13" i="104" s="1"/>
  <c r="AF13" i="104"/>
  <c r="Y6" i="104" l="1"/>
  <c r="AH20" i="104"/>
  <c r="Y7" i="104"/>
  <c r="AG9" i="104"/>
  <c r="AH9" i="104" l="1"/>
  <c r="AG6" i="104"/>
  <c r="AG7" i="104"/>
  <c r="AH7" i="104" s="1"/>
  <c r="Y8" i="104"/>
  <c r="D38" i="108"/>
  <c r="F35" i="108"/>
  <c r="E35" i="108"/>
  <c r="D35" i="108"/>
  <c r="F34" i="108"/>
  <c r="D34" i="108"/>
  <c r="D33" i="108"/>
  <c r="E32" i="108"/>
  <c r="F31" i="108"/>
  <c r="AG8" i="104" l="1"/>
  <c r="AH8" i="104" s="1"/>
  <c r="AH6" i="104"/>
  <c r="D26" i="108"/>
  <c r="D22" i="108" l="1"/>
  <c r="F21" i="108" l="1"/>
  <c r="E21" i="108"/>
  <c r="F20" i="108"/>
  <c r="E20" i="108"/>
  <c r="D20" i="108"/>
  <c r="C20" i="108"/>
  <c r="E16" i="108" l="1"/>
  <c r="D16" i="108"/>
  <c r="F13" i="108" l="1"/>
  <c r="D13" i="108"/>
  <c r="E10" i="108"/>
  <c r="D28" i="108"/>
  <c r="AB17" i="107" l="1"/>
  <c r="AB6" i="107" s="1"/>
  <c r="AB36" i="107"/>
  <c r="AB7" i="107" l="1"/>
  <c r="AB8" i="107"/>
  <c r="AA7" i="109"/>
  <c r="AA6" i="109"/>
  <c r="AA8" i="109" l="1"/>
  <c r="W7" i="110"/>
  <c r="W6" i="110"/>
  <c r="W8" i="110" l="1"/>
  <c r="L38" i="170"/>
  <c r="X17" i="104" l="1"/>
  <c r="AF44" i="104" l="1"/>
  <c r="X44" i="104"/>
  <c r="AF36" i="104"/>
  <c r="X36" i="104"/>
  <c r="AF20" i="104"/>
  <c r="X20" i="104"/>
  <c r="AF25" i="104"/>
  <c r="X25" i="104"/>
  <c r="X7" i="104" l="1"/>
  <c r="X6" i="104"/>
  <c r="X8" i="104" s="1"/>
  <c r="AF6" i="104"/>
  <c r="AF7" i="104"/>
  <c r="AF8" i="104" l="1"/>
  <c r="AA7" i="107" l="1"/>
  <c r="AA6" i="107"/>
  <c r="AA8" i="107" l="1"/>
  <c r="L37" i="170"/>
  <c r="Z7" i="109" l="1"/>
  <c r="Z6" i="109"/>
  <c r="Z8" i="109" l="1"/>
  <c r="Y7" i="109"/>
  <c r="X7" i="109"/>
  <c r="W7" i="109"/>
  <c r="V7" i="109"/>
  <c r="U7" i="109"/>
  <c r="T7" i="109"/>
  <c r="S7" i="109"/>
  <c r="R7" i="109"/>
  <c r="Q7" i="109"/>
  <c r="P7" i="109"/>
  <c r="O7" i="109"/>
  <c r="N7" i="109"/>
  <c r="M7" i="109"/>
  <c r="L7" i="109"/>
  <c r="K7" i="109"/>
  <c r="J7" i="109"/>
  <c r="I7" i="109"/>
  <c r="H7" i="109"/>
  <c r="G7" i="109"/>
  <c r="F7" i="109"/>
  <c r="E7" i="109"/>
  <c r="D7" i="109"/>
  <c r="C7" i="109"/>
  <c r="V6" i="110"/>
  <c r="V7" i="110"/>
  <c r="U7" i="110"/>
  <c r="T7" i="110"/>
  <c r="S7" i="110"/>
  <c r="R7" i="110"/>
  <c r="Q7" i="110"/>
  <c r="P7" i="110"/>
  <c r="O7" i="110"/>
  <c r="N7" i="110"/>
  <c r="M7" i="110"/>
  <c r="L7" i="110"/>
  <c r="K7" i="110"/>
  <c r="J7" i="110"/>
  <c r="I7" i="110"/>
  <c r="H7" i="110"/>
  <c r="G7" i="110"/>
  <c r="F7" i="110"/>
  <c r="E7" i="110"/>
  <c r="D7" i="110"/>
  <c r="C7" i="110"/>
  <c r="V8" i="110" l="1"/>
  <c r="H6" i="166"/>
  <c r="G6" i="166"/>
  <c r="F6" i="166"/>
  <c r="E6" i="166"/>
  <c r="D6" i="166"/>
  <c r="H5" i="166"/>
  <c r="G5" i="166"/>
  <c r="F5" i="166"/>
  <c r="E5" i="166"/>
  <c r="D5" i="166"/>
  <c r="C6" i="166"/>
  <c r="E7" i="166" l="1"/>
  <c r="G7" i="166"/>
  <c r="D7" i="166"/>
  <c r="F7" i="166"/>
  <c r="H7" i="166"/>
  <c r="AA7" i="104"/>
  <c r="AE18" i="104" l="1"/>
  <c r="AD18" i="104"/>
  <c r="AE12" i="104"/>
  <c r="AE36" i="104"/>
  <c r="W36" i="104"/>
  <c r="AD36" i="104"/>
  <c r="V36" i="104"/>
  <c r="AE20" i="104"/>
  <c r="W17" i="104"/>
  <c r="W7" i="104" s="1"/>
  <c r="AE44" i="104"/>
  <c r="W44" i="104"/>
  <c r="AE25" i="104"/>
  <c r="W25" i="104"/>
  <c r="E8" i="104"/>
  <c r="C7" i="104"/>
  <c r="D7" i="104"/>
  <c r="E7" i="104"/>
  <c r="D8" i="104"/>
  <c r="C8" i="104"/>
  <c r="AD44" i="104"/>
  <c r="AD25" i="104"/>
  <c r="AD20" i="104"/>
  <c r="V25" i="104"/>
  <c r="V20" i="104"/>
  <c r="V17" i="104"/>
  <c r="V7" i="104" s="1"/>
  <c r="AE7" i="104" l="1"/>
  <c r="AD6" i="104"/>
  <c r="AD8" i="104" s="1"/>
  <c r="AD7" i="104"/>
  <c r="V6" i="104"/>
  <c r="V8" i="104" s="1"/>
  <c r="W6" i="104"/>
  <c r="W8" i="104" s="1"/>
  <c r="Z7" i="107"/>
  <c r="Z6" i="107"/>
  <c r="X7" i="107"/>
  <c r="W7" i="107"/>
  <c r="V7" i="107"/>
  <c r="U7" i="107"/>
  <c r="T7" i="107"/>
  <c r="S7" i="107"/>
  <c r="R7" i="107"/>
  <c r="Q7" i="107"/>
  <c r="P7" i="107"/>
  <c r="O7" i="107"/>
  <c r="N7" i="107"/>
  <c r="M7" i="107"/>
  <c r="L7" i="107"/>
  <c r="K7" i="107"/>
  <c r="J7" i="107"/>
  <c r="I7" i="107"/>
  <c r="H7" i="107"/>
  <c r="G7" i="107"/>
  <c r="F7" i="107"/>
  <c r="E7" i="107"/>
  <c r="X6" i="107"/>
  <c r="X8" i="107" s="1"/>
  <c r="W6" i="107"/>
  <c r="W8" i="107" s="1"/>
  <c r="V6" i="107"/>
  <c r="V8" i="107" s="1"/>
  <c r="U6" i="107"/>
  <c r="U8" i="107" s="1"/>
  <c r="T6" i="107"/>
  <c r="S6" i="107"/>
  <c r="S8" i="107" s="1"/>
  <c r="R6" i="107"/>
  <c r="R8" i="107" s="1"/>
  <c r="Q6" i="107"/>
  <c r="Q8" i="107" s="1"/>
  <c r="P6" i="107"/>
  <c r="P8" i="107" s="1"/>
  <c r="O6" i="107"/>
  <c r="O8" i="107" s="1"/>
  <c r="N6" i="107"/>
  <c r="N8" i="107" s="1"/>
  <c r="M6" i="107"/>
  <c r="M8" i="107" s="1"/>
  <c r="L6" i="107"/>
  <c r="L8" i="107" s="1"/>
  <c r="K6" i="107"/>
  <c r="K8" i="107" s="1"/>
  <c r="J6" i="107"/>
  <c r="J8" i="107" s="1"/>
  <c r="I6" i="107"/>
  <c r="I8" i="107" s="1"/>
  <c r="H6" i="107"/>
  <c r="H8" i="107" s="1"/>
  <c r="G6" i="107"/>
  <c r="G8" i="107" s="1"/>
  <c r="F6" i="107"/>
  <c r="F8" i="107" s="1"/>
  <c r="E6" i="107"/>
  <c r="E8" i="107" s="1"/>
  <c r="T8" i="107" l="1"/>
  <c r="Z8" i="107"/>
  <c r="X6" i="109"/>
  <c r="X8" i="109" s="1"/>
  <c r="T6" i="110" l="1"/>
  <c r="T8" i="110" s="1"/>
  <c r="U6" i="110"/>
  <c r="U8" i="110" s="1"/>
  <c r="Y7" i="107" l="1"/>
  <c r="Y6" i="107"/>
  <c r="Y8" i="107" l="1"/>
  <c r="AC25" i="104"/>
  <c r="U25" i="104"/>
  <c r="AC44" i="104"/>
  <c r="AC36" i="104"/>
  <c r="AC20" i="104"/>
  <c r="AC12" i="104"/>
  <c r="AC6" i="104"/>
  <c r="U44" i="104"/>
  <c r="U36" i="104"/>
  <c r="U23" i="104"/>
  <c r="U20" i="104"/>
  <c r="U17" i="104"/>
  <c r="AC7" i="104" l="1"/>
  <c r="AC8" i="104" s="1"/>
  <c r="U7" i="104"/>
  <c r="U6" i="104"/>
  <c r="F35" i="170"/>
  <c r="E35" i="170"/>
  <c r="U8" i="104" l="1"/>
  <c r="L35" i="170"/>
  <c r="AB44" i="104"/>
  <c r="Z44" i="104"/>
  <c r="T44" i="104"/>
  <c r="R44" i="104"/>
  <c r="Q44" i="104"/>
  <c r="P44" i="104"/>
  <c r="N44" i="104"/>
  <c r="AB36" i="104"/>
  <c r="Z36" i="104"/>
  <c r="T36" i="104"/>
  <c r="S36" i="104"/>
  <c r="R36" i="104"/>
  <c r="Q36" i="104"/>
  <c r="P36" i="104"/>
  <c r="O36" i="104"/>
  <c r="Z28" i="104"/>
  <c r="R28" i="104"/>
  <c r="Q28" i="104"/>
  <c r="AB25" i="104"/>
  <c r="Z25" i="104"/>
  <c r="T25" i="104"/>
  <c r="R25" i="104"/>
  <c r="Q25" i="104"/>
  <c r="P23" i="104"/>
  <c r="AB20" i="104"/>
  <c r="Z20" i="104"/>
  <c r="T20" i="104"/>
  <c r="R20" i="104"/>
  <c r="Q20" i="104"/>
  <c r="P20" i="104"/>
  <c r="Z17" i="104"/>
  <c r="T17" i="104"/>
  <c r="S17" i="104"/>
  <c r="R17" i="104"/>
  <c r="Q17" i="104"/>
  <c r="P17" i="104"/>
  <c r="O17" i="104"/>
  <c r="N17" i="104"/>
  <c r="M17" i="104"/>
  <c r="L17" i="104"/>
  <c r="K17" i="104"/>
  <c r="J17" i="104"/>
  <c r="I17" i="104"/>
  <c r="H17" i="104"/>
  <c r="G17" i="104"/>
  <c r="F17" i="104"/>
  <c r="F7" i="104" s="1"/>
  <c r="AE6" i="104"/>
  <c r="AB6" i="104"/>
  <c r="AA6" i="104"/>
  <c r="AA8" i="104" s="1"/>
  <c r="Z6" i="104"/>
  <c r="E6" i="104"/>
  <c r="D6" i="104"/>
  <c r="C6" i="104"/>
  <c r="Y6" i="109"/>
  <c r="Y8" i="109" s="1"/>
  <c r="W6" i="109"/>
  <c r="W8" i="109" s="1"/>
  <c r="V6" i="109"/>
  <c r="V8" i="109" s="1"/>
  <c r="U6" i="109"/>
  <c r="U8" i="109" s="1"/>
  <c r="T6" i="109"/>
  <c r="T8" i="109" s="1"/>
  <c r="S6" i="109"/>
  <c r="S8" i="109" s="1"/>
  <c r="R6" i="109"/>
  <c r="R8" i="109" s="1"/>
  <c r="Q6" i="109"/>
  <c r="Q8" i="109" s="1"/>
  <c r="P6" i="109"/>
  <c r="P8" i="109" s="1"/>
  <c r="O6" i="109"/>
  <c r="O8" i="109" s="1"/>
  <c r="N6" i="109"/>
  <c r="N8" i="109" s="1"/>
  <c r="S6" i="110"/>
  <c r="S8" i="110" s="1"/>
  <c r="R6" i="110"/>
  <c r="R8" i="110" s="1"/>
  <c r="Q6" i="110"/>
  <c r="Q8" i="110" s="1"/>
  <c r="P6" i="110"/>
  <c r="P8" i="110" s="1"/>
  <c r="O6" i="110"/>
  <c r="O8" i="110" s="1"/>
  <c r="N6" i="110"/>
  <c r="N8" i="110" s="1"/>
  <c r="M6" i="110"/>
  <c r="M8" i="110" s="1"/>
  <c r="L6" i="110"/>
  <c r="L8" i="110" s="1"/>
  <c r="K6" i="110"/>
  <c r="K8" i="110" s="1"/>
  <c r="J6" i="110"/>
  <c r="J8" i="110" s="1"/>
  <c r="I6" i="110"/>
  <c r="I8" i="110" s="1"/>
  <c r="H6" i="110"/>
  <c r="H8" i="110" s="1"/>
  <c r="G6" i="110"/>
  <c r="G8" i="110" s="1"/>
  <c r="F6" i="110"/>
  <c r="F8" i="110" s="1"/>
  <c r="C5" i="166"/>
  <c r="C7" i="166" s="1"/>
  <c r="F36" i="170"/>
  <c r="E36" i="170"/>
  <c r="G34" i="170"/>
  <c r="F34" i="170"/>
  <c r="E34" i="170"/>
  <c r="C34" i="170"/>
  <c r="G33" i="170"/>
  <c r="E33" i="170"/>
  <c r="C33" i="170"/>
  <c r="G32" i="170"/>
  <c r="E32" i="170"/>
  <c r="C32" i="170"/>
  <c r="F31" i="170"/>
  <c r="C31" i="170"/>
  <c r="G30" i="170"/>
  <c r="C30" i="170"/>
  <c r="L30" i="170" s="1"/>
  <c r="C29" i="170"/>
  <c r="L29" i="170" s="1"/>
  <c r="C28" i="170"/>
  <c r="L28" i="170" s="1"/>
  <c r="C27" i="170"/>
  <c r="L27" i="170" s="1"/>
  <c r="C26" i="170"/>
  <c r="L26" i="170" s="1"/>
  <c r="F25" i="170"/>
  <c r="L25" i="170" s="1"/>
  <c r="L24" i="170"/>
  <c r="L23" i="170"/>
  <c r="L22" i="170"/>
  <c r="L21" i="170"/>
  <c r="L20" i="170"/>
  <c r="F19" i="170"/>
  <c r="L19" i="170" s="1"/>
  <c r="F18" i="170"/>
  <c r="L18" i="170" s="1"/>
  <c r="F17" i="170"/>
  <c r="L17" i="170" s="1"/>
  <c r="L16" i="170"/>
  <c r="L15" i="170"/>
  <c r="L14" i="170"/>
  <c r="F13" i="170"/>
  <c r="L13" i="170" s="1"/>
  <c r="L12" i="170"/>
  <c r="L11" i="170"/>
  <c r="L10" i="170"/>
  <c r="L9" i="170"/>
  <c r="L8" i="170"/>
  <c r="L7" i="170"/>
  <c r="L6" i="170"/>
  <c r="AB7" i="104" l="1"/>
  <c r="AB8" i="104" s="1"/>
  <c r="L33" i="170"/>
  <c r="AE8" i="104"/>
  <c r="L32" i="170"/>
  <c r="L34" i="170"/>
  <c r="L36" i="170"/>
  <c r="F6" i="104"/>
  <c r="F8" i="104" s="1"/>
  <c r="Z7" i="104"/>
  <c r="Z8" i="104" s="1"/>
  <c r="H7" i="104"/>
  <c r="H6" i="104"/>
  <c r="J7" i="104"/>
  <c r="J6" i="104"/>
  <c r="L7" i="104"/>
  <c r="L6" i="104"/>
  <c r="N7" i="104"/>
  <c r="N6" i="104"/>
  <c r="P7" i="104"/>
  <c r="P6" i="104"/>
  <c r="R7" i="104"/>
  <c r="R6" i="104"/>
  <c r="T7" i="104"/>
  <c r="T6" i="104"/>
  <c r="G7" i="104"/>
  <c r="G6" i="104"/>
  <c r="I7" i="104"/>
  <c r="I6" i="104"/>
  <c r="K7" i="104"/>
  <c r="K6" i="104"/>
  <c r="M7" i="104"/>
  <c r="M6" i="104"/>
  <c r="O7" i="104"/>
  <c r="O6" i="104"/>
  <c r="Q7" i="104"/>
  <c r="Q6" i="104"/>
  <c r="S7" i="104"/>
  <c r="S6" i="104"/>
  <c r="L31" i="170"/>
  <c r="S8" i="104" l="1"/>
  <c r="Q8" i="104"/>
  <c r="O8" i="104"/>
  <c r="M8" i="104"/>
  <c r="K8" i="104"/>
  <c r="I8" i="104"/>
  <c r="G8" i="104"/>
  <c r="T8" i="104"/>
  <c r="R8" i="104"/>
  <c r="P8" i="104"/>
  <c r="N8" i="104"/>
  <c r="L8" i="104"/>
  <c r="J8" i="104"/>
  <c r="H8" i="104"/>
</calcChain>
</file>

<file path=xl/sharedStrings.xml><?xml version="1.0" encoding="utf-8"?>
<sst xmlns="http://schemas.openxmlformats.org/spreadsheetml/2006/main" count="1707" uniqueCount="174">
  <si>
    <t>Notes:</t>
  </si>
  <si>
    <t>MK</t>
  </si>
  <si>
    <t>km at end of year</t>
  </si>
  <si>
    <t>High-speed lines currently under construction</t>
  </si>
  <si>
    <t xml:space="preserve"> 50   Hz</t>
  </si>
  <si>
    <t>km</t>
  </si>
  <si>
    <t>LINE</t>
  </si>
  <si>
    <t>Length</t>
  </si>
  <si>
    <t xml:space="preserve">km </t>
  </si>
  <si>
    <t>Railways : Main Railway Gauge</t>
  </si>
  <si>
    <t>and Electric Current Used</t>
  </si>
  <si>
    <t>Track Gauge</t>
  </si>
  <si>
    <t>Electric current</t>
  </si>
  <si>
    <t>mm</t>
  </si>
  <si>
    <t>dc volts</t>
  </si>
  <si>
    <t>ac volts</t>
  </si>
  <si>
    <t>800-1200</t>
  </si>
  <si>
    <t>(contact rail)</t>
  </si>
  <si>
    <t>ES*</t>
  </si>
  <si>
    <t>750-850</t>
  </si>
  <si>
    <t>(N-IRL)</t>
  </si>
  <si>
    <t xml:space="preserve">Road : Length of Motorways  </t>
  </si>
  <si>
    <t>(at end of year)</t>
  </si>
  <si>
    <t>Road : Length of Road Network</t>
  </si>
  <si>
    <t xml:space="preserve"> Pipelines</t>
  </si>
  <si>
    <t>Length of oil pipelines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</si>
  <si>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</si>
  <si>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</si>
  <si>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</si>
  <si>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</si>
  <si>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</si>
  <si>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</si>
  <si>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</si>
  <si>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</si>
  <si>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</si>
  <si>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</si>
  <si>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</si>
  <si>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</si>
  <si>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</si>
  <si>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</si>
  <si>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</si>
  <si>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</si>
  <si>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</si>
  <si>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</si>
  <si>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</si>
  <si>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</si>
  <si>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</si>
  <si>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</si>
  <si>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</si>
  <si>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</si>
  <si>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</si>
  <si>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</si>
  <si>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</si>
  <si>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</si>
  <si>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</si>
  <si>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</si>
  <si>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</si>
  <si>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</si>
  <si>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</si>
  <si>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</si>
  <si>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</si>
  <si>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Railways : High Speed Rail Network</t>
  </si>
  <si>
    <t xml:space="preserve">- </t>
  </si>
  <si>
    <t>Air : Number of Airports</t>
  </si>
  <si>
    <t>more than 10 million</t>
  </si>
  <si>
    <t>5 to 10  million</t>
  </si>
  <si>
    <t>1 to 5 million</t>
  </si>
  <si>
    <t>100,000 to 500,000</t>
  </si>
  <si>
    <t>15,000 to 100,000</t>
  </si>
  <si>
    <t xml:space="preserve"> 16.7Hz</t>
  </si>
  <si>
    <t xml:space="preserve"> 50  HZ</t>
  </si>
  <si>
    <t>500,000 to 1 million</t>
  </si>
  <si>
    <t>Infrastructure</t>
  </si>
  <si>
    <t>Motorways</t>
  </si>
  <si>
    <t>EUROPEAN UNION</t>
  </si>
  <si>
    <t>European Commission</t>
  </si>
  <si>
    <r>
      <t xml:space="preserve">in co-operation with </t>
    </r>
    <r>
      <rPr>
        <b/>
        <sz val="10"/>
        <rFont val="Arial"/>
        <family val="2"/>
      </rPr>
      <t>Eurostat</t>
    </r>
  </si>
  <si>
    <t xml:space="preserve">Inland Waterways : Length In Use  </t>
  </si>
  <si>
    <t xml:space="preserve">Navigable canals, rivers and lakes regularly used for transport </t>
  </si>
  <si>
    <t>Road: Length of Road Network</t>
  </si>
  <si>
    <t>Railways : Length of Lines in Use</t>
  </si>
  <si>
    <t>EU</t>
  </si>
  <si>
    <t>Length of lines</t>
  </si>
  <si>
    <t>Main or national roads</t>
  </si>
  <si>
    <t>Secondary or regional roads</t>
  </si>
  <si>
    <t>Other roads*</t>
  </si>
  <si>
    <t>Air: Number of Airports by Number of Passengers Carried</t>
  </si>
  <si>
    <t>of which: Electrified</t>
  </si>
  <si>
    <r>
      <t>Notes:</t>
    </r>
    <r>
      <rPr>
        <sz val="8"/>
        <rFont val="Arial"/>
        <family val="2"/>
      </rPr>
      <t/>
    </r>
  </si>
  <si>
    <t xml:space="preserve">"Other roads" sometimes includes roads without a hard surface. </t>
  </si>
  <si>
    <t xml:space="preserve">*: the definition of road types varies from country to country, the data are therefore not comparable. </t>
  </si>
  <si>
    <t>Road: Length of Motorways</t>
  </si>
  <si>
    <t>Railways: Length of Lines in Use</t>
  </si>
  <si>
    <t>Railways: High Speed Rail Network</t>
  </si>
  <si>
    <t>Railways: Main Railway Gauge and Electric Current Used</t>
  </si>
  <si>
    <t xml:space="preserve">Inland Waterways: Length in Use </t>
  </si>
  <si>
    <t>Pipelines: Length of Oil Pipelines</t>
  </si>
  <si>
    <t>Start of operation</t>
  </si>
  <si>
    <r>
      <t>UK</t>
    </r>
    <r>
      <rPr>
        <sz val="8"/>
        <rFont val="Arial"/>
        <family val="2"/>
      </rPr>
      <t>: (N-IRL): Northern Ireland</t>
    </r>
  </si>
  <si>
    <r>
      <t xml:space="preserve">* </t>
    </r>
    <r>
      <rPr>
        <b/>
        <sz val="8"/>
        <rFont val="Arial"/>
        <family val="2"/>
      </rPr>
      <t>ES</t>
    </r>
    <r>
      <rPr>
        <sz val="8"/>
        <rFont val="Arial"/>
        <family val="2"/>
      </rPr>
      <t>: new lines have a gauge of 1435 mm and an electric current of 25000 volts, 50Hz</t>
    </r>
  </si>
  <si>
    <r>
      <t>Notes</t>
    </r>
    <r>
      <rPr>
        <sz val="8"/>
        <rFont val="Arial"/>
        <family val="2"/>
      </rPr>
      <t xml:space="preserve">: 1435 mm = standard gauge </t>
    </r>
  </si>
  <si>
    <r>
      <t>Source</t>
    </r>
    <r>
      <rPr>
        <sz val="8"/>
        <rFont val="Arial"/>
        <family val="2"/>
      </rPr>
      <t>:</t>
    </r>
    <r>
      <rPr>
        <b/>
        <sz val="8"/>
        <rFont val="Arial"/>
        <family val="2"/>
      </rPr>
      <t xml:space="preserve"> </t>
    </r>
    <r>
      <rPr>
        <sz val="8"/>
        <rFont val="Arial"/>
        <family val="2"/>
      </rPr>
      <t>Union Internationale des Chemins de Fer, railway companies</t>
    </r>
  </si>
  <si>
    <t xml:space="preserve">-  </t>
  </si>
  <si>
    <t xml:space="preserve">  Vitoria - Bilbao - San Sebastian</t>
  </si>
  <si>
    <t xml:space="preserve">  Variante de Pajares</t>
  </si>
  <si>
    <t xml:space="preserve">  Bobadilla - Granada</t>
  </si>
  <si>
    <t>Including oil pipelines under the sea.</t>
  </si>
  <si>
    <t>by number of passengers carried* per year</t>
  </si>
  <si>
    <r>
      <t>CY</t>
    </r>
    <r>
      <rPr>
        <sz val="8"/>
        <rFont val="Arial"/>
        <family val="2"/>
      </rPr>
      <t>: from 2006: without urban M-ways</t>
    </r>
  </si>
  <si>
    <r>
      <t>NL:</t>
    </r>
    <r>
      <rPr>
        <sz val="8"/>
        <rFont val="Arial"/>
        <family val="2"/>
      </rPr>
      <t xml:space="preserve"> all national roads ('Rijkswegen') with dual carriageways</t>
    </r>
  </si>
  <si>
    <r>
      <t>ES</t>
    </r>
    <r>
      <rPr>
        <sz val="8"/>
        <rFont val="Arial"/>
        <family val="2"/>
      </rPr>
      <t>: 'autopistas de peaje' and 'autovías y autopistas libres'</t>
    </r>
  </si>
  <si>
    <t>Directorate-General for Mobility and Transport</t>
  </si>
  <si>
    <t>Chapter 2.5  :</t>
  </si>
  <si>
    <t>2.5.1</t>
  </si>
  <si>
    <t>2.5.2</t>
  </si>
  <si>
    <t>2.5.3</t>
  </si>
  <si>
    <t>2.5.4</t>
  </si>
  <si>
    <t>2.5.5</t>
  </si>
  <si>
    <t>2.5.6</t>
  </si>
  <si>
    <t>2.5.7</t>
  </si>
  <si>
    <t>2.5.8</t>
  </si>
  <si>
    <r>
      <t>Notes</t>
    </r>
    <r>
      <rPr>
        <sz val="8"/>
        <rFont val="Arial"/>
        <family val="2"/>
      </rPr>
      <t xml:space="preserve">: </t>
    </r>
    <r>
      <rPr>
        <b/>
        <sz val="8"/>
        <rFont val="Arial"/>
        <family val="2"/>
      </rPr>
      <t/>
    </r>
  </si>
  <si>
    <t>TRANSPORT IN FIGURES</t>
  </si>
  <si>
    <t>Part 2  :  TRANSPORT</t>
  </si>
  <si>
    <r>
      <t>Note</t>
    </r>
    <r>
      <rPr>
        <sz val="8"/>
        <rFont val="Arial"/>
        <family val="2"/>
      </rPr>
      <t>: Length of lines or of sections of lines on which trains can go faster than 250 km/h at some point during the journey.</t>
    </r>
  </si>
  <si>
    <r>
      <t>Note</t>
    </r>
    <r>
      <rPr>
        <sz val="8"/>
        <rFont val="Arial"/>
        <family val="2"/>
      </rPr>
      <t>: The length indicated above is the length of the line under construction and not necessarily the distance between the places named.</t>
    </r>
  </si>
  <si>
    <t xml:space="preserve">  Counternement Nimes - Montpellier</t>
  </si>
  <si>
    <r>
      <t>Source</t>
    </r>
    <r>
      <rPr>
        <sz val="8"/>
        <rFont val="Arial"/>
        <family val="2"/>
      </rPr>
      <t xml:space="preserve">: Eurostat, national statistics, estimates </t>
    </r>
    <r>
      <rPr>
        <i/>
        <sz val="8"/>
        <rFont val="Arial"/>
        <family val="2"/>
      </rPr>
      <t>(in italics)</t>
    </r>
  </si>
  <si>
    <r>
      <t>DE</t>
    </r>
    <r>
      <rPr>
        <sz val="8"/>
        <rFont val="Arial"/>
        <family val="2"/>
      </rPr>
      <t xml:space="preserve">: includes </t>
    </r>
    <r>
      <rPr>
        <b/>
        <sz val="8"/>
        <rFont val="Arial"/>
        <family val="2"/>
      </rPr>
      <t>DE-E</t>
    </r>
    <r>
      <rPr>
        <sz val="8"/>
        <rFont val="Arial"/>
        <family val="2"/>
      </rPr>
      <t xml:space="preserve">: 1970=2300,   1980=2302,   1990=2319 </t>
    </r>
  </si>
  <si>
    <r>
      <t>DE:</t>
    </r>
    <r>
      <rPr>
        <sz val="8"/>
        <rFont val="Arial"/>
        <family val="2"/>
      </rPr>
      <t xml:space="preserve"> Crude oil pipelines only; includes </t>
    </r>
    <r>
      <rPr>
        <b/>
        <sz val="8"/>
        <rFont val="Arial"/>
        <family val="2"/>
      </rPr>
      <t>DE-E</t>
    </r>
    <r>
      <rPr>
        <sz val="8"/>
        <rFont val="Arial"/>
        <family val="2"/>
      </rPr>
      <t xml:space="preserve"> : 1970=</t>
    </r>
    <r>
      <rPr>
        <i/>
        <sz val="8"/>
        <rFont val="Arial"/>
        <family val="2"/>
      </rPr>
      <t>1300</t>
    </r>
    <r>
      <rPr>
        <sz val="8"/>
        <rFont val="Arial"/>
        <family val="2"/>
      </rPr>
      <t>, 1980=1301, 1990=1323 km</t>
    </r>
  </si>
  <si>
    <r>
      <t>CS:</t>
    </r>
    <r>
      <rPr>
        <sz val="8"/>
        <rFont val="Arial"/>
        <family val="2"/>
      </rPr>
      <t xml:space="preserve"> 1970=</t>
    </r>
    <r>
      <rPr>
        <i/>
        <sz val="8"/>
        <rFont val="Arial"/>
        <family val="2"/>
      </rPr>
      <t>1090</t>
    </r>
    <r>
      <rPr>
        <sz val="8"/>
        <rFont val="Arial"/>
        <family val="2"/>
      </rPr>
      <t>,  1980=</t>
    </r>
    <r>
      <rPr>
        <i/>
        <sz val="8"/>
        <rFont val="Arial"/>
        <family val="2"/>
      </rPr>
      <t>1090</t>
    </r>
    <r>
      <rPr>
        <sz val="8"/>
        <rFont val="Arial"/>
        <family val="2"/>
      </rPr>
      <t>,  1990=</t>
    </r>
    <r>
      <rPr>
        <i/>
        <sz val="8"/>
        <rFont val="Arial"/>
        <family val="2"/>
      </rPr>
      <t>1090</t>
    </r>
    <r>
      <rPr>
        <sz val="8"/>
        <rFont val="Arial"/>
        <family val="2"/>
      </rPr>
      <t>,  1991=</t>
    </r>
    <r>
      <rPr>
        <i/>
        <sz val="8"/>
        <rFont val="Arial"/>
        <family val="2"/>
      </rPr>
      <t>1090</t>
    </r>
    <r>
      <rPr>
        <sz val="8"/>
        <rFont val="Arial"/>
        <family val="2"/>
      </rPr>
      <t>,  1992=</t>
    </r>
    <r>
      <rPr>
        <i/>
        <sz val="8"/>
        <rFont val="Arial"/>
        <family val="2"/>
      </rPr>
      <t>1083 km</t>
    </r>
  </si>
  <si>
    <r>
      <t xml:space="preserve">DE: </t>
    </r>
    <r>
      <rPr>
        <sz val="8"/>
        <rFont val="Arial"/>
        <family val="2"/>
      </rPr>
      <t xml:space="preserve">includes </t>
    </r>
    <r>
      <rPr>
        <b/>
        <sz val="8"/>
        <rFont val="Arial"/>
        <family val="2"/>
      </rPr>
      <t>DE-E</t>
    </r>
    <r>
      <rPr>
        <sz val="8"/>
        <rFont val="Arial"/>
        <family val="2"/>
      </rPr>
      <t xml:space="preserve">: 1970=14250,  1980=14248,  1990=14031 </t>
    </r>
  </si>
  <si>
    <t xml:space="preserve">  Navalmoral-Cacere-Badajoz-Fr. Port</t>
  </si>
  <si>
    <t xml:space="preserve">  Sevilla - Cadiz</t>
  </si>
  <si>
    <t xml:space="preserve">  Hellin - Cieza (Variante de Camarillas)</t>
  </si>
  <si>
    <t xml:space="preserve">  Sevilla-Antequera</t>
  </si>
  <si>
    <t xml:space="preserve">  LGV EST - Européenne (second phase)</t>
  </si>
  <si>
    <t xml:space="preserve">  LGV Bretagne - Pays de la Loire</t>
  </si>
  <si>
    <t xml:space="preserve">  LGV Sud Europe Atlantique</t>
  </si>
  <si>
    <t>ME</t>
  </si>
  <si>
    <t>RS</t>
  </si>
  <si>
    <t xml:space="preserve">  (Madrid-Valencia)/Alicante - Murcia/Castellon</t>
  </si>
  <si>
    <t>AL</t>
  </si>
  <si>
    <t>EU-28</t>
  </si>
  <si>
    <t>EU-15</t>
  </si>
  <si>
    <t>EU-13</t>
  </si>
  <si>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</si>
  <si>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Source</t>
    </r>
    <r>
      <rPr>
        <sz val="8"/>
        <rFont val="Arial"/>
        <family val="2"/>
      </rPr>
      <t xml:space="preserve">:  Eurostat, International Road Federation, national statistics, estimates </t>
    </r>
    <r>
      <rPr>
        <i/>
        <sz val="8"/>
        <rFont val="Arial"/>
        <family val="2"/>
      </rPr>
      <t>(in italics</t>
    </r>
    <r>
      <rPr>
        <sz val="8"/>
        <rFont val="Arial"/>
        <family val="2"/>
      </rPr>
      <t>)</t>
    </r>
  </si>
  <si>
    <r>
      <t>UK:</t>
    </r>
    <r>
      <rPr>
        <sz val="8"/>
        <rFont val="Arial"/>
        <family val="2"/>
      </rPr>
      <t xml:space="preserve"> data refers to the 1st of April of the next year.</t>
    </r>
  </si>
  <si>
    <r>
      <t xml:space="preserve">CS: </t>
    </r>
    <r>
      <rPr>
        <sz val="8"/>
        <rFont val="Arial"/>
        <family val="2"/>
      </rPr>
      <t>1970: 13308, 1980: 13131, 1990: 13111   (these are included in EU-28 and EU-13 totals)</t>
    </r>
  </si>
  <si>
    <r>
      <t>Source</t>
    </r>
    <r>
      <rPr>
        <sz val="8"/>
        <rFont val="Arial"/>
        <family val="2"/>
      </rPr>
      <t>: Union Internationale des Chemins de Fer (updated September 2014), national sources</t>
    </r>
  </si>
  <si>
    <t xml:space="preserve">  Nürnberg - Ebensfeld</t>
  </si>
  <si>
    <t xml:space="preserve">  Ebensfeld - Erfurt</t>
  </si>
  <si>
    <t xml:space="preserve">  Gloggnitz - Mürzzuschlag (Sermmering-Basistunnel)</t>
  </si>
  <si>
    <t xml:space="preserve">  Graz-Klagenfurt (Koralmtunnel)</t>
  </si>
  <si>
    <t xml:space="preserve">  Brennerachse</t>
  </si>
  <si>
    <t xml:space="preserve">  Offenburg - Riegel (Basel)</t>
  </si>
  <si>
    <t xml:space="preserve">  Stuttgart - Wendlingen</t>
  </si>
  <si>
    <t xml:space="preserve">  Buggingen - Katzenberg tunnel (Basel)</t>
  </si>
  <si>
    <t xml:space="preserve">  Wendlingen - Ulm</t>
  </si>
  <si>
    <t xml:space="preserve">  Tunnel Rastatt </t>
  </si>
  <si>
    <t xml:space="preserve">  Milan (Treviglio) - Brescia</t>
  </si>
  <si>
    <t xml:space="preserve">  Genoa - Milan (Tortona)</t>
  </si>
  <si>
    <r>
      <t>Source</t>
    </r>
    <r>
      <rPr>
        <sz val="8"/>
        <rFont val="Arial"/>
        <family val="2"/>
      </rPr>
      <t>: Eurostat, Airports Council International Europe, national sources</t>
    </r>
  </si>
  <si>
    <r>
      <t xml:space="preserve">km at the end of </t>
    </r>
    <r>
      <rPr>
        <b/>
        <sz val="10"/>
        <rFont val="Arial"/>
        <family val="2"/>
      </rPr>
      <t>2013</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</si>
  <si>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UK</t>
    </r>
    <r>
      <rPr>
        <sz val="8"/>
        <rFont val="Arial"/>
        <family val="2"/>
      </rPr>
      <t xml:space="preserve"> 1st of April 2014 </t>
    </r>
    <r>
      <rPr>
        <b/>
        <sz val="8"/>
        <rFont val="Arial"/>
        <family val="2"/>
      </rPr>
      <t>IS</t>
    </r>
    <r>
      <rPr>
        <sz val="8"/>
        <rFont val="Arial"/>
        <family val="2"/>
      </rPr>
      <t xml:space="preserve"> end of 2011 </t>
    </r>
    <r>
      <rPr>
        <b/>
        <sz val="8"/>
        <rFont val="Arial"/>
        <family val="2"/>
      </rPr>
      <t>MT</t>
    </r>
    <r>
      <rPr>
        <sz val="8"/>
        <rFont val="Arial"/>
        <family val="2"/>
      </rPr>
      <t xml:space="preserve"> end of 2012</t>
    </r>
  </si>
  <si>
    <r>
      <t>Source</t>
    </r>
    <r>
      <rPr>
        <sz val="8"/>
        <rFont val="Arial"/>
        <family val="2"/>
      </rPr>
      <t>: Union Internationale des Chemins de Fer, IRG-Rail annual reports (</t>
    </r>
    <r>
      <rPr>
        <b/>
        <sz val="8"/>
        <rFont val="Arial"/>
        <family val="2"/>
      </rPr>
      <t>BE, DE, FR</t>
    </r>
    <r>
      <rPr>
        <sz val="8"/>
        <rFont val="Arial"/>
        <family val="2"/>
      </rPr>
      <t>), national statistics, Eurostat, estimates (in italics).</t>
    </r>
  </si>
  <si>
    <t xml:space="preserve">Please note that for some countries the values refer only to the main infrastructure managers which are members of the UIC. </t>
  </si>
  <si>
    <r>
      <t>Notes:</t>
    </r>
    <r>
      <rPr>
        <sz val="8"/>
        <rFont val="Arial"/>
        <family val="2"/>
      </rPr>
      <t xml:space="preserve"> *: 'Passengers carried' do not include direct transit passengers (i.e. transit passengers who stay on board and continue their flight with the same flight number). Airports are grouped according to 2014 passenger volumes. In this table, blank means none.</t>
    </r>
  </si>
  <si>
    <r>
      <t>Source</t>
    </r>
    <r>
      <rPr>
        <sz val="8"/>
        <rFont val="Arial"/>
        <family val="2"/>
      </rPr>
      <t>: Union Internationale des Chemins de Fer (updated March 2016), high speed department; national sources</t>
    </r>
  </si>
  <si>
    <t xml:space="preserve">  Ybbs - Amstetten</t>
  </si>
  <si>
    <t xml:space="preserve">  Copenhagen - Ringsted</t>
  </si>
  <si>
    <t xml:space="preserve">  La Coruña - Santiago</t>
  </si>
  <si>
    <t xml:space="preserve">  León - Asturias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</si>
</sst>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0"/>
    <numFmt numFmtId="166" formatCode="0.0\ \ \ "/>
    <numFmt numFmtId="167" formatCode="#,##0\ "/>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u/>
      <sz val="8"/>
      <name val="Arial"/>
      <family val="2"/>
    </font>
    <font>
      <sz val="14"/>
      <name val="Arial"/>
      <family val="2"/>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sz val="11"/>
      <name val="Arial"/>
      <family val="2"/>
    </font>
    <font>
      <sz val="11"/>
      <name val="Arial"/>
      <family val="2"/>
    </font>
    <font>
      <sz val="11"/>
      <name val="Arial"/>
      <family val="2"/>
    </font>
  </fonts>
  <fills count="8">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rgb="FF0070C0"/>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hair">
        <color indexed="64"/>
      </right>
      <top style="thin">
        <color indexed="64"/>
      </top>
      <bottom style="hair">
        <color indexed="64"/>
      </bottom>
      <diagonal/>
    </border>
    <border>
      <left style="thin">
        <color indexed="64"/>
      </left>
      <right style="dashed">
        <color indexed="64"/>
      </right>
      <top/>
      <bottom style="hair">
        <color indexed="64"/>
      </bottom>
      <diagonal/>
    </border>
    <border>
      <left style="dashed">
        <color indexed="64"/>
      </left>
      <right style="hair">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style="thin">
        <color indexed="64"/>
      </left>
      <right style="dashed">
        <color indexed="64"/>
      </right>
      <top/>
      <bottom/>
      <diagonal/>
    </border>
    <border>
      <left style="dashed">
        <color indexed="64"/>
      </left>
      <right style="hair">
        <color indexed="64"/>
      </right>
      <top/>
      <bottom/>
      <diagonal/>
    </border>
    <border>
      <left style="thin">
        <color indexed="64"/>
      </left>
      <right style="dashed">
        <color indexed="64"/>
      </right>
      <top style="hair">
        <color indexed="64"/>
      </top>
      <bottom/>
      <diagonal/>
    </border>
    <border>
      <left style="dashed">
        <color indexed="64"/>
      </left>
      <right style="hair">
        <color indexed="64"/>
      </right>
      <top style="hair">
        <color indexed="64"/>
      </top>
      <bottom/>
      <diagonal/>
    </border>
    <border>
      <left style="thin">
        <color indexed="64"/>
      </left>
      <right style="dashed">
        <color indexed="64"/>
      </right>
      <top/>
      <bottom style="thin">
        <color indexed="64"/>
      </bottom>
      <diagonal/>
    </border>
    <border>
      <left style="dashed">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ck">
        <color indexed="64"/>
      </right>
      <top/>
      <bottom/>
      <diagonal/>
    </border>
    <border>
      <left style="hair">
        <color indexed="64"/>
      </left>
      <right style="thin">
        <color indexed="64"/>
      </right>
      <top style="thin">
        <color indexed="64"/>
      </top>
      <bottom/>
      <diagonal/>
    </border>
    <border>
      <left/>
      <right style="thin">
        <color auto="1"/>
      </right>
      <top/>
      <bottom/>
      <diagonal/>
    </border>
    <border>
      <left style="thick">
        <color auto="1"/>
      </left>
      <right/>
      <top/>
      <bottom/>
      <diagonal/>
    </border>
    <border>
      <left style="thick">
        <color indexed="64"/>
      </left>
      <right/>
      <top style="thin">
        <color indexed="64"/>
      </top>
      <bottom/>
      <diagonal/>
    </border>
  </borders>
  <cellStyleXfs count="13">
    <xf numFmtId="0" fontId="0" fillId="0" borderId="0"/>
    <xf numFmtId="0" fontId="11" fillId="0" borderId="0"/>
    <xf numFmtId="0" fontId="19" fillId="2" borderId="0" applyNumberFormat="0" applyBorder="0">
      <protection locked="0"/>
    </xf>
    <xf numFmtId="0" fontId="20" fillId="3" borderId="0" applyNumberFormat="0" applyBorder="0">
      <protection locked="0"/>
    </xf>
    <xf numFmtId="0" fontId="5" fillId="0" borderId="0"/>
    <xf numFmtId="0" fontId="4" fillId="0" borderId="0"/>
    <xf numFmtId="0" fontId="6" fillId="0" borderId="0"/>
    <xf numFmtId="0" fontId="30" fillId="0" borderId="0"/>
    <xf numFmtId="0" fontId="3" fillId="0" borderId="0"/>
    <xf numFmtId="0" fontId="2" fillId="0" borderId="0"/>
    <xf numFmtId="0" fontId="31" fillId="0" borderId="0"/>
    <xf numFmtId="0" fontId="1" fillId="0" borderId="0"/>
    <xf numFmtId="0" fontId="32" fillId="0" borderId="0"/>
  </cellStyleXfs>
  <cellXfs count="489">
    <xf numFmtId="0" fontId="0" fillId="0" borderId="0" xfId="0"/>
    <xf numFmtId="0" fontId="0" fillId="0" borderId="0" xfId="0" applyBorder="1"/>
    <xf numFmtId="0" fontId="9" fillId="0" borderId="0" xfId="0" applyFont="1"/>
    <xf numFmtId="0" fontId="0" fillId="0" borderId="0" xfId="0" applyFill="1" applyBorder="1"/>
    <xf numFmtId="0" fontId="14" fillId="0" borderId="0" xfId="0" applyFont="1"/>
    <xf numFmtId="0" fontId="13" fillId="0" borderId="0" xfId="0" applyFont="1"/>
    <xf numFmtId="0" fontId="0" fillId="0" borderId="0" xfId="0" applyFill="1"/>
    <xf numFmtId="1" fontId="10" fillId="0" borderId="0" xfId="0" applyNumberFormat="1" applyFont="1" applyFill="1" applyBorder="1" applyAlignment="1">
      <alignment horizontal="center" vertical="center"/>
    </xf>
    <xf numFmtId="0" fontId="9" fillId="0" borderId="0" xfId="0" applyFont="1" applyAlignment="1">
      <alignment horizont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9" fillId="0" borderId="0" xfId="0" applyFont="1" applyAlignment="1"/>
    <xf numFmtId="0" fontId="12" fillId="0" borderId="0" xfId="0" quotePrefix="1" applyFont="1" applyAlignment="1">
      <alignment horizontal="right" vertical="top"/>
    </xf>
    <xf numFmtId="0" fontId="0" fillId="0" borderId="0" xfId="0" applyAlignment="1">
      <alignment vertical="top"/>
    </xf>
    <xf numFmtId="0" fontId="12" fillId="0" borderId="0" xfId="0" quotePrefix="1" applyFont="1" applyBorder="1" applyAlignment="1">
      <alignment horizontal="right" vertical="top"/>
    </xf>
    <xf numFmtId="0" fontId="9" fillId="0" borderId="0" xfId="0" applyFont="1" applyFill="1" applyBorder="1" applyAlignment="1">
      <alignment vertical="center"/>
    </xf>
    <xf numFmtId="0" fontId="9" fillId="0" borderId="0" xfId="0" applyFont="1" applyAlignment="1">
      <alignment horizontal="right" vertical="center"/>
    </xf>
    <xf numFmtId="0" fontId="7" fillId="0" borderId="0" xfId="0" applyFont="1" applyBorder="1"/>
    <xf numFmtId="0" fontId="13" fillId="0" borderId="0" xfId="0" applyFont="1" applyBorder="1"/>
    <xf numFmtId="0" fontId="9" fillId="0" borderId="0" xfId="0" applyFont="1" applyFill="1" applyBorder="1"/>
    <xf numFmtId="0" fontId="9" fillId="0" borderId="0" xfId="0" applyFont="1" applyFill="1"/>
    <xf numFmtId="0" fontId="15" fillId="0" borderId="0" xfId="0" applyFont="1"/>
    <xf numFmtId="0" fontId="11" fillId="0" borderId="0" xfId="0" applyFont="1" applyFill="1" applyBorder="1" applyAlignment="1">
      <alignment horizontal="center" vertical="center"/>
    </xf>
    <xf numFmtId="0" fontId="0" fillId="0" borderId="0" xfId="0" applyFill="1" applyBorder="1" applyAlignment="1">
      <alignment vertical="center"/>
    </xf>
    <xf numFmtId="0" fontId="15" fillId="0" borderId="0" xfId="0" applyFont="1" applyAlignment="1">
      <alignment vertical="top" wrapText="1"/>
    </xf>
    <xf numFmtId="0" fontId="9" fillId="0" borderId="0" xfId="0" applyFont="1" applyAlignment="1">
      <alignment horizontal="center" vertical="center"/>
    </xf>
    <xf numFmtId="0" fontId="11" fillId="0" borderId="4" xfId="0" applyFont="1" applyFill="1" applyBorder="1" applyAlignment="1">
      <alignment vertical="center"/>
    </xf>
    <xf numFmtId="0" fontId="6" fillId="0" borderId="5" xfId="0" applyFont="1" applyBorder="1" applyAlignment="1">
      <alignment horizontal="right" vertical="top"/>
    </xf>
    <xf numFmtId="0" fontId="10" fillId="0" borderId="6" xfId="0" applyFont="1" applyBorder="1" applyAlignment="1">
      <alignment horizontal="left" vertical="center"/>
    </xf>
    <xf numFmtId="0" fontId="8" fillId="0" borderId="0" xfId="0" quotePrefix="1" applyFont="1" applyAlignment="1">
      <alignment horizontal="left" vertical="top"/>
    </xf>
    <xf numFmtId="0" fontId="23" fillId="0" borderId="0" xfId="0" applyFont="1"/>
    <xf numFmtId="0" fontId="0" fillId="0" borderId="5" xfId="0" applyFill="1" applyBorder="1"/>
    <xf numFmtId="0" fontId="9" fillId="0" borderId="5" xfId="0" applyFont="1" applyBorder="1"/>
    <xf numFmtId="0" fontId="16" fillId="0" borderId="5" xfId="0" applyFont="1" applyBorder="1" applyAlignment="1">
      <alignment horizontal="center" vertical="center" wrapText="1"/>
    </xf>
    <xf numFmtId="0" fontId="7" fillId="0" borderId="0" xfId="0" applyFont="1" applyBorder="1" applyAlignment="1">
      <alignment horizontal="right"/>
    </xf>
    <xf numFmtId="0" fontId="22" fillId="0" borderId="0" xfId="0" applyFont="1" applyAlignment="1">
      <alignment vertical="top"/>
    </xf>
    <xf numFmtId="0" fontId="13" fillId="0" borderId="0" xfId="0" applyFont="1" applyBorder="1" applyAlignment="1">
      <alignment horizontal="left" wrapText="1"/>
    </xf>
    <xf numFmtId="165" fontId="11" fillId="0" borderId="8"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1" fillId="0" borderId="7" xfId="0" applyNumberFormat="1" applyFont="1" applyFill="1" applyBorder="1" applyAlignment="1">
      <alignment horizontal="right" vertical="center"/>
    </xf>
    <xf numFmtId="165" fontId="11" fillId="0" borderId="5" xfId="0" applyNumberFormat="1" applyFont="1" applyFill="1" applyBorder="1" applyAlignment="1">
      <alignment horizontal="right" vertical="center"/>
    </xf>
    <xf numFmtId="165" fontId="11" fillId="0" borderId="4" xfId="0" applyNumberFormat="1" applyFont="1" applyFill="1" applyBorder="1" applyAlignment="1">
      <alignment horizontal="right" vertical="center"/>
    </xf>
    <xf numFmtId="165" fontId="11" fillId="0" borderId="4" xfId="0" quotePrefix="1" applyNumberFormat="1" applyFont="1" applyFill="1" applyBorder="1" applyAlignment="1">
      <alignment horizontal="right" vertical="center"/>
    </xf>
    <xf numFmtId="165" fontId="11" fillId="0" borderId="0" xfId="0" quotePrefix="1" applyNumberFormat="1" applyFont="1" applyFill="1" applyBorder="1" applyAlignment="1">
      <alignment horizontal="right"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11" xfId="0" applyNumberFormat="1" applyFont="1" applyFill="1" applyBorder="1" applyAlignment="1">
      <alignment horizontal="center" vertical="center"/>
    </xf>
    <xf numFmtId="0" fontId="10" fillId="5" borderId="1" xfId="0" applyFont="1" applyFill="1" applyBorder="1" applyAlignment="1">
      <alignment horizontal="center" vertical="center"/>
    </xf>
    <xf numFmtId="165" fontId="13" fillId="5" borderId="12" xfId="0" applyNumberFormat="1" applyFont="1" applyFill="1" applyBorder="1" applyAlignment="1">
      <alignment horizontal="right" vertical="center"/>
    </xf>
    <xf numFmtId="165" fontId="13" fillId="5" borderId="8" xfId="0" applyNumberFormat="1" applyFont="1" applyFill="1" applyBorder="1" applyAlignment="1">
      <alignment horizontal="right" vertical="center"/>
    </xf>
    <xf numFmtId="0" fontId="10" fillId="5" borderId="2" xfId="0" applyFont="1" applyFill="1" applyBorder="1" applyAlignment="1">
      <alignment horizontal="center" vertical="center"/>
    </xf>
    <xf numFmtId="165" fontId="13" fillId="5" borderId="4" xfId="0" applyNumberFormat="1" applyFont="1" applyFill="1" applyBorder="1" applyAlignment="1">
      <alignment horizontal="right" vertical="center"/>
    </xf>
    <xf numFmtId="165" fontId="13" fillId="5" borderId="0" xfId="0" applyNumberFormat="1" applyFont="1" applyFill="1" applyBorder="1" applyAlignment="1">
      <alignment horizontal="right" vertical="center"/>
    </xf>
    <xf numFmtId="0" fontId="10" fillId="5" borderId="3" xfId="0" applyFont="1" applyFill="1" applyBorder="1" applyAlignment="1">
      <alignment horizontal="center" vertical="center"/>
    </xf>
    <xf numFmtId="165" fontId="13" fillId="5" borderId="7" xfId="0" applyNumberFormat="1" applyFont="1" applyFill="1" applyBorder="1" applyAlignment="1">
      <alignment horizontal="right" vertical="center"/>
    </xf>
    <xf numFmtId="165" fontId="13" fillId="5" borderId="5" xfId="0" applyNumberFormat="1" applyFont="1" applyFill="1" applyBorder="1" applyAlignment="1">
      <alignment horizontal="right"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0" fillId="4" borderId="12" xfId="0" applyFill="1" applyBorder="1"/>
    <xf numFmtId="0" fontId="0" fillId="4" borderId="8" xfId="0" applyFill="1" applyBorder="1"/>
    <xf numFmtId="0" fontId="21" fillId="4" borderId="13" xfId="0" applyFont="1" applyFill="1" applyBorder="1" applyAlignment="1">
      <alignment horizontal="center" vertical="center" wrapText="1"/>
    </xf>
    <xf numFmtId="0" fontId="0" fillId="4" borderId="7" xfId="0" applyFill="1" applyBorder="1"/>
    <xf numFmtId="0" fontId="0" fillId="4" borderId="5" xfId="0" applyFill="1" applyBorder="1"/>
    <xf numFmtId="0" fontId="21" fillId="4" borderId="14" xfId="0" applyFont="1" applyFill="1" applyBorder="1" applyAlignment="1">
      <alignment horizontal="center" vertical="top"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top" wrapText="1"/>
    </xf>
    <xf numFmtId="0" fontId="11" fillId="0" borderId="17" xfId="0" applyFont="1" applyFill="1" applyBorder="1" applyAlignment="1">
      <alignment vertical="center"/>
    </xf>
    <xf numFmtId="0" fontId="11" fillId="0" borderId="18" xfId="0" applyFont="1" applyFill="1" applyBorder="1" applyAlignment="1">
      <alignment horizontal="center" vertical="center"/>
    </xf>
    <xf numFmtId="0" fontId="11" fillId="0" borderId="19"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horizontal="center" vertical="center"/>
    </xf>
    <xf numFmtId="0" fontId="11" fillId="0" borderId="23" xfId="0" quotePrefix="1"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4" borderId="12" xfId="0" applyFont="1" applyFill="1" applyBorder="1" applyAlignment="1">
      <alignment horizontal="center" vertical="center"/>
    </xf>
    <xf numFmtId="0" fontId="16" fillId="4" borderId="8" xfId="0" applyFont="1" applyFill="1" applyBorder="1" applyAlignment="1">
      <alignment horizontal="center" vertical="center" wrapText="1"/>
    </xf>
    <xf numFmtId="0" fontId="7" fillId="4" borderId="4" xfId="0" applyFont="1" applyFill="1" applyBorder="1"/>
    <xf numFmtId="0" fontId="16" fillId="4" borderId="0" xfId="0" applyFont="1" applyFill="1" applyBorder="1" applyAlignment="1">
      <alignment horizontal="center"/>
    </xf>
    <xf numFmtId="1" fontId="10" fillId="4" borderId="27" xfId="0" applyNumberFormat="1" applyFont="1" applyFill="1" applyBorder="1" applyAlignment="1">
      <alignment horizontal="center" vertical="center" wrapText="1"/>
    </xf>
    <xf numFmtId="1" fontId="10" fillId="4" borderId="28" xfId="0" applyNumberFormat="1" applyFont="1" applyFill="1" applyBorder="1" applyAlignment="1">
      <alignment horizontal="center" vertical="center" wrapText="1"/>
    </xf>
    <xf numFmtId="1" fontId="10" fillId="4" borderId="29" xfId="0" applyNumberFormat="1" applyFont="1" applyFill="1" applyBorder="1" applyAlignment="1">
      <alignment horizontal="center" vertical="center" wrapText="1"/>
    </xf>
    <xf numFmtId="0" fontId="6" fillId="0" borderId="0" xfId="0" applyFont="1" applyBorder="1" applyAlignment="1">
      <alignment horizontal="right" vertical="top"/>
    </xf>
    <xf numFmtId="0" fontId="7" fillId="0" borderId="0" xfId="0" applyFont="1" applyBorder="1" applyAlignment="1">
      <alignment horizontal="center" vertical="center"/>
    </xf>
    <xf numFmtId="1" fontId="10" fillId="5" borderId="1" xfId="0" applyNumberFormat="1" applyFont="1" applyFill="1" applyBorder="1" applyAlignment="1">
      <alignment horizontal="center" vertical="center"/>
    </xf>
    <xf numFmtId="1" fontId="10" fillId="5" borderId="2" xfId="0" applyNumberFormat="1"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2" xfId="0" applyFont="1" applyFill="1" applyBorder="1" applyAlignment="1">
      <alignment horizontal="center" vertical="center"/>
    </xf>
    <xf numFmtId="17" fontId="8" fillId="0" borderId="0" xfId="0" quotePrefix="1" applyNumberFormat="1" applyFont="1" applyBorder="1" applyAlignment="1">
      <alignment horizontal="center" vertical="center" wrapText="1"/>
    </xf>
    <xf numFmtId="165" fontId="11" fillId="5" borderId="4" xfId="0" applyNumberFormat="1" applyFont="1" applyFill="1" applyBorder="1" applyAlignment="1">
      <alignment horizontal="right" vertical="center"/>
    </xf>
    <xf numFmtId="165" fontId="11" fillId="5" borderId="0" xfId="0" applyNumberFormat="1" applyFont="1" applyFill="1" applyBorder="1" applyAlignment="1">
      <alignment horizontal="right" vertical="center"/>
    </xf>
    <xf numFmtId="165" fontId="17" fillId="5" borderId="0" xfId="0" applyNumberFormat="1" applyFont="1" applyFill="1" applyBorder="1" applyAlignment="1">
      <alignment horizontal="right" vertical="center"/>
    </xf>
    <xf numFmtId="0" fontId="11" fillId="5" borderId="19" xfId="0" applyFont="1" applyFill="1" applyBorder="1" applyAlignment="1">
      <alignment vertical="center"/>
    </xf>
    <xf numFmtId="0" fontId="11" fillId="5" borderId="20" xfId="0" applyFont="1" applyFill="1" applyBorder="1" applyAlignment="1">
      <alignment horizontal="center" vertical="center"/>
    </xf>
    <xf numFmtId="0" fontId="11" fillId="5" borderId="21" xfId="0" applyFont="1" applyFill="1" applyBorder="1" applyAlignment="1">
      <alignment vertical="center"/>
    </xf>
    <xf numFmtId="0" fontId="11" fillId="5" borderId="22" xfId="0" applyFont="1" applyFill="1" applyBorder="1" applyAlignment="1">
      <alignment horizontal="center" vertical="center"/>
    </xf>
    <xf numFmtId="0" fontId="11" fillId="5" borderId="4" xfId="0" applyFont="1" applyFill="1" applyBorder="1" applyAlignment="1">
      <alignment vertical="center"/>
    </xf>
    <xf numFmtId="0" fontId="11" fillId="5" borderId="0" xfId="0" applyFont="1" applyFill="1" applyBorder="1" applyAlignment="1">
      <alignment horizontal="center" vertical="center"/>
    </xf>
    <xf numFmtId="0" fontId="11" fillId="0" borderId="33" xfId="0" applyFont="1" applyFill="1" applyBorder="1" applyAlignment="1">
      <alignment horizontal="right" vertical="center"/>
    </xf>
    <xf numFmtId="0" fontId="11" fillId="5" borderId="34" xfId="0" applyFont="1" applyFill="1" applyBorder="1" applyAlignment="1">
      <alignment horizontal="right" vertical="center"/>
    </xf>
    <xf numFmtId="0" fontId="11" fillId="0" borderId="34" xfId="0" applyFont="1" applyFill="1" applyBorder="1" applyAlignment="1">
      <alignment horizontal="right" vertical="center"/>
    </xf>
    <xf numFmtId="0" fontId="11" fillId="5" borderId="35" xfId="0" applyFont="1" applyFill="1" applyBorder="1" applyAlignment="1">
      <alignment horizontal="right" vertical="center"/>
    </xf>
    <xf numFmtId="0" fontId="11" fillId="0" borderId="36" xfId="0" applyFont="1" applyFill="1" applyBorder="1" applyAlignment="1">
      <alignment horizontal="right" vertical="center"/>
    </xf>
    <xf numFmtId="0" fontId="11" fillId="0" borderId="35" xfId="0" applyFont="1" applyFill="1" applyBorder="1" applyAlignment="1">
      <alignment horizontal="right" vertical="center"/>
    </xf>
    <xf numFmtId="0" fontId="11" fillId="5" borderId="36" xfId="0" applyFont="1" applyFill="1" applyBorder="1" applyAlignment="1">
      <alignment horizontal="right" vertical="center"/>
    </xf>
    <xf numFmtId="0" fontId="11" fillId="0" borderId="35" xfId="0" quotePrefix="1" applyFont="1" applyFill="1" applyBorder="1" applyAlignment="1">
      <alignment horizontal="right"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4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0" borderId="43" xfId="0" quotePrefix="1" applyFont="1" applyFill="1" applyBorder="1" applyAlignment="1">
      <alignment horizontal="center" vertical="center"/>
    </xf>
    <xf numFmtId="0" fontId="11" fillId="0" borderId="44" xfId="0" quotePrefix="1"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6" fillId="4" borderId="49" xfId="0" applyFont="1" applyFill="1" applyBorder="1" applyAlignment="1">
      <alignment horizontal="center"/>
    </xf>
    <xf numFmtId="0" fontId="24" fillId="0" borderId="0" xfId="0" applyFont="1" applyAlignment="1">
      <alignment horizontal="center"/>
    </xf>
    <xf numFmtId="0" fontId="25" fillId="0" borderId="0" xfId="0" applyFont="1"/>
    <xf numFmtId="0" fontId="25" fillId="0" borderId="0" xfId="0" applyFont="1" applyAlignment="1">
      <alignment horizontal="center"/>
    </xf>
    <xf numFmtId="49" fontId="7" fillId="0" borderId="0" xfId="0" applyNumberFormat="1" applyFont="1" applyAlignment="1">
      <alignment horizontal="left" vertical="center"/>
    </xf>
    <xf numFmtId="166" fontId="7" fillId="0" borderId="0" xfId="0" quotePrefix="1"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7" fillId="0" borderId="0" xfId="0" applyFont="1" applyAlignment="1">
      <alignment horizontal="left"/>
    </xf>
    <xf numFmtId="0" fontId="28" fillId="0" borderId="0" xfId="0" applyFont="1" applyAlignment="1">
      <alignment horizontal="left" vertical="center"/>
    </xf>
    <xf numFmtId="0" fontId="29" fillId="0" borderId="0" xfId="0" applyFont="1"/>
    <xf numFmtId="0" fontId="12" fillId="0" borderId="0" xfId="0" applyFont="1" applyAlignment="1">
      <alignment horizontal="center" vertical="center" wrapText="1"/>
    </xf>
    <xf numFmtId="167" fontId="9" fillId="0" borderId="0" xfId="0" applyNumberFormat="1" applyFont="1" applyBorder="1" applyAlignment="1">
      <alignment horizontal="right" vertical="center"/>
    </xf>
    <xf numFmtId="167" fontId="10" fillId="0" borderId="2" xfId="0" applyNumberFormat="1" applyFont="1" applyFill="1" applyBorder="1" applyAlignment="1">
      <alignment horizontal="right" vertical="center"/>
    </xf>
    <xf numFmtId="167" fontId="11" fillId="5"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7" fillId="5" borderId="0" xfId="0" applyNumberFormat="1" applyFont="1" applyFill="1" applyBorder="1" applyAlignment="1">
      <alignment horizontal="right" vertical="center"/>
    </xf>
    <xf numFmtId="167" fontId="11" fillId="0" borderId="5" xfId="0" applyNumberFormat="1" applyFont="1" applyFill="1" applyBorder="1" applyAlignment="1">
      <alignment horizontal="right" vertical="center"/>
    </xf>
    <xf numFmtId="0" fontId="13" fillId="0" borderId="51"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4" xfId="0" applyFont="1" applyFill="1" applyBorder="1" applyAlignment="1">
      <alignment horizontal="center" vertical="center"/>
    </xf>
    <xf numFmtId="0" fontId="9" fillId="5" borderId="26" xfId="0" applyFont="1" applyFill="1" applyBorder="1" applyAlignment="1">
      <alignment horizontal="center" vertical="center"/>
    </xf>
    <xf numFmtId="1" fontId="10" fillId="4" borderId="12" xfId="0" applyNumberFormat="1" applyFont="1" applyFill="1" applyBorder="1" applyAlignment="1">
      <alignment horizontal="center"/>
    </xf>
    <xf numFmtId="1" fontId="10" fillId="4" borderId="8" xfId="0" applyNumberFormat="1" applyFont="1" applyFill="1" applyBorder="1" applyAlignment="1">
      <alignment horizontal="center"/>
    </xf>
    <xf numFmtId="1" fontId="10" fillId="4" borderId="7" xfId="0" applyNumberFormat="1" applyFont="1" applyFill="1" applyBorder="1" applyAlignment="1">
      <alignment horizontal="center" vertical="center"/>
    </xf>
    <xf numFmtId="1" fontId="10" fillId="4" borderId="5" xfId="0" applyNumberFormat="1" applyFont="1" applyFill="1" applyBorder="1" applyAlignment="1">
      <alignment horizontal="center" vertical="center"/>
    </xf>
    <xf numFmtId="165" fontId="9" fillId="0" borderId="0" xfId="0" applyNumberFormat="1" applyFont="1"/>
    <xf numFmtId="167" fontId="9" fillId="0" borderId="4" xfId="0" quotePrefix="1" applyNumberFormat="1" applyFont="1" applyFill="1" applyBorder="1" applyAlignment="1">
      <alignment horizontal="right" vertical="center"/>
    </xf>
    <xf numFmtId="167" fontId="9" fillId="0" borderId="0" xfId="0" quotePrefix="1" applyNumberFormat="1" applyFont="1" applyFill="1" applyBorder="1" applyAlignment="1">
      <alignment horizontal="right" vertical="center"/>
    </xf>
    <xf numFmtId="167" fontId="9" fillId="0" borderId="26" xfId="0" quotePrefix="1" applyNumberFormat="1" applyFont="1" applyFill="1" applyBorder="1" applyAlignment="1">
      <alignment horizontal="right" vertical="center"/>
    </xf>
    <xf numFmtId="0" fontId="9" fillId="0" borderId="53" xfId="0" applyFont="1" applyFill="1" applyBorder="1" applyAlignment="1">
      <alignment vertical="center"/>
    </xf>
    <xf numFmtId="167" fontId="9" fillId="0" borderId="54" xfId="0" applyNumberFormat="1" applyFont="1" applyFill="1" applyBorder="1" applyAlignment="1">
      <alignment vertical="center"/>
    </xf>
    <xf numFmtId="0" fontId="9" fillId="0" borderId="26" xfId="0" applyFont="1" applyFill="1" applyBorder="1" applyAlignment="1">
      <alignment horizontal="center" vertical="center"/>
    </xf>
    <xf numFmtId="0" fontId="10" fillId="5" borderId="2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 xfId="0" applyFont="1" applyFill="1" applyBorder="1" applyAlignment="1">
      <alignment horizontal="center" vertical="center"/>
    </xf>
    <xf numFmtId="0" fontId="7" fillId="0" borderId="0" xfId="0" applyFont="1" applyBorder="1" applyAlignment="1">
      <alignment horizontal="right" vertical="top"/>
    </xf>
    <xf numFmtId="165" fontId="18" fillId="5" borderId="8" xfId="0" applyNumberFormat="1" applyFont="1" applyFill="1" applyBorder="1" applyAlignment="1">
      <alignment horizontal="right" vertical="center"/>
    </xf>
    <xf numFmtId="165" fontId="18" fillId="5" borderId="0" xfId="0" applyNumberFormat="1" applyFont="1" applyFill="1" applyBorder="1" applyAlignment="1">
      <alignment horizontal="right" vertical="center"/>
    </xf>
    <xf numFmtId="0" fontId="13" fillId="0" borderId="0" xfId="0" applyFont="1" applyAlignment="1">
      <alignment vertical="top"/>
    </xf>
    <xf numFmtId="1" fontId="10" fillId="4" borderId="55" xfId="0" applyNumberFormat="1" applyFont="1" applyFill="1" applyBorder="1" applyAlignment="1">
      <alignment horizontal="center" vertical="center"/>
    </xf>
    <xf numFmtId="1" fontId="13" fillId="0" borderId="0" xfId="0" applyNumberFormat="1" applyFont="1" applyAlignment="1">
      <alignment vertical="top"/>
    </xf>
    <xf numFmtId="0" fontId="0" fillId="0" borderId="6" xfId="0" applyFill="1" applyBorder="1"/>
    <xf numFmtId="0" fontId="0" fillId="0" borderId="26" xfId="0" applyFill="1" applyBorder="1"/>
    <xf numFmtId="167" fontId="9" fillId="0" borderId="8" xfId="0" quotePrefix="1" applyNumberFormat="1" applyFont="1" applyFill="1" applyBorder="1" applyAlignment="1">
      <alignment horizontal="right" vertical="center"/>
    </xf>
    <xf numFmtId="0" fontId="0" fillId="0" borderId="6" xfId="0" applyFill="1" applyBorder="1" applyAlignment="1">
      <alignment vertical="center"/>
    </xf>
    <xf numFmtId="165" fontId="11" fillId="0" borderId="6" xfId="0" applyNumberFormat="1" applyFont="1" applyFill="1" applyBorder="1" applyAlignment="1">
      <alignment horizontal="right" vertical="center"/>
    </xf>
    <xf numFmtId="0" fontId="12" fillId="0" borderId="0" xfId="0" applyFont="1" applyBorder="1" applyAlignment="1">
      <alignment horizontal="center" vertical="top"/>
    </xf>
    <xf numFmtId="167" fontId="0" fillId="0" borderId="0" xfId="0" applyNumberFormat="1"/>
    <xf numFmtId="0" fontId="16" fillId="0" borderId="0" xfId="0" applyFont="1" applyBorder="1" applyAlignment="1">
      <alignment horizontal="center" vertical="center" wrapText="1"/>
    </xf>
    <xf numFmtId="167" fontId="9" fillId="5"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xf numFmtId="167" fontId="9" fillId="0" borderId="12" xfId="0" quotePrefix="1" applyNumberFormat="1" applyFont="1" applyFill="1" applyBorder="1" applyAlignment="1">
      <alignment horizontal="right" vertical="center"/>
    </xf>
    <xf numFmtId="167" fontId="9" fillId="0" borderId="8" xfId="0" applyNumberFormat="1" applyFont="1" applyBorder="1" applyAlignment="1">
      <alignment horizontal="right" vertical="center"/>
    </xf>
    <xf numFmtId="167" fontId="9" fillId="0" borderId="30" xfId="0" quotePrefix="1" applyNumberFormat="1" applyFont="1" applyFill="1" applyBorder="1" applyAlignment="1">
      <alignment horizontal="right" vertical="center"/>
    </xf>
    <xf numFmtId="167" fontId="10" fillId="0" borderId="1" xfId="0" applyNumberFormat="1" applyFont="1" applyFill="1" applyBorder="1" applyAlignment="1">
      <alignment horizontal="right" vertical="center"/>
    </xf>
    <xf numFmtId="0" fontId="10" fillId="0" borderId="0" xfId="0" applyFont="1" applyBorder="1" applyAlignment="1">
      <alignment horizontal="left" wrapText="1"/>
    </xf>
    <xf numFmtId="0" fontId="9" fillId="0" borderId="30" xfId="0" applyFont="1" applyFill="1" applyBorder="1" applyAlignment="1">
      <alignment horizontal="center" vertical="center"/>
    </xf>
    <xf numFmtId="0" fontId="17" fillId="6" borderId="12" xfId="0" applyFont="1" applyFill="1" applyBorder="1" applyAlignment="1">
      <alignment horizontal="center" vertical="center"/>
    </xf>
    <xf numFmtId="0" fontId="9" fillId="6" borderId="8" xfId="0" applyFont="1" applyFill="1" applyBorder="1" applyAlignment="1">
      <alignment vertical="center"/>
    </xf>
    <xf numFmtId="0" fontId="0" fillId="6" borderId="8" xfId="0" applyFill="1" applyBorder="1" applyAlignment="1">
      <alignment vertical="center"/>
    </xf>
    <xf numFmtId="0" fontId="9" fillId="6" borderId="15" xfId="0" applyFont="1" applyFill="1" applyBorder="1" applyAlignment="1">
      <alignment vertical="center"/>
    </xf>
    <xf numFmtId="167" fontId="9" fillId="6" borderId="13" xfId="0" applyNumberFormat="1" applyFont="1" applyFill="1" applyBorder="1" applyAlignment="1">
      <alignment vertical="center"/>
    </xf>
    <xf numFmtId="0" fontId="9" fillId="6" borderId="30" xfId="0" applyFont="1" applyFill="1" applyBorder="1" applyAlignment="1">
      <alignment horizontal="center" vertical="center"/>
    </xf>
    <xf numFmtId="0" fontId="17" fillId="6" borderId="4" xfId="0" applyFont="1" applyFill="1" applyBorder="1" applyAlignment="1">
      <alignment horizontal="center" vertical="center"/>
    </xf>
    <xf numFmtId="0" fontId="9" fillId="6" borderId="0" xfId="0" applyFont="1" applyFill="1" applyBorder="1" applyAlignment="1">
      <alignment vertical="center"/>
    </xf>
    <xf numFmtId="0" fontId="0" fillId="6" borderId="0" xfId="0" applyFill="1" applyBorder="1" applyAlignment="1">
      <alignment vertical="center"/>
    </xf>
    <xf numFmtId="0" fontId="9" fillId="6" borderId="53" xfId="0" applyFont="1" applyFill="1" applyBorder="1" applyAlignment="1">
      <alignment vertical="center"/>
    </xf>
    <xf numFmtId="167" fontId="9" fillId="6" borderId="54" xfId="0" applyNumberFormat="1" applyFont="1" applyFill="1" applyBorder="1" applyAlignment="1">
      <alignment vertical="center"/>
    </xf>
    <xf numFmtId="0" fontId="9" fillId="6" borderId="26" xfId="0" applyFont="1" applyFill="1" applyBorder="1" applyAlignment="1">
      <alignment horizontal="center" vertical="center"/>
    </xf>
    <xf numFmtId="0" fontId="0" fillId="6" borderId="0" xfId="0" applyFill="1" applyBorder="1"/>
    <xf numFmtId="0" fontId="0" fillId="6" borderId="26" xfId="0" applyFill="1" applyBorder="1"/>
    <xf numFmtId="0" fontId="10" fillId="5" borderId="12"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vertical="top"/>
    </xf>
    <xf numFmtId="0" fontId="0" fillId="0" borderId="0" xfId="0" applyBorder="1" applyAlignment="1">
      <alignment vertical="top"/>
    </xf>
    <xf numFmtId="0" fontId="10" fillId="0" borderId="0" xfId="0" applyFont="1" applyBorder="1"/>
    <xf numFmtId="0" fontId="10" fillId="6" borderId="2" xfId="0" applyFont="1" applyFill="1" applyBorder="1" applyAlignment="1">
      <alignment horizontal="center" vertical="center"/>
    </xf>
    <xf numFmtId="3" fontId="0" fillId="0" borderId="0" xfId="0" applyNumberFormat="1" applyAlignment="1">
      <alignment wrapText="1"/>
    </xf>
    <xf numFmtId="164" fontId="10" fillId="5" borderId="5" xfId="0" applyNumberFormat="1" applyFont="1" applyFill="1" applyBorder="1" applyAlignment="1">
      <alignment horizontal="right" vertical="center"/>
    </xf>
    <xf numFmtId="164" fontId="9" fillId="0" borderId="0" xfId="0" applyNumberFormat="1" applyFont="1" applyFill="1" applyBorder="1" applyAlignment="1">
      <alignment vertical="center"/>
    </xf>
    <xf numFmtId="164" fontId="9" fillId="5" borderId="0" xfId="0" applyNumberFormat="1" applyFont="1" applyFill="1" applyBorder="1" applyAlignment="1">
      <alignment horizontal="right" vertical="center"/>
    </xf>
    <xf numFmtId="164" fontId="9" fillId="5" borderId="0" xfId="0" applyNumberFormat="1" applyFont="1" applyFill="1" applyBorder="1" applyAlignment="1">
      <alignment vertical="center"/>
    </xf>
    <xf numFmtId="0" fontId="10" fillId="0" borderId="0" xfId="0" applyFont="1" applyAlignment="1">
      <alignment vertical="top"/>
    </xf>
    <xf numFmtId="0" fontId="9" fillId="7" borderId="12" xfId="0" applyFont="1" applyFill="1" applyBorder="1"/>
    <xf numFmtId="0" fontId="10" fillId="7" borderId="8" xfId="0" applyFont="1" applyFill="1" applyBorder="1" applyAlignment="1">
      <alignment horizontal="center" wrapText="1"/>
    </xf>
    <xf numFmtId="0" fontId="10" fillId="7" borderId="30" xfId="0" applyFont="1" applyFill="1" applyBorder="1" applyAlignment="1">
      <alignment horizontal="center" wrapText="1"/>
    </xf>
    <xf numFmtId="0" fontId="10" fillId="7" borderId="7" xfId="0" applyFont="1" applyFill="1" applyBorder="1" applyAlignment="1">
      <alignment horizontal="center" vertical="top" wrapText="1"/>
    </xf>
    <xf numFmtId="0" fontId="10" fillId="7" borderId="5" xfId="0" applyFont="1" applyFill="1" applyBorder="1" applyAlignment="1">
      <alignment horizontal="center" vertical="top" wrapText="1"/>
    </xf>
    <xf numFmtId="0" fontId="10" fillId="7" borderId="6" xfId="0" applyFont="1" applyFill="1" applyBorder="1" applyAlignment="1">
      <alignment horizontal="center" vertical="top" wrapText="1"/>
    </xf>
    <xf numFmtId="0" fontId="12" fillId="0" borderId="0" xfId="0" applyFont="1" applyBorder="1" applyAlignment="1">
      <alignment horizontal="center" vertical="top"/>
    </xf>
    <xf numFmtId="0" fontId="10" fillId="0" borderId="0" xfId="0" applyFont="1" applyBorder="1" applyAlignment="1">
      <alignment horizontal="left" wrapText="1"/>
    </xf>
    <xf numFmtId="0" fontId="5" fillId="0" borderId="0" xfId="4"/>
    <xf numFmtId="0" fontId="5" fillId="0" borderId="0" xfId="4" applyFont="1" applyAlignment="1" applyProtection="1">
      <alignment horizontal="left"/>
      <protection locked="0"/>
    </xf>
    <xf numFmtId="0" fontId="5" fillId="0" borderId="0" xfId="4" applyAlignment="1" applyProtection="1">
      <alignment horizontal="right"/>
      <protection locked="0"/>
    </xf>
    <xf numFmtId="0" fontId="5" fillId="0" borderId="0" xfId="4" applyFont="1" applyAlignment="1" applyProtection="1">
      <alignment horizontal="right"/>
      <protection locked="0"/>
    </xf>
    <xf numFmtId="165" fontId="9" fillId="5" borderId="26" xfId="0" applyNumberFormat="1" applyFont="1" applyFill="1" applyBorder="1" applyAlignment="1">
      <alignment horizontal="right" vertical="center"/>
    </xf>
    <xf numFmtId="0" fontId="6" fillId="0" borderId="0" xfId="0" applyFont="1"/>
    <xf numFmtId="165" fontId="9" fillId="5" borderId="0" xfId="0" applyNumberFormat="1" applyFont="1" applyFill="1" applyBorder="1" applyAlignment="1">
      <alignment horizontal="right" vertical="center"/>
    </xf>
    <xf numFmtId="165" fontId="17" fillId="0" borderId="26" xfId="0" applyNumberFormat="1" applyFont="1" applyFill="1" applyBorder="1" applyAlignment="1">
      <alignment horizontal="right" vertical="center"/>
    </xf>
    <xf numFmtId="165" fontId="11" fillId="6" borderId="4" xfId="0" applyNumberFormat="1" applyFont="1" applyFill="1" applyBorder="1" applyAlignment="1">
      <alignment horizontal="right" vertical="center"/>
    </xf>
    <xf numFmtId="165" fontId="11" fillId="6" borderId="0" xfId="0" applyNumberFormat="1" applyFont="1" applyFill="1" applyBorder="1" applyAlignment="1">
      <alignment horizontal="right" vertical="center"/>
    </xf>
    <xf numFmtId="0" fontId="10" fillId="6" borderId="26" xfId="0" applyFont="1" applyFill="1" applyBorder="1" applyAlignment="1">
      <alignment horizontal="center" vertical="center"/>
    </xf>
    <xf numFmtId="0" fontId="12" fillId="0" borderId="0" xfId="0" applyFont="1" applyBorder="1" applyAlignment="1">
      <alignment horizontal="center" vertical="top"/>
    </xf>
    <xf numFmtId="0" fontId="10" fillId="0" borderId="0" xfId="0" applyFont="1" applyBorder="1" applyAlignment="1">
      <alignment horizontal="left" wrapText="1"/>
    </xf>
    <xf numFmtId="167" fontId="11" fillId="6" borderId="0" xfId="0" applyNumberFormat="1" applyFont="1" applyFill="1" applyBorder="1" applyAlignment="1">
      <alignment horizontal="right" vertical="center"/>
    </xf>
    <xf numFmtId="165" fontId="17" fillId="0" borderId="0" xfId="0" applyNumberFormat="1" applyFont="1" applyFill="1" applyBorder="1" applyAlignment="1">
      <alignment horizontal="right" vertical="center"/>
    </xf>
    <xf numFmtId="167" fontId="11" fillId="0" borderId="57" xfId="0" applyNumberFormat="1" applyFont="1" applyFill="1" applyBorder="1" applyAlignment="1">
      <alignment horizontal="right" vertical="center"/>
    </xf>
    <xf numFmtId="165" fontId="9" fillId="6" borderId="0" xfId="0" applyNumberFormat="1" applyFont="1" applyFill="1" applyBorder="1" applyAlignment="1">
      <alignment horizontal="right" vertical="center"/>
    </xf>
    <xf numFmtId="165" fontId="9" fillId="6" borderId="26" xfId="0" applyNumberFormat="1" applyFont="1" applyFill="1" applyBorder="1" applyAlignment="1">
      <alignment horizontal="right" vertical="center"/>
    </xf>
    <xf numFmtId="0" fontId="10" fillId="6" borderId="3" xfId="0" applyFont="1" applyFill="1" applyBorder="1" applyAlignment="1">
      <alignment horizontal="center" vertical="center"/>
    </xf>
    <xf numFmtId="165" fontId="11" fillId="6" borderId="7" xfId="0" applyNumberFormat="1" applyFont="1" applyFill="1" applyBorder="1" applyAlignment="1">
      <alignment horizontal="right" vertical="center"/>
    </xf>
    <xf numFmtId="165" fontId="11" fillId="6" borderId="5" xfId="0" applyNumberFormat="1" applyFont="1" applyFill="1" applyBorder="1" applyAlignment="1">
      <alignment horizontal="right" vertical="center"/>
    </xf>
    <xf numFmtId="167" fontId="11" fillId="6" borderId="5" xfId="0" applyNumberFormat="1" applyFont="1" applyFill="1" applyBorder="1" applyAlignment="1">
      <alignment horizontal="right" vertical="center"/>
    </xf>
    <xf numFmtId="165" fontId="11" fillId="6" borderId="6" xfId="0" applyNumberFormat="1" applyFont="1" applyFill="1" applyBorder="1" applyAlignment="1">
      <alignment horizontal="right" vertical="center"/>
    </xf>
    <xf numFmtId="0" fontId="10" fillId="6" borderId="6" xfId="0" applyFont="1" applyFill="1" applyBorder="1" applyAlignment="1">
      <alignment horizontal="center" vertical="center"/>
    </xf>
    <xf numFmtId="164" fontId="9" fillId="6" borderId="5" xfId="0" applyNumberFormat="1" applyFont="1" applyFill="1" applyBorder="1" applyAlignment="1">
      <alignment vertical="center"/>
    </xf>
    <xf numFmtId="164" fontId="9" fillId="6" borderId="0" xfId="0" applyNumberFormat="1" applyFont="1" applyFill="1" applyBorder="1" applyAlignment="1">
      <alignment vertical="center"/>
    </xf>
    <xf numFmtId="0" fontId="13" fillId="6" borderId="31" xfId="0" applyFont="1" applyFill="1" applyBorder="1" applyAlignment="1">
      <alignment horizontal="center" vertical="center"/>
    </xf>
    <xf numFmtId="0" fontId="11" fillId="6" borderId="21" xfId="0" applyFont="1" applyFill="1" applyBorder="1" applyAlignment="1">
      <alignment vertical="center"/>
    </xf>
    <xf numFmtId="0" fontId="11" fillId="6" borderId="22"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34" xfId="0" applyFont="1" applyFill="1" applyBorder="1" applyAlignment="1">
      <alignment horizontal="right" vertical="center"/>
    </xf>
    <xf numFmtId="0" fontId="13" fillId="6" borderId="32"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35" xfId="0" applyFont="1" applyFill="1" applyBorder="1" applyAlignment="1">
      <alignment horizontal="right" vertical="center"/>
    </xf>
    <xf numFmtId="0" fontId="11" fillId="6" borderId="23" xfId="0" quotePrefix="1" applyFont="1" applyFill="1" applyBorder="1" applyAlignment="1">
      <alignment horizontal="center" vertical="center"/>
    </xf>
    <xf numFmtId="0" fontId="11" fillId="6" borderId="43" xfId="0" quotePrefix="1" applyFont="1" applyFill="1" applyBorder="1" applyAlignment="1">
      <alignment horizontal="center" vertical="center"/>
    </xf>
    <xf numFmtId="0" fontId="11" fillId="6" borderId="44" xfId="0" quotePrefix="1" applyFont="1" applyFill="1" applyBorder="1" applyAlignment="1">
      <alignment horizontal="center" vertical="center"/>
    </xf>
    <xf numFmtId="0" fontId="11" fillId="6" borderId="35" xfId="0" quotePrefix="1" applyFont="1" applyFill="1" applyBorder="1" applyAlignment="1">
      <alignment horizontal="right" vertical="center"/>
    </xf>
    <xf numFmtId="0" fontId="13" fillId="6" borderId="52" xfId="0" applyFont="1" applyFill="1" applyBorder="1" applyAlignment="1">
      <alignment horizontal="center" vertical="center"/>
    </xf>
    <xf numFmtId="0" fontId="11" fillId="6" borderId="24" xfId="0" applyFont="1" applyFill="1" applyBorder="1" applyAlignment="1">
      <alignment vertical="center"/>
    </xf>
    <xf numFmtId="0" fontId="11" fillId="6" borderId="25" xfId="0" applyFont="1" applyFill="1" applyBorder="1" applyAlignment="1">
      <alignment horizontal="center" vertical="center"/>
    </xf>
    <xf numFmtId="0" fontId="11" fillId="6" borderId="47" xfId="0" applyFont="1" applyFill="1" applyBorder="1"/>
    <xf numFmtId="0" fontId="11" fillId="6" borderId="48" xfId="0" applyFont="1" applyFill="1" applyBorder="1"/>
    <xf numFmtId="0" fontId="11" fillId="6" borderId="37" xfId="0" applyFont="1" applyFill="1" applyBorder="1" applyAlignment="1">
      <alignment horizontal="right"/>
    </xf>
    <xf numFmtId="0" fontId="13" fillId="6" borderId="2" xfId="0" applyFont="1" applyFill="1" applyBorder="1" applyAlignment="1">
      <alignment horizontal="center" vertical="center"/>
    </xf>
    <xf numFmtId="0" fontId="11" fillId="6" borderId="4" xfId="0" applyFont="1" applyFill="1" applyBorder="1" applyAlignment="1">
      <alignment vertical="center"/>
    </xf>
    <xf numFmtId="0" fontId="11" fillId="6" borderId="20" xfId="0" applyFont="1" applyFill="1" applyBorder="1" applyAlignment="1">
      <alignment horizontal="center" vertical="center"/>
    </xf>
    <xf numFmtId="0" fontId="11" fillId="6" borderId="4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Border="1" applyAlignment="1">
      <alignment horizontal="left" wrapText="1"/>
    </xf>
    <xf numFmtId="165" fontId="17" fillId="6" borderId="0" xfId="0" applyNumberFormat="1" applyFont="1" applyFill="1" applyBorder="1" applyAlignment="1">
      <alignment horizontal="right" vertical="center"/>
    </xf>
    <xf numFmtId="0" fontId="10" fillId="6" borderId="1" xfId="0" applyFont="1" applyFill="1" applyBorder="1" applyAlignment="1">
      <alignment horizontal="center" vertical="center"/>
    </xf>
    <xf numFmtId="165" fontId="11" fillId="6" borderId="4" xfId="0" quotePrefix="1" applyNumberFormat="1" applyFont="1" applyFill="1" applyBorder="1" applyAlignment="1">
      <alignment horizontal="right" vertical="center"/>
    </xf>
    <xf numFmtId="165" fontId="11" fillId="6" borderId="0" xfId="0" quotePrefix="1" applyNumberFormat="1" applyFont="1" applyFill="1" applyBorder="1" applyAlignment="1">
      <alignment horizontal="right" vertical="center"/>
    </xf>
    <xf numFmtId="165" fontId="17" fillId="6" borderId="26" xfId="0" applyNumberFormat="1" applyFont="1" applyFill="1" applyBorder="1" applyAlignment="1">
      <alignment horizontal="right" vertical="center"/>
    </xf>
    <xf numFmtId="0" fontId="10" fillId="6" borderId="30" xfId="0" applyFont="1" applyFill="1" applyBorder="1" applyAlignment="1">
      <alignment horizontal="center" vertical="center"/>
    </xf>
    <xf numFmtId="165" fontId="9" fillId="5" borderId="59" xfId="0" applyNumberFormat="1" applyFont="1" applyFill="1" applyBorder="1" applyAlignment="1">
      <alignment horizontal="right" vertical="center"/>
    </xf>
    <xf numFmtId="0" fontId="12" fillId="0" borderId="0" xfId="0" applyFont="1" applyBorder="1" applyAlignment="1">
      <alignment horizontal="center" vertical="top"/>
    </xf>
    <xf numFmtId="0" fontId="10" fillId="0" borderId="0" xfId="0" applyFont="1" applyBorder="1" applyAlignment="1">
      <alignment horizontal="left" wrapText="1"/>
    </xf>
    <xf numFmtId="0" fontId="11" fillId="6" borderId="19" xfId="0" applyFont="1" applyFill="1" applyBorder="1" applyAlignment="1">
      <alignment vertical="center"/>
    </xf>
    <xf numFmtId="0" fontId="10" fillId="0" borderId="0" xfId="0" applyFont="1" applyAlignment="1">
      <alignment horizontal="left" vertical="top" wrapText="1"/>
    </xf>
    <xf numFmtId="3" fontId="9" fillId="6" borderId="8" xfId="0" quotePrefix="1" applyNumberFormat="1" applyFont="1" applyFill="1" applyBorder="1" applyAlignment="1">
      <alignment horizontal="right" vertical="center"/>
    </xf>
    <xf numFmtId="165" fontId="17" fillId="0" borderId="12" xfId="0" applyNumberFormat="1" applyFont="1" applyFill="1" applyBorder="1" applyAlignment="1">
      <alignment horizontal="right" vertical="center"/>
    </xf>
    <xf numFmtId="165" fontId="9" fillId="0" borderId="8" xfId="0" applyNumberFormat="1" applyFont="1" applyFill="1" applyBorder="1" applyAlignment="1">
      <alignment horizontal="right" vertical="center"/>
    </xf>
    <xf numFmtId="165" fontId="9" fillId="0" borderId="3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0" xfId="0" applyNumberFormat="1" applyFont="1" applyFill="1" applyBorder="1" applyAlignment="1">
      <alignment vertical="center"/>
    </xf>
    <xf numFmtId="165" fontId="9" fillId="5" borderId="26" xfId="0" applyNumberFormat="1" applyFont="1" applyFill="1" applyBorder="1" applyAlignment="1">
      <alignment vertical="center"/>
    </xf>
    <xf numFmtId="165" fontId="9" fillId="0" borderId="4"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0" borderId="26" xfId="0" applyNumberFormat="1" applyFont="1" applyFill="1" applyBorder="1" applyAlignment="1">
      <alignment horizontal="right" vertical="center"/>
    </xf>
    <xf numFmtId="165" fontId="9" fillId="6" borderId="4" xfId="0" applyNumberFormat="1" applyFont="1" applyFill="1" applyBorder="1" applyAlignment="1">
      <alignment horizontal="right" vertical="center"/>
    </xf>
    <xf numFmtId="165" fontId="9" fillId="0" borderId="4" xfId="0" quotePrefix="1" applyNumberFormat="1" applyFont="1" applyFill="1" applyBorder="1" applyAlignment="1">
      <alignment horizontal="right" vertical="center"/>
    </xf>
    <xf numFmtId="165" fontId="9" fillId="6" borderId="4" xfId="0" quotePrefix="1" applyNumberFormat="1" applyFont="1" applyFill="1" applyBorder="1" applyAlignment="1">
      <alignment horizontal="right" vertical="center"/>
    </xf>
    <xf numFmtId="165" fontId="9" fillId="0" borderId="0" xfId="0" applyNumberFormat="1" applyFont="1" applyFill="1" applyBorder="1" applyAlignment="1">
      <alignment vertical="center"/>
    </xf>
    <xf numFmtId="165" fontId="9" fillId="0" borderId="26" xfId="0" applyNumberFormat="1" applyFont="1" applyFill="1" applyBorder="1" applyAlignment="1">
      <alignment vertical="center"/>
    </xf>
    <xf numFmtId="165" fontId="9" fillId="0" borderId="7" xfId="0" applyNumberFormat="1" applyFont="1" applyFill="1" applyBorder="1" applyAlignment="1">
      <alignment horizontal="right" vertical="center"/>
    </xf>
    <xf numFmtId="165" fontId="9" fillId="0" borderId="5"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17" fillId="0" borderId="8" xfId="0" applyNumberFormat="1" applyFont="1" applyFill="1" applyBorder="1" applyAlignment="1">
      <alignment vertical="center"/>
    </xf>
    <xf numFmtId="165" fontId="10" fillId="5" borderId="12" xfId="0" applyNumberFormat="1" applyFont="1" applyFill="1" applyBorder="1" applyAlignment="1">
      <alignment vertical="center"/>
    </xf>
    <xf numFmtId="165" fontId="10" fillId="5" borderId="8" xfId="0" applyNumberFormat="1" applyFont="1" applyFill="1" applyBorder="1" applyAlignment="1">
      <alignment vertical="center"/>
    </xf>
    <xf numFmtId="165" fontId="10" fillId="5" borderId="8" xfId="0" applyNumberFormat="1" applyFont="1" applyFill="1" applyBorder="1" applyAlignment="1">
      <alignment horizontal="right" vertical="center"/>
    </xf>
    <xf numFmtId="165" fontId="18" fillId="5" borderId="8" xfId="0" applyNumberFormat="1" applyFont="1" applyFill="1" applyBorder="1" applyAlignment="1">
      <alignment vertical="center"/>
    </xf>
    <xf numFmtId="165" fontId="10" fillId="5" borderId="4" xfId="0" applyNumberFormat="1" applyFont="1" applyFill="1" applyBorder="1" applyAlignment="1">
      <alignment vertical="center"/>
    </xf>
    <xf numFmtId="165" fontId="10" fillId="5" borderId="0" xfId="0" applyNumberFormat="1" applyFont="1" applyFill="1" applyBorder="1" applyAlignment="1">
      <alignment vertical="center"/>
    </xf>
    <xf numFmtId="165" fontId="10" fillId="5" borderId="0" xfId="0" applyNumberFormat="1" applyFont="1" applyFill="1" applyBorder="1" applyAlignment="1">
      <alignment horizontal="right" vertical="center"/>
    </xf>
    <xf numFmtId="165" fontId="18" fillId="5" borderId="0" xfId="0" applyNumberFormat="1" applyFont="1" applyFill="1" applyBorder="1" applyAlignment="1">
      <alignment vertical="center"/>
    </xf>
    <xf numFmtId="165" fontId="10" fillId="5" borderId="7" xfId="0" applyNumberFormat="1" applyFont="1" applyFill="1" applyBorder="1" applyAlignment="1">
      <alignment vertical="center"/>
    </xf>
    <xf numFmtId="165" fontId="10" fillId="5" borderId="5" xfId="0" applyNumberFormat="1" applyFont="1" applyFill="1" applyBorder="1" applyAlignment="1">
      <alignment vertical="center"/>
    </xf>
    <xf numFmtId="165" fontId="10" fillId="5" borderId="5" xfId="0" applyNumberFormat="1" applyFont="1" applyFill="1" applyBorder="1" applyAlignment="1">
      <alignment horizontal="right" vertical="center"/>
    </xf>
    <xf numFmtId="165" fontId="9" fillId="0" borderId="12" xfId="0" applyNumberFormat="1" applyFont="1" applyFill="1" applyBorder="1" applyAlignment="1">
      <alignment vertical="center"/>
    </xf>
    <xf numFmtId="165" fontId="9" fillId="0" borderId="8" xfId="0" applyNumberFormat="1" applyFont="1" applyFill="1" applyBorder="1" applyAlignment="1">
      <alignment vertical="center"/>
    </xf>
    <xf numFmtId="165" fontId="9" fillId="0" borderId="4" xfId="0" applyNumberFormat="1" applyFont="1" applyBorder="1" applyAlignment="1">
      <alignment vertical="center"/>
    </xf>
    <xf numFmtId="165" fontId="9" fillId="0" borderId="0" xfId="0" applyNumberFormat="1" applyFont="1" applyBorder="1" applyAlignment="1">
      <alignment vertical="center"/>
    </xf>
    <xf numFmtId="165" fontId="17" fillId="0" borderId="0" xfId="0" applyNumberFormat="1" applyFont="1" applyBorder="1" applyAlignment="1">
      <alignment vertical="center"/>
    </xf>
    <xf numFmtId="165" fontId="9" fillId="5" borderId="4" xfId="0" applyNumberFormat="1" applyFont="1" applyFill="1" applyBorder="1" applyAlignment="1">
      <alignment vertical="center"/>
    </xf>
    <xf numFmtId="165" fontId="9" fillId="0" borderId="4" xfId="0" applyNumberFormat="1" applyFont="1" applyFill="1" applyBorder="1" applyAlignment="1">
      <alignment vertical="center"/>
    </xf>
    <xf numFmtId="165" fontId="9" fillId="5" borderId="60" xfId="0" applyNumberFormat="1" applyFont="1" applyFill="1" applyBorder="1" applyAlignment="1">
      <alignment horizontal="right" vertical="center"/>
    </xf>
    <xf numFmtId="165" fontId="9" fillId="0" borderId="57" xfId="0" applyNumberFormat="1" applyFont="1" applyFill="1" applyBorder="1" applyAlignment="1">
      <alignment vertical="center"/>
    </xf>
    <xf numFmtId="165" fontId="9" fillId="5" borderId="4" xfId="0" quotePrefix="1" applyNumberFormat="1" applyFont="1" applyFill="1" applyBorder="1" applyAlignment="1">
      <alignment horizontal="right" vertical="center"/>
    </xf>
    <xf numFmtId="165" fontId="9" fillId="5" borderId="0" xfId="0" quotePrefix="1" applyNumberFormat="1" applyFont="1" applyFill="1" applyBorder="1" applyAlignment="1">
      <alignment horizontal="right" vertical="center"/>
    </xf>
    <xf numFmtId="165" fontId="9" fillId="0" borderId="4" xfId="0" applyNumberFormat="1" applyFont="1" applyBorder="1" applyAlignment="1">
      <alignment horizontal="right" vertical="center"/>
    </xf>
    <xf numFmtId="165" fontId="9" fillId="0" borderId="0" xfId="0" applyNumberFormat="1" applyFont="1" applyBorder="1" applyAlignment="1">
      <alignment horizontal="right" vertical="center"/>
    </xf>
    <xf numFmtId="165" fontId="9" fillId="0" borderId="0" xfId="0" quotePrefix="1" applyNumberFormat="1" applyFont="1" applyFill="1" applyBorder="1" applyAlignment="1">
      <alignment horizontal="right" vertical="center"/>
    </xf>
    <xf numFmtId="165" fontId="9" fillId="0" borderId="4" xfId="0" quotePrefix="1" applyNumberFormat="1" applyFont="1" applyBorder="1" applyAlignment="1">
      <alignment horizontal="right" vertical="center"/>
    </xf>
    <xf numFmtId="165" fontId="9" fillId="0" borderId="0" xfId="0" quotePrefix="1" applyNumberFormat="1" applyFont="1" applyBorder="1" applyAlignment="1">
      <alignment horizontal="right" vertical="center"/>
    </xf>
    <xf numFmtId="165" fontId="9" fillId="0" borderId="0" xfId="0" applyNumberFormat="1" applyFont="1" applyFill="1" applyBorder="1" applyAlignment="1">
      <alignment horizontal="right"/>
    </xf>
    <xf numFmtId="165" fontId="9" fillId="6" borderId="4" xfId="0" applyNumberFormat="1" applyFont="1" applyFill="1" applyBorder="1" applyAlignment="1">
      <alignment vertical="center"/>
    </xf>
    <xf numFmtId="165" fontId="9" fillId="6" borderId="0" xfId="0" applyNumberFormat="1" applyFont="1" applyFill="1" applyBorder="1" applyAlignment="1">
      <alignment vertical="center"/>
    </xf>
    <xf numFmtId="165" fontId="17" fillId="0" borderId="8" xfId="0" applyNumberFormat="1" applyFont="1" applyFill="1" applyBorder="1" applyAlignment="1">
      <alignment horizontal="right" vertical="center"/>
    </xf>
    <xf numFmtId="165" fontId="17" fillId="0" borderId="8" xfId="0" applyNumberFormat="1" applyFont="1" applyFill="1" applyBorder="1" applyAlignment="1">
      <alignment vertical="center"/>
    </xf>
    <xf numFmtId="165" fontId="9" fillId="0" borderId="7" xfId="0" applyNumberFormat="1" applyFont="1" applyFill="1" applyBorder="1" applyAlignment="1">
      <alignment vertical="center"/>
    </xf>
    <xf numFmtId="165" fontId="9" fillId="0" borderId="5" xfId="0" applyNumberFormat="1" applyFont="1" applyFill="1" applyBorder="1" applyAlignment="1">
      <alignment vertical="center"/>
    </xf>
    <xf numFmtId="165" fontId="9" fillId="6" borderId="0" xfId="0" quotePrefix="1" applyNumberFormat="1" applyFont="1" applyFill="1" applyBorder="1" applyAlignment="1">
      <alignment horizontal="right" vertical="center"/>
    </xf>
    <xf numFmtId="165" fontId="9" fillId="6" borderId="8" xfId="0" quotePrefix="1" applyNumberFormat="1" applyFont="1" applyFill="1" applyBorder="1" applyAlignment="1">
      <alignment horizontal="right" vertical="center"/>
    </xf>
    <xf numFmtId="165" fontId="9" fillId="6" borderId="12" xfId="0" quotePrefix="1" applyNumberFormat="1" applyFont="1" applyFill="1" applyBorder="1" applyAlignment="1">
      <alignment horizontal="right" vertical="center"/>
    </xf>
    <xf numFmtId="165" fontId="9" fillId="6" borderId="7" xfId="0" applyNumberFormat="1" applyFont="1" applyFill="1" applyBorder="1" applyAlignment="1">
      <alignment vertical="center"/>
    </xf>
    <xf numFmtId="165" fontId="9" fillId="6" borderId="5" xfId="0" applyNumberFormat="1" applyFont="1" applyFill="1" applyBorder="1" applyAlignment="1">
      <alignment vertical="center"/>
    </xf>
    <xf numFmtId="165" fontId="9" fillId="6" borderId="5" xfId="0" applyNumberFormat="1" applyFont="1" applyFill="1" applyBorder="1" applyAlignment="1">
      <alignment horizontal="right" vertical="center"/>
    </xf>
    <xf numFmtId="0" fontId="9" fillId="6" borderId="59" xfId="0" applyFont="1" applyFill="1" applyBorder="1" applyAlignment="1">
      <alignment horizontal="center" vertical="center"/>
    </xf>
    <xf numFmtId="0" fontId="9" fillId="0" borderId="59" xfId="0" applyFont="1" applyFill="1" applyBorder="1" applyAlignment="1">
      <alignment horizontal="center" vertical="center"/>
    </xf>
    <xf numFmtId="165" fontId="9" fillId="0" borderId="0" xfId="0" applyNumberFormat="1" applyFont="1" applyAlignment="1">
      <alignment horizontal="right" vertical="center"/>
    </xf>
    <xf numFmtId="165" fontId="9" fillId="0" borderId="26" xfId="0" quotePrefix="1" applyNumberFormat="1" applyFont="1" applyFill="1" applyBorder="1" applyAlignment="1">
      <alignment horizontal="right" vertical="center"/>
    </xf>
    <xf numFmtId="165" fontId="10" fillId="0" borderId="2" xfId="0" applyNumberFormat="1" applyFont="1" applyFill="1" applyBorder="1" applyAlignment="1">
      <alignment horizontal="right" vertical="center"/>
    </xf>
    <xf numFmtId="165" fontId="9" fillId="0" borderId="5" xfId="0" quotePrefix="1" applyNumberFormat="1" applyFont="1" applyFill="1" applyBorder="1" applyAlignment="1">
      <alignment horizontal="right" vertical="center"/>
    </xf>
    <xf numFmtId="165" fontId="9" fillId="0" borderId="5" xfId="0" applyNumberFormat="1" applyFont="1" applyBorder="1" applyAlignment="1">
      <alignment horizontal="right" vertical="center"/>
    </xf>
    <xf numFmtId="165" fontId="9" fillId="0" borderId="5" xfId="0" quotePrefix="1" applyNumberFormat="1" applyFont="1" applyBorder="1" applyAlignment="1">
      <alignment horizontal="right" vertical="center"/>
    </xf>
    <xf numFmtId="165" fontId="10" fillId="0" borderId="3" xfId="0" applyNumberFormat="1" applyFont="1" applyFill="1" applyBorder="1" applyAlignment="1">
      <alignment horizontal="right" vertical="center"/>
    </xf>
    <xf numFmtId="165" fontId="10" fillId="5" borderId="12" xfId="0" applyNumberFormat="1" applyFont="1" applyFill="1" applyBorder="1" applyAlignment="1">
      <alignment horizontal="right" vertical="center"/>
    </xf>
    <xf numFmtId="165" fontId="10" fillId="5" borderId="4" xfId="0" applyNumberFormat="1" applyFont="1" applyFill="1" applyBorder="1" applyAlignment="1">
      <alignment horizontal="right" vertical="center"/>
    </xf>
    <xf numFmtId="165" fontId="18" fillId="5" borderId="5" xfId="0" applyNumberFormat="1" applyFont="1" applyFill="1" applyBorder="1" applyAlignment="1">
      <alignment horizontal="right" vertical="center"/>
    </xf>
    <xf numFmtId="165" fontId="9" fillId="0" borderId="57" xfId="0" applyNumberFormat="1" applyFont="1" applyFill="1" applyBorder="1" applyAlignment="1">
      <alignment horizontal="right" vertical="center"/>
    </xf>
    <xf numFmtId="165" fontId="9" fillId="6" borderId="59" xfId="0" applyNumberFormat="1" applyFont="1" applyFill="1" applyBorder="1" applyAlignment="1">
      <alignment horizontal="right" vertical="center"/>
    </xf>
    <xf numFmtId="165" fontId="9" fillId="0" borderId="12" xfId="0" applyNumberFormat="1" applyFont="1" applyFill="1" applyBorder="1" applyAlignment="1">
      <alignment horizontal="right" vertical="center"/>
    </xf>
    <xf numFmtId="165" fontId="9" fillId="6" borderId="7" xfId="0" applyNumberFormat="1" applyFont="1" applyFill="1" applyBorder="1" applyAlignment="1">
      <alignment horizontal="right" vertical="center"/>
    </xf>
    <xf numFmtId="165" fontId="10" fillId="5" borderId="1" xfId="0" applyNumberFormat="1" applyFont="1" applyFill="1" applyBorder="1" applyAlignment="1">
      <alignment horizontal="right" vertical="center"/>
    </xf>
    <xf numFmtId="165" fontId="18" fillId="5" borderId="2" xfId="0" applyNumberFormat="1" applyFont="1" applyFill="1" applyBorder="1" applyAlignment="1">
      <alignment horizontal="right" vertical="center"/>
    </xf>
    <xf numFmtId="165" fontId="10" fillId="5" borderId="2" xfId="0" applyNumberFormat="1" applyFont="1" applyFill="1" applyBorder="1" applyAlignment="1">
      <alignment horizontal="right" vertical="center"/>
    </xf>
    <xf numFmtId="165" fontId="10" fillId="5" borderId="3" xfId="0" applyNumberFormat="1" applyFont="1" applyFill="1" applyBorder="1" applyAlignment="1">
      <alignment horizontal="right" vertical="center"/>
    </xf>
    <xf numFmtId="165" fontId="9" fillId="0" borderId="2"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165" fontId="9" fillId="5" borderId="2" xfId="0" applyNumberFormat="1" applyFont="1" applyFill="1" applyBorder="1" applyAlignment="1">
      <alignment horizontal="right" vertical="center"/>
    </xf>
    <xf numFmtId="165" fontId="9" fillId="5" borderId="2" xfId="0" applyNumberFormat="1" applyFont="1" applyFill="1" applyBorder="1" applyAlignment="1">
      <alignment horizontal="center" vertical="center"/>
    </xf>
    <xf numFmtId="165" fontId="9" fillId="0" borderId="56" xfId="0" applyNumberFormat="1" applyFont="1" applyFill="1" applyBorder="1" applyAlignment="1">
      <alignment horizontal="right" vertical="center"/>
    </xf>
    <xf numFmtId="165" fontId="9" fillId="6" borderId="2" xfId="0" applyNumberFormat="1" applyFont="1" applyFill="1" applyBorder="1" applyAlignment="1">
      <alignment horizontal="right" vertical="center"/>
    </xf>
    <xf numFmtId="165" fontId="9" fillId="6" borderId="1" xfId="0" applyNumberFormat="1" applyFont="1" applyFill="1" applyBorder="1" applyAlignment="1">
      <alignment horizontal="right" vertical="center"/>
    </xf>
    <xf numFmtId="165" fontId="9" fillId="6" borderId="30" xfId="0" applyNumberFormat="1" applyFont="1" applyFill="1" applyBorder="1" applyAlignment="1">
      <alignment horizontal="right" vertical="center"/>
    </xf>
    <xf numFmtId="165" fontId="9" fillId="6" borderId="8" xfId="0" applyNumberFormat="1" applyFont="1" applyFill="1" applyBorder="1" applyAlignment="1">
      <alignment horizontal="right" vertical="center"/>
    </xf>
    <xf numFmtId="165" fontId="17" fillId="6" borderId="8" xfId="0" applyNumberFormat="1" applyFont="1" applyFill="1" applyBorder="1" applyAlignment="1">
      <alignment horizontal="right" vertical="center"/>
    </xf>
    <xf numFmtId="165" fontId="9" fillId="0" borderId="59" xfId="0" applyNumberFormat="1" applyFont="1" applyFill="1" applyBorder="1" applyAlignment="1">
      <alignment horizontal="right" vertical="center"/>
    </xf>
    <xf numFmtId="165" fontId="9" fillId="6" borderId="3" xfId="0" applyNumberFormat="1" applyFont="1" applyFill="1" applyBorder="1" applyAlignment="1">
      <alignment horizontal="right" vertical="center"/>
    </xf>
    <xf numFmtId="165" fontId="9" fillId="0" borderId="3" xfId="0" applyNumberFormat="1" applyFont="1" applyFill="1" applyBorder="1" applyAlignment="1">
      <alignment horizontal="right" vertical="center"/>
    </xf>
    <xf numFmtId="165" fontId="17" fillId="0" borderId="59" xfId="0" applyNumberFormat="1" applyFont="1" applyFill="1" applyBorder="1" applyAlignment="1">
      <alignment horizontal="right" vertical="center"/>
    </xf>
    <xf numFmtId="165" fontId="11" fillId="5" borderId="59" xfId="0" applyNumberFormat="1" applyFont="1" applyFill="1" applyBorder="1" applyAlignment="1">
      <alignment horizontal="right" vertical="center"/>
    </xf>
    <xf numFmtId="165" fontId="11" fillId="0" borderId="59" xfId="0" applyNumberFormat="1" applyFont="1" applyFill="1" applyBorder="1" applyAlignment="1">
      <alignment horizontal="right" vertical="center"/>
    </xf>
    <xf numFmtId="165" fontId="11" fillId="6" borderId="59" xfId="0" applyNumberFormat="1" applyFont="1" applyFill="1" applyBorder="1" applyAlignment="1">
      <alignment horizontal="right" vertical="center"/>
    </xf>
    <xf numFmtId="165" fontId="17" fillId="6" borderId="59" xfId="0" applyNumberFormat="1" applyFont="1" applyFill="1" applyBorder="1" applyAlignment="1">
      <alignment horizontal="right" vertical="center"/>
    </xf>
    <xf numFmtId="0" fontId="7" fillId="0" borderId="0" xfId="0" applyFont="1" applyBorder="1" applyAlignment="1">
      <alignment horizontal="center" vertical="center"/>
    </xf>
    <xf numFmtId="0" fontId="12" fillId="0" borderId="0" xfId="0" applyFont="1" applyBorder="1" applyAlignment="1">
      <alignment horizontal="center" vertical="top"/>
    </xf>
    <xf numFmtId="0" fontId="10" fillId="0" borderId="0" xfId="0" applyFont="1" applyBorder="1" applyAlignment="1">
      <alignment horizontal="left" wrapText="1"/>
    </xf>
    <xf numFmtId="0" fontId="10" fillId="0" borderId="0" xfId="0" applyFont="1" applyAlignment="1">
      <alignment horizontal="left" vertical="top" wrapText="1"/>
    </xf>
    <xf numFmtId="165" fontId="9" fillId="0" borderId="60" xfId="0" applyNumberFormat="1" applyFont="1" applyFill="1" applyBorder="1" applyAlignment="1">
      <alignment horizontal="right" vertical="center"/>
    </xf>
    <xf numFmtId="165" fontId="9" fillId="0" borderId="60" xfId="0" applyNumberFormat="1" applyFont="1" applyBorder="1" applyAlignment="1">
      <alignment vertical="center"/>
    </xf>
    <xf numFmtId="165" fontId="10" fillId="5" borderId="61" xfId="0" applyNumberFormat="1" applyFont="1" applyFill="1" applyBorder="1" applyAlignment="1">
      <alignment horizontal="right" vertical="center"/>
    </xf>
    <xf numFmtId="165" fontId="10" fillId="5" borderId="60" xfId="0" applyNumberFormat="1" applyFont="1" applyFill="1" applyBorder="1" applyAlignment="1">
      <alignment horizontal="right" vertical="center"/>
    </xf>
    <xf numFmtId="165" fontId="9" fillId="5" borderId="60" xfId="0" applyNumberFormat="1" applyFont="1" applyFill="1" applyBorder="1" applyAlignment="1">
      <alignment vertical="center"/>
    </xf>
    <xf numFmtId="165" fontId="18" fillId="5" borderId="61" xfId="0" applyNumberFormat="1" applyFont="1" applyFill="1" applyBorder="1" applyAlignment="1">
      <alignment vertical="center"/>
    </xf>
    <xf numFmtId="165" fontId="18" fillId="5" borderId="60" xfId="0" applyNumberFormat="1" applyFont="1" applyFill="1" applyBorder="1" applyAlignment="1">
      <alignment vertical="center"/>
    </xf>
    <xf numFmtId="164" fontId="10" fillId="5" borderId="8" xfId="0" applyNumberFormat="1" applyFont="1" applyFill="1" applyBorder="1" applyAlignment="1">
      <alignment horizontal="right" vertical="center"/>
    </xf>
    <xf numFmtId="164" fontId="10" fillId="5" borderId="0" xfId="0" applyNumberFormat="1" applyFont="1" applyFill="1" applyBorder="1" applyAlignment="1">
      <alignment horizontal="right" vertical="center"/>
    </xf>
    <xf numFmtId="164" fontId="9" fillId="5" borderId="0" xfId="0" quotePrefix="1" applyNumberFormat="1" applyFont="1" applyFill="1" applyBorder="1" applyAlignment="1">
      <alignment horizontal="right" vertical="center"/>
    </xf>
    <xf numFmtId="164" fontId="9" fillId="0" borderId="0" xfId="0" quotePrefix="1" applyNumberFormat="1" applyFont="1" applyBorder="1" applyAlignment="1">
      <alignment horizontal="right" vertical="center"/>
    </xf>
    <xf numFmtId="0" fontId="10" fillId="0" borderId="0" xfId="0" applyFont="1" applyBorder="1" applyAlignment="1">
      <alignment horizontal="left" wrapText="1"/>
    </xf>
    <xf numFmtId="1" fontId="10" fillId="5" borderId="7" xfId="0" applyNumberFormat="1" applyFont="1" applyFill="1" applyBorder="1" applyAlignment="1">
      <alignment horizontal="center" vertical="center"/>
    </xf>
    <xf numFmtId="165" fontId="9" fillId="0" borderId="7" xfId="0" quotePrefix="1" applyNumberFormat="1" applyFont="1" applyFill="1" applyBorder="1" applyAlignment="1">
      <alignment horizontal="right" vertical="center"/>
    </xf>
    <xf numFmtId="165" fontId="9" fillId="0" borderId="6" xfId="0" quotePrefix="1" applyNumberFormat="1" applyFont="1" applyFill="1" applyBorder="1" applyAlignment="1">
      <alignment horizontal="right" vertical="center"/>
    </xf>
    <xf numFmtId="0" fontId="0" fillId="6" borderId="59" xfId="0" applyFill="1" applyBorder="1"/>
    <xf numFmtId="0" fontId="21" fillId="4" borderId="8" xfId="0" applyFont="1" applyFill="1" applyBorder="1" applyAlignment="1">
      <alignment horizontal="center" vertical="center" wrapText="1"/>
    </xf>
    <xf numFmtId="0" fontId="21" fillId="4" borderId="5" xfId="0" applyFont="1" applyFill="1" applyBorder="1" applyAlignment="1">
      <alignment horizontal="center" vertical="top" wrapText="1"/>
    </xf>
    <xf numFmtId="0" fontId="0" fillId="0" borderId="53" xfId="0" applyFill="1" applyBorder="1"/>
    <xf numFmtId="0" fontId="0" fillId="6" borderId="53" xfId="0" applyFill="1" applyBorder="1"/>
    <xf numFmtId="0" fontId="9" fillId="0" borderId="5" xfId="0" applyFont="1" applyFill="1" applyBorder="1" applyAlignment="1">
      <alignment vertical="center"/>
    </xf>
    <xf numFmtId="0" fontId="9" fillId="0" borderId="16" xfId="0" applyFont="1" applyFill="1" applyBorder="1" applyAlignment="1">
      <alignment vertical="center"/>
    </xf>
    <xf numFmtId="0" fontId="8" fillId="0" borderId="0" xfId="0" applyFont="1" applyAlignment="1">
      <alignment horizontal="center" vertical="top" wrapText="1"/>
    </xf>
    <xf numFmtId="0" fontId="8" fillId="0" borderId="0" xfId="0" quotePrefix="1" applyNumberFormat="1"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0" xfId="0" applyFont="1" applyBorder="1" applyAlignment="1">
      <alignment horizontal="center" vertical="center"/>
    </xf>
    <xf numFmtId="0" fontId="26" fillId="0" borderId="0" xfId="0" applyFont="1" applyAlignment="1">
      <alignment horizontal="center" vertical="center" wrapText="1"/>
    </xf>
    <xf numFmtId="0" fontId="15" fillId="0" borderId="0" xfId="0" applyFont="1" applyAlignment="1">
      <alignment vertical="top" wrapText="1"/>
    </xf>
    <xf numFmtId="0" fontId="10" fillId="0" borderId="8" xfId="0" applyFont="1" applyBorder="1" applyAlignment="1">
      <alignment horizontal="left" wrapText="1"/>
    </xf>
    <xf numFmtId="0" fontId="13" fillId="0" borderId="8" xfId="0" applyFont="1" applyBorder="1" applyAlignment="1">
      <alignment horizontal="left" wrapText="1"/>
    </xf>
    <xf numFmtId="0" fontId="12" fillId="0" borderId="0" xfId="0" applyFont="1" applyBorder="1" applyAlignment="1">
      <alignment horizontal="center" vertical="top"/>
    </xf>
    <xf numFmtId="0" fontId="10" fillId="0" borderId="0" xfId="0" applyFont="1" applyAlignment="1">
      <alignment horizontal="left" wrapText="1"/>
    </xf>
    <xf numFmtId="0" fontId="9" fillId="0" borderId="0" xfId="0" applyFont="1" applyAlignment="1">
      <alignment horizontal="left" vertical="top" wrapText="1"/>
    </xf>
    <xf numFmtId="0" fontId="10" fillId="0" borderId="0" xfId="0" applyFont="1" applyAlignment="1">
      <alignment horizontal="left" vertical="top" wrapText="1"/>
    </xf>
    <xf numFmtId="165" fontId="9" fillId="6" borderId="0" xfId="0" applyNumberFormat="1" applyFont="1" applyFill="1" applyBorder="1" applyAlignment="1">
      <alignment horizontal="center" vertical="center"/>
    </xf>
    <xf numFmtId="165" fontId="0" fillId="6" borderId="26" xfId="0" applyNumberFormat="1" applyFill="1" applyBorder="1" applyAlignment="1">
      <alignment horizontal="center" vertical="center"/>
    </xf>
    <xf numFmtId="165" fontId="9" fillId="6" borderId="26" xfId="0" applyNumberFormat="1" applyFont="1" applyFill="1" applyBorder="1" applyAlignment="1">
      <alignment horizontal="center" vertical="center"/>
    </xf>
    <xf numFmtId="165" fontId="9" fillId="6" borderId="59"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0" borderId="0" xfId="0" applyFont="1" applyFill="1" applyAlignment="1">
      <alignment horizontal="right" vertical="center" wrapText="1"/>
    </xf>
    <xf numFmtId="0" fontId="0" fillId="0" borderId="0" xfId="0" applyAlignment="1">
      <alignment wrapText="1"/>
    </xf>
    <xf numFmtId="0" fontId="8" fillId="0" borderId="0" xfId="0" quotePrefix="1" applyFont="1" applyAlignment="1">
      <alignment horizontal="left"/>
    </xf>
    <xf numFmtId="0" fontId="12" fillId="0" borderId="0" xfId="0" applyFont="1" applyAlignment="1">
      <alignment horizontal="center"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13" fillId="0" borderId="0" xfId="0" applyFont="1" applyAlignment="1">
      <alignment horizontal="left" wrapText="1"/>
    </xf>
    <xf numFmtId="0" fontId="10" fillId="0" borderId="0" xfId="0" applyFont="1" applyBorder="1" applyAlignment="1">
      <alignment horizontal="left" wrapText="1"/>
    </xf>
    <xf numFmtId="0" fontId="16" fillId="0" borderId="5" xfId="0" applyFont="1" applyBorder="1" applyAlignment="1">
      <alignment horizontal="center" vertical="center" wrapText="1"/>
    </xf>
    <xf numFmtId="0" fontId="12" fillId="0" borderId="0" xfId="0" quotePrefix="1" applyFont="1" applyAlignment="1">
      <alignment horizontal="left"/>
    </xf>
    <xf numFmtId="0" fontId="12" fillId="0" borderId="0" xfId="0" applyFont="1" applyBorder="1" applyAlignment="1">
      <alignment horizontal="center" vertical="top"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6" fillId="4" borderId="8" xfId="0" applyFont="1" applyFill="1" applyBorder="1" applyAlignment="1">
      <alignment vertical="center"/>
    </xf>
    <xf numFmtId="0" fontId="16" fillId="4" borderId="5" xfId="0" applyFont="1" applyFill="1" applyBorder="1" applyAlignment="1">
      <alignment vertical="center"/>
    </xf>
    <xf numFmtId="0" fontId="21" fillId="4" borderId="58"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Border="1" applyAlignment="1">
      <alignment horizontal="left" vertical="top" wrapText="1"/>
    </xf>
    <xf numFmtId="49" fontId="11" fillId="0" borderId="0" xfId="0" applyNumberFormat="1" applyFont="1" applyAlignment="1">
      <alignment horizontal="left" vertical="top" wrapText="1"/>
    </xf>
    <xf numFmtId="0" fontId="12" fillId="0" borderId="0" xfId="0" applyFont="1" applyAlignment="1">
      <alignment horizontal="center" wrapText="1"/>
    </xf>
    <xf numFmtId="0" fontId="12" fillId="0" borderId="0" xfId="0" applyFont="1" applyAlignment="1">
      <alignment horizontal="center" vertical="top" wrapText="1"/>
    </xf>
    <xf numFmtId="0" fontId="13" fillId="0" borderId="0" xfId="0" applyFont="1" applyAlignment="1"/>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12"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30" xfId="0" applyFont="1" applyFill="1" applyBorder="1" applyAlignment="1">
      <alignment horizontal="center" vertical="center"/>
    </xf>
    <xf numFmtId="0" fontId="13" fillId="0" borderId="52" xfId="0" applyFont="1" applyFill="1" applyBorder="1" applyAlignment="1">
      <alignment horizontal="center" vertical="top"/>
    </xf>
    <xf numFmtId="0" fontId="13" fillId="0" borderId="2" xfId="0" applyFont="1" applyFill="1" applyBorder="1" applyAlignment="1">
      <alignment horizontal="center" vertical="top"/>
    </xf>
    <xf numFmtId="0" fontId="16" fillId="0" borderId="0" xfId="0" applyFont="1" applyBorder="1" applyAlignment="1">
      <alignment horizontal="center" vertical="center"/>
    </xf>
    <xf numFmtId="0" fontId="9" fillId="0" borderId="0" xfId="0" applyFont="1" applyAlignment="1">
      <alignment vertical="top" wrapText="1"/>
    </xf>
    <xf numFmtId="0" fontId="10" fillId="0" borderId="0" xfId="0" applyFont="1" applyAlignment="1">
      <alignment wrapText="1"/>
    </xf>
    <xf numFmtId="0" fontId="0" fillId="0" borderId="0" xfId="0" applyBorder="1" applyAlignment="1">
      <alignment wrapText="1"/>
    </xf>
  </cellXfs>
  <cellStyles count="13">
    <cellStyle name="Normal" xfId="0" builtinId="0"/>
    <cellStyle name="Normal 10" xfId="12"/>
    <cellStyle name="Normal 2" xfId="4"/>
    <cellStyle name="Normal 3" xfId="5"/>
    <cellStyle name="Normal 4" xfId="6"/>
    <cellStyle name="Normal 5" xfId="7"/>
    <cellStyle name="Normal 6" xfId="8"/>
    <cellStyle name="Normal 7" xfId="9"/>
    <cellStyle name="Normal 8" xfId="10"/>
    <cellStyle name="Normal 9" xfId="11"/>
    <cellStyle name="Standard_E00seit45" xfId="1"/>
    <cellStyle name="Titre ligne" xfId="2"/>
    <cellStyle name="Total intermediaire"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6"/>
  <sheetViews>
    <sheetView workbookViewId="0">
      <selection activeCell="D22" sqref="D22:D23"/>
    </sheetView>
  </sheetViews>
  <sheetFormatPr defaultRowHeight="12.75" x14ac:dyDescent="0.2"/>
  <cols>
    <col min="1" max="1" width="0.85546875" style="4" customWidth="1"/>
    <col min="2" max="2" width="5.42578125" style="133" customWidth="1"/>
    <col min="3" max="3" width="2" style="134" customWidth="1"/>
    <col min="4" max="4" width="51.5703125" style="4" customWidth="1"/>
    <col min="5" max="5" width="8.5703125" style="4" customWidth="1"/>
    <col min="6" max="16384" width="9.140625" style="4"/>
  </cols>
  <sheetData>
    <row r="1" spans="2:5" ht="20.100000000000001" customHeight="1" x14ac:dyDescent="0.2">
      <c r="B1" s="436" t="s">
        <v>74</v>
      </c>
      <c r="C1" s="436"/>
      <c r="D1" s="436"/>
      <c r="E1" s="436"/>
    </row>
    <row r="2" spans="2:5" ht="20.100000000000001" customHeight="1" x14ac:dyDescent="0.2">
      <c r="B2" s="437" t="s">
        <v>75</v>
      </c>
      <c r="C2" s="437"/>
      <c r="D2" s="437"/>
      <c r="E2" s="437"/>
    </row>
    <row r="3" spans="2:5" ht="20.100000000000001" customHeight="1" x14ac:dyDescent="0.2">
      <c r="B3" s="438" t="s">
        <v>111</v>
      </c>
      <c r="C3" s="438"/>
      <c r="D3" s="438"/>
      <c r="E3" s="438"/>
    </row>
    <row r="4" spans="2:5" ht="20.100000000000001" customHeight="1" x14ac:dyDescent="0.2">
      <c r="B4" s="439" t="s">
        <v>76</v>
      </c>
      <c r="C4" s="439"/>
      <c r="D4" s="439"/>
      <c r="E4" s="439"/>
    </row>
    <row r="5" spans="2:5" ht="20.100000000000001" customHeight="1" x14ac:dyDescent="0.2">
      <c r="B5" s="88"/>
      <c r="C5" s="88"/>
      <c r="D5" s="88"/>
      <c r="E5" s="88"/>
    </row>
    <row r="6" spans="2:5" ht="20.100000000000001" customHeight="1" x14ac:dyDescent="0.2"/>
    <row r="7" spans="2:5" ht="20.100000000000001" customHeight="1" x14ac:dyDescent="0.2">
      <c r="B7" s="436" t="s">
        <v>122</v>
      </c>
      <c r="C7" s="436"/>
      <c r="D7" s="436"/>
      <c r="E7" s="436"/>
    </row>
    <row r="8" spans="2:5" ht="20.100000000000001" customHeight="1" x14ac:dyDescent="0.2">
      <c r="B8" s="435">
        <v>2016</v>
      </c>
      <c r="C8" s="435"/>
      <c r="D8" s="435"/>
      <c r="E8" s="435"/>
    </row>
    <row r="9" spans="2:5" ht="20.100000000000001" customHeight="1" x14ac:dyDescent="0.2">
      <c r="B9" s="94"/>
      <c r="C9" s="94"/>
      <c r="D9" s="94"/>
      <c r="E9" s="94"/>
    </row>
    <row r="10" spans="2:5" ht="20.100000000000001" customHeight="1" x14ac:dyDescent="0.2">
      <c r="B10" s="440" t="s">
        <v>123</v>
      </c>
      <c r="C10" s="440"/>
      <c r="D10" s="440"/>
      <c r="E10" s="440"/>
    </row>
    <row r="11" spans="2:5" ht="20.100000000000001" customHeight="1" x14ac:dyDescent="0.2">
      <c r="B11" s="135"/>
      <c r="E11" s="135"/>
    </row>
    <row r="12" spans="2:5" ht="20.100000000000001" customHeight="1" x14ac:dyDescent="0.2">
      <c r="B12" s="434" t="s">
        <v>112</v>
      </c>
      <c r="C12" s="434"/>
      <c r="D12" s="434"/>
      <c r="E12" s="434"/>
    </row>
    <row r="13" spans="2:5" customFormat="1" ht="20.100000000000001" customHeight="1" x14ac:dyDescent="0.2">
      <c r="B13" s="434" t="s">
        <v>72</v>
      </c>
      <c r="C13" s="434"/>
      <c r="D13" s="434"/>
      <c r="E13" s="434"/>
    </row>
    <row r="14" spans="2:5" ht="20.100000000000001" customHeight="1" x14ac:dyDescent="0.2">
      <c r="B14" s="135"/>
      <c r="D14"/>
      <c r="E14" s="135"/>
    </row>
    <row r="15" spans="2:5" ht="20.100000000000001" customHeight="1" x14ac:dyDescent="0.2">
      <c r="B15" s="135"/>
      <c r="E15" s="135"/>
    </row>
    <row r="16" spans="2:5" customFormat="1" ht="15" customHeight="1" x14ac:dyDescent="0.2">
      <c r="B16" s="136" t="s">
        <v>113</v>
      </c>
      <c r="C16" s="137"/>
      <c r="D16" s="139" t="s">
        <v>91</v>
      </c>
      <c r="E16" s="135"/>
    </row>
    <row r="17" spans="2:5" customFormat="1" ht="15" customHeight="1" x14ac:dyDescent="0.2">
      <c r="B17" s="136" t="s">
        <v>114</v>
      </c>
      <c r="C17" s="137"/>
      <c r="D17" s="138" t="s">
        <v>79</v>
      </c>
      <c r="E17" s="135"/>
    </row>
    <row r="18" spans="2:5" ht="15" customHeight="1" x14ac:dyDescent="0.2">
      <c r="B18" s="136" t="s">
        <v>115</v>
      </c>
      <c r="C18" s="137"/>
      <c r="D18" s="139" t="s">
        <v>92</v>
      </c>
      <c r="E18" s="135"/>
    </row>
    <row r="19" spans="2:5" ht="15" customHeight="1" x14ac:dyDescent="0.2">
      <c r="B19" s="136" t="s">
        <v>116</v>
      </c>
      <c r="C19" s="137"/>
      <c r="D19" s="139" t="s">
        <v>93</v>
      </c>
      <c r="E19" s="135"/>
    </row>
    <row r="20" spans="2:5" customFormat="1" ht="15" customHeight="1" x14ac:dyDescent="0.2">
      <c r="B20" s="136" t="s">
        <v>117</v>
      </c>
      <c r="C20" s="137"/>
      <c r="D20" s="138" t="s">
        <v>94</v>
      </c>
    </row>
    <row r="21" spans="2:5" ht="15" customHeight="1" x14ac:dyDescent="0.2">
      <c r="B21" s="136" t="s">
        <v>118</v>
      </c>
      <c r="C21" s="137"/>
      <c r="D21" s="138" t="s">
        <v>86</v>
      </c>
      <c r="E21"/>
    </row>
    <row r="22" spans="2:5" ht="15" customHeight="1" x14ac:dyDescent="0.2">
      <c r="B22" s="136" t="s">
        <v>119</v>
      </c>
      <c r="C22" s="137"/>
      <c r="D22" s="139" t="s">
        <v>95</v>
      </c>
      <c r="E22" s="135"/>
    </row>
    <row r="23" spans="2:5" ht="15" customHeight="1" x14ac:dyDescent="0.2">
      <c r="B23" s="136" t="s">
        <v>120</v>
      </c>
      <c r="C23" s="137"/>
      <c r="D23" s="139" t="s">
        <v>96</v>
      </c>
      <c r="E23" s="135"/>
    </row>
    <row r="24" spans="2:5" x14ac:dyDescent="0.2">
      <c r="B24" s="135"/>
      <c r="E24" s="135"/>
    </row>
    <row r="25" spans="2:5" x14ac:dyDescent="0.2">
      <c r="C25"/>
    </row>
    <row r="26" spans="2:5" x14ac:dyDescent="0.2">
      <c r="B26"/>
      <c r="C26"/>
      <c r="D26"/>
      <c r="E26"/>
    </row>
    <row r="27" spans="2:5" ht="13.5" x14ac:dyDescent="0.25">
      <c r="B27" s="140"/>
      <c r="E27"/>
    </row>
    <row r="28" spans="2:5" x14ac:dyDescent="0.2">
      <c r="B28" s="135"/>
      <c r="E28" s="135"/>
    </row>
    <row r="29" spans="2:5" x14ac:dyDescent="0.2">
      <c r="B29" s="135"/>
      <c r="E29" s="135"/>
    </row>
    <row r="30" spans="2:5" x14ac:dyDescent="0.2">
      <c r="B30" s="135"/>
      <c r="E30" s="135"/>
    </row>
    <row r="31" spans="2:5" x14ac:dyDescent="0.2">
      <c r="B31" s="135"/>
      <c r="E31" s="135"/>
    </row>
    <row r="32" spans="2:5" x14ac:dyDescent="0.2">
      <c r="B32" s="135"/>
      <c r="E32" s="135"/>
    </row>
    <row r="33" spans="2:5" x14ac:dyDescent="0.2">
      <c r="B33" s="135"/>
      <c r="E33" s="135"/>
    </row>
    <row r="34" spans="2:5" x14ac:dyDescent="0.2">
      <c r="B34" s="135"/>
      <c r="E34" s="135"/>
    </row>
    <row r="36" spans="2:5" ht="13.5" x14ac:dyDescent="0.25">
      <c r="B36" s="140"/>
      <c r="E36"/>
    </row>
    <row r="37" spans="2:5" x14ac:dyDescent="0.2">
      <c r="B37" s="135"/>
      <c r="E37" s="135"/>
    </row>
    <row r="38" spans="2:5" x14ac:dyDescent="0.2">
      <c r="B38" s="135"/>
      <c r="E38" s="135"/>
    </row>
    <row r="39" spans="2:5" x14ac:dyDescent="0.2">
      <c r="B39" s="135"/>
      <c r="E39" s="135"/>
    </row>
    <row r="46" spans="2:5" x14ac:dyDescent="0.2">
      <c r="C46" s="141"/>
      <c r="D46" s="142"/>
    </row>
    <row r="53" spans="3:5" customFormat="1" x14ac:dyDescent="0.2"/>
    <row r="56" spans="3:5" x14ac:dyDescent="0.2">
      <c r="C56"/>
      <c r="D56"/>
      <c r="E56"/>
    </row>
  </sheetData>
  <mergeCells count="9">
    <mergeCell ref="B12:E12"/>
    <mergeCell ref="B13:E13"/>
    <mergeCell ref="B8:E8"/>
    <mergeCell ref="B7:E7"/>
    <mergeCell ref="B1:E1"/>
    <mergeCell ref="B2:E2"/>
    <mergeCell ref="B3:E3"/>
    <mergeCell ref="B4:E4"/>
    <mergeCell ref="B10:E10"/>
  </mergeCells>
  <phoneticPr fontId="9"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C50"/>
  <sheetViews>
    <sheetView topLeftCell="A85" workbookViewId="0">
      <selection activeCell="L123" sqref="L123"/>
    </sheetView>
  </sheetViews>
  <sheetFormatPr defaultRowHeight="11.25" x14ac:dyDescent="0.2"/>
  <cols>
    <col min="1" max="1" width="2.7109375" style="2" customWidth="1"/>
    <col min="2" max="2" width="3.85546875" style="2" customWidth="1"/>
    <col min="3" max="4" width="6.7109375" style="2" hidden="1" customWidth="1"/>
    <col min="5" max="5" width="6.140625" style="2" customWidth="1"/>
    <col min="6" max="9" width="6.28515625" style="2" customWidth="1"/>
    <col min="10" max="13" width="6.140625" style="2" customWidth="1"/>
    <col min="14" max="14" width="8" style="2" customWidth="1"/>
    <col min="15" max="22" width="6.140625" style="2" customWidth="1"/>
    <col min="23" max="28" width="6.42578125" style="2" customWidth="1"/>
    <col min="29" max="16384" width="9.140625" style="2"/>
  </cols>
  <sheetData>
    <row r="1" spans="1:29" ht="14.25" customHeight="1" x14ac:dyDescent="0.2">
      <c r="B1" s="441"/>
      <c r="C1" s="441"/>
      <c r="D1" s="28"/>
      <c r="E1" s="25"/>
      <c r="F1" s="25"/>
      <c r="G1" s="25"/>
      <c r="H1" s="25"/>
      <c r="I1" s="25"/>
      <c r="J1" s="25"/>
      <c r="K1" s="25"/>
      <c r="L1" s="25"/>
      <c r="M1" s="25"/>
      <c r="N1" s="25"/>
      <c r="O1" s="25"/>
      <c r="P1" s="25"/>
      <c r="AC1" s="18" t="s">
        <v>113</v>
      </c>
    </row>
    <row r="2" spans="1:29" ht="30" customHeight="1" x14ac:dyDescent="0.2">
      <c r="B2" s="444" t="s">
        <v>21</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15" customHeight="1" x14ac:dyDescent="0.2">
      <c r="B3" s="439" t="s">
        <v>22</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row>
    <row r="4" spans="1:29" ht="12.75" x14ac:dyDescent="0.2">
      <c r="B4" s="3"/>
      <c r="C4" s="3"/>
      <c r="E4" s="22"/>
      <c r="F4" s="22"/>
      <c r="G4" s="22"/>
      <c r="H4" s="22"/>
      <c r="I4" s="22"/>
      <c r="J4" s="23"/>
      <c r="K4" s="23"/>
      <c r="L4" s="23"/>
      <c r="M4" s="23"/>
      <c r="N4" s="23"/>
      <c r="O4" s="23"/>
      <c r="V4" s="31" t="s">
        <v>5</v>
      </c>
      <c r="W4" s="87"/>
      <c r="X4" s="87"/>
      <c r="Y4" s="87"/>
      <c r="Z4" s="87"/>
      <c r="AA4" s="87"/>
      <c r="AB4" s="87"/>
      <c r="AC4" s="87"/>
    </row>
    <row r="5" spans="1:29" ht="24.95" customHeight="1" x14ac:dyDescent="0.2">
      <c r="B5" s="175"/>
      <c r="C5" s="48">
        <v>1970</v>
      </c>
      <c r="D5" s="49">
        <v>1980</v>
      </c>
      <c r="E5" s="49">
        <v>1990</v>
      </c>
      <c r="F5" s="49">
        <v>1991</v>
      </c>
      <c r="G5" s="49">
        <v>1992</v>
      </c>
      <c r="H5" s="49">
        <v>1993</v>
      </c>
      <c r="I5" s="49">
        <v>1994</v>
      </c>
      <c r="J5" s="49">
        <v>1995</v>
      </c>
      <c r="K5" s="49">
        <v>1996</v>
      </c>
      <c r="L5" s="49">
        <v>1997</v>
      </c>
      <c r="M5" s="49">
        <v>1998</v>
      </c>
      <c r="N5" s="49">
        <v>1999</v>
      </c>
      <c r="O5" s="49">
        <v>2000</v>
      </c>
      <c r="P5" s="49">
        <v>2001</v>
      </c>
      <c r="Q5" s="49">
        <v>2002</v>
      </c>
      <c r="R5" s="49">
        <v>2003</v>
      </c>
      <c r="S5" s="49">
        <v>2004</v>
      </c>
      <c r="T5" s="49">
        <v>2005</v>
      </c>
      <c r="U5" s="49">
        <v>2006</v>
      </c>
      <c r="V5" s="49">
        <v>2007</v>
      </c>
      <c r="W5" s="49">
        <v>2008</v>
      </c>
      <c r="X5" s="49">
        <v>2009</v>
      </c>
      <c r="Y5" s="49">
        <v>2010</v>
      </c>
      <c r="Z5" s="49">
        <v>2011</v>
      </c>
      <c r="AA5" s="49">
        <v>2012</v>
      </c>
      <c r="AB5" s="50">
        <v>2013</v>
      </c>
      <c r="AC5" s="7"/>
    </row>
    <row r="6" spans="1:29" ht="12.75" customHeight="1" x14ac:dyDescent="0.2">
      <c r="B6" s="51" t="s">
        <v>143</v>
      </c>
      <c r="C6" s="52"/>
      <c r="D6" s="53"/>
      <c r="E6" s="53">
        <f t="shared" ref="E6:X6" si="0">SUM(E9:E36)</f>
        <v>42206.6</v>
      </c>
      <c r="F6" s="53">
        <f t="shared" si="0"/>
        <v>43243</v>
      </c>
      <c r="G6" s="53">
        <f t="shared" si="0"/>
        <v>45360</v>
      </c>
      <c r="H6" s="53">
        <f t="shared" si="0"/>
        <v>46236</v>
      </c>
      <c r="I6" s="53">
        <f t="shared" si="0"/>
        <v>46916</v>
      </c>
      <c r="J6" s="170">
        <f t="shared" si="0"/>
        <v>48297</v>
      </c>
      <c r="K6" s="170">
        <f t="shared" si="0"/>
        <v>49444</v>
      </c>
      <c r="L6" s="170">
        <f t="shared" si="0"/>
        <v>50768.9</v>
      </c>
      <c r="M6" s="170">
        <f t="shared" si="0"/>
        <v>52655.1</v>
      </c>
      <c r="N6" s="170">
        <f t="shared" si="0"/>
        <v>54296.1</v>
      </c>
      <c r="O6" s="170">
        <f t="shared" si="0"/>
        <v>55116.1</v>
      </c>
      <c r="P6" s="170">
        <f t="shared" si="0"/>
        <v>56826.7</v>
      </c>
      <c r="Q6" s="170">
        <f t="shared" si="0"/>
        <v>58118</v>
      </c>
      <c r="R6" s="170">
        <f t="shared" si="0"/>
        <v>59577.5</v>
      </c>
      <c r="S6" s="170">
        <f t="shared" si="0"/>
        <v>61225.99</v>
      </c>
      <c r="T6" s="170">
        <f t="shared" si="0"/>
        <v>63139.94</v>
      </c>
      <c r="U6" s="170">
        <f t="shared" si="0"/>
        <v>64718.44</v>
      </c>
      <c r="V6" s="170">
        <f t="shared" si="0"/>
        <v>66274.8</v>
      </c>
      <c r="W6" s="170">
        <f t="shared" si="0"/>
        <v>67813.399999999994</v>
      </c>
      <c r="X6" s="170">
        <f t="shared" si="0"/>
        <v>69937</v>
      </c>
      <c r="Y6" s="170">
        <f>SUM(Y9:Y36)</f>
        <v>71091.5</v>
      </c>
      <c r="Z6" s="170">
        <f>SUM(Z9:Z36)</f>
        <v>71813.919999999998</v>
      </c>
      <c r="AA6" s="170">
        <f>SUM(AA9:AA36)</f>
        <v>73067.51999999999</v>
      </c>
      <c r="AB6" s="170">
        <f>SUM(AB9:AB36)</f>
        <v>74340.799999999988</v>
      </c>
      <c r="AC6" s="51" t="s">
        <v>143</v>
      </c>
    </row>
    <row r="7" spans="1:29" ht="12.75" customHeight="1" x14ac:dyDescent="0.2">
      <c r="B7" s="54" t="s">
        <v>144</v>
      </c>
      <c r="C7" s="55">
        <v>16051</v>
      </c>
      <c r="D7" s="56">
        <v>30454</v>
      </c>
      <c r="E7" s="56">
        <f t="shared" ref="E7:X7" si="1">SUM(E9,E12,E13,E15,E16,E17,E18,E20,E24,E27,E28,E30,E34,E35,E36)</f>
        <v>39646.6</v>
      </c>
      <c r="F7" s="56">
        <f t="shared" si="1"/>
        <v>40695</v>
      </c>
      <c r="G7" s="56">
        <f t="shared" si="1"/>
        <v>42776</v>
      </c>
      <c r="H7" s="56">
        <f t="shared" si="1"/>
        <v>43579</v>
      </c>
      <c r="I7" s="56">
        <f t="shared" si="1"/>
        <v>44203</v>
      </c>
      <c r="J7" s="171">
        <f t="shared" si="1"/>
        <v>45493</v>
      </c>
      <c r="K7" s="171">
        <f t="shared" si="1"/>
        <v>46529</v>
      </c>
      <c r="L7" s="171">
        <f t="shared" si="1"/>
        <v>47658.9</v>
      </c>
      <c r="M7" s="171">
        <f t="shared" si="1"/>
        <v>49327.1</v>
      </c>
      <c r="N7" s="171">
        <f t="shared" si="1"/>
        <v>50809.1</v>
      </c>
      <c r="O7" s="171">
        <f t="shared" si="1"/>
        <v>51476.1</v>
      </c>
      <c r="P7" s="171">
        <f t="shared" si="1"/>
        <v>53099.7</v>
      </c>
      <c r="Q7" s="171">
        <f t="shared" si="1"/>
        <v>54061</v>
      </c>
      <c r="R7" s="171">
        <f t="shared" si="1"/>
        <v>55274.5</v>
      </c>
      <c r="S7" s="171">
        <f t="shared" si="1"/>
        <v>56302.99</v>
      </c>
      <c r="T7" s="171">
        <f t="shared" si="1"/>
        <v>57900.94</v>
      </c>
      <c r="U7" s="171">
        <f t="shared" si="1"/>
        <v>59070.94</v>
      </c>
      <c r="V7" s="171">
        <f t="shared" si="1"/>
        <v>60429.3</v>
      </c>
      <c r="W7" s="171">
        <f t="shared" si="1"/>
        <v>61435.4</v>
      </c>
      <c r="X7" s="171">
        <f t="shared" si="1"/>
        <v>63299</v>
      </c>
      <c r="Y7" s="171">
        <f>SUM(Y9,Y12,Y13,Y15,Y16,Y17,Y18,Y20,Y24,Y27,Y28,Y30,Y34,Y35,Y36)</f>
        <v>64142.799999999996</v>
      </c>
      <c r="Z7" s="171">
        <f>SUM(Z9,Z12,Z13,Z15,Z16,Z17,Z18,Z20,Z24,Z27,Z28,Z30,Z34,Z35,Z36)</f>
        <v>64552.719999999994</v>
      </c>
      <c r="AA7" s="171">
        <f>SUM(AA9,AA12,AA13,AA15,AA16,AA17,AA18,AA20,AA24,AA27,AA28,AA30,AA34,AA35,AA36)</f>
        <v>65213.219999999994</v>
      </c>
      <c r="AB7" s="171">
        <f>SUM(AB9,AB12,AB13,AB15,AB16,AB17,AB18,AB20,AB24,AB27,AB28,AB30,AB34,AB35,AB36)</f>
        <v>65876.099999999991</v>
      </c>
      <c r="AC7" s="54" t="s">
        <v>144</v>
      </c>
    </row>
    <row r="8" spans="1:29" ht="12.75" customHeight="1" x14ac:dyDescent="0.2">
      <c r="B8" s="57" t="s">
        <v>145</v>
      </c>
      <c r="C8" s="58"/>
      <c r="D8" s="59"/>
      <c r="E8" s="59">
        <f t="shared" ref="E8:X8" si="2">E6-E7</f>
        <v>2560</v>
      </c>
      <c r="F8" s="59">
        <f t="shared" si="2"/>
        <v>2548</v>
      </c>
      <c r="G8" s="59">
        <f t="shared" si="2"/>
        <v>2584</v>
      </c>
      <c r="H8" s="59">
        <f t="shared" si="2"/>
        <v>2657</v>
      </c>
      <c r="I8" s="59">
        <f t="shared" si="2"/>
        <v>2713</v>
      </c>
      <c r="J8" s="59">
        <f t="shared" si="2"/>
        <v>2804</v>
      </c>
      <c r="K8" s="59">
        <f t="shared" si="2"/>
        <v>2915</v>
      </c>
      <c r="L8" s="59">
        <f t="shared" si="2"/>
        <v>3110</v>
      </c>
      <c r="M8" s="59">
        <f t="shared" si="2"/>
        <v>3328</v>
      </c>
      <c r="N8" s="59">
        <f t="shared" si="2"/>
        <v>3487</v>
      </c>
      <c r="O8" s="59">
        <f t="shared" si="2"/>
        <v>3640</v>
      </c>
      <c r="P8" s="59">
        <f t="shared" si="2"/>
        <v>3727</v>
      </c>
      <c r="Q8" s="59">
        <f t="shared" si="2"/>
        <v>4057</v>
      </c>
      <c r="R8" s="59">
        <f t="shared" si="2"/>
        <v>4303</v>
      </c>
      <c r="S8" s="59">
        <f t="shared" si="2"/>
        <v>4923</v>
      </c>
      <c r="T8" s="59">
        <f t="shared" si="2"/>
        <v>5239</v>
      </c>
      <c r="U8" s="59">
        <f t="shared" si="2"/>
        <v>5647.5</v>
      </c>
      <c r="V8" s="59">
        <f t="shared" si="2"/>
        <v>5845.5</v>
      </c>
      <c r="W8" s="59">
        <f t="shared" si="2"/>
        <v>6377.9999999999927</v>
      </c>
      <c r="X8" s="59">
        <f t="shared" si="2"/>
        <v>6638</v>
      </c>
      <c r="Y8" s="59">
        <f>Y6-Y7</f>
        <v>6948.7000000000044</v>
      </c>
      <c r="Z8" s="59">
        <f>Z6-Z7</f>
        <v>7261.2000000000044</v>
      </c>
      <c r="AA8" s="59">
        <f>AA6-AA7</f>
        <v>7854.2999999999956</v>
      </c>
      <c r="AB8" s="59">
        <f>AB6-AB7</f>
        <v>8464.6999999999971</v>
      </c>
      <c r="AC8" s="57" t="s">
        <v>145</v>
      </c>
    </row>
    <row r="9" spans="1:29" ht="12.75" customHeight="1" x14ac:dyDescent="0.2">
      <c r="A9" s="8"/>
      <c r="B9" s="10" t="s">
        <v>45</v>
      </c>
      <c r="C9" s="45">
        <v>488</v>
      </c>
      <c r="D9" s="42">
        <v>1203</v>
      </c>
      <c r="E9" s="42">
        <v>1666</v>
      </c>
      <c r="F9" s="42">
        <v>1650</v>
      </c>
      <c r="G9" s="42">
        <v>1658</v>
      </c>
      <c r="H9" s="42">
        <v>1665</v>
      </c>
      <c r="I9" s="42">
        <v>1666</v>
      </c>
      <c r="J9" s="42">
        <v>1666</v>
      </c>
      <c r="K9" s="42">
        <v>1674</v>
      </c>
      <c r="L9" s="42">
        <v>1678.9</v>
      </c>
      <c r="M9" s="42">
        <v>1682.1</v>
      </c>
      <c r="N9" s="42">
        <v>1691.1</v>
      </c>
      <c r="O9" s="42">
        <v>1702.1</v>
      </c>
      <c r="P9" s="42">
        <v>1726.7</v>
      </c>
      <c r="Q9" s="42">
        <v>1729</v>
      </c>
      <c r="R9" s="42">
        <v>1729</v>
      </c>
      <c r="S9" s="42">
        <v>1747</v>
      </c>
      <c r="T9" s="147">
        <v>1747</v>
      </c>
      <c r="U9" s="42">
        <v>1763</v>
      </c>
      <c r="V9" s="42">
        <v>1763</v>
      </c>
      <c r="W9" s="41">
        <v>1763</v>
      </c>
      <c r="X9" s="42">
        <v>1763</v>
      </c>
      <c r="Y9" s="42">
        <v>1763</v>
      </c>
      <c r="Z9" s="257">
        <v>1763</v>
      </c>
      <c r="AA9" s="257">
        <v>1763</v>
      </c>
      <c r="AB9" s="403">
        <v>1763</v>
      </c>
      <c r="AC9" s="167" t="s">
        <v>45</v>
      </c>
    </row>
    <row r="10" spans="1:29" ht="12.75" customHeight="1" x14ac:dyDescent="0.2">
      <c r="A10" s="8"/>
      <c r="B10" s="54" t="s">
        <v>28</v>
      </c>
      <c r="C10" s="95"/>
      <c r="D10" s="96"/>
      <c r="E10" s="96">
        <v>273</v>
      </c>
      <c r="F10" s="97">
        <v>273</v>
      </c>
      <c r="G10" s="97">
        <v>273</v>
      </c>
      <c r="H10" s="96">
        <v>276</v>
      </c>
      <c r="I10" s="96">
        <v>276</v>
      </c>
      <c r="J10" s="96">
        <v>277</v>
      </c>
      <c r="K10" s="96">
        <v>277</v>
      </c>
      <c r="L10" s="96">
        <v>314</v>
      </c>
      <c r="M10" s="96">
        <v>314</v>
      </c>
      <c r="N10" s="96">
        <v>314</v>
      </c>
      <c r="O10" s="96">
        <v>319</v>
      </c>
      <c r="P10" s="96">
        <v>324</v>
      </c>
      <c r="Q10" s="96">
        <v>324</v>
      </c>
      <c r="R10" s="96">
        <v>328</v>
      </c>
      <c r="S10" s="96">
        <v>331</v>
      </c>
      <c r="T10" s="146">
        <v>331</v>
      </c>
      <c r="U10" s="96">
        <v>394</v>
      </c>
      <c r="V10" s="96">
        <v>418</v>
      </c>
      <c r="W10" s="96">
        <v>418</v>
      </c>
      <c r="X10" s="96">
        <v>418</v>
      </c>
      <c r="Y10" s="96">
        <v>437</v>
      </c>
      <c r="Z10" s="96">
        <v>458</v>
      </c>
      <c r="AA10" s="96">
        <v>541</v>
      </c>
      <c r="AB10" s="404">
        <v>605</v>
      </c>
      <c r="AC10" s="166" t="s">
        <v>28</v>
      </c>
    </row>
    <row r="11" spans="1:29" ht="12.75" customHeight="1" x14ac:dyDescent="0.2">
      <c r="A11" s="8"/>
      <c r="B11" s="10" t="s">
        <v>30</v>
      </c>
      <c r="C11" s="46"/>
      <c r="D11" s="47"/>
      <c r="E11" s="42">
        <v>357</v>
      </c>
      <c r="F11" s="42">
        <v>362</v>
      </c>
      <c r="G11" s="42">
        <v>366</v>
      </c>
      <c r="H11" s="42">
        <v>390</v>
      </c>
      <c r="I11" s="42">
        <v>392</v>
      </c>
      <c r="J11" s="42">
        <v>414</v>
      </c>
      <c r="K11" s="42">
        <v>423</v>
      </c>
      <c r="L11" s="42">
        <v>486</v>
      </c>
      <c r="M11" s="42">
        <v>499</v>
      </c>
      <c r="N11" s="42">
        <v>499</v>
      </c>
      <c r="O11" s="42">
        <v>501</v>
      </c>
      <c r="P11" s="42">
        <v>517</v>
      </c>
      <c r="Q11" s="42">
        <v>518</v>
      </c>
      <c r="R11" s="42">
        <v>518</v>
      </c>
      <c r="S11" s="42">
        <v>546</v>
      </c>
      <c r="T11" s="147">
        <v>564</v>
      </c>
      <c r="U11" s="42">
        <v>633</v>
      </c>
      <c r="V11" s="42">
        <v>657</v>
      </c>
      <c r="W11" s="42">
        <v>691</v>
      </c>
      <c r="X11" s="42">
        <v>729</v>
      </c>
      <c r="Y11" s="42">
        <v>734</v>
      </c>
      <c r="Z11" s="42">
        <v>745</v>
      </c>
      <c r="AA11" s="42">
        <v>751</v>
      </c>
      <c r="AB11" s="405">
        <v>775.8</v>
      </c>
      <c r="AC11" s="167" t="s">
        <v>30</v>
      </c>
    </row>
    <row r="12" spans="1:29" ht="12.75" customHeight="1" x14ac:dyDescent="0.2">
      <c r="A12" s="8"/>
      <c r="B12" s="54" t="s">
        <v>41</v>
      </c>
      <c r="C12" s="95">
        <v>184</v>
      </c>
      <c r="D12" s="96">
        <v>516</v>
      </c>
      <c r="E12" s="96">
        <v>611</v>
      </c>
      <c r="F12" s="96">
        <v>663</v>
      </c>
      <c r="G12" s="96">
        <v>663</v>
      </c>
      <c r="H12" s="96">
        <v>706</v>
      </c>
      <c r="I12" s="96">
        <v>747</v>
      </c>
      <c r="J12" s="96">
        <v>796</v>
      </c>
      <c r="K12" s="96">
        <v>797</v>
      </c>
      <c r="L12" s="96">
        <v>834</v>
      </c>
      <c r="M12" s="96">
        <v>863</v>
      </c>
      <c r="N12" s="96">
        <v>902</v>
      </c>
      <c r="O12" s="96">
        <v>923</v>
      </c>
      <c r="P12" s="96">
        <v>978</v>
      </c>
      <c r="Q12" s="96">
        <v>972</v>
      </c>
      <c r="R12" s="96">
        <v>1010</v>
      </c>
      <c r="S12" s="96">
        <v>1027</v>
      </c>
      <c r="T12" s="146">
        <v>1032</v>
      </c>
      <c r="U12" s="96">
        <v>1032</v>
      </c>
      <c r="V12" s="96">
        <v>1111</v>
      </c>
      <c r="W12" s="96">
        <v>1128</v>
      </c>
      <c r="X12" s="96">
        <v>1130</v>
      </c>
      <c r="Y12" s="96">
        <v>1130</v>
      </c>
      <c r="Z12" s="96">
        <v>1143</v>
      </c>
      <c r="AA12" s="96">
        <v>1195</v>
      </c>
      <c r="AB12" s="404">
        <v>1216</v>
      </c>
      <c r="AC12" s="166" t="s">
        <v>41</v>
      </c>
    </row>
    <row r="13" spans="1:29" ht="12.75" customHeight="1" x14ac:dyDescent="0.2">
      <c r="A13" s="8"/>
      <c r="B13" s="10" t="s">
        <v>46</v>
      </c>
      <c r="C13" s="45">
        <v>6061</v>
      </c>
      <c r="D13" s="42">
        <v>9225</v>
      </c>
      <c r="E13" s="42">
        <v>10854</v>
      </c>
      <c r="F13" s="42">
        <v>10955</v>
      </c>
      <c r="G13" s="42">
        <v>11013</v>
      </c>
      <c r="H13" s="42">
        <v>11080</v>
      </c>
      <c r="I13" s="42">
        <v>11143</v>
      </c>
      <c r="J13" s="42">
        <v>11190</v>
      </c>
      <c r="K13" s="42">
        <v>11246</v>
      </c>
      <c r="L13" s="42">
        <v>11309</v>
      </c>
      <c r="M13" s="42">
        <v>11427</v>
      </c>
      <c r="N13" s="42">
        <v>11515</v>
      </c>
      <c r="O13" s="42">
        <v>11712</v>
      </c>
      <c r="P13" s="42">
        <v>11786</v>
      </c>
      <c r="Q13" s="42">
        <v>12037</v>
      </c>
      <c r="R13" s="42">
        <v>12044</v>
      </c>
      <c r="S13" s="42">
        <v>12174</v>
      </c>
      <c r="T13" s="147">
        <v>12363</v>
      </c>
      <c r="U13" s="42">
        <v>12531</v>
      </c>
      <c r="V13" s="42">
        <v>12594</v>
      </c>
      <c r="W13" s="42">
        <v>12645</v>
      </c>
      <c r="X13" s="42">
        <v>12813</v>
      </c>
      <c r="Y13" s="42">
        <v>12819</v>
      </c>
      <c r="Z13" s="42">
        <v>12845</v>
      </c>
      <c r="AA13" s="42">
        <v>12879</v>
      </c>
      <c r="AB13" s="405">
        <v>12917</v>
      </c>
      <c r="AC13" s="167" t="s">
        <v>46</v>
      </c>
    </row>
    <row r="14" spans="1:29" ht="12.75" customHeight="1" x14ac:dyDescent="0.2">
      <c r="A14" s="8"/>
      <c r="B14" s="54" t="s">
        <v>31</v>
      </c>
      <c r="C14" s="95"/>
      <c r="D14" s="96"/>
      <c r="E14" s="96">
        <v>41</v>
      </c>
      <c r="F14" s="96">
        <v>50</v>
      </c>
      <c r="G14" s="96">
        <v>60</v>
      </c>
      <c r="H14" s="96">
        <v>62</v>
      </c>
      <c r="I14" s="96">
        <v>64</v>
      </c>
      <c r="J14" s="96">
        <v>65</v>
      </c>
      <c r="K14" s="96">
        <v>65</v>
      </c>
      <c r="L14" s="96">
        <v>68</v>
      </c>
      <c r="M14" s="96">
        <v>74</v>
      </c>
      <c r="N14" s="96">
        <v>87</v>
      </c>
      <c r="O14" s="96">
        <v>93</v>
      </c>
      <c r="P14" s="96">
        <v>93</v>
      </c>
      <c r="Q14" s="96">
        <v>98</v>
      </c>
      <c r="R14" s="96">
        <v>98</v>
      </c>
      <c r="S14" s="96">
        <v>96</v>
      </c>
      <c r="T14" s="146">
        <v>99</v>
      </c>
      <c r="U14" s="96">
        <v>99</v>
      </c>
      <c r="V14" s="96">
        <v>96</v>
      </c>
      <c r="W14" s="96">
        <v>104</v>
      </c>
      <c r="X14" s="96">
        <v>100</v>
      </c>
      <c r="Y14" s="96">
        <v>115</v>
      </c>
      <c r="Z14" s="96">
        <v>115</v>
      </c>
      <c r="AA14" s="96">
        <v>124</v>
      </c>
      <c r="AB14" s="404">
        <v>140</v>
      </c>
      <c r="AC14" s="166" t="s">
        <v>31</v>
      </c>
    </row>
    <row r="15" spans="1:29" ht="12.75" customHeight="1" x14ac:dyDescent="0.2">
      <c r="A15" s="8"/>
      <c r="B15" s="10" t="s">
        <v>49</v>
      </c>
      <c r="C15" s="45">
        <v>0</v>
      </c>
      <c r="D15" s="42">
        <v>0</v>
      </c>
      <c r="E15" s="42">
        <v>26</v>
      </c>
      <c r="F15" s="42">
        <v>32</v>
      </c>
      <c r="G15" s="42">
        <v>32</v>
      </c>
      <c r="H15" s="42">
        <v>53</v>
      </c>
      <c r="I15" s="42">
        <v>72</v>
      </c>
      <c r="J15" s="42">
        <v>70</v>
      </c>
      <c r="K15" s="42">
        <v>80</v>
      </c>
      <c r="L15" s="42">
        <v>94</v>
      </c>
      <c r="M15" s="42">
        <v>103</v>
      </c>
      <c r="N15" s="42">
        <v>103</v>
      </c>
      <c r="O15" s="42">
        <v>103</v>
      </c>
      <c r="P15" s="42">
        <v>125</v>
      </c>
      <c r="Q15" s="42">
        <v>125</v>
      </c>
      <c r="R15" s="42">
        <v>176</v>
      </c>
      <c r="S15" s="42">
        <v>192</v>
      </c>
      <c r="T15" s="147">
        <v>247</v>
      </c>
      <c r="U15" s="42">
        <v>270</v>
      </c>
      <c r="V15" s="42">
        <v>269</v>
      </c>
      <c r="W15" s="42">
        <v>423</v>
      </c>
      <c r="X15" s="42">
        <v>663</v>
      </c>
      <c r="Y15" s="42">
        <v>900</v>
      </c>
      <c r="Z15" s="42">
        <v>900</v>
      </c>
      <c r="AA15" s="42">
        <v>900</v>
      </c>
      <c r="AB15" s="405">
        <v>897</v>
      </c>
      <c r="AC15" s="167" t="s">
        <v>49</v>
      </c>
    </row>
    <row r="16" spans="1:29" ht="12.75" customHeight="1" x14ac:dyDescent="0.2">
      <c r="A16" s="8"/>
      <c r="B16" s="54" t="s">
        <v>42</v>
      </c>
      <c r="C16" s="95">
        <v>11</v>
      </c>
      <c r="D16" s="96">
        <v>91</v>
      </c>
      <c r="E16" s="96">
        <v>190</v>
      </c>
      <c r="F16" s="96">
        <v>225</v>
      </c>
      <c r="G16" s="96">
        <v>280</v>
      </c>
      <c r="H16" s="96">
        <v>330</v>
      </c>
      <c r="I16" s="96">
        <v>380</v>
      </c>
      <c r="J16" s="97">
        <v>421</v>
      </c>
      <c r="K16" s="97">
        <v>467</v>
      </c>
      <c r="L16" s="97">
        <v>509</v>
      </c>
      <c r="M16" s="97">
        <v>526</v>
      </c>
      <c r="N16" s="97">
        <v>547</v>
      </c>
      <c r="O16" s="97">
        <v>615</v>
      </c>
      <c r="P16" s="97">
        <v>743</v>
      </c>
      <c r="Q16" s="97">
        <v>870</v>
      </c>
      <c r="R16" s="249">
        <v>916.5</v>
      </c>
      <c r="S16" s="249">
        <v>916.5</v>
      </c>
      <c r="T16" s="183">
        <v>916.5</v>
      </c>
      <c r="U16" s="249">
        <v>916.5</v>
      </c>
      <c r="V16" s="249">
        <v>916.5</v>
      </c>
      <c r="W16" s="249">
        <v>916.5</v>
      </c>
      <c r="X16" s="249">
        <v>1558.2</v>
      </c>
      <c r="Y16" s="249">
        <v>1558.2</v>
      </c>
      <c r="Z16" s="249">
        <v>1558.2</v>
      </c>
      <c r="AA16" s="249">
        <v>1558.2</v>
      </c>
      <c r="AB16" s="249">
        <v>1558.2</v>
      </c>
      <c r="AC16" s="54" t="s">
        <v>42</v>
      </c>
    </row>
    <row r="17" spans="1:29" ht="12.75" customHeight="1" x14ac:dyDescent="0.2">
      <c r="A17" s="8"/>
      <c r="B17" s="10" t="s">
        <v>47</v>
      </c>
      <c r="C17" s="45">
        <v>387</v>
      </c>
      <c r="D17" s="42">
        <v>2008</v>
      </c>
      <c r="E17" s="42">
        <v>4976</v>
      </c>
      <c r="F17" s="42">
        <v>5235</v>
      </c>
      <c r="G17" s="42">
        <v>6486</v>
      </c>
      <c r="H17" s="42">
        <v>6577</v>
      </c>
      <c r="I17" s="42">
        <v>6497</v>
      </c>
      <c r="J17" s="42">
        <v>6962</v>
      </c>
      <c r="K17" s="42">
        <v>7295</v>
      </c>
      <c r="L17" s="42">
        <v>7750</v>
      </c>
      <c r="M17" s="42">
        <v>8269</v>
      </c>
      <c r="N17" s="42">
        <v>8893</v>
      </c>
      <c r="O17" s="42">
        <v>9049</v>
      </c>
      <c r="P17" s="42">
        <v>9571</v>
      </c>
      <c r="Q17" s="42">
        <v>9739</v>
      </c>
      <c r="R17" s="42">
        <v>10296</v>
      </c>
      <c r="S17" s="42">
        <v>10747</v>
      </c>
      <c r="T17" s="147">
        <v>11432</v>
      </c>
      <c r="U17" s="42">
        <v>12073</v>
      </c>
      <c r="V17" s="42">
        <v>13013</v>
      </c>
      <c r="W17" s="42">
        <v>13518</v>
      </c>
      <c r="X17" s="42">
        <v>14021</v>
      </c>
      <c r="Y17" s="42">
        <v>14262</v>
      </c>
      <c r="Z17" s="42">
        <v>14554</v>
      </c>
      <c r="AA17" s="42">
        <v>14701</v>
      </c>
      <c r="AB17" s="405">
        <f>3026+11955</f>
        <v>14981</v>
      </c>
      <c r="AC17" s="167" t="s">
        <v>47</v>
      </c>
    </row>
    <row r="18" spans="1:29" ht="12.75" customHeight="1" x14ac:dyDescent="0.2">
      <c r="A18" s="8"/>
      <c r="B18" s="54" t="s">
        <v>48</v>
      </c>
      <c r="C18" s="95">
        <v>1553</v>
      </c>
      <c r="D18" s="96">
        <v>4862</v>
      </c>
      <c r="E18" s="96">
        <v>6824</v>
      </c>
      <c r="F18" s="96">
        <v>7080</v>
      </c>
      <c r="G18" s="96">
        <v>7408</v>
      </c>
      <c r="H18" s="96">
        <v>7614</v>
      </c>
      <c r="I18" s="96">
        <v>7956</v>
      </c>
      <c r="J18" s="96">
        <v>8275</v>
      </c>
      <c r="K18" s="96">
        <v>8596</v>
      </c>
      <c r="L18" s="96">
        <v>8864</v>
      </c>
      <c r="M18" s="96">
        <v>9303</v>
      </c>
      <c r="N18" s="96">
        <v>9626</v>
      </c>
      <c r="O18" s="96">
        <v>9766</v>
      </c>
      <c r="P18" s="96">
        <v>10068</v>
      </c>
      <c r="Q18" s="96">
        <v>10223</v>
      </c>
      <c r="R18" s="96">
        <v>10379</v>
      </c>
      <c r="S18" s="96">
        <v>10486</v>
      </c>
      <c r="T18" s="146">
        <v>10798</v>
      </c>
      <c r="U18" s="96">
        <v>10848</v>
      </c>
      <c r="V18" s="96">
        <v>10958</v>
      </c>
      <c r="W18" s="96">
        <v>11042</v>
      </c>
      <c r="X18" s="96">
        <v>11163</v>
      </c>
      <c r="Y18" s="96">
        <v>11392</v>
      </c>
      <c r="Z18" s="96">
        <v>11413</v>
      </c>
      <c r="AA18" s="96">
        <v>11413</v>
      </c>
      <c r="AB18" s="404">
        <v>11552</v>
      </c>
      <c r="AC18" s="166" t="s">
        <v>48</v>
      </c>
    </row>
    <row r="19" spans="1:29" ht="12.75" customHeight="1" x14ac:dyDescent="0.2">
      <c r="A19" s="8"/>
      <c r="B19" s="10" t="s">
        <v>60</v>
      </c>
      <c r="C19" s="45"/>
      <c r="D19" s="42"/>
      <c r="E19" s="42">
        <v>291</v>
      </c>
      <c r="F19" s="42">
        <v>302</v>
      </c>
      <c r="G19" s="42">
        <v>292</v>
      </c>
      <c r="H19" s="42">
        <v>302</v>
      </c>
      <c r="I19" s="42">
        <v>302</v>
      </c>
      <c r="J19" s="42">
        <v>302</v>
      </c>
      <c r="K19" s="42">
        <v>318</v>
      </c>
      <c r="L19" s="42">
        <v>330</v>
      </c>
      <c r="M19" s="42">
        <v>330</v>
      </c>
      <c r="N19" s="42">
        <v>382</v>
      </c>
      <c r="O19" s="42">
        <v>411</v>
      </c>
      <c r="P19" s="42">
        <v>429</v>
      </c>
      <c r="Q19" s="42">
        <v>613</v>
      </c>
      <c r="R19" s="42">
        <v>754</v>
      </c>
      <c r="S19" s="42">
        <v>925</v>
      </c>
      <c r="T19" s="147">
        <v>1016</v>
      </c>
      <c r="U19" s="42">
        <v>1081</v>
      </c>
      <c r="V19" s="42">
        <v>1156</v>
      </c>
      <c r="W19" s="42">
        <v>1199</v>
      </c>
      <c r="X19" s="42">
        <v>1244</v>
      </c>
      <c r="Y19" s="42">
        <v>1244</v>
      </c>
      <c r="Z19" s="42">
        <v>1254</v>
      </c>
      <c r="AA19" s="42">
        <v>1254</v>
      </c>
      <c r="AB19" s="405">
        <v>1295</v>
      </c>
      <c r="AC19" s="167" t="s">
        <v>60</v>
      </c>
    </row>
    <row r="20" spans="1:29" ht="12.75" customHeight="1" x14ac:dyDescent="0.2">
      <c r="A20" s="8"/>
      <c r="B20" s="228" t="s">
        <v>50</v>
      </c>
      <c r="C20" s="251">
        <v>3913</v>
      </c>
      <c r="D20" s="252">
        <v>5900</v>
      </c>
      <c r="E20" s="252">
        <v>6193</v>
      </c>
      <c r="F20" s="252">
        <v>6301</v>
      </c>
      <c r="G20" s="252">
        <v>6289</v>
      </c>
      <c r="H20" s="252">
        <v>6401</v>
      </c>
      <c r="I20" s="252">
        <v>6375</v>
      </c>
      <c r="J20" s="252">
        <v>6435</v>
      </c>
      <c r="K20" s="252">
        <v>6465</v>
      </c>
      <c r="L20" s="252">
        <v>6469</v>
      </c>
      <c r="M20" s="252">
        <v>6478</v>
      </c>
      <c r="N20" s="252">
        <v>6478</v>
      </c>
      <c r="O20" s="252">
        <v>6478</v>
      </c>
      <c r="P20" s="252">
        <v>6487</v>
      </c>
      <c r="Q20" s="252">
        <v>6487</v>
      </c>
      <c r="R20" s="252">
        <v>6487</v>
      </c>
      <c r="S20" s="252">
        <v>6532</v>
      </c>
      <c r="T20" s="256">
        <v>6542</v>
      </c>
      <c r="U20" s="252">
        <v>6554</v>
      </c>
      <c r="V20" s="252">
        <v>6588</v>
      </c>
      <c r="W20" s="252">
        <v>6629</v>
      </c>
      <c r="X20" s="252">
        <v>6661</v>
      </c>
      <c r="Y20" s="252">
        <v>6668</v>
      </c>
      <c r="Z20" s="252">
        <v>6668</v>
      </c>
      <c r="AA20" s="252">
        <v>6726</v>
      </c>
      <c r="AB20" s="406">
        <v>6751</v>
      </c>
      <c r="AC20" s="253" t="s">
        <v>50</v>
      </c>
    </row>
    <row r="21" spans="1:29" ht="12.75" customHeight="1" x14ac:dyDescent="0.2">
      <c r="A21" s="8"/>
      <c r="B21" s="10" t="s">
        <v>29</v>
      </c>
      <c r="C21" s="45"/>
      <c r="D21" s="42"/>
      <c r="E21" s="42">
        <v>120</v>
      </c>
      <c r="F21" s="257">
        <v>120</v>
      </c>
      <c r="G21" s="257">
        <v>120</v>
      </c>
      <c r="H21" s="42">
        <v>154</v>
      </c>
      <c r="I21" s="42">
        <v>159</v>
      </c>
      <c r="J21" s="42">
        <v>167</v>
      </c>
      <c r="K21" s="42">
        <v>167</v>
      </c>
      <c r="L21" s="42">
        <v>194</v>
      </c>
      <c r="M21" s="42">
        <v>204</v>
      </c>
      <c r="N21" s="42">
        <v>216</v>
      </c>
      <c r="O21" s="42">
        <v>257</v>
      </c>
      <c r="P21" s="42">
        <v>257</v>
      </c>
      <c r="Q21" s="42">
        <v>268</v>
      </c>
      <c r="R21" s="42">
        <v>268</v>
      </c>
      <c r="S21" s="42">
        <v>268</v>
      </c>
      <c r="T21" s="258">
        <v>276</v>
      </c>
      <c r="U21" s="42">
        <v>257</v>
      </c>
      <c r="V21" s="42">
        <v>257</v>
      </c>
      <c r="W21" s="42">
        <v>257</v>
      </c>
      <c r="X21" s="42">
        <v>257</v>
      </c>
      <c r="Y21" s="42">
        <v>257</v>
      </c>
      <c r="Z21" s="42">
        <v>257</v>
      </c>
      <c r="AA21" s="42">
        <v>257</v>
      </c>
      <c r="AB21" s="405">
        <v>257</v>
      </c>
      <c r="AC21" s="167" t="s">
        <v>29</v>
      </c>
    </row>
    <row r="22" spans="1:29" ht="12.75" customHeight="1" x14ac:dyDescent="0.2">
      <c r="A22" s="8"/>
      <c r="B22" s="228" t="s">
        <v>33</v>
      </c>
      <c r="C22" s="251" t="s">
        <v>59</v>
      </c>
      <c r="D22" s="252" t="s">
        <v>59</v>
      </c>
      <c r="E22" s="252" t="s">
        <v>59</v>
      </c>
      <c r="F22" s="252" t="s">
        <v>59</v>
      </c>
      <c r="G22" s="252" t="s">
        <v>59</v>
      </c>
      <c r="H22" s="252" t="s">
        <v>59</v>
      </c>
      <c r="I22" s="252" t="s">
        <v>59</v>
      </c>
      <c r="J22" s="252" t="s">
        <v>59</v>
      </c>
      <c r="K22" s="252" t="s">
        <v>59</v>
      </c>
      <c r="L22" s="252" t="s">
        <v>59</v>
      </c>
      <c r="M22" s="252" t="s">
        <v>59</v>
      </c>
      <c r="N22" s="252" t="s">
        <v>59</v>
      </c>
      <c r="O22" s="252" t="s">
        <v>62</v>
      </c>
      <c r="P22" s="252" t="s">
        <v>59</v>
      </c>
      <c r="Q22" s="252" t="s">
        <v>59</v>
      </c>
      <c r="R22" s="252" t="s">
        <v>59</v>
      </c>
      <c r="S22" s="252" t="s">
        <v>59</v>
      </c>
      <c r="T22" s="256" t="s">
        <v>59</v>
      </c>
      <c r="U22" s="252" t="s">
        <v>59</v>
      </c>
      <c r="V22" s="252" t="s">
        <v>59</v>
      </c>
      <c r="W22" s="252" t="s">
        <v>59</v>
      </c>
      <c r="X22" s="259" t="s">
        <v>59</v>
      </c>
      <c r="Y22" s="259" t="s">
        <v>59</v>
      </c>
      <c r="Z22" s="259" t="s">
        <v>59</v>
      </c>
      <c r="AA22" s="259" t="s">
        <v>59</v>
      </c>
      <c r="AB22" s="383" t="s">
        <v>59</v>
      </c>
      <c r="AC22" s="253" t="s">
        <v>33</v>
      </c>
    </row>
    <row r="23" spans="1:29" ht="12.75" customHeight="1" x14ac:dyDescent="0.2">
      <c r="A23" s="8"/>
      <c r="B23" s="10" t="s">
        <v>34</v>
      </c>
      <c r="C23" s="45"/>
      <c r="D23" s="42"/>
      <c r="E23" s="42">
        <v>421</v>
      </c>
      <c r="F23" s="42">
        <v>376</v>
      </c>
      <c r="G23" s="42">
        <v>382</v>
      </c>
      <c r="H23" s="42">
        <v>394</v>
      </c>
      <c r="I23" s="42">
        <v>394</v>
      </c>
      <c r="J23" s="42">
        <v>394</v>
      </c>
      <c r="K23" s="42">
        <v>404</v>
      </c>
      <c r="L23" s="42">
        <v>410</v>
      </c>
      <c r="M23" s="42">
        <v>417</v>
      </c>
      <c r="N23" s="42">
        <v>417</v>
      </c>
      <c r="O23" s="42">
        <v>417</v>
      </c>
      <c r="P23" s="42">
        <v>417</v>
      </c>
      <c r="Q23" s="42">
        <v>417</v>
      </c>
      <c r="R23" s="42">
        <v>417</v>
      </c>
      <c r="S23" s="42">
        <v>417</v>
      </c>
      <c r="T23" s="258">
        <v>417</v>
      </c>
      <c r="U23" s="42">
        <v>309</v>
      </c>
      <c r="V23" s="42">
        <v>309</v>
      </c>
      <c r="W23" s="42">
        <v>309</v>
      </c>
      <c r="X23" s="42">
        <v>309</v>
      </c>
      <c r="Y23" s="42">
        <v>309</v>
      </c>
      <c r="Z23" s="42">
        <v>309</v>
      </c>
      <c r="AA23" s="42">
        <v>309</v>
      </c>
      <c r="AB23" s="405">
        <v>309</v>
      </c>
      <c r="AC23" s="167" t="s">
        <v>34</v>
      </c>
    </row>
    <row r="24" spans="1:29" ht="12.75" customHeight="1" x14ac:dyDescent="0.2">
      <c r="A24" s="8"/>
      <c r="B24" s="54" t="s">
        <v>51</v>
      </c>
      <c r="C24" s="95">
        <v>7</v>
      </c>
      <c r="D24" s="96">
        <v>44</v>
      </c>
      <c r="E24" s="96">
        <v>78</v>
      </c>
      <c r="F24" s="97">
        <v>78</v>
      </c>
      <c r="G24" s="97">
        <v>95</v>
      </c>
      <c r="H24" s="96">
        <v>100</v>
      </c>
      <c r="I24" s="96">
        <v>121</v>
      </c>
      <c r="J24" s="96">
        <v>123</v>
      </c>
      <c r="K24" s="96">
        <v>115</v>
      </c>
      <c r="L24" s="96">
        <v>118</v>
      </c>
      <c r="M24" s="96">
        <v>115</v>
      </c>
      <c r="N24" s="96">
        <v>115</v>
      </c>
      <c r="O24" s="96">
        <v>114</v>
      </c>
      <c r="P24" s="96">
        <v>126</v>
      </c>
      <c r="Q24" s="96">
        <v>147</v>
      </c>
      <c r="R24" s="96">
        <v>147</v>
      </c>
      <c r="S24" s="96">
        <v>147</v>
      </c>
      <c r="T24" s="146">
        <v>147</v>
      </c>
      <c r="U24" s="96">
        <v>147</v>
      </c>
      <c r="V24" s="96">
        <v>147</v>
      </c>
      <c r="W24" s="96">
        <v>147</v>
      </c>
      <c r="X24" s="96">
        <v>152</v>
      </c>
      <c r="Y24" s="96">
        <v>152</v>
      </c>
      <c r="Z24" s="96">
        <v>152</v>
      </c>
      <c r="AA24" s="96">
        <v>152</v>
      </c>
      <c r="AB24" s="404">
        <v>152</v>
      </c>
      <c r="AC24" s="166" t="s">
        <v>51</v>
      </c>
    </row>
    <row r="25" spans="1:29" ht="12.75" customHeight="1" x14ac:dyDescent="0.2">
      <c r="A25" s="8"/>
      <c r="B25" s="10" t="s">
        <v>32</v>
      </c>
      <c r="C25" s="46"/>
      <c r="D25" s="47"/>
      <c r="E25" s="42">
        <v>267</v>
      </c>
      <c r="F25" s="42">
        <v>269</v>
      </c>
      <c r="G25" s="42">
        <v>269</v>
      </c>
      <c r="H25" s="42">
        <v>269</v>
      </c>
      <c r="I25" s="42">
        <v>293</v>
      </c>
      <c r="J25" s="42">
        <v>335</v>
      </c>
      <c r="K25" s="42">
        <v>365</v>
      </c>
      <c r="L25" s="42">
        <v>382</v>
      </c>
      <c r="M25" s="42">
        <v>448</v>
      </c>
      <c r="N25" s="42">
        <v>448</v>
      </c>
      <c r="O25" s="42">
        <v>448</v>
      </c>
      <c r="P25" s="42">
        <v>448</v>
      </c>
      <c r="Q25" s="42">
        <v>542</v>
      </c>
      <c r="R25" s="42">
        <v>533</v>
      </c>
      <c r="S25" s="42">
        <v>761</v>
      </c>
      <c r="T25" s="147">
        <v>859</v>
      </c>
      <c r="U25" s="42">
        <v>1157</v>
      </c>
      <c r="V25" s="42">
        <v>1065</v>
      </c>
      <c r="W25" s="42">
        <v>1274</v>
      </c>
      <c r="X25" s="42">
        <v>1273</v>
      </c>
      <c r="Y25" s="42">
        <v>1477</v>
      </c>
      <c r="Z25" s="42">
        <v>1516</v>
      </c>
      <c r="AA25" s="42">
        <v>1515.1</v>
      </c>
      <c r="AB25" s="405">
        <v>1766.9</v>
      </c>
      <c r="AC25" s="167" t="s">
        <v>32</v>
      </c>
    </row>
    <row r="26" spans="1:29" ht="12.75" customHeight="1" x14ac:dyDescent="0.2">
      <c r="A26" s="8"/>
      <c r="B26" s="54" t="s">
        <v>35</v>
      </c>
      <c r="C26" s="95" t="s">
        <v>59</v>
      </c>
      <c r="D26" s="96" t="s">
        <v>59</v>
      </c>
      <c r="E26" s="96" t="s">
        <v>59</v>
      </c>
      <c r="F26" s="96" t="s">
        <v>59</v>
      </c>
      <c r="G26" s="96" t="s">
        <v>59</v>
      </c>
      <c r="H26" s="96" t="s">
        <v>59</v>
      </c>
      <c r="I26" s="96" t="s">
        <v>59</v>
      </c>
      <c r="J26" s="96" t="s">
        <v>59</v>
      </c>
      <c r="K26" s="96" t="s">
        <v>59</v>
      </c>
      <c r="L26" s="96" t="s">
        <v>59</v>
      </c>
      <c r="M26" s="96" t="s">
        <v>59</v>
      </c>
      <c r="N26" s="96" t="s">
        <v>59</v>
      </c>
      <c r="O26" s="96" t="s">
        <v>62</v>
      </c>
      <c r="P26" s="96" t="s">
        <v>59</v>
      </c>
      <c r="Q26" s="96" t="s">
        <v>59</v>
      </c>
      <c r="R26" s="96" t="s">
        <v>59</v>
      </c>
      <c r="S26" s="96" t="s">
        <v>59</v>
      </c>
      <c r="T26" s="146" t="s">
        <v>59</v>
      </c>
      <c r="U26" s="96" t="s">
        <v>59</v>
      </c>
      <c r="V26" s="96" t="s">
        <v>59</v>
      </c>
      <c r="W26" s="96" t="s">
        <v>59</v>
      </c>
      <c r="X26" s="96" t="s">
        <v>59</v>
      </c>
      <c r="Y26" s="96" t="s">
        <v>59</v>
      </c>
      <c r="Z26" s="96" t="s">
        <v>59</v>
      </c>
      <c r="AA26" s="249" t="s">
        <v>59</v>
      </c>
      <c r="AB26" s="305" t="s">
        <v>59</v>
      </c>
      <c r="AC26" s="166" t="s">
        <v>35</v>
      </c>
    </row>
    <row r="27" spans="1:29" ht="12.75" customHeight="1" x14ac:dyDescent="0.2">
      <c r="A27" s="8"/>
      <c r="B27" s="10" t="s">
        <v>43</v>
      </c>
      <c r="C27" s="45">
        <v>1209</v>
      </c>
      <c r="D27" s="42">
        <v>1798</v>
      </c>
      <c r="E27" s="42">
        <v>2092</v>
      </c>
      <c r="F27" s="42">
        <v>2092</v>
      </c>
      <c r="G27" s="42">
        <v>2134</v>
      </c>
      <c r="H27" s="42">
        <v>2167</v>
      </c>
      <c r="I27" s="42">
        <v>2208</v>
      </c>
      <c r="J27" s="42">
        <v>2208</v>
      </c>
      <c r="K27" s="42">
        <v>2208</v>
      </c>
      <c r="L27" s="42">
        <v>2225</v>
      </c>
      <c r="M27" s="42">
        <v>2225</v>
      </c>
      <c r="N27" s="42">
        <v>2291</v>
      </c>
      <c r="O27" s="42">
        <v>2265</v>
      </c>
      <c r="P27" s="42">
        <v>2499</v>
      </c>
      <c r="Q27" s="42">
        <v>2516</v>
      </c>
      <c r="R27" s="42">
        <v>2541</v>
      </c>
      <c r="S27" s="42">
        <v>2585</v>
      </c>
      <c r="T27" s="147">
        <v>2600</v>
      </c>
      <c r="U27" s="42">
        <v>2604</v>
      </c>
      <c r="V27" s="42">
        <v>2582</v>
      </c>
      <c r="W27" s="42">
        <v>2637</v>
      </c>
      <c r="X27" s="42">
        <v>2646</v>
      </c>
      <c r="Y27" s="42">
        <v>2651</v>
      </c>
      <c r="Z27" s="42">
        <v>2658</v>
      </c>
      <c r="AA27" s="42">
        <v>2666</v>
      </c>
      <c r="AB27" s="405">
        <v>2678</v>
      </c>
      <c r="AC27" s="167" t="s">
        <v>43</v>
      </c>
    </row>
    <row r="28" spans="1:29" ht="12.75" customHeight="1" x14ac:dyDescent="0.2">
      <c r="A28" s="8"/>
      <c r="B28" s="54" t="s">
        <v>52</v>
      </c>
      <c r="C28" s="95">
        <v>478</v>
      </c>
      <c r="D28" s="96">
        <v>938</v>
      </c>
      <c r="E28" s="96">
        <v>1445</v>
      </c>
      <c r="F28" s="96">
        <v>1450</v>
      </c>
      <c r="G28" s="96">
        <v>1554</v>
      </c>
      <c r="H28" s="96">
        <v>1557</v>
      </c>
      <c r="I28" s="96">
        <v>1559</v>
      </c>
      <c r="J28" s="96">
        <v>1596</v>
      </c>
      <c r="K28" s="96">
        <v>1607</v>
      </c>
      <c r="L28" s="96">
        <v>1613</v>
      </c>
      <c r="M28" s="96">
        <v>1613</v>
      </c>
      <c r="N28" s="96">
        <v>1634</v>
      </c>
      <c r="O28" s="96">
        <v>1633</v>
      </c>
      <c r="P28" s="96">
        <v>1645</v>
      </c>
      <c r="Q28" s="96">
        <v>1645</v>
      </c>
      <c r="R28" s="96">
        <v>1670</v>
      </c>
      <c r="S28" s="96">
        <v>1677</v>
      </c>
      <c r="T28" s="146">
        <v>1677</v>
      </c>
      <c r="U28" s="96">
        <v>1678</v>
      </c>
      <c r="V28" s="96">
        <v>1696</v>
      </c>
      <c r="W28" s="96">
        <v>1696</v>
      </c>
      <c r="X28" s="96">
        <v>1696</v>
      </c>
      <c r="Y28" s="96">
        <v>1719</v>
      </c>
      <c r="Z28" s="96">
        <v>1719</v>
      </c>
      <c r="AA28" s="96">
        <v>1719</v>
      </c>
      <c r="AB28" s="404">
        <v>1719</v>
      </c>
      <c r="AC28" s="166" t="s">
        <v>52</v>
      </c>
    </row>
    <row r="29" spans="1:29" ht="12.75" customHeight="1" x14ac:dyDescent="0.2">
      <c r="A29" s="8"/>
      <c r="B29" s="10" t="s">
        <v>36</v>
      </c>
      <c r="C29" s="45"/>
      <c r="D29" s="42"/>
      <c r="E29" s="42">
        <v>257</v>
      </c>
      <c r="F29" s="42">
        <v>239</v>
      </c>
      <c r="G29" s="42">
        <v>257</v>
      </c>
      <c r="H29" s="42">
        <v>231</v>
      </c>
      <c r="I29" s="42">
        <v>245</v>
      </c>
      <c r="J29" s="42">
        <v>246</v>
      </c>
      <c r="K29" s="42">
        <v>258</v>
      </c>
      <c r="L29" s="42">
        <v>264</v>
      </c>
      <c r="M29" s="42">
        <v>268</v>
      </c>
      <c r="N29" s="42">
        <v>317</v>
      </c>
      <c r="O29" s="42">
        <v>358</v>
      </c>
      <c r="P29" s="42">
        <v>398</v>
      </c>
      <c r="Q29" s="42">
        <v>405</v>
      </c>
      <c r="R29" s="42">
        <v>484</v>
      </c>
      <c r="S29" s="42">
        <v>552</v>
      </c>
      <c r="T29" s="147">
        <v>552</v>
      </c>
      <c r="U29" s="42">
        <v>582.5</v>
      </c>
      <c r="V29" s="42">
        <v>662.5</v>
      </c>
      <c r="W29" s="42">
        <v>765</v>
      </c>
      <c r="X29" s="42">
        <v>849</v>
      </c>
      <c r="Y29" s="42">
        <v>857</v>
      </c>
      <c r="Z29" s="42">
        <v>1070</v>
      </c>
      <c r="AA29" s="42">
        <v>1365</v>
      </c>
      <c r="AB29" s="405">
        <v>1482</v>
      </c>
      <c r="AC29" s="167" t="s">
        <v>36</v>
      </c>
    </row>
    <row r="30" spans="1:29" ht="12.75" customHeight="1" x14ac:dyDescent="0.2">
      <c r="A30" s="8"/>
      <c r="B30" s="54" t="s">
        <v>53</v>
      </c>
      <c r="C30" s="95">
        <v>66</v>
      </c>
      <c r="D30" s="96">
        <v>132</v>
      </c>
      <c r="E30" s="96">
        <v>316</v>
      </c>
      <c r="F30" s="96">
        <v>474</v>
      </c>
      <c r="G30" s="96">
        <v>520</v>
      </c>
      <c r="H30" s="96">
        <v>579</v>
      </c>
      <c r="I30" s="96">
        <v>587</v>
      </c>
      <c r="J30" s="97">
        <v>687</v>
      </c>
      <c r="K30" s="97">
        <v>710</v>
      </c>
      <c r="L30" s="97">
        <v>797</v>
      </c>
      <c r="M30" s="97">
        <v>1252</v>
      </c>
      <c r="N30" s="97">
        <v>1441</v>
      </c>
      <c r="O30" s="97">
        <v>1482</v>
      </c>
      <c r="P30" s="97">
        <v>1659</v>
      </c>
      <c r="Q30" s="97">
        <v>1836</v>
      </c>
      <c r="R30" s="97">
        <v>2002</v>
      </c>
      <c r="S30" s="97">
        <v>2091</v>
      </c>
      <c r="T30" s="148">
        <v>2341</v>
      </c>
      <c r="U30" s="97">
        <v>2545</v>
      </c>
      <c r="V30" s="97">
        <v>2613</v>
      </c>
      <c r="W30" s="97">
        <v>2623</v>
      </c>
      <c r="X30" s="249">
        <v>2705</v>
      </c>
      <c r="Y30" s="249">
        <v>2737</v>
      </c>
      <c r="Z30" s="249">
        <v>2737</v>
      </c>
      <c r="AA30" s="249">
        <v>2988</v>
      </c>
      <c r="AB30" s="305">
        <v>3065</v>
      </c>
      <c r="AC30" s="166" t="s">
        <v>53</v>
      </c>
    </row>
    <row r="31" spans="1:29" ht="12.75" customHeight="1" x14ac:dyDescent="0.2">
      <c r="A31" s="8"/>
      <c r="B31" s="10" t="s">
        <v>37</v>
      </c>
      <c r="C31" s="45"/>
      <c r="D31" s="42"/>
      <c r="E31" s="42">
        <v>113</v>
      </c>
      <c r="F31" s="42">
        <v>113</v>
      </c>
      <c r="G31" s="42">
        <v>113</v>
      </c>
      <c r="H31" s="42">
        <v>113</v>
      </c>
      <c r="I31" s="42">
        <v>113</v>
      </c>
      <c r="J31" s="42">
        <v>113</v>
      </c>
      <c r="K31" s="42">
        <v>113</v>
      </c>
      <c r="L31" s="42">
        <v>113</v>
      </c>
      <c r="M31" s="42">
        <v>113</v>
      </c>
      <c r="N31" s="42">
        <v>113</v>
      </c>
      <c r="O31" s="42">
        <v>113</v>
      </c>
      <c r="P31" s="42">
        <v>113</v>
      </c>
      <c r="Q31" s="42">
        <v>113</v>
      </c>
      <c r="R31" s="42">
        <v>113</v>
      </c>
      <c r="S31" s="42">
        <v>228</v>
      </c>
      <c r="T31" s="147">
        <v>228</v>
      </c>
      <c r="U31" s="42">
        <v>228</v>
      </c>
      <c r="V31" s="42">
        <v>281</v>
      </c>
      <c r="W31" s="42">
        <v>281</v>
      </c>
      <c r="X31" s="42">
        <v>321</v>
      </c>
      <c r="Y31" s="42">
        <v>332</v>
      </c>
      <c r="Z31" s="42">
        <v>350</v>
      </c>
      <c r="AA31" s="42">
        <v>550</v>
      </c>
      <c r="AB31" s="405">
        <v>644</v>
      </c>
      <c r="AC31" s="167" t="s">
        <v>37</v>
      </c>
    </row>
    <row r="32" spans="1:29" ht="12.75" customHeight="1" x14ac:dyDescent="0.2">
      <c r="A32" s="8"/>
      <c r="B32" s="54" t="s">
        <v>39</v>
      </c>
      <c r="C32" s="95"/>
      <c r="D32" s="96"/>
      <c r="E32" s="96">
        <v>228</v>
      </c>
      <c r="F32" s="97">
        <v>246</v>
      </c>
      <c r="G32" s="97">
        <v>254</v>
      </c>
      <c r="H32" s="96">
        <v>268</v>
      </c>
      <c r="I32" s="96">
        <v>277</v>
      </c>
      <c r="J32" s="96">
        <v>293</v>
      </c>
      <c r="K32" s="96">
        <v>310</v>
      </c>
      <c r="L32" s="96">
        <v>330</v>
      </c>
      <c r="M32" s="96">
        <v>369</v>
      </c>
      <c r="N32" s="96">
        <v>399</v>
      </c>
      <c r="O32" s="96">
        <v>427</v>
      </c>
      <c r="P32" s="96">
        <v>435</v>
      </c>
      <c r="Q32" s="96">
        <v>457</v>
      </c>
      <c r="R32" s="96">
        <v>477</v>
      </c>
      <c r="S32" s="96">
        <v>483</v>
      </c>
      <c r="T32" s="146">
        <v>569</v>
      </c>
      <c r="U32" s="96">
        <v>579</v>
      </c>
      <c r="V32" s="96">
        <v>579</v>
      </c>
      <c r="W32" s="96">
        <v>696</v>
      </c>
      <c r="X32" s="96">
        <v>747</v>
      </c>
      <c r="Y32" s="96">
        <v>771</v>
      </c>
      <c r="Z32" s="96">
        <v>768</v>
      </c>
      <c r="AA32" s="96">
        <v>769</v>
      </c>
      <c r="AB32" s="404">
        <v>770</v>
      </c>
      <c r="AC32" s="166" t="s">
        <v>39</v>
      </c>
    </row>
    <row r="33" spans="1:29" ht="12.75" customHeight="1" x14ac:dyDescent="0.2">
      <c r="A33" s="8"/>
      <c r="B33" s="10" t="s">
        <v>38</v>
      </c>
      <c r="C33" s="46"/>
      <c r="D33" s="47"/>
      <c r="E33" s="42">
        <v>192</v>
      </c>
      <c r="F33" s="42">
        <v>198</v>
      </c>
      <c r="G33" s="42">
        <v>198</v>
      </c>
      <c r="H33" s="42">
        <v>198</v>
      </c>
      <c r="I33" s="42">
        <v>198</v>
      </c>
      <c r="J33" s="42">
        <v>198</v>
      </c>
      <c r="K33" s="42">
        <v>215</v>
      </c>
      <c r="L33" s="42">
        <v>219</v>
      </c>
      <c r="M33" s="42">
        <v>292</v>
      </c>
      <c r="N33" s="42">
        <v>295</v>
      </c>
      <c r="O33" s="42">
        <v>296</v>
      </c>
      <c r="P33" s="42">
        <v>296</v>
      </c>
      <c r="Q33" s="42">
        <v>302</v>
      </c>
      <c r="R33" s="42">
        <v>313</v>
      </c>
      <c r="S33" s="42">
        <v>316</v>
      </c>
      <c r="T33" s="147">
        <v>328</v>
      </c>
      <c r="U33" s="42">
        <v>328</v>
      </c>
      <c r="V33" s="42">
        <v>365</v>
      </c>
      <c r="W33" s="42">
        <v>384</v>
      </c>
      <c r="X33" s="42">
        <v>391</v>
      </c>
      <c r="Y33" s="42">
        <v>415.7</v>
      </c>
      <c r="Z33" s="42">
        <v>419.2</v>
      </c>
      <c r="AA33" s="42">
        <v>419.2</v>
      </c>
      <c r="AB33" s="405">
        <v>420</v>
      </c>
      <c r="AC33" s="167" t="s">
        <v>38</v>
      </c>
    </row>
    <row r="34" spans="1:29" ht="12.75" customHeight="1" x14ac:dyDescent="0.2">
      <c r="A34" s="8"/>
      <c r="B34" s="54" t="s">
        <v>54</v>
      </c>
      <c r="C34" s="95">
        <v>108</v>
      </c>
      <c r="D34" s="96">
        <v>204</v>
      </c>
      <c r="E34" s="96">
        <v>225</v>
      </c>
      <c r="F34" s="96">
        <v>249</v>
      </c>
      <c r="G34" s="96">
        <v>318</v>
      </c>
      <c r="H34" s="96">
        <v>337</v>
      </c>
      <c r="I34" s="96">
        <v>388</v>
      </c>
      <c r="J34" s="96">
        <v>394</v>
      </c>
      <c r="K34" s="96">
        <v>431</v>
      </c>
      <c r="L34" s="96">
        <v>444</v>
      </c>
      <c r="M34" s="96">
        <v>473</v>
      </c>
      <c r="N34" s="96">
        <v>512</v>
      </c>
      <c r="O34" s="96">
        <v>549</v>
      </c>
      <c r="P34" s="96">
        <v>591</v>
      </c>
      <c r="Q34" s="96">
        <v>603</v>
      </c>
      <c r="R34" s="96">
        <v>653</v>
      </c>
      <c r="S34" s="96">
        <v>653</v>
      </c>
      <c r="T34" s="146">
        <v>693</v>
      </c>
      <c r="U34" s="96">
        <v>700</v>
      </c>
      <c r="V34" s="96">
        <v>700</v>
      </c>
      <c r="W34" s="96">
        <v>739</v>
      </c>
      <c r="X34" s="96">
        <v>765</v>
      </c>
      <c r="Y34" s="96">
        <v>779</v>
      </c>
      <c r="Z34" s="96">
        <v>790</v>
      </c>
      <c r="AA34" s="96">
        <v>780</v>
      </c>
      <c r="AB34" s="404">
        <v>810</v>
      </c>
      <c r="AC34" s="166" t="s">
        <v>54</v>
      </c>
    </row>
    <row r="35" spans="1:29" ht="12.75" customHeight="1" x14ac:dyDescent="0.2">
      <c r="A35" s="8"/>
      <c r="B35" s="10" t="s">
        <v>55</v>
      </c>
      <c r="C35" s="45">
        <v>403</v>
      </c>
      <c r="D35" s="42">
        <v>850</v>
      </c>
      <c r="E35" s="42">
        <v>939</v>
      </c>
      <c r="F35" s="42">
        <v>968</v>
      </c>
      <c r="G35" s="42">
        <v>1005</v>
      </c>
      <c r="H35" s="42">
        <v>1061</v>
      </c>
      <c r="I35" s="42">
        <v>1125</v>
      </c>
      <c r="J35" s="42">
        <v>1262</v>
      </c>
      <c r="K35" s="42">
        <v>1350</v>
      </c>
      <c r="L35" s="42">
        <v>1423</v>
      </c>
      <c r="M35" s="42">
        <v>1439</v>
      </c>
      <c r="N35" s="42">
        <v>1484</v>
      </c>
      <c r="O35" s="42">
        <v>1499</v>
      </c>
      <c r="P35" s="42">
        <v>1507</v>
      </c>
      <c r="Q35" s="42">
        <v>1544</v>
      </c>
      <c r="R35" s="42">
        <v>1591</v>
      </c>
      <c r="S35" s="42">
        <v>1700</v>
      </c>
      <c r="T35" s="147">
        <v>1700</v>
      </c>
      <c r="U35" s="42">
        <v>1740</v>
      </c>
      <c r="V35" s="42">
        <v>1806</v>
      </c>
      <c r="W35" s="42">
        <v>1855</v>
      </c>
      <c r="X35" s="42">
        <v>1891</v>
      </c>
      <c r="Y35" s="42">
        <v>1927</v>
      </c>
      <c r="Z35" s="42">
        <v>1920</v>
      </c>
      <c r="AA35" s="42">
        <v>2017</v>
      </c>
      <c r="AB35" s="400">
        <v>2057</v>
      </c>
      <c r="AC35" s="167" t="s">
        <v>55</v>
      </c>
    </row>
    <row r="36" spans="1:29" ht="12.75" customHeight="1" x14ac:dyDescent="0.2">
      <c r="A36" s="8"/>
      <c r="B36" s="261" t="s">
        <v>44</v>
      </c>
      <c r="C36" s="262">
        <v>1183</v>
      </c>
      <c r="D36" s="263">
        <v>2683</v>
      </c>
      <c r="E36" s="263">
        <v>3211.6</v>
      </c>
      <c r="F36" s="263">
        <v>3243</v>
      </c>
      <c r="G36" s="263">
        <v>3321</v>
      </c>
      <c r="H36" s="263">
        <v>3352</v>
      </c>
      <c r="I36" s="263">
        <v>3379</v>
      </c>
      <c r="J36" s="263">
        <v>3408</v>
      </c>
      <c r="K36" s="263">
        <v>3488</v>
      </c>
      <c r="L36" s="263">
        <v>3531</v>
      </c>
      <c r="M36" s="263">
        <v>3559</v>
      </c>
      <c r="N36" s="263">
        <v>3577</v>
      </c>
      <c r="O36" s="263">
        <v>3586</v>
      </c>
      <c r="P36" s="263">
        <v>3588</v>
      </c>
      <c r="Q36" s="263">
        <v>3588</v>
      </c>
      <c r="R36" s="263">
        <v>3633</v>
      </c>
      <c r="S36" s="263">
        <v>3628.49</v>
      </c>
      <c r="T36" s="263">
        <v>3665.44</v>
      </c>
      <c r="U36" s="263">
        <v>3669.44</v>
      </c>
      <c r="V36" s="263">
        <v>3672.7999999999997</v>
      </c>
      <c r="W36" s="263">
        <v>3673.8999999999996</v>
      </c>
      <c r="X36" s="263">
        <v>3671.7999999999997</v>
      </c>
      <c r="Y36" s="263">
        <v>3685.6</v>
      </c>
      <c r="Z36" s="263">
        <v>3732.52</v>
      </c>
      <c r="AA36" s="263">
        <v>3756.02</v>
      </c>
      <c r="AB36" s="265">
        <f>3645+114.9</f>
        <v>3759.9</v>
      </c>
      <c r="AC36" s="266" t="s">
        <v>44</v>
      </c>
    </row>
    <row r="37" spans="1:29" ht="12.75" customHeight="1" x14ac:dyDescent="0.2">
      <c r="A37" s="8"/>
      <c r="B37" s="10" t="s">
        <v>142</v>
      </c>
      <c r="C37" s="45"/>
      <c r="D37" s="42"/>
      <c r="E37" s="42"/>
      <c r="F37" s="42"/>
      <c r="G37" s="42"/>
      <c r="H37" s="42"/>
      <c r="I37" s="42"/>
      <c r="J37" s="42"/>
      <c r="K37" s="42"/>
      <c r="L37" s="42"/>
      <c r="M37" s="42"/>
      <c r="N37" s="42"/>
      <c r="O37" s="42"/>
      <c r="P37" s="41"/>
      <c r="Q37" s="42"/>
      <c r="R37" s="42"/>
      <c r="S37" s="42"/>
      <c r="T37" s="147"/>
      <c r="U37" s="42"/>
      <c r="V37" s="42"/>
      <c r="W37" s="42"/>
      <c r="X37" s="42"/>
      <c r="Y37" s="42"/>
      <c r="Z37" s="42"/>
      <c r="AA37" s="257"/>
      <c r="AB37" s="403"/>
      <c r="AC37" s="167" t="s">
        <v>142</v>
      </c>
    </row>
    <row r="38" spans="1:29" ht="12.75" customHeight="1" x14ac:dyDescent="0.2">
      <c r="A38" s="8"/>
      <c r="B38" s="228" t="s">
        <v>139</v>
      </c>
      <c r="C38" s="251"/>
      <c r="D38" s="252"/>
      <c r="E38" s="252" t="s">
        <v>59</v>
      </c>
      <c r="F38" s="252" t="s">
        <v>59</v>
      </c>
      <c r="G38" s="252" t="s">
        <v>59</v>
      </c>
      <c r="H38" s="252" t="s">
        <v>59</v>
      </c>
      <c r="I38" s="252" t="s">
        <v>59</v>
      </c>
      <c r="J38" s="252" t="s">
        <v>59</v>
      </c>
      <c r="K38" s="252" t="s">
        <v>59</v>
      </c>
      <c r="L38" s="252" t="s">
        <v>59</v>
      </c>
      <c r="M38" s="252" t="s">
        <v>59</v>
      </c>
      <c r="N38" s="252" t="s">
        <v>59</v>
      </c>
      <c r="O38" s="252" t="s">
        <v>59</v>
      </c>
      <c r="P38" s="252" t="s">
        <v>59</v>
      </c>
      <c r="Q38" s="252" t="s">
        <v>59</v>
      </c>
      <c r="R38" s="252" t="s">
        <v>59</v>
      </c>
      <c r="S38" s="252" t="s">
        <v>59</v>
      </c>
      <c r="T38" s="256" t="s">
        <v>59</v>
      </c>
      <c r="U38" s="252" t="s">
        <v>59</v>
      </c>
      <c r="V38" s="259" t="s">
        <v>59</v>
      </c>
      <c r="W38" s="259" t="s">
        <v>59</v>
      </c>
      <c r="X38" s="259" t="s">
        <v>59</v>
      </c>
      <c r="Y38" s="259" t="s">
        <v>59</v>
      </c>
      <c r="Z38" s="259" t="s">
        <v>59</v>
      </c>
      <c r="AA38" s="259" t="s">
        <v>59</v>
      </c>
      <c r="AB38" s="383" t="s">
        <v>59</v>
      </c>
      <c r="AC38" s="253" t="s">
        <v>139</v>
      </c>
    </row>
    <row r="39" spans="1:29" ht="12.75" customHeight="1" x14ac:dyDescent="0.2">
      <c r="A39" s="8"/>
      <c r="B39" s="10" t="s">
        <v>1</v>
      </c>
      <c r="C39" s="45"/>
      <c r="D39" s="42"/>
      <c r="E39" s="42">
        <v>83</v>
      </c>
      <c r="F39" s="42"/>
      <c r="G39" s="42"/>
      <c r="H39" s="42"/>
      <c r="I39" s="42"/>
      <c r="J39" s="42"/>
      <c r="K39" s="42"/>
      <c r="L39" s="42"/>
      <c r="M39" s="42"/>
      <c r="N39" s="42"/>
      <c r="O39" s="42"/>
      <c r="P39" s="42">
        <v>145</v>
      </c>
      <c r="Q39" s="42">
        <v>208</v>
      </c>
      <c r="R39" s="42">
        <v>208</v>
      </c>
      <c r="S39" s="42">
        <v>208</v>
      </c>
      <c r="T39" s="147">
        <v>216</v>
      </c>
      <c r="U39" s="42">
        <v>216</v>
      </c>
      <c r="V39" s="42">
        <v>221</v>
      </c>
      <c r="W39" s="42">
        <v>237</v>
      </c>
      <c r="X39" s="42">
        <v>251</v>
      </c>
      <c r="Y39" s="42">
        <v>251</v>
      </c>
      <c r="Z39" s="42">
        <v>259</v>
      </c>
      <c r="AA39" s="42">
        <v>259</v>
      </c>
      <c r="AB39" s="405">
        <v>259</v>
      </c>
      <c r="AC39" s="167" t="s">
        <v>1</v>
      </c>
    </row>
    <row r="40" spans="1:29" ht="12.75" customHeight="1" x14ac:dyDescent="0.2">
      <c r="A40" s="8"/>
      <c r="B40" s="228" t="s">
        <v>140</v>
      </c>
      <c r="C40" s="251"/>
      <c r="D40" s="252"/>
      <c r="E40" s="252"/>
      <c r="F40" s="252"/>
      <c r="G40" s="252"/>
      <c r="H40" s="252"/>
      <c r="I40" s="252"/>
      <c r="J40" s="252"/>
      <c r="K40" s="252"/>
      <c r="L40" s="252"/>
      <c r="M40" s="252"/>
      <c r="N40" s="252"/>
      <c r="O40" s="252"/>
      <c r="P40" s="252"/>
      <c r="Q40" s="252"/>
      <c r="R40" s="252">
        <v>603</v>
      </c>
      <c r="S40" s="252">
        <v>603</v>
      </c>
      <c r="T40" s="252">
        <v>603</v>
      </c>
      <c r="U40" s="252">
        <v>603</v>
      </c>
      <c r="V40" s="252">
        <v>603</v>
      </c>
      <c r="W40" s="252">
        <v>603</v>
      </c>
      <c r="X40" s="252">
        <v>603</v>
      </c>
      <c r="Y40" s="252">
        <v>603</v>
      </c>
      <c r="Z40" s="252">
        <v>603</v>
      </c>
      <c r="AA40" s="252">
        <v>603</v>
      </c>
      <c r="AB40" s="252">
        <v>603</v>
      </c>
      <c r="AC40" s="228" t="s">
        <v>140</v>
      </c>
    </row>
    <row r="41" spans="1:29" ht="12.75" customHeight="1" x14ac:dyDescent="0.2">
      <c r="A41" s="8"/>
      <c r="B41" s="12" t="s">
        <v>40</v>
      </c>
      <c r="C41" s="43"/>
      <c r="D41" s="44"/>
      <c r="E41" s="44">
        <v>281</v>
      </c>
      <c r="F41" s="44">
        <v>387</v>
      </c>
      <c r="G41" s="44">
        <v>757</v>
      </c>
      <c r="H41" s="44"/>
      <c r="I41" s="44"/>
      <c r="J41" s="44"/>
      <c r="K41" s="44"/>
      <c r="L41" s="44"/>
      <c r="M41" s="44"/>
      <c r="N41" s="44"/>
      <c r="O41" s="44"/>
      <c r="P41" s="44">
        <v>1851</v>
      </c>
      <c r="Q41" s="44">
        <v>1851</v>
      </c>
      <c r="R41" s="44">
        <v>1882</v>
      </c>
      <c r="S41" s="44">
        <v>1741</v>
      </c>
      <c r="T41" s="149">
        <v>1667</v>
      </c>
      <c r="U41" s="44">
        <v>1908</v>
      </c>
      <c r="V41" s="44">
        <v>1908</v>
      </c>
      <c r="W41" s="44">
        <v>1922</v>
      </c>
      <c r="X41" s="44">
        <v>2036</v>
      </c>
      <c r="Y41" s="44">
        <v>2080</v>
      </c>
      <c r="Z41" s="44">
        <v>2119</v>
      </c>
      <c r="AA41" s="44">
        <v>2127</v>
      </c>
      <c r="AB41" s="179">
        <v>2127</v>
      </c>
      <c r="AC41" s="168" t="s">
        <v>40</v>
      </c>
    </row>
    <row r="42" spans="1:29" ht="12.75" customHeight="1" x14ac:dyDescent="0.2">
      <c r="A42" s="8"/>
      <c r="B42" s="300" t="s">
        <v>26</v>
      </c>
      <c r="C42" s="301" t="s">
        <v>59</v>
      </c>
      <c r="D42" s="302" t="s">
        <v>59</v>
      </c>
      <c r="E42" s="252" t="s">
        <v>59</v>
      </c>
      <c r="F42" s="252" t="s">
        <v>59</v>
      </c>
      <c r="G42" s="252" t="s">
        <v>59</v>
      </c>
      <c r="H42" s="252" t="s">
        <v>59</v>
      </c>
      <c r="I42" s="252" t="s">
        <v>59</v>
      </c>
      <c r="J42" s="252" t="s">
        <v>59</v>
      </c>
      <c r="K42" s="252" t="s">
        <v>59</v>
      </c>
      <c r="L42" s="252" t="s">
        <v>59</v>
      </c>
      <c r="M42" s="252" t="s">
        <v>59</v>
      </c>
      <c r="N42" s="252" t="s">
        <v>59</v>
      </c>
      <c r="O42" s="252" t="s">
        <v>62</v>
      </c>
      <c r="P42" s="252" t="s">
        <v>59</v>
      </c>
      <c r="Q42" s="252" t="s">
        <v>59</v>
      </c>
      <c r="R42" s="252" t="s">
        <v>59</v>
      </c>
      <c r="S42" s="252" t="s">
        <v>59</v>
      </c>
      <c r="T42" s="256">
        <v>11</v>
      </c>
      <c r="U42" s="252">
        <v>11</v>
      </c>
      <c r="V42" s="252">
        <v>11</v>
      </c>
      <c r="W42" s="252">
        <v>11</v>
      </c>
      <c r="X42" s="252">
        <v>11</v>
      </c>
      <c r="Y42" s="252">
        <v>11</v>
      </c>
      <c r="Z42" s="299">
        <v>11</v>
      </c>
      <c r="AA42" s="299">
        <v>11</v>
      </c>
      <c r="AB42" s="407">
        <v>11</v>
      </c>
      <c r="AC42" s="304" t="s">
        <v>26</v>
      </c>
    </row>
    <row r="43" spans="1:29" ht="12.75" customHeight="1" x14ac:dyDescent="0.2">
      <c r="A43" s="8"/>
      <c r="B43" s="10" t="s">
        <v>56</v>
      </c>
      <c r="C43" s="45">
        <v>41</v>
      </c>
      <c r="D43" s="42">
        <v>57</v>
      </c>
      <c r="E43" s="42">
        <v>73</v>
      </c>
      <c r="F43" s="42"/>
      <c r="G43" s="42"/>
      <c r="H43" s="42"/>
      <c r="I43" s="42">
        <v>94</v>
      </c>
      <c r="J43" s="42">
        <v>107</v>
      </c>
      <c r="K43" s="42">
        <v>103</v>
      </c>
      <c r="L43" s="42">
        <v>109</v>
      </c>
      <c r="M43" s="42">
        <v>128</v>
      </c>
      <c r="N43" s="42">
        <v>128</v>
      </c>
      <c r="O43" s="42">
        <v>144</v>
      </c>
      <c r="P43" s="42">
        <v>143</v>
      </c>
      <c r="Q43" s="42">
        <v>173</v>
      </c>
      <c r="R43" s="257">
        <v>194</v>
      </c>
      <c r="S43" s="42">
        <v>194</v>
      </c>
      <c r="T43" s="147">
        <v>264</v>
      </c>
      <c r="U43" s="42">
        <v>271</v>
      </c>
      <c r="V43" s="42">
        <v>239</v>
      </c>
      <c r="W43" s="42">
        <v>253</v>
      </c>
      <c r="X43" s="42">
        <v>344</v>
      </c>
      <c r="Y43" s="42">
        <v>381</v>
      </c>
      <c r="Z43" s="42">
        <v>393</v>
      </c>
      <c r="AA43" s="42">
        <v>392</v>
      </c>
      <c r="AB43" s="403">
        <v>392</v>
      </c>
      <c r="AC43" s="167" t="s">
        <v>56</v>
      </c>
    </row>
    <row r="44" spans="1:29" ht="12.75" customHeight="1" x14ac:dyDescent="0.2">
      <c r="A44" s="8"/>
      <c r="B44" s="261" t="s">
        <v>27</v>
      </c>
      <c r="C44" s="262"/>
      <c r="D44" s="263"/>
      <c r="E44" s="263">
        <v>1148</v>
      </c>
      <c r="F44" s="263">
        <v>1152</v>
      </c>
      <c r="G44" s="263">
        <v>1164</v>
      </c>
      <c r="H44" s="263">
        <v>1184</v>
      </c>
      <c r="I44" s="263">
        <v>1184</v>
      </c>
      <c r="J44" s="263">
        <v>1197</v>
      </c>
      <c r="K44" s="263">
        <v>1244</v>
      </c>
      <c r="L44" s="263">
        <v>1244</v>
      </c>
      <c r="M44" s="263">
        <v>1262</v>
      </c>
      <c r="N44" s="263">
        <v>1267</v>
      </c>
      <c r="O44" s="263">
        <v>1270</v>
      </c>
      <c r="P44" s="263">
        <v>1305</v>
      </c>
      <c r="Q44" s="263">
        <v>1304</v>
      </c>
      <c r="R44" s="263">
        <v>1351</v>
      </c>
      <c r="S44" s="263">
        <v>1341</v>
      </c>
      <c r="T44" s="264">
        <v>1358</v>
      </c>
      <c r="U44" s="263">
        <v>1361</v>
      </c>
      <c r="V44" s="263">
        <v>1383</v>
      </c>
      <c r="W44" s="263">
        <v>1383</v>
      </c>
      <c r="X44" s="263">
        <v>1406</v>
      </c>
      <c r="Y44" s="263">
        <v>1406</v>
      </c>
      <c r="Z44" s="263">
        <v>1415</v>
      </c>
      <c r="AA44" s="263">
        <v>1419</v>
      </c>
      <c r="AB44" s="265">
        <v>1419</v>
      </c>
      <c r="AC44" s="266" t="s">
        <v>27</v>
      </c>
    </row>
    <row r="45" spans="1:29" ht="44.25" customHeight="1" x14ac:dyDescent="0.2">
      <c r="B45" s="442" t="s">
        <v>146</v>
      </c>
      <c r="C45" s="443"/>
      <c r="D45" s="443"/>
      <c r="E45" s="443"/>
      <c r="F45" s="443"/>
      <c r="G45" s="443"/>
      <c r="H45" s="443"/>
      <c r="I45" s="443"/>
      <c r="J45" s="443"/>
      <c r="K45" s="443"/>
      <c r="L45" s="443"/>
      <c r="M45" s="443"/>
      <c r="N45" s="443"/>
      <c r="O45" s="443"/>
      <c r="P45" s="443"/>
      <c r="Q45" s="443"/>
      <c r="R45" s="443"/>
      <c r="S45" s="443"/>
      <c r="T45" s="443"/>
      <c r="U45" s="443"/>
      <c r="V45" s="443"/>
      <c r="W45" s="443"/>
      <c r="X45" s="40"/>
      <c r="Y45" s="40"/>
      <c r="Z45" s="40"/>
      <c r="AA45" s="40"/>
      <c r="AB45" s="40"/>
    </row>
    <row r="46" spans="1:29" ht="12.75" customHeight="1" x14ac:dyDescent="0.2">
      <c r="B46" s="5" t="s">
        <v>121</v>
      </c>
      <c r="C46"/>
      <c r="D46"/>
      <c r="E46"/>
      <c r="F46"/>
      <c r="G46"/>
      <c r="H46"/>
      <c r="I46"/>
      <c r="J46"/>
      <c r="K46"/>
      <c r="L46"/>
      <c r="M46"/>
      <c r="N46"/>
      <c r="O46"/>
      <c r="P46"/>
      <c r="Q46"/>
    </row>
    <row r="47" spans="1:29" ht="12.75" customHeight="1" x14ac:dyDescent="0.2">
      <c r="B47" s="172" t="s">
        <v>110</v>
      </c>
    </row>
    <row r="48" spans="1:29" ht="12.75" customHeight="1" x14ac:dyDescent="0.2">
      <c r="B48" s="174" t="s">
        <v>108</v>
      </c>
    </row>
    <row r="49" spans="2:22" ht="12.75" customHeight="1" x14ac:dyDescent="0.2">
      <c r="B49" s="172" t="s">
        <v>109</v>
      </c>
      <c r="C49" s="159"/>
      <c r="D49" s="159"/>
      <c r="E49" s="159"/>
      <c r="F49" s="159"/>
      <c r="G49" s="159"/>
      <c r="H49" s="159"/>
      <c r="I49" s="159"/>
      <c r="J49" s="159"/>
      <c r="K49" s="159"/>
      <c r="L49" s="159"/>
      <c r="M49" s="159"/>
      <c r="N49" s="159"/>
      <c r="O49" s="159"/>
      <c r="P49" s="159"/>
      <c r="Q49" s="159"/>
      <c r="R49" s="159"/>
      <c r="S49" s="159"/>
      <c r="T49" s="159"/>
      <c r="U49" s="159"/>
      <c r="V49" s="159"/>
    </row>
    <row r="50" spans="2:22" ht="12.75" customHeight="1" x14ac:dyDescent="0.2">
      <c r="B50" s="234" t="s">
        <v>148</v>
      </c>
      <c r="C50" s="159"/>
      <c r="D50" s="159"/>
      <c r="E50" s="159"/>
      <c r="F50" s="159"/>
      <c r="G50" s="159"/>
      <c r="H50" s="159"/>
      <c r="I50" s="159"/>
      <c r="J50" s="159"/>
      <c r="K50" s="159"/>
      <c r="L50" s="159"/>
      <c r="M50" s="159"/>
      <c r="N50" s="159"/>
      <c r="O50" s="159"/>
      <c r="P50" s="159"/>
      <c r="Q50" s="159"/>
      <c r="R50" s="159"/>
      <c r="S50" s="159"/>
      <c r="T50" s="159"/>
      <c r="U50" s="159"/>
      <c r="V50" s="159"/>
    </row>
  </sheetData>
  <mergeCells count="4">
    <mergeCell ref="B1:C1"/>
    <mergeCell ref="B45:W45"/>
    <mergeCell ref="B2:AC2"/>
    <mergeCell ref="B3:AC3"/>
  </mergeCells>
  <phoneticPr fontId="9" type="noConversion"/>
  <printOptions horizontalCentered="1"/>
  <pageMargins left="0.47244094488188981" right="0.47244094488188981"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dimension ref="A1:G77"/>
  <sheetViews>
    <sheetView topLeftCell="A25" zoomScaleNormal="100" workbookViewId="0">
      <selection activeCell="J31" sqref="A31:J32"/>
    </sheetView>
  </sheetViews>
  <sheetFormatPr defaultRowHeight="12.75" x14ac:dyDescent="0.2"/>
  <cols>
    <col min="1" max="1" width="2.7109375" customWidth="1"/>
    <col min="2" max="2" width="4.28515625" customWidth="1"/>
    <col min="3" max="6" width="10.7109375" customWidth="1"/>
    <col min="7" max="7" width="4" style="6" customWidth="1"/>
  </cols>
  <sheetData>
    <row r="1" spans="1:7" ht="15" customHeight="1" x14ac:dyDescent="0.25">
      <c r="B1" s="457"/>
      <c r="C1" s="457"/>
      <c r="D1" s="34"/>
      <c r="E1" s="34"/>
      <c r="F1" s="455" t="s">
        <v>114</v>
      </c>
      <c r="G1" s="456"/>
    </row>
    <row r="2" spans="1:7" ht="30" customHeight="1" x14ac:dyDescent="0.2">
      <c r="B2" s="458" t="s">
        <v>23</v>
      </c>
      <c r="C2" s="458"/>
      <c r="D2" s="458"/>
      <c r="E2" s="458"/>
      <c r="F2" s="458"/>
      <c r="G2" s="458"/>
    </row>
    <row r="3" spans="1:7" ht="15" customHeight="1" x14ac:dyDescent="0.2">
      <c r="C3" s="459" t="s">
        <v>164</v>
      </c>
      <c r="D3" s="460"/>
      <c r="E3" s="460"/>
      <c r="F3" s="460"/>
      <c r="G3" s="408"/>
    </row>
    <row r="4" spans="1:7" ht="12.75" customHeight="1" x14ac:dyDescent="0.2">
      <c r="B4" s="6"/>
      <c r="C4" s="452" t="s">
        <v>73</v>
      </c>
      <c r="D4" s="452" t="s">
        <v>83</v>
      </c>
      <c r="E4" s="452" t="s">
        <v>84</v>
      </c>
      <c r="F4" s="452" t="s">
        <v>85</v>
      </c>
      <c r="G4" s="184"/>
    </row>
    <row r="5" spans="1:7" ht="12.75" customHeight="1" x14ac:dyDescent="0.2">
      <c r="B5" s="6"/>
      <c r="C5" s="453"/>
      <c r="D5" s="453"/>
      <c r="E5" s="453"/>
      <c r="F5" s="453"/>
      <c r="G5" s="184"/>
    </row>
    <row r="6" spans="1:7" x14ac:dyDescent="0.2">
      <c r="B6" s="6"/>
      <c r="C6" s="453"/>
      <c r="D6" s="453"/>
      <c r="E6" s="453"/>
      <c r="F6" s="453"/>
      <c r="G6" s="184"/>
    </row>
    <row r="7" spans="1:7" ht="7.5" customHeight="1" x14ac:dyDescent="0.2">
      <c r="B7" s="6"/>
      <c r="C7" s="454"/>
      <c r="D7" s="454"/>
      <c r="E7" s="454"/>
      <c r="F7" s="454"/>
      <c r="G7" s="184"/>
    </row>
    <row r="8" spans="1:7" ht="12.75" customHeight="1" x14ac:dyDescent="0.2">
      <c r="A8" s="8"/>
      <c r="B8" s="9" t="s">
        <v>45</v>
      </c>
      <c r="C8" s="311">
        <v>1763</v>
      </c>
      <c r="D8" s="312">
        <v>13229</v>
      </c>
      <c r="E8" s="312">
        <v>1349</v>
      </c>
      <c r="F8" s="313">
        <v>138869</v>
      </c>
      <c r="G8" s="9" t="s">
        <v>45</v>
      </c>
    </row>
    <row r="9" spans="1:7" ht="12.75" customHeight="1" x14ac:dyDescent="0.2">
      <c r="A9" s="8"/>
      <c r="B9" s="54" t="s">
        <v>28</v>
      </c>
      <c r="C9" s="314">
        <v>605</v>
      </c>
      <c r="D9" s="249">
        <v>2975</v>
      </c>
      <c r="E9" s="315">
        <v>4035</v>
      </c>
      <c r="F9" s="316">
        <v>12063</v>
      </c>
      <c r="G9" s="54" t="s">
        <v>28</v>
      </c>
    </row>
    <row r="10" spans="1:7" ht="12.75" customHeight="1" x14ac:dyDescent="0.2">
      <c r="A10" s="8"/>
      <c r="B10" s="10" t="s">
        <v>30</v>
      </c>
      <c r="C10" s="317">
        <v>775.8</v>
      </c>
      <c r="D10" s="318">
        <v>6249.7</v>
      </c>
      <c r="E10" s="318">
        <f>14566.3+34169.5</f>
        <v>48735.8</v>
      </c>
      <c r="F10" s="319">
        <v>74919</v>
      </c>
      <c r="G10" s="10" t="s">
        <v>30</v>
      </c>
    </row>
    <row r="11" spans="1:7" ht="12.75" customHeight="1" x14ac:dyDescent="0.2">
      <c r="A11" s="8"/>
      <c r="B11" s="228" t="s">
        <v>41</v>
      </c>
      <c r="C11" s="320">
        <v>1216</v>
      </c>
      <c r="D11" s="259">
        <v>2646</v>
      </c>
      <c r="E11" s="448">
        <v>70268</v>
      </c>
      <c r="F11" s="449"/>
      <c r="G11" s="228" t="s">
        <v>41</v>
      </c>
    </row>
    <row r="12" spans="1:7" ht="12.75" customHeight="1" x14ac:dyDescent="0.2">
      <c r="A12" s="8"/>
      <c r="B12" s="10" t="s">
        <v>46</v>
      </c>
      <c r="C12" s="317">
        <v>12917</v>
      </c>
      <c r="D12" s="318">
        <v>39389</v>
      </c>
      <c r="E12" s="318">
        <v>178071</v>
      </c>
      <c r="F12" s="250"/>
      <c r="G12" s="10" t="s">
        <v>46</v>
      </c>
    </row>
    <row r="13" spans="1:7" ht="12.75" customHeight="1" x14ac:dyDescent="0.2">
      <c r="A13" s="8"/>
      <c r="B13" s="54" t="s">
        <v>31</v>
      </c>
      <c r="C13" s="314">
        <v>140</v>
      </c>
      <c r="D13" s="249">
        <f>1607-C13+2406</f>
        <v>3873</v>
      </c>
      <c r="E13" s="249">
        <v>12476</v>
      </c>
      <c r="F13" s="247">
        <f>58787-E13-D13-C13</f>
        <v>42298</v>
      </c>
      <c r="G13" s="54" t="s">
        <v>31</v>
      </c>
    </row>
    <row r="14" spans="1:7" ht="12.75" customHeight="1" x14ac:dyDescent="0.2">
      <c r="A14" s="8"/>
      <c r="B14" s="10" t="s">
        <v>49</v>
      </c>
      <c r="C14" s="317">
        <v>897</v>
      </c>
      <c r="D14" s="318">
        <v>4531</v>
      </c>
      <c r="E14" s="318">
        <v>11631</v>
      </c>
      <c r="F14" s="319">
        <v>78958</v>
      </c>
      <c r="G14" s="10" t="s">
        <v>49</v>
      </c>
    </row>
    <row r="15" spans="1:7" ht="12.75" customHeight="1" x14ac:dyDescent="0.2">
      <c r="A15" s="8"/>
      <c r="B15" s="54" t="s">
        <v>42</v>
      </c>
      <c r="C15" s="314">
        <v>1558.2</v>
      </c>
      <c r="D15" s="249">
        <v>9299</v>
      </c>
      <c r="E15" s="249">
        <v>30864</v>
      </c>
      <c r="F15" s="247">
        <v>75600</v>
      </c>
      <c r="G15" s="54" t="s">
        <v>42</v>
      </c>
    </row>
    <row r="16" spans="1:7" ht="12.75" customHeight="1" x14ac:dyDescent="0.2">
      <c r="A16" s="8"/>
      <c r="B16" s="10" t="s">
        <v>47</v>
      </c>
      <c r="C16" s="317">
        <v>14981</v>
      </c>
      <c r="D16" s="318">
        <f>14468+573</f>
        <v>15041</v>
      </c>
      <c r="E16" s="318">
        <f>67230+742+288+67080</f>
        <v>135340</v>
      </c>
      <c r="F16" s="250">
        <v>501053</v>
      </c>
      <c r="G16" s="10" t="s">
        <v>47</v>
      </c>
    </row>
    <row r="17" spans="1:7" ht="12.75" customHeight="1" x14ac:dyDescent="0.2">
      <c r="A17" s="8"/>
      <c r="B17" s="54" t="s">
        <v>48</v>
      </c>
      <c r="C17" s="314">
        <v>11552</v>
      </c>
      <c r="D17" s="249">
        <v>9658</v>
      </c>
      <c r="E17" s="249">
        <v>377323.10099999997</v>
      </c>
      <c r="F17" s="247">
        <v>673290.0689999999</v>
      </c>
      <c r="G17" s="54" t="s">
        <v>48</v>
      </c>
    </row>
    <row r="18" spans="1:7" ht="12.75" customHeight="1" x14ac:dyDescent="0.2">
      <c r="A18" s="8"/>
      <c r="B18" s="10" t="s">
        <v>60</v>
      </c>
      <c r="C18" s="321">
        <v>1295</v>
      </c>
      <c r="D18" s="318">
        <v>6711</v>
      </c>
      <c r="E18" s="318">
        <v>9720</v>
      </c>
      <c r="F18" s="319">
        <v>9094</v>
      </c>
      <c r="G18" s="10" t="s">
        <v>60</v>
      </c>
    </row>
    <row r="19" spans="1:7" ht="12.75" customHeight="1" x14ac:dyDescent="0.2">
      <c r="A19" s="8"/>
      <c r="B19" s="228" t="s">
        <v>50</v>
      </c>
      <c r="C19" s="320">
        <v>6751</v>
      </c>
      <c r="D19" s="259">
        <v>19920</v>
      </c>
      <c r="E19" s="259">
        <v>154948</v>
      </c>
      <c r="F19" s="260">
        <v>74420</v>
      </c>
      <c r="G19" s="228" t="s">
        <v>50</v>
      </c>
    </row>
    <row r="20" spans="1:7" ht="12.75" customHeight="1" x14ac:dyDescent="0.2">
      <c r="A20" s="8"/>
      <c r="B20" s="10" t="s">
        <v>29</v>
      </c>
      <c r="C20" s="317">
        <f>motorway!O21</f>
        <v>257</v>
      </c>
      <c r="D20" s="318">
        <f>2460-257</f>
        <v>2203</v>
      </c>
      <c r="E20" s="318">
        <f>1774+533</f>
        <v>2307</v>
      </c>
      <c r="F20" s="319">
        <f>4110+717+171</f>
        <v>4998</v>
      </c>
      <c r="G20" s="10" t="s">
        <v>29</v>
      </c>
    </row>
    <row r="21" spans="1:7" ht="12.75" customHeight="1" x14ac:dyDescent="0.2">
      <c r="A21" s="8"/>
      <c r="B21" s="228" t="s">
        <v>33</v>
      </c>
      <c r="C21" s="322" t="s">
        <v>59</v>
      </c>
      <c r="D21" s="259">
        <v>1674</v>
      </c>
      <c r="E21" s="259">
        <f>4372+1016</f>
        <v>5388</v>
      </c>
      <c r="F21" s="260">
        <f>2697+10334+5652+32828+24+500+3000+8346</f>
        <v>63381</v>
      </c>
      <c r="G21" s="228" t="s">
        <v>33</v>
      </c>
    </row>
    <row r="22" spans="1:7" ht="12.75" customHeight="1" x14ac:dyDescent="0.2">
      <c r="A22" s="8"/>
      <c r="B22" s="10" t="s">
        <v>34</v>
      </c>
      <c r="C22" s="317">
        <v>309</v>
      </c>
      <c r="D22" s="323">
        <f>1745+4936-309</f>
        <v>6372</v>
      </c>
      <c r="E22" s="323">
        <v>14573</v>
      </c>
      <c r="F22" s="324">
        <v>51337</v>
      </c>
      <c r="G22" s="10" t="s">
        <v>34</v>
      </c>
    </row>
    <row r="23" spans="1:7" ht="12.75" customHeight="1" x14ac:dyDescent="0.2">
      <c r="A23" s="8"/>
      <c r="B23" s="228" t="s">
        <v>51</v>
      </c>
      <c r="C23" s="320">
        <v>152</v>
      </c>
      <c r="D23" s="259">
        <v>837</v>
      </c>
      <c r="E23" s="448">
        <v>1891</v>
      </c>
      <c r="F23" s="450"/>
      <c r="G23" s="228" t="s">
        <v>51</v>
      </c>
    </row>
    <row r="24" spans="1:7" ht="12.75" customHeight="1" x14ac:dyDescent="0.2">
      <c r="A24" s="8"/>
      <c r="B24" s="10" t="s">
        <v>32</v>
      </c>
      <c r="C24" s="317">
        <v>1766.9</v>
      </c>
      <c r="D24" s="318">
        <v>6824.2</v>
      </c>
      <c r="E24" s="318">
        <v>23169</v>
      </c>
      <c r="F24" s="319">
        <v>171549.4</v>
      </c>
      <c r="G24" s="10" t="s">
        <v>32</v>
      </c>
    </row>
    <row r="25" spans="1:7" ht="12.75" customHeight="1" x14ac:dyDescent="0.2">
      <c r="A25" s="8"/>
      <c r="B25" s="228" t="s">
        <v>35</v>
      </c>
      <c r="C25" s="322" t="s">
        <v>59</v>
      </c>
      <c r="D25" s="448">
        <v>2361</v>
      </c>
      <c r="E25" s="448"/>
      <c r="F25" s="451"/>
      <c r="G25" s="228" t="s">
        <v>35</v>
      </c>
    </row>
    <row r="26" spans="1:7" ht="12.75" customHeight="1" x14ac:dyDescent="0.2">
      <c r="A26" s="8"/>
      <c r="B26" s="10" t="s">
        <v>43</v>
      </c>
      <c r="C26" s="317">
        <v>2678</v>
      </c>
      <c r="D26" s="318">
        <f>5242-C26</f>
        <v>2564</v>
      </c>
      <c r="E26" s="318">
        <v>7749</v>
      </c>
      <c r="F26" s="319">
        <v>125650</v>
      </c>
      <c r="G26" s="10" t="s">
        <v>43</v>
      </c>
    </row>
    <row r="27" spans="1:7" ht="12.75" customHeight="1" x14ac:dyDescent="0.2">
      <c r="A27" s="8"/>
      <c r="B27" s="228" t="s">
        <v>52</v>
      </c>
      <c r="C27" s="320">
        <v>1719</v>
      </c>
      <c r="D27" s="259">
        <v>9996.7350000000006</v>
      </c>
      <c r="E27" s="259">
        <v>23640.260999999999</v>
      </c>
      <c r="F27" s="260">
        <v>88758.932000000001</v>
      </c>
      <c r="G27" s="228" t="s">
        <v>52</v>
      </c>
    </row>
    <row r="28" spans="1:7" ht="12.75" customHeight="1" x14ac:dyDescent="0.2">
      <c r="A28" s="8"/>
      <c r="B28" s="10" t="s">
        <v>36</v>
      </c>
      <c r="C28" s="317">
        <v>1482</v>
      </c>
      <c r="D28" s="318">
        <f>19286-C28</f>
        <v>17804</v>
      </c>
      <c r="E28" s="318">
        <v>153753</v>
      </c>
      <c r="F28" s="319">
        <v>242083</v>
      </c>
      <c r="G28" s="10" t="s">
        <v>36</v>
      </c>
    </row>
    <row r="29" spans="1:7" ht="12.75" customHeight="1" x14ac:dyDescent="0.2">
      <c r="A29" s="8"/>
      <c r="B29" s="228" t="s">
        <v>53</v>
      </c>
      <c r="C29" s="320">
        <v>3065</v>
      </c>
      <c r="D29" s="259">
        <v>6454</v>
      </c>
      <c r="E29" s="259">
        <v>4791</v>
      </c>
      <c r="F29" s="303"/>
      <c r="G29" s="228" t="s">
        <v>53</v>
      </c>
    </row>
    <row r="30" spans="1:7" ht="12.75" customHeight="1" x14ac:dyDescent="0.2">
      <c r="A30" s="8"/>
      <c r="B30" s="10" t="s">
        <v>37</v>
      </c>
      <c r="C30" s="317">
        <v>644</v>
      </c>
      <c r="D30" s="318">
        <v>17110</v>
      </c>
      <c r="E30" s="323">
        <v>35587</v>
      </c>
      <c r="F30" s="324">
        <v>32190</v>
      </c>
      <c r="G30" s="10" t="s">
        <v>37</v>
      </c>
    </row>
    <row r="31" spans="1:7" ht="12.75" customHeight="1" x14ac:dyDescent="0.2">
      <c r="A31" s="8"/>
      <c r="B31" s="228" t="s">
        <v>39</v>
      </c>
      <c r="C31" s="320">
        <v>770</v>
      </c>
      <c r="D31" s="259">
        <v>819</v>
      </c>
      <c r="E31" s="259">
        <v>5135</v>
      </c>
      <c r="F31" s="260">
        <f>13386+18764</f>
        <v>32150</v>
      </c>
      <c r="G31" s="228" t="s">
        <v>39</v>
      </c>
    </row>
    <row r="32" spans="1:7" ht="12.75" customHeight="1" x14ac:dyDescent="0.2">
      <c r="A32" s="8"/>
      <c r="B32" s="10" t="s">
        <v>38</v>
      </c>
      <c r="C32" s="317">
        <v>420</v>
      </c>
      <c r="D32" s="318">
        <v>3538.36</v>
      </c>
      <c r="E32" s="318">
        <f>3617.049+10378.658</f>
        <v>13995.706999999999</v>
      </c>
      <c r="F32" s="319">
        <v>36852</v>
      </c>
      <c r="G32" s="10" t="s">
        <v>38</v>
      </c>
    </row>
    <row r="33" spans="1:7" ht="12.75" customHeight="1" x14ac:dyDescent="0.2">
      <c r="A33" s="8"/>
      <c r="B33" s="228" t="s">
        <v>54</v>
      </c>
      <c r="C33" s="320">
        <v>810</v>
      </c>
      <c r="D33" s="259">
        <f>8603+4728-810</f>
        <v>12521</v>
      </c>
      <c r="E33" s="259">
        <v>13561</v>
      </c>
      <c r="F33" s="260">
        <v>51201</v>
      </c>
      <c r="G33" s="228" t="s">
        <v>54</v>
      </c>
    </row>
    <row r="34" spans="1:7" ht="12.75" customHeight="1" x14ac:dyDescent="0.2">
      <c r="A34" s="8"/>
      <c r="B34" s="10" t="s">
        <v>55</v>
      </c>
      <c r="C34" s="317">
        <v>2057</v>
      </c>
      <c r="D34" s="318">
        <f>8295+7315-2057</f>
        <v>13553</v>
      </c>
      <c r="E34" s="318">
        <v>82905</v>
      </c>
      <c r="F34" s="319">
        <f>76507+41954</f>
        <v>118461</v>
      </c>
      <c r="G34" s="10" t="s">
        <v>55</v>
      </c>
    </row>
    <row r="35" spans="1:7" ht="12.75" customHeight="1" x14ac:dyDescent="0.2">
      <c r="A35" s="8"/>
      <c r="B35" s="228" t="s">
        <v>44</v>
      </c>
      <c r="C35" s="320">
        <v>3759.9</v>
      </c>
      <c r="D35" s="259">
        <f>46785+210.2+2079.2</f>
        <v>49074.399999999994</v>
      </c>
      <c r="E35" s="259">
        <f>30207+1.7+2902.1</f>
        <v>33110.800000000003</v>
      </c>
      <c r="F35" s="260">
        <f>314983+1.3+4723.6+1.3+15472.9</f>
        <v>335182.09999999998</v>
      </c>
      <c r="G35" s="228" t="s">
        <v>44</v>
      </c>
    </row>
    <row r="36" spans="1:7" ht="12.75" customHeight="1" x14ac:dyDescent="0.2">
      <c r="A36" s="8"/>
      <c r="B36" s="9" t="s">
        <v>142</v>
      </c>
      <c r="C36" s="311"/>
      <c r="D36" s="312"/>
      <c r="E36" s="312"/>
      <c r="F36" s="313"/>
      <c r="G36" s="9" t="s">
        <v>142</v>
      </c>
    </row>
    <row r="37" spans="1:7" ht="12.75" customHeight="1" x14ac:dyDescent="0.2">
      <c r="A37" s="8"/>
      <c r="B37" s="228" t="s">
        <v>139</v>
      </c>
      <c r="C37" s="322" t="s">
        <v>59</v>
      </c>
      <c r="D37" s="448">
        <v>7965</v>
      </c>
      <c r="E37" s="448"/>
      <c r="F37" s="450"/>
      <c r="G37" s="228" t="s">
        <v>139</v>
      </c>
    </row>
    <row r="38" spans="1:7" ht="12.75" customHeight="1" x14ac:dyDescent="0.2">
      <c r="A38" s="8"/>
      <c r="B38" s="10" t="s">
        <v>1</v>
      </c>
      <c r="C38" s="317">
        <v>259</v>
      </c>
      <c r="D38" s="318">
        <f>908-257</f>
        <v>651</v>
      </c>
      <c r="E38" s="318">
        <v>3778</v>
      </c>
      <c r="F38" s="319">
        <v>9471</v>
      </c>
      <c r="G38" s="10" t="s">
        <v>1</v>
      </c>
    </row>
    <row r="39" spans="1:7" ht="12.75" customHeight="1" x14ac:dyDescent="0.2">
      <c r="A39" s="8"/>
      <c r="B39" s="228" t="s">
        <v>140</v>
      </c>
      <c r="C39" s="320">
        <v>603</v>
      </c>
      <c r="D39" s="259">
        <v>4794</v>
      </c>
      <c r="E39" s="259">
        <v>10341</v>
      </c>
      <c r="F39" s="260">
        <v>29271</v>
      </c>
      <c r="G39" s="228" t="s">
        <v>140</v>
      </c>
    </row>
    <row r="40" spans="1:7" x14ac:dyDescent="0.2">
      <c r="A40" s="8"/>
      <c r="B40" s="12" t="s">
        <v>40</v>
      </c>
      <c r="C40" s="325">
        <v>2127</v>
      </c>
      <c r="D40" s="326">
        <v>31341</v>
      </c>
      <c r="E40" s="326">
        <v>32155</v>
      </c>
      <c r="F40" s="327">
        <v>323043</v>
      </c>
      <c r="G40" s="12" t="s">
        <v>40</v>
      </c>
    </row>
    <row r="41" spans="1:7" ht="12.75" customHeight="1" x14ac:dyDescent="0.2">
      <c r="A41" s="8"/>
      <c r="B41" s="300" t="s">
        <v>26</v>
      </c>
      <c r="C41" s="299">
        <v>11</v>
      </c>
      <c r="D41" s="259">
        <v>4919</v>
      </c>
      <c r="E41" s="259">
        <v>2950</v>
      </c>
      <c r="F41" s="259">
        <v>5010</v>
      </c>
      <c r="G41" s="300" t="s">
        <v>26</v>
      </c>
    </row>
    <row r="42" spans="1:7" ht="12.75" customHeight="1" x14ac:dyDescent="0.2">
      <c r="A42" s="8"/>
      <c r="B42" s="10" t="s">
        <v>56</v>
      </c>
      <c r="C42" s="257">
        <v>392</v>
      </c>
      <c r="D42" s="318">
        <v>10562</v>
      </c>
      <c r="E42" s="318">
        <v>44382</v>
      </c>
      <c r="F42" s="318">
        <v>39041</v>
      </c>
      <c r="G42" s="10" t="s">
        <v>56</v>
      </c>
    </row>
    <row r="43" spans="1:7" ht="16.5" customHeight="1" x14ac:dyDescent="0.2">
      <c r="A43" s="8"/>
      <c r="B43" s="261" t="s">
        <v>27</v>
      </c>
      <c r="C43" s="259">
        <v>1419</v>
      </c>
      <c r="D43" s="259">
        <v>393</v>
      </c>
      <c r="E43" s="259">
        <v>17926</v>
      </c>
      <c r="F43" s="259">
        <v>51789</v>
      </c>
      <c r="G43" s="261" t="s">
        <v>27</v>
      </c>
    </row>
    <row r="44" spans="1:7" ht="30" customHeight="1" x14ac:dyDescent="0.2">
      <c r="B44" s="442" t="s">
        <v>147</v>
      </c>
      <c r="C44" s="442"/>
      <c r="D44" s="442"/>
      <c r="E44" s="442"/>
      <c r="F44" s="442"/>
      <c r="G44" s="442"/>
    </row>
    <row r="45" spans="1:7" ht="12.75" customHeight="1" x14ac:dyDescent="0.2">
      <c r="B45" s="445" t="s">
        <v>0</v>
      </c>
      <c r="C45" s="445"/>
      <c r="D45" s="445"/>
      <c r="E45" s="445"/>
      <c r="F45" s="445"/>
      <c r="G45" s="445"/>
    </row>
    <row r="46" spans="1:7" ht="23.25" customHeight="1" x14ac:dyDescent="0.2">
      <c r="B46" s="446" t="s">
        <v>90</v>
      </c>
      <c r="C46" s="447"/>
      <c r="D46" s="447"/>
      <c r="E46" s="447"/>
      <c r="F46" s="447"/>
      <c r="G46" s="447"/>
    </row>
    <row r="47" spans="1:7" ht="12.75" customHeight="1" x14ac:dyDescent="0.2">
      <c r="B47" s="446" t="s">
        <v>89</v>
      </c>
      <c r="C47" s="447"/>
      <c r="D47" s="447"/>
      <c r="E47" s="447"/>
      <c r="F47" s="447"/>
      <c r="G47" s="447"/>
    </row>
    <row r="48" spans="1:7" ht="12.75" customHeight="1" x14ac:dyDescent="0.2">
      <c r="B48" s="187" t="s">
        <v>165</v>
      </c>
    </row>
    <row r="49" spans="2:5" x14ac:dyDescent="0.2">
      <c r="B49" s="187"/>
    </row>
    <row r="51" spans="2:5" x14ac:dyDescent="0.2">
      <c r="E51" s="181"/>
    </row>
    <row r="52" spans="2:5" x14ac:dyDescent="0.2">
      <c r="E52" s="181"/>
    </row>
    <row r="53" spans="2:5" x14ac:dyDescent="0.2">
      <c r="E53" s="181"/>
    </row>
    <row r="54" spans="2:5" x14ac:dyDescent="0.2">
      <c r="E54" s="181"/>
    </row>
    <row r="55" spans="2:5" x14ac:dyDescent="0.2">
      <c r="E55" s="181"/>
    </row>
    <row r="56" spans="2:5" x14ac:dyDescent="0.2">
      <c r="E56" s="181"/>
    </row>
    <row r="57" spans="2:5" x14ac:dyDescent="0.2">
      <c r="E57" s="181"/>
    </row>
    <row r="58" spans="2:5" x14ac:dyDescent="0.2">
      <c r="E58" s="181"/>
    </row>
    <row r="59" spans="2:5" x14ac:dyDescent="0.2">
      <c r="E59" s="181"/>
    </row>
    <row r="60" spans="2:5" x14ac:dyDescent="0.2">
      <c r="E60" s="181"/>
    </row>
    <row r="61" spans="2:5" x14ac:dyDescent="0.2">
      <c r="E61" s="181"/>
    </row>
    <row r="62" spans="2:5" x14ac:dyDescent="0.2">
      <c r="E62" s="181"/>
    </row>
    <row r="63" spans="2:5" x14ac:dyDescent="0.2">
      <c r="E63" s="181"/>
    </row>
    <row r="64" spans="2:5" x14ac:dyDescent="0.2">
      <c r="E64" s="181"/>
    </row>
    <row r="65" spans="5:5" x14ac:dyDescent="0.2">
      <c r="E65" s="181"/>
    </row>
    <row r="66" spans="5:5" x14ac:dyDescent="0.2">
      <c r="E66" s="181"/>
    </row>
    <row r="67" spans="5:5" x14ac:dyDescent="0.2">
      <c r="E67" s="181"/>
    </row>
    <row r="68" spans="5:5" x14ac:dyDescent="0.2">
      <c r="E68" s="181"/>
    </row>
    <row r="69" spans="5:5" x14ac:dyDescent="0.2">
      <c r="E69" s="181"/>
    </row>
    <row r="70" spans="5:5" x14ac:dyDescent="0.2">
      <c r="E70" s="181"/>
    </row>
    <row r="71" spans="5:5" x14ac:dyDescent="0.2">
      <c r="E71" s="181"/>
    </row>
    <row r="72" spans="5:5" x14ac:dyDescent="0.2">
      <c r="E72" s="181"/>
    </row>
    <row r="73" spans="5:5" x14ac:dyDescent="0.2">
      <c r="E73" s="181"/>
    </row>
    <row r="74" spans="5:5" x14ac:dyDescent="0.2">
      <c r="E74" s="181"/>
    </row>
    <row r="75" spans="5:5" x14ac:dyDescent="0.2">
      <c r="E75" s="181"/>
    </row>
    <row r="76" spans="5:5" x14ac:dyDescent="0.2">
      <c r="E76" s="181"/>
    </row>
    <row r="77" spans="5:5" x14ac:dyDescent="0.2">
      <c r="E77" s="181"/>
    </row>
  </sheetData>
  <mergeCells count="16">
    <mergeCell ref="C4:C7"/>
    <mergeCell ref="D4:D7"/>
    <mergeCell ref="E4:E7"/>
    <mergeCell ref="F4:F7"/>
    <mergeCell ref="B1:C1"/>
    <mergeCell ref="F1:G1"/>
    <mergeCell ref="B2:G2"/>
    <mergeCell ref="C3:F3"/>
    <mergeCell ref="B45:G45"/>
    <mergeCell ref="B46:G46"/>
    <mergeCell ref="B47:G47"/>
    <mergeCell ref="E11:F11"/>
    <mergeCell ref="E23:F23"/>
    <mergeCell ref="D25:F25"/>
    <mergeCell ref="D37:F37"/>
    <mergeCell ref="B44:G44"/>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I83"/>
  <sheetViews>
    <sheetView workbookViewId="0">
      <selection activeCell="AN34" sqref="A33:AN34"/>
    </sheetView>
  </sheetViews>
  <sheetFormatPr defaultRowHeight="11.25" x14ac:dyDescent="0.2"/>
  <cols>
    <col min="1" max="1" width="2.7109375" style="2" customWidth="1"/>
    <col min="2" max="2" width="4" style="2" customWidth="1"/>
    <col min="3" max="4" width="6.7109375" style="2" customWidth="1"/>
    <col min="5" max="6" width="6.85546875" style="2" customWidth="1"/>
    <col min="7" max="7" width="6.7109375" style="2" customWidth="1"/>
    <col min="8" max="8" width="8.140625" style="2" customWidth="1"/>
    <col min="9" max="10" width="6.7109375" style="2" customWidth="1"/>
    <col min="11" max="19" width="6.85546875" style="2" customWidth="1"/>
    <col min="20" max="25" width="6.7109375" style="2" customWidth="1"/>
    <col min="26" max="26" width="8.5703125" style="2" customWidth="1"/>
    <col min="27" max="27" width="7" style="2" customWidth="1"/>
    <col min="28" max="33" width="9.85546875" style="2" customWidth="1"/>
    <col min="34" max="34" width="7" style="2" customWidth="1"/>
    <col min="35" max="35" width="5" style="2" customWidth="1"/>
    <col min="36" max="16384" width="9.140625" style="2"/>
  </cols>
  <sheetData>
    <row r="1" spans="1:35" ht="14.25" customHeight="1" x14ac:dyDescent="0.2">
      <c r="B1" s="441"/>
      <c r="C1" s="441"/>
      <c r="D1" s="28"/>
      <c r="E1" s="25"/>
      <c r="F1" s="25"/>
      <c r="G1" s="25"/>
      <c r="H1" s="25"/>
      <c r="I1" s="25"/>
      <c r="J1" s="25"/>
      <c r="K1" s="25"/>
      <c r="L1" s="25"/>
      <c r="AB1" s="18" t="s">
        <v>115</v>
      </c>
      <c r="AC1" s="18"/>
      <c r="AD1" s="18"/>
      <c r="AE1" s="18"/>
      <c r="AF1" s="18"/>
      <c r="AG1" s="18"/>
      <c r="AH1" s="18"/>
      <c r="AI1" s="18"/>
    </row>
    <row r="2" spans="1:35" ht="30" customHeight="1" x14ac:dyDescent="0.2">
      <c r="B2" s="444" t="s">
        <v>80</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241"/>
      <c r="AD2" s="254"/>
      <c r="AE2" s="180"/>
      <c r="AF2" s="306"/>
      <c r="AG2" s="409"/>
      <c r="AH2" s="180"/>
      <c r="AI2" s="180"/>
    </row>
    <row r="3" spans="1:35" ht="12.75" customHeight="1" x14ac:dyDescent="0.2">
      <c r="B3" s="3"/>
      <c r="C3" s="3"/>
      <c r="E3" s="23"/>
      <c r="F3" s="23"/>
      <c r="H3" s="229"/>
      <c r="I3" s="229"/>
      <c r="J3" s="229"/>
      <c r="K3" s="229"/>
      <c r="L3" s="229"/>
      <c r="M3" s="229"/>
      <c r="N3" s="229"/>
      <c r="O3" s="229"/>
      <c r="P3" s="229"/>
      <c r="Q3" s="229"/>
      <c r="R3" s="229"/>
      <c r="S3" s="229"/>
      <c r="T3" s="229"/>
      <c r="U3" s="229"/>
      <c r="V3" s="229"/>
      <c r="W3" s="229"/>
      <c r="X3" s="229"/>
      <c r="Y3" s="229"/>
      <c r="AA3" s="169"/>
      <c r="AB3" s="24"/>
      <c r="AC3" s="24"/>
      <c r="AD3" s="24"/>
      <c r="AE3" s="24"/>
      <c r="AF3" s="24"/>
      <c r="AG3" s="24"/>
      <c r="AH3" s="24"/>
      <c r="AI3" s="24"/>
    </row>
    <row r="4" spans="1:35" ht="23.25" customHeight="1" x14ac:dyDescent="0.2">
      <c r="B4" s="176"/>
      <c r="C4" s="155">
        <v>1970</v>
      </c>
      <c r="D4" s="156">
        <v>1980</v>
      </c>
      <c r="E4" s="156">
        <v>1990</v>
      </c>
      <c r="F4" s="156">
        <v>1995</v>
      </c>
      <c r="G4" s="156">
        <v>1996</v>
      </c>
      <c r="H4" s="156">
        <v>1997</v>
      </c>
      <c r="I4" s="156">
        <v>1998</v>
      </c>
      <c r="J4" s="156">
        <v>1999</v>
      </c>
      <c r="K4" s="156">
        <v>2000</v>
      </c>
      <c r="L4" s="156">
        <v>2001</v>
      </c>
      <c r="M4" s="156">
        <v>2002</v>
      </c>
      <c r="N4" s="156">
        <v>2003</v>
      </c>
      <c r="O4" s="156">
        <v>2004</v>
      </c>
      <c r="P4" s="156">
        <v>2005</v>
      </c>
      <c r="Q4" s="156">
        <v>2006</v>
      </c>
      <c r="R4" s="156">
        <v>2007</v>
      </c>
      <c r="S4" s="156">
        <v>2008</v>
      </c>
      <c r="T4" s="156">
        <v>2009</v>
      </c>
      <c r="U4" s="156">
        <v>2010</v>
      </c>
      <c r="V4" s="156">
        <v>2011</v>
      </c>
      <c r="W4" s="156">
        <v>2012</v>
      </c>
      <c r="X4" s="156">
        <v>2013</v>
      </c>
      <c r="Y4" s="156">
        <v>2014</v>
      </c>
      <c r="Z4" s="235"/>
      <c r="AA4" s="236"/>
      <c r="AB4" s="236"/>
      <c r="AC4" s="236"/>
      <c r="AD4" s="236"/>
      <c r="AE4" s="236"/>
      <c r="AF4" s="236"/>
      <c r="AG4" s="236" t="s">
        <v>87</v>
      </c>
      <c r="AH4" s="237"/>
      <c r="AI4" s="24"/>
    </row>
    <row r="5" spans="1:35" ht="12" customHeight="1" x14ac:dyDescent="0.2">
      <c r="B5" s="175"/>
      <c r="C5" s="157"/>
      <c r="D5" s="158"/>
      <c r="E5" s="158"/>
      <c r="F5" s="158"/>
      <c r="G5" s="158"/>
      <c r="H5" s="158"/>
      <c r="I5" s="158"/>
      <c r="J5" s="158"/>
      <c r="K5" s="158"/>
      <c r="L5" s="158"/>
      <c r="M5" s="158"/>
      <c r="N5" s="158"/>
      <c r="O5" s="158"/>
      <c r="P5" s="158"/>
      <c r="Q5" s="158"/>
      <c r="R5" s="158"/>
      <c r="S5" s="158"/>
      <c r="T5" s="158"/>
      <c r="U5" s="158"/>
      <c r="V5" s="158"/>
      <c r="W5" s="158"/>
      <c r="X5" s="158"/>
      <c r="Y5" s="158"/>
      <c r="Z5" s="238">
        <v>2007</v>
      </c>
      <c r="AA5" s="239">
        <v>2008</v>
      </c>
      <c r="AB5" s="239">
        <v>2009</v>
      </c>
      <c r="AC5" s="239">
        <v>2010</v>
      </c>
      <c r="AD5" s="239">
        <v>2011</v>
      </c>
      <c r="AE5" s="239">
        <v>2012</v>
      </c>
      <c r="AF5" s="239">
        <v>2013</v>
      </c>
      <c r="AG5" s="239">
        <v>2014</v>
      </c>
      <c r="AH5" s="240" t="s">
        <v>58</v>
      </c>
      <c r="AI5" s="7"/>
    </row>
    <row r="6" spans="1:35" ht="12.75" customHeight="1" x14ac:dyDescent="0.2">
      <c r="B6" s="51" t="s">
        <v>143</v>
      </c>
      <c r="C6" s="330">
        <f>13308+SUM(C9:C36)</f>
        <v>248269</v>
      </c>
      <c r="D6" s="331">
        <f>13131+SUM(D9:D36)</f>
        <v>240629</v>
      </c>
      <c r="E6" s="331">
        <f>13111+SUM(E9:E36)</f>
        <v>237671</v>
      </c>
      <c r="F6" s="331">
        <f>SUM(F9:F36)</f>
        <v>229435</v>
      </c>
      <c r="G6" s="331">
        <f t="shared" ref="G6:R6" si="0">SUM(G9:G36)</f>
        <v>220627</v>
      </c>
      <c r="H6" s="331">
        <f t="shared" si="0"/>
        <v>218237</v>
      </c>
      <c r="I6" s="331">
        <f t="shared" si="0"/>
        <v>216958</v>
      </c>
      <c r="J6" s="331">
        <f t="shared" si="0"/>
        <v>213312</v>
      </c>
      <c r="K6" s="331">
        <f t="shared" si="0"/>
        <v>220583</v>
      </c>
      <c r="L6" s="331">
        <f t="shared" si="0"/>
        <v>217502</v>
      </c>
      <c r="M6" s="331">
        <f t="shared" si="0"/>
        <v>217892</v>
      </c>
      <c r="N6" s="331">
        <f t="shared" si="0"/>
        <v>219024</v>
      </c>
      <c r="O6" s="331">
        <f t="shared" si="0"/>
        <v>216225</v>
      </c>
      <c r="P6" s="332">
        <f t="shared" si="0"/>
        <v>215110</v>
      </c>
      <c r="Q6" s="332">
        <f t="shared" si="0"/>
        <v>215378</v>
      </c>
      <c r="R6" s="332">
        <f t="shared" si="0"/>
        <v>215676</v>
      </c>
      <c r="S6" s="332">
        <f t="shared" ref="S6:Y6" si="1">SUM(S9:S36)</f>
        <v>216043</v>
      </c>
      <c r="T6" s="332">
        <f t="shared" si="1"/>
        <v>216122</v>
      </c>
      <c r="U6" s="332">
        <f t="shared" si="1"/>
        <v>216232</v>
      </c>
      <c r="V6" s="332">
        <f t="shared" si="1"/>
        <v>216964</v>
      </c>
      <c r="W6" s="332">
        <f t="shared" si="1"/>
        <v>216507</v>
      </c>
      <c r="X6" s="414">
        <f t="shared" si="1"/>
        <v>219771</v>
      </c>
      <c r="Y6" s="332">
        <f t="shared" si="1"/>
        <v>220673</v>
      </c>
      <c r="Z6" s="330">
        <f t="shared" ref="Z6:AB6" si="2">SUM(Z9:Z36)</f>
        <v>111024</v>
      </c>
      <c r="AA6" s="331">
        <f t="shared" si="2"/>
        <v>111778</v>
      </c>
      <c r="AB6" s="331">
        <f t="shared" si="2"/>
        <v>112268</v>
      </c>
      <c r="AC6" s="331">
        <f>SUM(AC9:AC36)</f>
        <v>113229</v>
      </c>
      <c r="AD6" s="333">
        <f>SUM(AD9:AD36)</f>
        <v>114418</v>
      </c>
      <c r="AE6" s="333">
        <f>SUM(AE9:AE36)</f>
        <v>115516</v>
      </c>
      <c r="AF6" s="417">
        <f>SUM(AF9:AF36)</f>
        <v>115186.08</v>
      </c>
      <c r="AG6" s="331">
        <f>SUM(AG9:AG36)</f>
        <v>115067.59</v>
      </c>
      <c r="AH6" s="419">
        <f>AG6/Y6*100</f>
        <v>52.14393695649219</v>
      </c>
      <c r="AI6" s="51" t="s">
        <v>143</v>
      </c>
    </row>
    <row r="7" spans="1:35" ht="12.75" customHeight="1" x14ac:dyDescent="0.2">
      <c r="B7" s="54" t="s">
        <v>144</v>
      </c>
      <c r="C7" s="334">
        <f>SUM(C9,C12:C13,C15:C20,C24,C27:C28,C30,C34:C36)-C19</f>
        <v>175274</v>
      </c>
      <c r="D7" s="335">
        <f>SUM(D9,D12:D13,D15:D20,D24,D27:D28,D30,D34:D36)-D19</f>
        <v>168150</v>
      </c>
      <c r="E7" s="335">
        <f>SUM(E9,E12:E13,E15:E20,E24,E27:E28,E30,E34:E36)-E19</f>
        <v>162132</v>
      </c>
      <c r="F7" s="335">
        <f>SUM(F9,F12:F13,F15:F18,F24,F27:F28,F30,F34:F36,F20)</f>
        <v>160037</v>
      </c>
      <c r="G7" s="335">
        <f t="shared" ref="G7:V7" si="3">SUM(G9,G12:G13,G15:G18,G24,G27:G28,G30,G34:G36,G20)</f>
        <v>159068</v>
      </c>
      <c r="H7" s="335">
        <f t="shared" si="3"/>
        <v>156830</v>
      </c>
      <c r="I7" s="335">
        <f t="shared" si="3"/>
        <v>156249</v>
      </c>
      <c r="J7" s="335">
        <f t="shared" si="3"/>
        <v>153028</v>
      </c>
      <c r="K7" s="335">
        <f t="shared" si="3"/>
        <v>152446</v>
      </c>
      <c r="L7" s="335">
        <f t="shared" si="3"/>
        <v>152189</v>
      </c>
      <c r="M7" s="335">
        <f t="shared" si="3"/>
        <v>152180</v>
      </c>
      <c r="N7" s="335">
        <f t="shared" si="3"/>
        <v>152791</v>
      </c>
      <c r="O7" s="335">
        <f t="shared" si="3"/>
        <v>150463</v>
      </c>
      <c r="P7" s="336">
        <f t="shared" si="3"/>
        <v>150316</v>
      </c>
      <c r="Q7" s="336">
        <f t="shared" si="3"/>
        <v>150849</v>
      </c>
      <c r="R7" s="336">
        <f t="shared" si="3"/>
        <v>151381</v>
      </c>
      <c r="S7" s="336">
        <f t="shared" si="3"/>
        <v>151597</v>
      </c>
      <c r="T7" s="336">
        <f t="shared" si="3"/>
        <v>151300</v>
      </c>
      <c r="U7" s="336">
        <f t="shared" si="3"/>
        <v>151519</v>
      </c>
      <c r="V7" s="336">
        <f t="shared" si="3"/>
        <v>152287</v>
      </c>
      <c r="W7" s="336">
        <f t="shared" ref="W7" si="4">SUM(W9,W12:W13,W15:W18,W24,W27:W28,W30,W34:W36,W20)</f>
        <v>151968</v>
      </c>
      <c r="X7" s="415">
        <f t="shared" ref="X7" si="5">SUM(X9,X12:X13,X15:X18,X24,X27:X28,X30,X34:X36,X20)</f>
        <v>155957</v>
      </c>
      <c r="Y7" s="336">
        <f t="shared" ref="Y7" si="6">SUM(Y9,Y12:Y13,Y15:Y18,Y24,Y27:Y28,Y30,Y34:Y36,Y20)</f>
        <v>157021</v>
      </c>
      <c r="Z7" s="334">
        <f>SUM(Z9,Z12:Z13,Z15:Z18,Z24,Z27:Z28,Z30,Z34:Z36)+Z20</f>
        <v>82984</v>
      </c>
      <c r="AA7" s="335">
        <f t="shared" ref="AA7:AE7" si="7">SUM(AA9,AA12:AA13,AA15:AA18,AA24,AA27:AA28,AA30,AA34:AA36)+AA20</f>
        <v>83620</v>
      </c>
      <c r="AB7" s="335">
        <f t="shared" si="7"/>
        <v>83967</v>
      </c>
      <c r="AC7" s="335">
        <f t="shared" si="7"/>
        <v>84826</v>
      </c>
      <c r="AD7" s="337">
        <f t="shared" si="7"/>
        <v>85930</v>
      </c>
      <c r="AE7" s="337">
        <f t="shared" si="7"/>
        <v>86957</v>
      </c>
      <c r="AF7" s="418">
        <f t="shared" ref="AF7" si="8">SUM(AF9,AF12:AF13,AF15:AF18,AF24,AF27:AF28,AF30,AF34:AF36)+AF20</f>
        <v>86670.080000000002</v>
      </c>
      <c r="AG7" s="335">
        <f t="shared" ref="AG7" si="9">SUM(AG9,AG12:AG13,AG15:AG18,AG24,AG27:AG28,AG30,AG34:AG36)+AG20</f>
        <v>86616.59</v>
      </c>
      <c r="AH7" s="420">
        <f t="shared" ref="AH7:AH44" si="10">AG7/Y7*100</f>
        <v>55.162424134351454</v>
      </c>
      <c r="AI7" s="54" t="s">
        <v>144</v>
      </c>
    </row>
    <row r="8" spans="1:35" ht="12.75" customHeight="1" x14ac:dyDescent="0.2">
      <c r="B8" s="57" t="s">
        <v>145</v>
      </c>
      <c r="C8" s="338">
        <f>13308+SUM(C10,C11,C14,C21,C22,C23,C25,C26,C29,C31,C32,C33)+C19</f>
        <v>72995</v>
      </c>
      <c r="D8" s="339">
        <f>13131+SUM(D10,D11,D14,D21,D22,D23,D25,D26,D29,D31,D32,D33)+D19</f>
        <v>72479</v>
      </c>
      <c r="E8" s="339">
        <f>13111+SUM(E10,E11,E14,E21,E22,E23,E25,E26,E29,E31,E32,E33)+E19-E33</f>
        <v>71879</v>
      </c>
      <c r="F8" s="339">
        <f>F6-F7</f>
        <v>69398</v>
      </c>
      <c r="G8" s="339">
        <f t="shared" ref="G8:R8" si="11">G6-G7</f>
        <v>61559</v>
      </c>
      <c r="H8" s="339">
        <f t="shared" si="11"/>
        <v>61407</v>
      </c>
      <c r="I8" s="339">
        <f t="shared" si="11"/>
        <v>60709</v>
      </c>
      <c r="J8" s="339">
        <f t="shared" si="11"/>
        <v>60284</v>
      </c>
      <c r="K8" s="339">
        <f t="shared" si="11"/>
        <v>68137</v>
      </c>
      <c r="L8" s="339">
        <f t="shared" si="11"/>
        <v>65313</v>
      </c>
      <c r="M8" s="339">
        <f t="shared" si="11"/>
        <v>65712</v>
      </c>
      <c r="N8" s="339">
        <f t="shared" si="11"/>
        <v>66233</v>
      </c>
      <c r="O8" s="339">
        <f t="shared" si="11"/>
        <v>65762</v>
      </c>
      <c r="P8" s="340">
        <f t="shared" si="11"/>
        <v>64794</v>
      </c>
      <c r="Q8" s="340">
        <f t="shared" si="11"/>
        <v>64529</v>
      </c>
      <c r="R8" s="340">
        <f t="shared" si="11"/>
        <v>64295</v>
      </c>
      <c r="S8" s="340">
        <f t="shared" ref="S8:Z8" si="12">S6-S7</f>
        <v>64446</v>
      </c>
      <c r="T8" s="340">
        <f t="shared" si="12"/>
        <v>64822</v>
      </c>
      <c r="U8" s="340">
        <f t="shared" si="12"/>
        <v>64713</v>
      </c>
      <c r="V8" s="340">
        <f t="shared" si="12"/>
        <v>64677</v>
      </c>
      <c r="W8" s="340">
        <f t="shared" si="12"/>
        <v>64539</v>
      </c>
      <c r="X8" s="340">
        <f t="shared" si="12"/>
        <v>63814</v>
      </c>
      <c r="Y8" s="340">
        <f t="shared" si="12"/>
        <v>63652</v>
      </c>
      <c r="Z8" s="338">
        <f t="shared" si="12"/>
        <v>28040</v>
      </c>
      <c r="AA8" s="339">
        <f t="shared" ref="AA8:AE8" si="13">AA6-AA7</f>
        <v>28158</v>
      </c>
      <c r="AB8" s="339">
        <f t="shared" si="13"/>
        <v>28301</v>
      </c>
      <c r="AC8" s="339">
        <f t="shared" si="13"/>
        <v>28403</v>
      </c>
      <c r="AD8" s="339">
        <f t="shared" si="13"/>
        <v>28488</v>
      </c>
      <c r="AE8" s="339">
        <f t="shared" si="13"/>
        <v>28559</v>
      </c>
      <c r="AF8" s="339">
        <f t="shared" ref="AF8" si="14">AF6-AF7</f>
        <v>28516</v>
      </c>
      <c r="AG8" s="339">
        <f t="shared" ref="AG8" si="15">AG6-AG7</f>
        <v>28451</v>
      </c>
      <c r="AH8" s="230">
        <f t="shared" si="10"/>
        <v>44.697731414566704</v>
      </c>
      <c r="AI8" s="57" t="s">
        <v>145</v>
      </c>
    </row>
    <row r="9" spans="1:35" ht="12.75" customHeight="1" x14ac:dyDescent="0.2">
      <c r="A9" s="8"/>
      <c r="B9" s="9" t="s">
        <v>45</v>
      </c>
      <c r="C9" s="341">
        <v>4605</v>
      </c>
      <c r="D9" s="342">
        <v>3971</v>
      </c>
      <c r="E9" s="342">
        <v>3479</v>
      </c>
      <c r="F9" s="342">
        <v>3368</v>
      </c>
      <c r="G9" s="342">
        <v>3380</v>
      </c>
      <c r="H9" s="342">
        <v>3422</v>
      </c>
      <c r="I9" s="342">
        <v>3470</v>
      </c>
      <c r="J9" s="342">
        <v>3472</v>
      </c>
      <c r="K9" s="342">
        <v>3471</v>
      </c>
      <c r="L9" s="342">
        <v>3454</v>
      </c>
      <c r="M9" s="342">
        <v>3518</v>
      </c>
      <c r="N9" s="342">
        <v>3521</v>
      </c>
      <c r="O9" s="342">
        <v>3536</v>
      </c>
      <c r="P9" s="318">
        <v>3544</v>
      </c>
      <c r="Q9" s="323">
        <v>3500</v>
      </c>
      <c r="R9" s="318">
        <v>3374</v>
      </c>
      <c r="S9" s="318">
        <v>3513</v>
      </c>
      <c r="T9" s="318">
        <v>3578</v>
      </c>
      <c r="U9" s="318">
        <v>3582</v>
      </c>
      <c r="V9" s="318">
        <v>3582</v>
      </c>
      <c r="W9" s="318">
        <v>3582</v>
      </c>
      <c r="X9" s="318">
        <v>3595</v>
      </c>
      <c r="Y9" s="318">
        <v>3631</v>
      </c>
      <c r="Z9" s="343">
        <v>3002</v>
      </c>
      <c r="AA9" s="344">
        <v>2955</v>
      </c>
      <c r="AB9" s="344">
        <v>3005</v>
      </c>
      <c r="AC9" s="344">
        <v>3064</v>
      </c>
      <c r="AD9" s="345">
        <v>3064</v>
      </c>
      <c r="AE9" s="345">
        <v>3064</v>
      </c>
      <c r="AF9" s="345">
        <v>3064</v>
      </c>
      <c r="AG9" s="344">
        <f>Y9*85/100</f>
        <v>3086.35</v>
      </c>
      <c r="AH9" s="231">
        <f t="shared" si="10"/>
        <v>85</v>
      </c>
      <c r="AI9" s="9" t="s">
        <v>45</v>
      </c>
    </row>
    <row r="10" spans="1:35" ht="12.75" customHeight="1" x14ac:dyDescent="0.2">
      <c r="A10" s="8"/>
      <c r="B10" s="54" t="s">
        <v>28</v>
      </c>
      <c r="C10" s="346">
        <v>4196</v>
      </c>
      <c r="D10" s="315">
        <v>4341</v>
      </c>
      <c r="E10" s="315">
        <v>4299</v>
      </c>
      <c r="F10" s="315">
        <v>4294</v>
      </c>
      <c r="G10" s="315">
        <v>4293</v>
      </c>
      <c r="H10" s="315">
        <v>4292</v>
      </c>
      <c r="I10" s="315">
        <v>4090</v>
      </c>
      <c r="J10" s="315">
        <v>4090</v>
      </c>
      <c r="K10" s="315">
        <v>4320</v>
      </c>
      <c r="L10" s="315">
        <v>4320</v>
      </c>
      <c r="M10" s="315">
        <v>4318</v>
      </c>
      <c r="N10" s="249">
        <v>4316</v>
      </c>
      <c r="O10" s="249">
        <v>4259</v>
      </c>
      <c r="P10" s="249">
        <v>4154</v>
      </c>
      <c r="Q10" s="249">
        <v>4146</v>
      </c>
      <c r="R10" s="249">
        <v>4143</v>
      </c>
      <c r="S10" s="249">
        <v>4144</v>
      </c>
      <c r="T10" s="249">
        <v>4150</v>
      </c>
      <c r="U10" s="249">
        <v>4097</v>
      </c>
      <c r="V10" s="249">
        <v>4072</v>
      </c>
      <c r="W10" s="249">
        <v>4070</v>
      </c>
      <c r="X10" s="249">
        <v>4032</v>
      </c>
      <c r="Y10" s="249">
        <v>4023</v>
      </c>
      <c r="Z10" s="346">
        <v>2806</v>
      </c>
      <c r="AA10" s="315">
        <v>2827</v>
      </c>
      <c r="AB10" s="315">
        <v>2833</v>
      </c>
      <c r="AC10" s="315">
        <v>2785</v>
      </c>
      <c r="AD10" s="315">
        <v>2862</v>
      </c>
      <c r="AE10" s="315">
        <v>2862</v>
      </c>
      <c r="AF10" s="315">
        <v>2869</v>
      </c>
      <c r="AG10" s="315">
        <v>2861</v>
      </c>
      <c r="AH10" s="232">
        <f t="shared" si="10"/>
        <v>71.116082525478504</v>
      </c>
      <c r="AI10" s="54" t="s">
        <v>28</v>
      </c>
    </row>
    <row r="11" spans="1:35" ht="12.75" customHeight="1" x14ac:dyDescent="0.2">
      <c r="A11" s="8"/>
      <c r="B11" s="10" t="s">
        <v>30</v>
      </c>
      <c r="C11" s="347"/>
      <c r="D11" s="323"/>
      <c r="E11" s="323"/>
      <c r="F11" s="323">
        <v>9430</v>
      </c>
      <c r="G11" s="323">
        <v>9430</v>
      </c>
      <c r="H11" s="323">
        <v>9430</v>
      </c>
      <c r="I11" s="323">
        <v>9430</v>
      </c>
      <c r="J11" s="323">
        <v>9444</v>
      </c>
      <c r="K11" s="323">
        <v>9444</v>
      </c>
      <c r="L11" s="323">
        <v>9523</v>
      </c>
      <c r="M11" s="323">
        <v>9600</v>
      </c>
      <c r="N11" s="323">
        <v>9602</v>
      </c>
      <c r="O11" s="323">
        <v>9612</v>
      </c>
      <c r="P11" s="318">
        <v>9614</v>
      </c>
      <c r="Q11" s="323">
        <v>9597</v>
      </c>
      <c r="R11" s="318">
        <v>9588</v>
      </c>
      <c r="S11" s="318">
        <v>9486</v>
      </c>
      <c r="T11" s="318">
        <v>9477</v>
      </c>
      <c r="U11" s="318">
        <v>9468</v>
      </c>
      <c r="V11" s="318">
        <v>9470</v>
      </c>
      <c r="W11" s="318">
        <v>9469</v>
      </c>
      <c r="X11" s="318">
        <v>9459</v>
      </c>
      <c r="Y11" s="318">
        <v>9456</v>
      </c>
      <c r="Z11" s="343">
        <v>3060</v>
      </c>
      <c r="AA11" s="344">
        <v>3078</v>
      </c>
      <c r="AB11" s="344">
        <v>3152</v>
      </c>
      <c r="AC11" s="344">
        <v>3210</v>
      </c>
      <c r="AD11" s="344">
        <v>3208</v>
      </c>
      <c r="AE11" s="344">
        <v>3217</v>
      </c>
      <c r="AF11" s="344">
        <v>3216</v>
      </c>
      <c r="AG11" s="344">
        <v>3215</v>
      </c>
      <c r="AH11" s="231">
        <f t="shared" si="10"/>
        <v>33.999576988155667</v>
      </c>
      <c r="AI11" s="10" t="s">
        <v>30</v>
      </c>
    </row>
    <row r="12" spans="1:35" ht="12.75" customHeight="1" x14ac:dyDescent="0.2">
      <c r="A12" s="8"/>
      <c r="B12" s="54" t="s">
        <v>41</v>
      </c>
      <c r="C12" s="346">
        <v>2352</v>
      </c>
      <c r="D12" s="315">
        <v>2015</v>
      </c>
      <c r="E12" s="315">
        <v>2838</v>
      </c>
      <c r="F12" s="315">
        <v>2863</v>
      </c>
      <c r="G12" s="315">
        <v>2863</v>
      </c>
      <c r="H12" s="315">
        <v>2762</v>
      </c>
      <c r="I12" s="315">
        <v>2779</v>
      </c>
      <c r="J12" s="315">
        <v>2775</v>
      </c>
      <c r="K12" s="315">
        <v>2787</v>
      </c>
      <c r="L12" s="315">
        <v>2787</v>
      </c>
      <c r="M12" s="315">
        <v>2787</v>
      </c>
      <c r="N12" s="315">
        <v>2787</v>
      </c>
      <c r="O12" s="315">
        <v>2646</v>
      </c>
      <c r="P12" s="249">
        <v>2646</v>
      </c>
      <c r="Q12" s="249">
        <v>2646</v>
      </c>
      <c r="R12" s="249">
        <v>2606</v>
      </c>
      <c r="S12" s="249">
        <v>2606</v>
      </c>
      <c r="T12" s="249">
        <v>2606</v>
      </c>
      <c r="U12" s="249">
        <v>2606</v>
      </c>
      <c r="V12" s="249">
        <v>2615</v>
      </c>
      <c r="W12" s="249">
        <v>2615</v>
      </c>
      <c r="X12" s="249">
        <v>2615</v>
      </c>
      <c r="Y12" s="249">
        <f>2633-21</f>
        <v>2612</v>
      </c>
      <c r="Z12" s="346">
        <v>619</v>
      </c>
      <c r="AA12" s="315">
        <v>621</v>
      </c>
      <c r="AB12" s="315">
        <v>621</v>
      </c>
      <c r="AC12" s="315">
        <f>642-21</f>
        <v>621</v>
      </c>
      <c r="AD12" s="315">
        <v>621</v>
      </c>
      <c r="AE12" s="315">
        <f>642-21</f>
        <v>621</v>
      </c>
      <c r="AF12" s="315">
        <v>621</v>
      </c>
      <c r="AG12" s="315">
        <v>621</v>
      </c>
      <c r="AH12" s="232">
        <f t="shared" si="10"/>
        <v>23.77488514548239</v>
      </c>
      <c r="AI12" s="54" t="s">
        <v>41</v>
      </c>
    </row>
    <row r="13" spans="1:35" ht="12.75" customHeight="1" x14ac:dyDescent="0.2">
      <c r="A13" s="8"/>
      <c r="B13" s="10" t="s">
        <v>46</v>
      </c>
      <c r="C13" s="347">
        <v>43777</v>
      </c>
      <c r="D13" s="323">
        <v>42765</v>
      </c>
      <c r="E13" s="323">
        <v>40981</v>
      </c>
      <c r="F13" s="323">
        <v>41718</v>
      </c>
      <c r="G13" s="323">
        <v>40826</v>
      </c>
      <c r="H13" s="323">
        <v>38450</v>
      </c>
      <c r="I13" s="323">
        <v>38126</v>
      </c>
      <c r="J13" s="323">
        <v>37525</v>
      </c>
      <c r="K13" s="323">
        <v>36588</v>
      </c>
      <c r="L13" s="323">
        <v>35986</v>
      </c>
      <c r="M13" s="323">
        <v>35814</v>
      </c>
      <c r="N13" s="323">
        <v>36054</v>
      </c>
      <c r="O13" s="323">
        <v>34732</v>
      </c>
      <c r="P13" s="318">
        <v>34221</v>
      </c>
      <c r="Q13" s="323">
        <v>34122</v>
      </c>
      <c r="R13" s="318">
        <v>33890</v>
      </c>
      <c r="S13" s="318">
        <v>33855</v>
      </c>
      <c r="T13" s="318">
        <v>33714</v>
      </c>
      <c r="U13" s="318">
        <v>33707</v>
      </c>
      <c r="V13" s="318">
        <v>33576</v>
      </c>
      <c r="W13" s="318">
        <v>33509</v>
      </c>
      <c r="X13" s="412">
        <v>38703</v>
      </c>
      <c r="Y13" s="318">
        <v>38836</v>
      </c>
      <c r="Z13" s="343">
        <v>19544</v>
      </c>
      <c r="AA13" s="344">
        <v>19645</v>
      </c>
      <c r="AB13" s="344">
        <v>19701</v>
      </c>
      <c r="AC13" s="344">
        <v>19819</v>
      </c>
      <c r="AD13" s="344">
        <v>19826</v>
      </c>
      <c r="AE13" s="344">
        <v>19830</v>
      </c>
      <c r="AF13" s="413">
        <f>X13*52/100</f>
        <v>20125.560000000001</v>
      </c>
      <c r="AG13" s="344">
        <f>Y13*52/100</f>
        <v>20194.72</v>
      </c>
      <c r="AH13" s="231">
        <f t="shared" si="10"/>
        <v>52</v>
      </c>
      <c r="AI13" s="10" t="s">
        <v>46</v>
      </c>
    </row>
    <row r="14" spans="1:35" ht="12.75" customHeight="1" x14ac:dyDescent="0.2">
      <c r="A14" s="8"/>
      <c r="B14" s="54" t="s">
        <v>31</v>
      </c>
      <c r="C14" s="346">
        <v>1227</v>
      </c>
      <c r="D14" s="315">
        <v>993</v>
      </c>
      <c r="E14" s="315">
        <v>1026</v>
      </c>
      <c r="F14" s="315">
        <v>1021</v>
      </c>
      <c r="G14" s="315">
        <v>1021</v>
      </c>
      <c r="H14" s="315">
        <v>966</v>
      </c>
      <c r="I14" s="315">
        <v>966</v>
      </c>
      <c r="J14" s="315">
        <v>968</v>
      </c>
      <c r="K14" s="315">
        <v>968</v>
      </c>
      <c r="L14" s="315">
        <v>967</v>
      </c>
      <c r="M14" s="315">
        <v>963</v>
      </c>
      <c r="N14" s="315">
        <v>967</v>
      </c>
      <c r="O14" s="315">
        <v>971</v>
      </c>
      <c r="P14" s="249">
        <v>968</v>
      </c>
      <c r="Q14" s="315">
        <v>968</v>
      </c>
      <c r="R14" s="249">
        <v>816</v>
      </c>
      <c r="S14" s="249">
        <v>919</v>
      </c>
      <c r="T14" s="348">
        <v>1539</v>
      </c>
      <c r="U14" s="249">
        <v>1540</v>
      </c>
      <c r="V14" s="249">
        <v>1540</v>
      </c>
      <c r="W14" s="249">
        <v>1540</v>
      </c>
      <c r="X14" s="249">
        <v>1510</v>
      </c>
      <c r="Y14" s="249">
        <v>1510</v>
      </c>
      <c r="Z14" s="346">
        <v>131</v>
      </c>
      <c r="AA14" s="315">
        <v>131</v>
      </c>
      <c r="AB14" s="315">
        <v>132</v>
      </c>
      <c r="AC14" s="315">
        <v>132</v>
      </c>
      <c r="AD14" s="315">
        <v>132</v>
      </c>
      <c r="AE14" s="315">
        <v>132</v>
      </c>
      <c r="AF14" s="315">
        <v>132</v>
      </c>
      <c r="AG14" s="315">
        <v>132</v>
      </c>
      <c r="AH14" s="233">
        <f t="shared" si="10"/>
        <v>8.741721854304636</v>
      </c>
      <c r="AI14" s="54" t="s">
        <v>31</v>
      </c>
    </row>
    <row r="15" spans="1:35" ht="12.75" customHeight="1" x14ac:dyDescent="0.2">
      <c r="A15" s="8"/>
      <c r="B15" s="10" t="s">
        <v>49</v>
      </c>
      <c r="C15" s="347">
        <v>2189</v>
      </c>
      <c r="D15" s="323">
        <v>1987</v>
      </c>
      <c r="E15" s="323">
        <v>1944</v>
      </c>
      <c r="F15" s="323">
        <v>1954</v>
      </c>
      <c r="G15" s="323">
        <v>1954</v>
      </c>
      <c r="H15" s="323">
        <v>1945</v>
      </c>
      <c r="I15" s="323">
        <v>1909</v>
      </c>
      <c r="J15" s="323">
        <v>1909</v>
      </c>
      <c r="K15" s="323">
        <v>1919</v>
      </c>
      <c r="L15" s="323">
        <v>1919</v>
      </c>
      <c r="M15" s="323">
        <v>1919</v>
      </c>
      <c r="N15" s="323">
        <v>1919</v>
      </c>
      <c r="O15" s="323">
        <v>1919</v>
      </c>
      <c r="P15" s="318">
        <v>1919</v>
      </c>
      <c r="Q15" s="323">
        <v>1919</v>
      </c>
      <c r="R15" s="318">
        <v>1919</v>
      </c>
      <c r="S15" s="318">
        <v>1919</v>
      </c>
      <c r="T15" s="318">
        <v>1919</v>
      </c>
      <c r="U15" s="318">
        <v>1919</v>
      </c>
      <c r="V15" s="318">
        <v>1919</v>
      </c>
      <c r="W15" s="318">
        <v>1919</v>
      </c>
      <c r="X15" s="318">
        <v>1919</v>
      </c>
      <c r="Y15" s="318">
        <v>1919</v>
      </c>
      <c r="Z15" s="343">
        <v>52</v>
      </c>
      <c r="AA15" s="344">
        <v>52</v>
      </c>
      <c r="AB15" s="344">
        <v>52</v>
      </c>
      <c r="AC15" s="344">
        <v>52</v>
      </c>
      <c r="AD15" s="344">
        <v>52</v>
      </c>
      <c r="AE15" s="344">
        <v>52</v>
      </c>
      <c r="AF15" s="344">
        <v>52</v>
      </c>
      <c r="AG15" s="344">
        <v>52</v>
      </c>
      <c r="AH15" s="231">
        <f t="shared" si="10"/>
        <v>2.709744658676394</v>
      </c>
      <c r="AI15" s="10" t="s">
        <v>49</v>
      </c>
    </row>
    <row r="16" spans="1:35" ht="12.75" customHeight="1" x14ac:dyDescent="0.2">
      <c r="A16" s="8"/>
      <c r="B16" s="54" t="s">
        <v>42</v>
      </c>
      <c r="C16" s="346">
        <v>2602</v>
      </c>
      <c r="D16" s="315">
        <v>2461</v>
      </c>
      <c r="E16" s="315">
        <v>2484</v>
      </c>
      <c r="F16" s="315">
        <v>2474</v>
      </c>
      <c r="G16" s="315">
        <v>2474</v>
      </c>
      <c r="H16" s="315">
        <v>2503</v>
      </c>
      <c r="I16" s="315">
        <v>2299</v>
      </c>
      <c r="J16" s="315">
        <v>2299</v>
      </c>
      <c r="K16" s="315">
        <v>2385</v>
      </c>
      <c r="L16" s="315">
        <v>2377</v>
      </c>
      <c r="M16" s="315">
        <v>2383</v>
      </c>
      <c r="N16" s="315">
        <v>2414</v>
      </c>
      <c r="O16" s="315">
        <v>2449</v>
      </c>
      <c r="P16" s="249">
        <v>2576</v>
      </c>
      <c r="Q16" s="315">
        <v>2509</v>
      </c>
      <c r="R16" s="249">
        <v>2551</v>
      </c>
      <c r="S16" s="249">
        <v>2552</v>
      </c>
      <c r="T16" s="249">
        <v>2552</v>
      </c>
      <c r="U16" s="249">
        <v>2552</v>
      </c>
      <c r="V16" s="249">
        <v>2554</v>
      </c>
      <c r="W16" s="249">
        <v>2554</v>
      </c>
      <c r="X16" s="249">
        <v>2265</v>
      </c>
      <c r="Y16" s="249">
        <v>2238</v>
      </c>
      <c r="Z16" s="346">
        <v>199</v>
      </c>
      <c r="AA16" s="315">
        <v>264</v>
      </c>
      <c r="AB16" s="315">
        <v>264</v>
      </c>
      <c r="AC16" s="315">
        <v>368</v>
      </c>
      <c r="AD16" s="315">
        <v>438</v>
      </c>
      <c r="AE16" s="315">
        <v>438</v>
      </c>
      <c r="AF16" s="315">
        <v>437</v>
      </c>
      <c r="AG16" s="315">
        <v>494</v>
      </c>
      <c r="AH16" s="233">
        <f t="shared" si="10"/>
        <v>22.073279714030384</v>
      </c>
      <c r="AI16" s="54" t="s">
        <v>42</v>
      </c>
    </row>
    <row r="17" spans="1:35" ht="12.75" customHeight="1" x14ac:dyDescent="0.2">
      <c r="A17" s="8"/>
      <c r="B17" s="10" t="s">
        <v>47</v>
      </c>
      <c r="C17" s="347">
        <v>15850</v>
      </c>
      <c r="D17" s="323">
        <v>15724</v>
      </c>
      <c r="E17" s="349">
        <v>14539</v>
      </c>
      <c r="F17" s="323">
        <f>6717+7591</f>
        <v>14308</v>
      </c>
      <c r="G17" s="323">
        <f>6717+7564</f>
        <v>14281</v>
      </c>
      <c r="H17" s="323">
        <f>6654+7654</f>
        <v>14308</v>
      </c>
      <c r="I17" s="323">
        <f>6575+7714</f>
        <v>14289</v>
      </c>
      <c r="J17" s="323">
        <f>6571+7790</f>
        <v>14361</v>
      </c>
      <c r="K17" s="323">
        <f>6559+7788</f>
        <v>14347</v>
      </c>
      <c r="L17" s="323">
        <f>6559+7788</f>
        <v>14347</v>
      </c>
      <c r="M17" s="323">
        <f>6499+7927</f>
        <v>14426</v>
      </c>
      <c r="N17" s="323">
        <f>6432+8477</f>
        <v>14909</v>
      </c>
      <c r="O17" s="323">
        <f>6447+8338</f>
        <v>14785</v>
      </c>
      <c r="P17" s="318">
        <f>6537+8478</f>
        <v>15015</v>
      </c>
      <c r="Q17" s="323">
        <f>6486+8726</f>
        <v>15212</v>
      </c>
      <c r="R17" s="318">
        <f>6455+9099</f>
        <v>15554</v>
      </c>
      <c r="S17" s="318">
        <f>6434+9116</f>
        <v>15550</v>
      </c>
      <c r="T17" s="318">
        <f>6394+8936</f>
        <v>15330</v>
      </c>
      <c r="U17" s="318">
        <f>6398+9439</f>
        <v>15837</v>
      </c>
      <c r="V17" s="318">
        <f>15932</f>
        <v>15932</v>
      </c>
      <c r="W17" s="318">
        <f>6268+9654</f>
        <v>15922</v>
      </c>
      <c r="X17" s="318">
        <f>9768+6169</f>
        <v>15937</v>
      </c>
      <c r="Y17" s="318">
        <f>9717+6184</f>
        <v>15901</v>
      </c>
      <c r="Z17" s="343">
        <f>9099</f>
        <v>9099</v>
      </c>
      <c r="AA17" s="344">
        <v>9116</v>
      </c>
      <c r="AB17" s="344">
        <v>8936</v>
      </c>
      <c r="AC17" s="344">
        <v>9439</v>
      </c>
      <c r="AD17" s="344">
        <v>9615</v>
      </c>
      <c r="AE17" s="344">
        <v>9654</v>
      </c>
      <c r="AF17" s="344">
        <v>9768</v>
      </c>
      <c r="AG17" s="344">
        <v>9717</v>
      </c>
      <c r="AH17" s="231">
        <f t="shared" si="10"/>
        <v>61.109364190931394</v>
      </c>
      <c r="AI17" s="10" t="s">
        <v>47</v>
      </c>
    </row>
    <row r="18" spans="1:35" ht="12.75" customHeight="1" x14ac:dyDescent="0.2">
      <c r="A18" s="8"/>
      <c r="B18" s="54" t="s">
        <v>48</v>
      </c>
      <c r="C18" s="346">
        <v>37582</v>
      </c>
      <c r="D18" s="315">
        <v>34362</v>
      </c>
      <c r="E18" s="315">
        <v>34070</v>
      </c>
      <c r="F18" s="315">
        <v>31939</v>
      </c>
      <c r="G18" s="315">
        <v>31852</v>
      </c>
      <c r="H18" s="315">
        <v>31821</v>
      </c>
      <c r="I18" s="315">
        <v>31735</v>
      </c>
      <c r="J18" s="315">
        <v>29113</v>
      </c>
      <c r="K18" s="315">
        <v>29272</v>
      </c>
      <c r="L18" s="315">
        <v>29445</v>
      </c>
      <c r="M18" s="315">
        <v>29352</v>
      </c>
      <c r="N18" s="315">
        <v>29269</v>
      </c>
      <c r="O18" s="315">
        <v>29246</v>
      </c>
      <c r="P18" s="249">
        <v>29286</v>
      </c>
      <c r="Q18" s="315">
        <v>29463</v>
      </c>
      <c r="R18" s="249">
        <v>29918</v>
      </c>
      <c r="S18" s="249">
        <v>29901</v>
      </c>
      <c r="T18" s="249">
        <v>29903</v>
      </c>
      <c r="U18" s="249">
        <v>29871</v>
      </c>
      <c r="V18" s="249">
        <v>30404</v>
      </c>
      <c r="W18" s="249">
        <v>30581</v>
      </c>
      <c r="X18" s="348">
        <v>29784</v>
      </c>
      <c r="Y18" s="249">
        <v>30905</v>
      </c>
      <c r="Z18" s="346">
        <v>15133</v>
      </c>
      <c r="AA18" s="315">
        <v>15401</v>
      </c>
      <c r="AB18" s="315">
        <v>15463</v>
      </c>
      <c r="AC18" s="315">
        <v>15635</v>
      </c>
      <c r="AD18" s="315">
        <f>2036+13701</f>
        <v>15737</v>
      </c>
      <c r="AE18" s="315">
        <f>2036+14547</f>
        <v>16583</v>
      </c>
      <c r="AF18" s="416">
        <f>X18*53/100</f>
        <v>15785.52</v>
      </c>
      <c r="AG18" s="315">
        <f>Y18*51/100</f>
        <v>15761.55</v>
      </c>
      <c r="AH18" s="233">
        <f t="shared" si="10"/>
        <v>51</v>
      </c>
      <c r="AI18" s="54" t="s">
        <v>48</v>
      </c>
    </row>
    <row r="19" spans="1:35" ht="12.75" customHeight="1" x14ac:dyDescent="0.2">
      <c r="A19" s="8"/>
      <c r="B19" s="10" t="s">
        <v>60</v>
      </c>
      <c r="C19" s="347">
        <v>2411</v>
      </c>
      <c r="D19" s="323">
        <v>2437</v>
      </c>
      <c r="E19" s="323">
        <v>2429</v>
      </c>
      <c r="F19" s="323">
        <v>2296</v>
      </c>
      <c r="G19" s="323">
        <v>2726</v>
      </c>
      <c r="H19" s="323">
        <v>2726</v>
      </c>
      <c r="I19" s="323">
        <v>2726</v>
      </c>
      <c r="J19" s="323">
        <v>2726</v>
      </c>
      <c r="K19" s="323">
        <v>2726</v>
      </c>
      <c r="L19" s="323">
        <v>2726</v>
      </c>
      <c r="M19" s="323">
        <v>2726</v>
      </c>
      <c r="N19" s="323">
        <v>2726</v>
      </c>
      <c r="O19" s="323">
        <v>2726</v>
      </c>
      <c r="P19" s="318">
        <v>2726</v>
      </c>
      <c r="Q19" s="323">
        <v>2722</v>
      </c>
      <c r="R19" s="318">
        <v>2722</v>
      </c>
      <c r="S19" s="318">
        <v>2722</v>
      </c>
      <c r="T19" s="318">
        <v>2722</v>
      </c>
      <c r="U19" s="318">
        <v>2722</v>
      </c>
      <c r="V19" s="318">
        <v>2722</v>
      </c>
      <c r="W19" s="318">
        <v>2722</v>
      </c>
      <c r="X19" s="318">
        <v>2722</v>
      </c>
      <c r="Y19" s="318">
        <v>2604</v>
      </c>
      <c r="Z19" s="347">
        <v>980</v>
      </c>
      <c r="AA19" s="323">
        <v>985</v>
      </c>
      <c r="AB19" s="323">
        <v>984</v>
      </c>
      <c r="AC19" s="323">
        <v>984</v>
      </c>
      <c r="AD19" s="323">
        <v>984</v>
      </c>
      <c r="AE19" s="323">
        <v>984</v>
      </c>
      <c r="AF19" s="323">
        <v>985</v>
      </c>
      <c r="AG19" s="323">
        <v>970</v>
      </c>
      <c r="AH19" s="231">
        <f t="shared" si="10"/>
        <v>37.250384024577571</v>
      </c>
      <c r="AI19" s="10" t="s">
        <v>60</v>
      </c>
    </row>
    <row r="20" spans="1:35" ht="12.75" customHeight="1" x14ac:dyDescent="0.2">
      <c r="A20" s="8"/>
      <c r="B20" s="54" t="s">
        <v>50</v>
      </c>
      <c r="C20" s="350">
        <v>16073</v>
      </c>
      <c r="D20" s="351">
        <v>16138</v>
      </c>
      <c r="E20" s="351">
        <v>16066</v>
      </c>
      <c r="F20" s="351">
        <v>16003</v>
      </c>
      <c r="G20" s="351">
        <v>16014</v>
      </c>
      <c r="H20" s="351">
        <v>16030</v>
      </c>
      <c r="I20" s="351">
        <v>16080</v>
      </c>
      <c r="J20" s="351">
        <v>16092</v>
      </c>
      <c r="K20" s="351">
        <v>16187</v>
      </c>
      <c r="L20" s="351">
        <v>16357</v>
      </c>
      <c r="M20" s="351">
        <v>16307</v>
      </c>
      <c r="N20" s="351">
        <v>16287</v>
      </c>
      <c r="O20" s="351">
        <v>16236</v>
      </c>
      <c r="P20" s="351">
        <f>320+16225</f>
        <v>16545</v>
      </c>
      <c r="Q20" s="351">
        <f>16295+332</f>
        <v>16627</v>
      </c>
      <c r="R20" s="351">
        <f>16335+332</f>
        <v>16667</v>
      </c>
      <c r="S20" s="351">
        <v>16861</v>
      </c>
      <c r="T20" s="351">
        <f>318+16686</f>
        <v>17004</v>
      </c>
      <c r="U20" s="351">
        <f>318+16704</f>
        <v>17022</v>
      </c>
      <c r="V20" s="351">
        <f>16727+318</f>
        <v>17045</v>
      </c>
      <c r="W20" s="351">
        <v>17060</v>
      </c>
      <c r="X20" s="351">
        <f>16752+318</f>
        <v>17070</v>
      </c>
      <c r="Y20" s="351">
        <f>16721+316</f>
        <v>17037</v>
      </c>
      <c r="Z20" s="350">
        <f>11531+200</f>
        <v>11731</v>
      </c>
      <c r="AA20" s="351">
        <v>11927</v>
      </c>
      <c r="AB20" s="351">
        <f>195+11887</f>
        <v>12082</v>
      </c>
      <c r="AC20" s="351">
        <f>11906+122</f>
        <v>12028</v>
      </c>
      <c r="AD20" s="351">
        <f>11925+195</f>
        <v>12120</v>
      </c>
      <c r="AE20" s="351">
        <f>11931+195</f>
        <v>12126</v>
      </c>
      <c r="AF20" s="351">
        <f>11969+195</f>
        <v>12164</v>
      </c>
      <c r="AG20" s="351">
        <f>11939+194</f>
        <v>12133</v>
      </c>
      <c r="AH20" s="421">
        <f t="shared" si="10"/>
        <v>71.215589599107815</v>
      </c>
      <c r="AI20" s="54" t="s">
        <v>50</v>
      </c>
    </row>
    <row r="21" spans="1:35" ht="12.75" customHeight="1" x14ac:dyDescent="0.2">
      <c r="A21" s="8"/>
      <c r="B21" s="10" t="s">
        <v>29</v>
      </c>
      <c r="C21" s="317" t="s">
        <v>59</v>
      </c>
      <c r="D21" s="318" t="s">
        <v>59</v>
      </c>
      <c r="E21" s="318" t="s">
        <v>59</v>
      </c>
      <c r="F21" s="318" t="s">
        <v>59</v>
      </c>
      <c r="G21" s="318" t="s">
        <v>59</v>
      </c>
      <c r="H21" s="318" t="s">
        <v>59</v>
      </c>
      <c r="I21" s="318" t="s">
        <v>59</v>
      </c>
      <c r="J21" s="318" t="s">
        <v>59</v>
      </c>
      <c r="K21" s="318" t="s">
        <v>59</v>
      </c>
      <c r="L21" s="318" t="s">
        <v>59</v>
      </c>
      <c r="M21" s="318" t="s">
        <v>59</v>
      </c>
      <c r="N21" s="318" t="s">
        <v>59</v>
      </c>
      <c r="O21" s="318" t="s">
        <v>59</v>
      </c>
      <c r="P21" s="318" t="s">
        <v>59</v>
      </c>
      <c r="Q21" s="318" t="s">
        <v>59</v>
      </c>
      <c r="R21" s="318" t="s">
        <v>59</v>
      </c>
      <c r="S21" s="318" t="s">
        <v>59</v>
      </c>
      <c r="T21" s="318" t="s">
        <v>59</v>
      </c>
      <c r="U21" s="318" t="s">
        <v>59</v>
      </c>
      <c r="V21" s="318" t="s">
        <v>59</v>
      </c>
      <c r="W21" s="318" t="s">
        <v>59</v>
      </c>
      <c r="X21" s="318" t="s">
        <v>59</v>
      </c>
      <c r="Y21" s="318" t="s">
        <v>59</v>
      </c>
      <c r="Z21" s="352" t="s">
        <v>59</v>
      </c>
      <c r="AA21" s="353" t="s">
        <v>59</v>
      </c>
      <c r="AB21" s="353" t="s">
        <v>59</v>
      </c>
      <c r="AC21" s="353" t="s">
        <v>59</v>
      </c>
      <c r="AD21" s="353" t="s">
        <v>59</v>
      </c>
      <c r="AE21" s="353" t="s">
        <v>59</v>
      </c>
      <c r="AF21" s="353" t="s">
        <v>59</v>
      </c>
      <c r="AG21" s="353" t="s">
        <v>59</v>
      </c>
      <c r="AH21" s="328" t="s">
        <v>59</v>
      </c>
      <c r="AI21" s="10" t="s">
        <v>29</v>
      </c>
    </row>
    <row r="22" spans="1:35" ht="12.75" customHeight="1" x14ac:dyDescent="0.2">
      <c r="A22" s="8"/>
      <c r="B22" s="54" t="s">
        <v>33</v>
      </c>
      <c r="C22" s="346">
        <v>2606</v>
      </c>
      <c r="D22" s="315">
        <v>2384</v>
      </c>
      <c r="E22" s="315">
        <v>2397</v>
      </c>
      <c r="F22" s="315">
        <v>2413</v>
      </c>
      <c r="G22" s="315">
        <v>2413</v>
      </c>
      <c r="H22" s="315">
        <v>2413</v>
      </c>
      <c r="I22" s="315">
        <v>2413</v>
      </c>
      <c r="J22" s="315">
        <v>2413</v>
      </c>
      <c r="K22" s="315">
        <v>2331</v>
      </c>
      <c r="L22" s="315">
        <v>2305</v>
      </c>
      <c r="M22" s="315">
        <v>2270</v>
      </c>
      <c r="N22" s="315">
        <v>2270</v>
      </c>
      <c r="O22" s="315">
        <v>2270</v>
      </c>
      <c r="P22" s="249">
        <v>2270</v>
      </c>
      <c r="Q22" s="315">
        <v>2269</v>
      </c>
      <c r="R22" s="249">
        <v>2265</v>
      </c>
      <c r="S22" s="249">
        <v>2263</v>
      </c>
      <c r="T22" s="249">
        <v>1884</v>
      </c>
      <c r="U22" s="249">
        <v>1897</v>
      </c>
      <c r="V22" s="249">
        <v>1865</v>
      </c>
      <c r="W22" s="249">
        <v>1860</v>
      </c>
      <c r="X22" s="249">
        <v>1859</v>
      </c>
      <c r="Y22" s="249">
        <v>1853</v>
      </c>
      <c r="Z22" s="346">
        <v>257</v>
      </c>
      <c r="AA22" s="315">
        <v>257</v>
      </c>
      <c r="AB22" s="315">
        <v>257</v>
      </c>
      <c r="AC22" s="315">
        <v>257</v>
      </c>
      <c r="AD22" s="315">
        <v>257</v>
      </c>
      <c r="AE22" s="315">
        <v>250</v>
      </c>
      <c r="AF22" s="315">
        <v>250</v>
      </c>
      <c r="AG22" s="315">
        <v>245</v>
      </c>
      <c r="AH22" s="233">
        <f t="shared" si="10"/>
        <v>13.221802482460873</v>
      </c>
      <c r="AI22" s="54" t="s">
        <v>33</v>
      </c>
    </row>
    <row r="23" spans="1:35" ht="12.75" customHeight="1" x14ac:dyDescent="0.2">
      <c r="A23" s="8"/>
      <c r="B23" s="10" t="s">
        <v>34</v>
      </c>
      <c r="C23" s="347">
        <v>2015</v>
      </c>
      <c r="D23" s="323">
        <v>2008</v>
      </c>
      <c r="E23" s="323">
        <v>2007</v>
      </c>
      <c r="F23" s="323">
        <v>2002</v>
      </c>
      <c r="G23" s="323">
        <v>1997</v>
      </c>
      <c r="H23" s="323">
        <v>1998</v>
      </c>
      <c r="I23" s="323">
        <v>1998</v>
      </c>
      <c r="J23" s="323">
        <v>1905</v>
      </c>
      <c r="K23" s="323">
        <v>1905</v>
      </c>
      <c r="L23" s="323">
        <v>1696</v>
      </c>
      <c r="M23" s="323">
        <v>1775</v>
      </c>
      <c r="N23" s="323">
        <v>1774</v>
      </c>
      <c r="O23" s="323">
        <v>1782</v>
      </c>
      <c r="P23" s="318">
        <f>1771</f>
        <v>1771</v>
      </c>
      <c r="Q23" s="323">
        <v>1771</v>
      </c>
      <c r="R23" s="318">
        <v>1766</v>
      </c>
      <c r="S23" s="318">
        <v>1765</v>
      </c>
      <c r="T23" s="318">
        <v>1767</v>
      </c>
      <c r="U23" s="318">
        <f>1767</f>
        <v>1767</v>
      </c>
      <c r="V23" s="318">
        <v>1767</v>
      </c>
      <c r="W23" s="318">
        <v>1767</v>
      </c>
      <c r="X23" s="318">
        <v>1767</v>
      </c>
      <c r="Y23" s="318">
        <v>1767</v>
      </c>
      <c r="Z23" s="343">
        <v>122</v>
      </c>
      <c r="AA23" s="344">
        <v>122</v>
      </c>
      <c r="AB23" s="344">
        <v>122</v>
      </c>
      <c r="AC23" s="344">
        <v>122</v>
      </c>
      <c r="AD23" s="344">
        <v>122</v>
      </c>
      <c r="AE23" s="344">
        <v>122</v>
      </c>
      <c r="AF23" s="344">
        <v>122</v>
      </c>
      <c r="AG23" s="344">
        <v>122</v>
      </c>
      <c r="AH23" s="231">
        <f t="shared" si="10"/>
        <v>6.9043576683644599</v>
      </c>
      <c r="AI23" s="10" t="s">
        <v>34</v>
      </c>
    </row>
    <row r="24" spans="1:35" ht="12.75" customHeight="1" x14ac:dyDescent="0.2">
      <c r="A24" s="8"/>
      <c r="B24" s="54" t="s">
        <v>51</v>
      </c>
      <c r="C24" s="346">
        <v>271</v>
      </c>
      <c r="D24" s="315">
        <v>270</v>
      </c>
      <c r="E24" s="315">
        <v>271</v>
      </c>
      <c r="F24" s="315">
        <v>275</v>
      </c>
      <c r="G24" s="249">
        <v>274</v>
      </c>
      <c r="H24" s="249">
        <v>274</v>
      </c>
      <c r="I24" s="249">
        <v>274</v>
      </c>
      <c r="J24" s="249">
        <v>274</v>
      </c>
      <c r="K24" s="315">
        <v>274</v>
      </c>
      <c r="L24" s="249">
        <v>274</v>
      </c>
      <c r="M24" s="249">
        <v>274</v>
      </c>
      <c r="N24" s="249">
        <v>275</v>
      </c>
      <c r="O24" s="249">
        <v>275</v>
      </c>
      <c r="P24" s="249">
        <v>275</v>
      </c>
      <c r="Q24" s="315">
        <v>275</v>
      </c>
      <c r="R24" s="249">
        <v>275</v>
      </c>
      <c r="S24" s="249">
        <v>275</v>
      </c>
      <c r="T24" s="249">
        <v>275</v>
      </c>
      <c r="U24" s="249">
        <v>275</v>
      </c>
      <c r="V24" s="249">
        <v>275</v>
      </c>
      <c r="W24" s="249">
        <v>275</v>
      </c>
      <c r="X24" s="249">
        <v>275</v>
      </c>
      <c r="Y24" s="249">
        <v>275</v>
      </c>
      <c r="Z24" s="346">
        <v>262</v>
      </c>
      <c r="AA24" s="315">
        <v>262</v>
      </c>
      <c r="AB24" s="315">
        <v>262</v>
      </c>
      <c r="AC24" s="315">
        <v>262</v>
      </c>
      <c r="AD24" s="315">
        <v>262</v>
      </c>
      <c r="AE24" s="315">
        <v>262</v>
      </c>
      <c r="AF24" s="315">
        <v>262</v>
      </c>
      <c r="AG24" s="315">
        <v>262</v>
      </c>
      <c r="AH24" s="233">
        <f t="shared" si="10"/>
        <v>95.27272727272728</v>
      </c>
      <c r="AI24" s="54" t="s">
        <v>51</v>
      </c>
    </row>
    <row r="25" spans="1:35" ht="12.75" customHeight="1" x14ac:dyDescent="0.2">
      <c r="A25" s="8"/>
      <c r="B25" s="10" t="s">
        <v>32</v>
      </c>
      <c r="C25" s="321">
        <v>8487</v>
      </c>
      <c r="D25" s="354">
        <v>7836</v>
      </c>
      <c r="E25" s="354">
        <v>7838</v>
      </c>
      <c r="F25" s="354">
        <v>7714</v>
      </c>
      <c r="G25" s="354"/>
      <c r="H25" s="354"/>
      <c r="I25" s="354"/>
      <c r="J25" s="354"/>
      <c r="K25" s="354">
        <v>8005</v>
      </c>
      <c r="L25" s="354">
        <v>7736</v>
      </c>
      <c r="M25" s="354">
        <v>7949</v>
      </c>
      <c r="N25" s="354">
        <v>7950</v>
      </c>
      <c r="O25" s="354">
        <v>7950</v>
      </c>
      <c r="P25" s="354">
        <v>7950</v>
      </c>
      <c r="Q25" s="354">
        <f>7676+284</f>
        <v>7960</v>
      </c>
      <c r="R25" s="354">
        <f>7658+284</f>
        <v>7942</v>
      </c>
      <c r="S25" s="354">
        <v>7892</v>
      </c>
      <c r="T25" s="354">
        <f>284+7608</f>
        <v>7892</v>
      </c>
      <c r="U25" s="354">
        <f>7609+284</f>
        <v>7893</v>
      </c>
      <c r="V25" s="354">
        <f>7397+509</f>
        <v>7906</v>
      </c>
      <c r="W25" s="354">
        <f>7385+492</f>
        <v>7877</v>
      </c>
      <c r="X25" s="354">
        <f>7389+509</f>
        <v>7898</v>
      </c>
      <c r="Y25" s="354">
        <f>7384+508</f>
        <v>7892</v>
      </c>
      <c r="Z25" s="355">
        <f>2573+220</f>
        <v>2793</v>
      </c>
      <c r="AA25" s="356">
        <v>2848</v>
      </c>
      <c r="AB25" s="356">
        <f>220+2628</f>
        <v>2848</v>
      </c>
      <c r="AC25" s="356">
        <f>2727+220</f>
        <v>2947</v>
      </c>
      <c r="AD25" s="356">
        <f>2679+317</f>
        <v>2996</v>
      </c>
      <c r="AE25" s="356">
        <f>2697+317</f>
        <v>3014</v>
      </c>
      <c r="AF25" s="356">
        <f>313+2697</f>
        <v>3010</v>
      </c>
      <c r="AG25" s="356">
        <f>2696+316</f>
        <v>3012</v>
      </c>
      <c r="AH25" s="422">
        <f t="shared" si="10"/>
        <v>38.16523061327927</v>
      </c>
      <c r="AI25" s="10" t="s">
        <v>32</v>
      </c>
    </row>
    <row r="26" spans="1:35" ht="12.75" customHeight="1" x14ac:dyDescent="0.2">
      <c r="A26" s="8"/>
      <c r="B26" s="54" t="s">
        <v>35</v>
      </c>
      <c r="C26" s="314" t="s">
        <v>59</v>
      </c>
      <c r="D26" s="249" t="s">
        <v>59</v>
      </c>
      <c r="E26" s="249" t="s">
        <v>59</v>
      </c>
      <c r="F26" s="249" t="s">
        <v>59</v>
      </c>
      <c r="G26" s="249" t="s">
        <v>59</v>
      </c>
      <c r="H26" s="249" t="s">
        <v>59</v>
      </c>
      <c r="I26" s="249" t="s">
        <v>59</v>
      </c>
      <c r="J26" s="249" t="s">
        <v>59</v>
      </c>
      <c r="K26" s="249" t="s">
        <v>59</v>
      </c>
      <c r="L26" s="249" t="s">
        <v>59</v>
      </c>
      <c r="M26" s="249" t="s">
        <v>59</v>
      </c>
      <c r="N26" s="249" t="s">
        <v>59</v>
      </c>
      <c r="O26" s="249" t="s">
        <v>59</v>
      </c>
      <c r="P26" s="249" t="s">
        <v>59</v>
      </c>
      <c r="Q26" s="249" t="s">
        <v>59</v>
      </c>
      <c r="R26" s="249" t="s">
        <v>59</v>
      </c>
      <c r="S26" s="249" t="s">
        <v>59</v>
      </c>
      <c r="T26" s="249" t="s">
        <v>59</v>
      </c>
      <c r="U26" s="249" t="s">
        <v>59</v>
      </c>
      <c r="V26" s="249" t="s">
        <v>59</v>
      </c>
      <c r="W26" s="249" t="s">
        <v>59</v>
      </c>
      <c r="X26" s="249" t="s">
        <v>59</v>
      </c>
      <c r="Y26" s="249" t="s">
        <v>59</v>
      </c>
      <c r="Z26" s="314" t="s">
        <v>59</v>
      </c>
      <c r="AA26" s="249" t="s">
        <v>59</v>
      </c>
      <c r="AB26" s="249" t="s">
        <v>59</v>
      </c>
      <c r="AC26" s="249" t="s">
        <v>59</v>
      </c>
      <c r="AD26" s="249" t="s">
        <v>59</v>
      </c>
      <c r="AE26" s="249" t="s">
        <v>59</v>
      </c>
      <c r="AF26" s="249" t="s">
        <v>59</v>
      </c>
      <c r="AG26" s="249" t="s">
        <v>59</v>
      </c>
      <c r="AH26" s="232" t="s">
        <v>59</v>
      </c>
      <c r="AI26" s="54" t="s">
        <v>35</v>
      </c>
    </row>
    <row r="27" spans="1:35" ht="12.75" customHeight="1" x14ac:dyDescent="0.2">
      <c r="A27" s="8"/>
      <c r="B27" s="10" t="s">
        <v>43</v>
      </c>
      <c r="C27" s="347">
        <v>3147</v>
      </c>
      <c r="D27" s="323">
        <v>2880</v>
      </c>
      <c r="E27" s="323">
        <v>2798</v>
      </c>
      <c r="F27" s="323">
        <v>2739</v>
      </c>
      <c r="G27" s="323">
        <v>2739</v>
      </c>
      <c r="H27" s="323">
        <v>2805</v>
      </c>
      <c r="I27" s="323">
        <v>2808</v>
      </c>
      <c r="J27" s="323">
        <v>2808</v>
      </c>
      <c r="K27" s="323">
        <v>2802</v>
      </c>
      <c r="L27" s="323">
        <v>2809</v>
      </c>
      <c r="M27" s="323">
        <v>2806</v>
      </c>
      <c r="N27" s="323">
        <v>2811</v>
      </c>
      <c r="O27" s="323">
        <v>2810</v>
      </c>
      <c r="P27" s="318">
        <v>2797</v>
      </c>
      <c r="Q27" s="323">
        <v>2801</v>
      </c>
      <c r="R27" s="318">
        <v>2888</v>
      </c>
      <c r="S27" s="318">
        <v>2896</v>
      </c>
      <c r="T27" s="357">
        <v>3013</v>
      </c>
      <c r="U27" s="357">
        <v>3013</v>
      </c>
      <c r="V27" s="357">
        <v>3013</v>
      </c>
      <c r="W27" s="357">
        <v>3013</v>
      </c>
      <c r="X27" s="357">
        <v>3032</v>
      </c>
      <c r="Y27" s="357">
        <v>3031</v>
      </c>
      <c r="Z27" s="343">
        <v>2155</v>
      </c>
      <c r="AA27" s="344">
        <v>2155</v>
      </c>
      <c r="AB27" s="344">
        <v>2266</v>
      </c>
      <c r="AC27" s="344">
        <v>2266</v>
      </c>
      <c r="AD27" s="344">
        <v>2266</v>
      </c>
      <c r="AE27" s="344">
        <v>2266</v>
      </c>
      <c r="AF27" s="344">
        <v>2307</v>
      </c>
      <c r="AG27" s="344">
        <v>2302</v>
      </c>
      <c r="AH27" s="231">
        <f t="shared" si="10"/>
        <v>75.948531837677336</v>
      </c>
      <c r="AI27" s="10" t="s">
        <v>43</v>
      </c>
    </row>
    <row r="28" spans="1:35" ht="12.75" customHeight="1" x14ac:dyDescent="0.2">
      <c r="A28" s="8"/>
      <c r="B28" s="54" t="s">
        <v>52</v>
      </c>
      <c r="C28" s="346">
        <v>5901</v>
      </c>
      <c r="D28" s="315">
        <v>5857</v>
      </c>
      <c r="E28" s="315">
        <v>5624</v>
      </c>
      <c r="F28" s="315">
        <v>5672</v>
      </c>
      <c r="G28" s="315">
        <v>5672</v>
      </c>
      <c r="H28" s="315">
        <v>5672</v>
      </c>
      <c r="I28" s="315">
        <v>5643</v>
      </c>
      <c r="J28" s="315">
        <v>5643</v>
      </c>
      <c r="K28" s="315">
        <v>5665</v>
      </c>
      <c r="L28" s="315">
        <v>5697</v>
      </c>
      <c r="M28" s="315">
        <v>5779</v>
      </c>
      <c r="N28" s="315">
        <v>5787</v>
      </c>
      <c r="O28" s="315">
        <v>5675</v>
      </c>
      <c r="P28" s="249">
        <v>5691</v>
      </c>
      <c r="Q28" s="315">
        <f>5702+25+91</f>
        <v>5818</v>
      </c>
      <c r="R28" s="249">
        <f>5702+91+25</f>
        <v>5818</v>
      </c>
      <c r="S28" s="249">
        <v>5664</v>
      </c>
      <c r="T28" s="249">
        <v>5356</v>
      </c>
      <c r="U28" s="249">
        <v>5039</v>
      </c>
      <c r="V28" s="249">
        <v>5021</v>
      </c>
      <c r="W28" s="249">
        <v>4894</v>
      </c>
      <c r="X28" s="249">
        <v>4894</v>
      </c>
      <c r="Y28" s="249">
        <f>4967+91</f>
        <v>5058</v>
      </c>
      <c r="Z28" s="346">
        <f>3520+25</f>
        <v>3545</v>
      </c>
      <c r="AA28" s="315">
        <v>3510</v>
      </c>
      <c r="AB28" s="315">
        <v>3518</v>
      </c>
      <c r="AC28" s="315">
        <v>3427</v>
      </c>
      <c r="AD28" s="315">
        <v>3416</v>
      </c>
      <c r="AE28" s="315">
        <v>3468</v>
      </c>
      <c r="AF28" s="315">
        <v>3468</v>
      </c>
      <c r="AG28" s="315">
        <f>3527</f>
        <v>3527</v>
      </c>
      <c r="AH28" s="233">
        <f t="shared" si="10"/>
        <v>69.731119019375242</v>
      </c>
      <c r="AI28" s="54" t="s">
        <v>52</v>
      </c>
    </row>
    <row r="29" spans="1:35" ht="12.75" customHeight="1" x14ac:dyDescent="0.2">
      <c r="A29" s="8"/>
      <c r="B29" s="10" t="s">
        <v>36</v>
      </c>
      <c r="C29" s="347">
        <v>26678</v>
      </c>
      <c r="D29" s="323">
        <v>27181</v>
      </c>
      <c r="E29" s="323">
        <v>26228</v>
      </c>
      <c r="F29" s="323">
        <v>23986</v>
      </c>
      <c r="G29" s="323">
        <v>23420</v>
      </c>
      <c r="H29" s="323">
        <v>23328</v>
      </c>
      <c r="I29" s="323">
        <v>23210</v>
      </c>
      <c r="J29" s="323">
        <v>22891</v>
      </c>
      <c r="K29" s="323">
        <v>22560</v>
      </c>
      <c r="L29" s="323">
        <v>20134</v>
      </c>
      <c r="M29" s="323">
        <v>20223</v>
      </c>
      <c r="N29" s="323">
        <v>20665</v>
      </c>
      <c r="O29" s="323">
        <v>20250</v>
      </c>
      <c r="P29" s="318">
        <v>19507</v>
      </c>
      <c r="Q29" s="323">
        <v>19429</v>
      </c>
      <c r="R29" s="318">
        <v>19419</v>
      </c>
      <c r="S29" s="318">
        <v>19627</v>
      </c>
      <c r="T29" s="318">
        <v>19764</v>
      </c>
      <c r="U29" s="318">
        <v>19702</v>
      </c>
      <c r="V29" s="318">
        <v>19725</v>
      </c>
      <c r="W29" s="318">
        <v>19617</v>
      </c>
      <c r="X29" s="318">
        <v>18959</v>
      </c>
      <c r="Y29" s="318">
        <v>18942</v>
      </c>
      <c r="Z29" s="343">
        <v>11831</v>
      </c>
      <c r="AA29" s="344">
        <v>11856</v>
      </c>
      <c r="AB29" s="344">
        <v>11891</v>
      </c>
      <c r="AC29" s="344">
        <v>11854</v>
      </c>
      <c r="AD29" s="344">
        <v>11817</v>
      </c>
      <c r="AE29" s="344">
        <v>11860</v>
      </c>
      <c r="AF29" s="344">
        <v>11817</v>
      </c>
      <c r="AG29" s="344">
        <v>11779</v>
      </c>
      <c r="AH29" s="231">
        <f t="shared" si="10"/>
        <v>62.184563404075597</v>
      </c>
      <c r="AI29" s="10" t="s">
        <v>36</v>
      </c>
    </row>
    <row r="30" spans="1:35" ht="12.75" customHeight="1" x14ac:dyDescent="0.2">
      <c r="A30" s="8"/>
      <c r="B30" s="54" t="s">
        <v>53</v>
      </c>
      <c r="C30" s="346">
        <v>3588</v>
      </c>
      <c r="D30" s="315">
        <v>3609</v>
      </c>
      <c r="E30" s="315">
        <v>3064</v>
      </c>
      <c r="F30" s="315">
        <v>2850</v>
      </c>
      <c r="G30" s="315">
        <v>2850</v>
      </c>
      <c r="H30" s="315">
        <v>2856</v>
      </c>
      <c r="I30" s="315">
        <v>2794</v>
      </c>
      <c r="J30" s="315">
        <v>2813</v>
      </c>
      <c r="K30" s="315">
        <v>2814</v>
      </c>
      <c r="L30" s="315">
        <v>2814</v>
      </c>
      <c r="M30" s="315">
        <v>2818</v>
      </c>
      <c r="N30" s="315">
        <v>2818</v>
      </c>
      <c r="O30" s="315">
        <v>2849</v>
      </c>
      <c r="P30" s="249">
        <v>2844</v>
      </c>
      <c r="Q30" s="315">
        <v>2839</v>
      </c>
      <c r="R30" s="249">
        <v>2838</v>
      </c>
      <c r="S30" s="249">
        <v>2842</v>
      </c>
      <c r="T30" s="249">
        <v>2842</v>
      </c>
      <c r="U30" s="249">
        <v>2842</v>
      </c>
      <c r="V30" s="249">
        <v>2793</v>
      </c>
      <c r="W30" s="249">
        <v>2541</v>
      </c>
      <c r="X30" s="249">
        <v>2544</v>
      </c>
      <c r="Y30" s="249">
        <v>2544</v>
      </c>
      <c r="Z30" s="346">
        <v>1435</v>
      </c>
      <c r="AA30" s="315">
        <v>1460</v>
      </c>
      <c r="AB30" s="315">
        <v>1460</v>
      </c>
      <c r="AC30" s="315">
        <v>1487</v>
      </c>
      <c r="AD30" s="315">
        <v>1629</v>
      </c>
      <c r="AE30" s="315">
        <v>1630</v>
      </c>
      <c r="AF30" s="315">
        <v>1630</v>
      </c>
      <c r="AG30" s="315">
        <v>1629</v>
      </c>
      <c r="AH30" s="233">
        <f t="shared" si="10"/>
        <v>64.033018867924525</v>
      </c>
      <c r="AI30" s="54" t="s">
        <v>53</v>
      </c>
    </row>
    <row r="31" spans="1:35" ht="12.75" customHeight="1" x14ac:dyDescent="0.2">
      <c r="A31" s="8"/>
      <c r="B31" s="10" t="s">
        <v>37</v>
      </c>
      <c r="C31" s="347">
        <v>11012</v>
      </c>
      <c r="D31" s="323">
        <v>11110</v>
      </c>
      <c r="E31" s="323">
        <v>11348</v>
      </c>
      <c r="F31" s="323">
        <v>11376</v>
      </c>
      <c r="G31" s="323">
        <v>11385</v>
      </c>
      <c r="H31" s="323">
        <v>11380</v>
      </c>
      <c r="I31" s="323">
        <v>11010</v>
      </c>
      <c r="J31" s="323">
        <v>10981</v>
      </c>
      <c r="K31" s="323">
        <v>11015</v>
      </c>
      <c r="L31" s="323">
        <v>11015</v>
      </c>
      <c r="M31" s="323">
        <v>11002</v>
      </c>
      <c r="N31" s="323">
        <v>11077</v>
      </c>
      <c r="O31" s="323">
        <v>11053</v>
      </c>
      <c r="P31" s="318">
        <v>10948</v>
      </c>
      <c r="Q31" s="323">
        <v>10781</v>
      </c>
      <c r="R31" s="318">
        <v>10777</v>
      </c>
      <c r="S31" s="318">
        <v>10777</v>
      </c>
      <c r="T31" s="318">
        <v>10776</v>
      </c>
      <c r="U31" s="318">
        <v>10777</v>
      </c>
      <c r="V31" s="318">
        <v>10777</v>
      </c>
      <c r="W31" s="318">
        <v>10777</v>
      </c>
      <c r="X31" s="318">
        <v>10768</v>
      </c>
      <c r="Y31" s="318">
        <v>10770</v>
      </c>
      <c r="Z31" s="343">
        <v>3979</v>
      </c>
      <c r="AA31" s="344">
        <v>3974</v>
      </c>
      <c r="AB31" s="344">
        <v>4002</v>
      </c>
      <c r="AC31" s="344">
        <v>4031</v>
      </c>
      <c r="AD31" s="344">
        <v>4032</v>
      </c>
      <c r="AE31" s="344">
        <v>4032</v>
      </c>
      <c r="AF31" s="344">
        <v>4029</v>
      </c>
      <c r="AG31" s="344">
        <v>4029</v>
      </c>
      <c r="AH31" s="231">
        <f t="shared" si="10"/>
        <v>37.409470752089135</v>
      </c>
      <c r="AI31" s="10" t="s">
        <v>37</v>
      </c>
    </row>
    <row r="32" spans="1:35" ht="12.75" customHeight="1" x14ac:dyDescent="0.2">
      <c r="A32" s="8"/>
      <c r="B32" s="54" t="s">
        <v>39</v>
      </c>
      <c r="C32" s="346">
        <v>1055</v>
      </c>
      <c r="D32" s="315">
        <v>1058</v>
      </c>
      <c r="E32" s="315">
        <v>1196</v>
      </c>
      <c r="F32" s="249">
        <v>1201</v>
      </c>
      <c r="G32" s="249">
        <v>1201</v>
      </c>
      <c r="H32" s="249">
        <v>1201</v>
      </c>
      <c r="I32" s="249">
        <v>1201</v>
      </c>
      <c r="J32" s="249">
        <v>1201</v>
      </c>
      <c r="K32" s="249">
        <v>1201</v>
      </c>
      <c r="L32" s="249">
        <v>1229</v>
      </c>
      <c r="M32" s="249">
        <v>1229</v>
      </c>
      <c r="N32" s="249">
        <v>1229</v>
      </c>
      <c r="O32" s="249">
        <v>1229</v>
      </c>
      <c r="P32" s="249">
        <v>1228</v>
      </c>
      <c r="Q32" s="249">
        <v>1228</v>
      </c>
      <c r="R32" s="249">
        <v>1228</v>
      </c>
      <c r="S32" s="249">
        <v>1228</v>
      </c>
      <c r="T32" s="249">
        <v>1228</v>
      </c>
      <c r="U32" s="249">
        <v>1228</v>
      </c>
      <c r="V32" s="249">
        <v>1209</v>
      </c>
      <c r="W32" s="249">
        <v>1209</v>
      </c>
      <c r="X32" s="249">
        <v>1209</v>
      </c>
      <c r="Y32" s="249">
        <v>1208</v>
      </c>
      <c r="Z32" s="346">
        <v>503</v>
      </c>
      <c r="AA32" s="315">
        <v>503</v>
      </c>
      <c r="AB32" s="315">
        <v>503</v>
      </c>
      <c r="AC32" s="315">
        <v>503</v>
      </c>
      <c r="AD32" s="315">
        <v>500</v>
      </c>
      <c r="AE32" s="315">
        <v>500</v>
      </c>
      <c r="AF32" s="315">
        <v>500</v>
      </c>
      <c r="AG32" s="315">
        <v>500</v>
      </c>
      <c r="AH32" s="233">
        <f t="shared" si="10"/>
        <v>41.390728476821195</v>
      </c>
      <c r="AI32" s="54" t="s">
        <v>39</v>
      </c>
    </row>
    <row r="33" spans="1:35" ht="12.75" customHeight="1" x14ac:dyDescent="0.2">
      <c r="A33" s="8"/>
      <c r="B33" s="10" t="s">
        <v>38</v>
      </c>
      <c r="C33" s="347"/>
      <c r="D33" s="323"/>
      <c r="E33" s="323">
        <v>3660</v>
      </c>
      <c r="F33" s="323">
        <v>3665</v>
      </c>
      <c r="G33" s="323">
        <v>3673</v>
      </c>
      <c r="H33" s="323">
        <v>3673</v>
      </c>
      <c r="I33" s="323">
        <v>3665</v>
      </c>
      <c r="J33" s="323">
        <v>3665</v>
      </c>
      <c r="K33" s="323">
        <v>3662</v>
      </c>
      <c r="L33" s="323">
        <v>3662</v>
      </c>
      <c r="M33" s="323">
        <v>3657</v>
      </c>
      <c r="N33" s="323">
        <v>3657</v>
      </c>
      <c r="O33" s="323">
        <v>3660</v>
      </c>
      <c r="P33" s="318">
        <v>3658</v>
      </c>
      <c r="Q33" s="323">
        <v>3658</v>
      </c>
      <c r="R33" s="318">
        <v>3629</v>
      </c>
      <c r="S33" s="318">
        <v>3623</v>
      </c>
      <c r="T33" s="318">
        <v>3623</v>
      </c>
      <c r="U33" s="318">
        <v>3622</v>
      </c>
      <c r="V33" s="318">
        <v>3624</v>
      </c>
      <c r="W33" s="318">
        <v>3631</v>
      </c>
      <c r="X33" s="318">
        <v>3631</v>
      </c>
      <c r="Y33" s="318">
        <v>3627</v>
      </c>
      <c r="Z33" s="343">
        <v>1578</v>
      </c>
      <c r="AA33" s="344">
        <v>1577</v>
      </c>
      <c r="AB33" s="344">
        <v>1577</v>
      </c>
      <c r="AC33" s="344">
        <v>1578</v>
      </c>
      <c r="AD33" s="344">
        <v>1578</v>
      </c>
      <c r="AE33" s="344">
        <v>1586</v>
      </c>
      <c r="AF33" s="344">
        <v>1586</v>
      </c>
      <c r="AG33" s="344">
        <v>1586</v>
      </c>
      <c r="AH33" s="231">
        <f t="shared" si="10"/>
        <v>43.727598566308245</v>
      </c>
      <c r="AI33" s="10" t="s">
        <v>38</v>
      </c>
    </row>
    <row r="34" spans="1:35" ht="12.75" customHeight="1" x14ac:dyDescent="0.2">
      <c r="A34" s="8"/>
      <c r="B34" s="54" t="s">
        <v>54</v>
      </c>
      <c r="C34" s="346">
        <v>5804</v>
      </c>
      <c r="D34" s="315">
        <v>6075</v>
      </c>
      <c r="E34" s="315">
        <v>5867</v>
      </c>
      <c r="F34" s="315">
        <v>5880</v>
      </c>
      <c r="G34" s="315">
        <v>5859</v>
      </c>
      <c r="H34" s="315">
        <v>5865</v>
      </c>
      <c r="I34" s="315">
        <v>5867</v>
      </c>
      <c r="J34" s="315">
        <v>5836</v>
      </c>
      <c r="K34" s="315">
        <v>5854</v>
      </c>
      <c r="L34" s="315">
        <v>5850</v>
      </c>
      <c r="M34" s="315">
        <v>5850</v>
      </c>
      <c r="N34" s="315">
        <v>5851</v>
      </c>
      <c r="O34" s="315">
        <v>5741</v>
      </c>
      <c r="P34" s="249">
        <v>5732</v>
      </c>
      <c r="Q34" s="315">
        <v>5905</v>
      </c>
      <c r="R34" s="249">
        <v>5899</v>
      </c>
      <c r="S34" s="249">
        <v>5919</v>
      </c>
      <c r="T34" s="249">
        <v>5919</v>
      </c>
      <c r="U34" s="249">
        <v>5919</v>
      </c>
      <c r="V34" s="249">
        <v>5944</v>
      </c>
      <c r="W34" s="249">
        <v>5944</v>
      </c>
      <c r="X34" s="249">
        <v>5944</v>
      </c>
      <c r="Y34" s="249">
        <v>5944</v>
      </c>
      <c r="Z34" s="346">
        <v>3047</v>
      </c>
      <c r="AA34" s="315">
        <v>3067</v>
      </c>
      <c r="AB34" s="315">
        <v>3067</v>
      </c>
      <c r="AC34" s="315">
        <v>3073</v>
      </c>
      <c r="AD34" s="315">
        <v>3172</v>
      </c>
      <c r="AE34" s="315">
        <v>3172</v>
      </c>
      <c r="AF34" s="315">
        <v>3172</v>
      </c>
      <c r="AG34" s="315">
        <v>3256</v>
      </c>
      <c r="AH34" s="233">
        <f t="shared" si="10"/>
        <v>54.777927321668905</v>
      </c>
      <c r="AI34" s="54" t="s">
        <v>54</v>
      </c>
    </row>
    <row r="35" spans="1:35" ht="12.75" customHeight="1" x14ac:dyDescent="0.2">
      <c r="A35" s="8"/>
      <c r="B35" s="10" t="s">
        <v>55</v>
      </c>
      <c r="C35" s="347">
        <v>12203</v>
      </c>
      <c r="D35" s="323">
        <v>12006</v>
      </c>
      <c r="E35" s="323">
        <v>11193</v>
      </c>
      <c r="F35" s="323">
        <v>10925</v>
      </c>
      <c r="G35" s="323">
        <v>10964</v>
      </c>
      <c r="H35" s="323">
        <v>10941</v>
      </c>
      <c r="I35" s="323">
        <v>10997</v>
      </c>
      <c r="J35" s="323">
        <v>11044</v>
      </c>
      <c r="K35" s="323">
        <v>11037</v>
      </c>
      <c r="L35" s="323">
        <v>11021</v>
      </c>
      <c r="M35" s="323">
        <v>11095</v>
      </c>
      <c r="N35" s="323">
        <v>11037</v>
      </c>
      <c r="O35" s="323">
        <v>11050</v>
      </c>
      <c r="P35" s="318">
        <v>11017</v>
      </c>
      <c r="Q35" s="323">
        <v>11020</v>
      </c>
      <c r="R35" s="318">
        <v>10972</v>
      </c>
      <c r="S35" s="318">
        <v>11032</v>
      </c>
      <c r="T35" s="318">
        <v>11138</v>
      </c>
      <c r="U35" s="318">
        <v>11160</v>
      </c>
      <c r="V35" s="318">
        <v>11206</v>
      </c>
      <c r="W35" s="318">
        <v>11136</v>
      </c>
      <c r="X35" s="318">
        <v>10957</v>
      </c>
      <c r="Y35" s="318">
        <v>10881</v>
      </c>
      <c r="Z35" s="347">
        <v>7848</v>
      </c>
      <c r="AA35" s="323">
        <v>7867</v>
      </c>
      <c r="AB35" s="323">
        <v>7963</v>
      </c>
      <c r="AC35" s="323">
        <v>7965</v>
      </c>
      <c r="AD35" s="323">
        <v>8119</v>
      </c>
      <c r="AE35" s="323">
        <v>8194</v>
      </c>
      <c r="AF35" s="323">
        <v>8214</v>
      </c>
      <c r="AG35" s="323">
        <v>8232</v>
      </c>
      <c r="AH35" s="231">
        <f t="shared" si="10"/>
        <v>75.654811138682106</v>
      </c>
      <c r="AI35" s="10" t="s">
        <v>55</v>
      </c>
    </row>
    <row r="36" spans="1:35" ht="12.75" customHeight="1" x14ac:dyDescent="0.2">
      <c r="A36" s="8"/>
      <c r="B36" s="228" t="s">
        <v>44</v>
      </c>
      <c r="C36" s="358">
        <v>19330</v>
      </c>
      <c r="D36" s="359">
        <v>18030</v>
      </c>
      <c r="E36" s="359">
        <v>16914</v>
      </c>
      <c r="F36" s="359">
        <v>17069</v>
      </c>
      <c r="G36" s="359">
        <v>17066</v>
      </c>
      <c r="H36" s="359">
        <v>17176</v>
      </c>
      <c r="I36" s="359">
        <v>17179</v>
      </c>
      <c r="J36" s="359">
        <v>17064</v>
      </c>
      <c r="K36" s="359">
        <v>17044</v>
      </c>
      <c r="L36" s="359">
        <v>17052</v>
      </c>
      <c r="M36" s="359">
        <v>17052</v>
      </c>
      <c r="N36" s="359">
        <v>17052</v>
      </c>
      <c r="O36" s="359">
        <f>58+340+16116</f>
        <v>16514</v>
      </c>
      <c r="P36" s="259">
        <f>58+340+15810</f>
        <v>16208</v>
      </c>
      <c r="Q36" s="359">
        <f>15795+340+58</f>
        <v>16193</v>
      </c>
      <c r="R36" s="259">
        <f>15814+340+58</f>
        <v>16212</v>
      </c>
      <c r="S36" s="259">
        <f>15814+340+58</f>
        <v>16212</v>
      </c>
      <c r="T36" s="259">
        <f>58+15753+340</f>
        <v>16151</v>
      </c>
      <c r="U36" s="259">
        <f>15777+340+58</f>
        <v>16175</v>
      </c>
      <c r="V36" s="259">
        <f>15738+58+338+274</f>
        <v>16408</v>
      </c>
      <c r="W36" s="259">
        <f>15753+338+274+58</f>
        <v>16423</v>
      </c>
      <c r="X36" s="259">
        <f>15753+274+58+338</f>
        <v>16423</v>
      </c>
      <c r="Y36" s="259">
        <v>16209</v>
      </c>
      <c r="Z36" s="358">
        <f>5255+58</f>
        <v>5313</v>
      </c>
      <c r="AA36" s="359">
        <v>5318</v>
      </c>
      <c r="AB36" s="359">
        <f>58+5249</f>
        <v>5307</v>
      </c>
      <c r="AC36" s="359">
        <f>5262+58</f>
        <v>5320</v>
      </c>
      <c r="AD36" s="359">
        <f>5261+58+274</f>
        <v>5593</v>
      </c>
      <c r="AE36" s="359">
        <f>5265+274+58</f>
        <v>5597</v>
      </c>
      <c r="AF36" s="359">
        <f>5268+274+58</f>
        <v>5600</v>
      </c>
      <c r="AG36" s="359">
        <f>Y36*33/100</f>
        <v>5348.97</v>
      </c>
      <c r="AH36" s="268">
        <f t="shared" si="10"/>
        <v>33</v>
      </c>
      <c r="AI36" s="228" t="s">
        <v>44</v>
      </c>
    </row>
    <row r="37" spans="1:35" ht="12.75" customHeight="1" x14ac:dyDescent="0.2">
      <c r="A37" s="8"/>
      <c r="B37" s="9" t="s">
        <v>142</v>
      </c>
      <c r="C37" s="341"/>
      <c r="D37" s="342"/>
      <c r="E37" s="342"/>
      <c r="F37" s="342"/>
      <c r="G37" s="342"/>
      <c r="H37" s="342"/>
      <c r="I37" s="342"/>
      <c r="J37" s="342"/>
      <c r="K37" s="342"/>
      <c r="L37" s="342"/>
      <c r="M37" s="342"/>
      <c r="N37" s="342"/>
      <c r="O37" s="342"/>
      <c r="P37" s="312"/>
      <c r="Q37" s="342"/>
      <c r="R37" s="312"/>
      <c r="S37" s="312"/>
      <c r="T37" s="312">
        <v>423</v>
      </c>
      <c r="U37" s="360">
        <v>423</v>
      </c>
      <c r="V37" s="360">
        <v>423</v>
      </c>
      <c r="W37" s="360">
        <v>423</v>
      </c>
      <c r="X37" s="360">
        <v>423</v>
      </c>
      <c r="Y37" s="360">
        <v>423</v>
      </c>
      <c r="Z37" s="341"/>
      <c r="AA37" s="342"/>
      <c r="AB37" s="342">
        <v>0</v>
      </c>
      <c r="AC37" s="361">
        <v>0</v>
      </c>
      <c r="AD37" s="361">
        <v>0</v>
      </c>
      <c r="AE37" s="361">
        <v>0</v>
      </c>
      <c r="AF37" s="361">
        <v>0</v>
      </c>
      <c r="AG37" s="361">
        <v>0</v>
      </c>
      <c r="AH37" s="329">
        <f t="shared" si="10"/>
        <v>0</v>
      </c>
      <c r="AI37" s="9" t="s">
        <v>142</v>
      </c>
    </row>
    <row r="38" spans="1:35" ht="12.75" customHeight="1" x14ac:dyDescent="0.2">
      <c r="A38" s="8"/>
      <c r="B38" s="228" t="s">
        <v>139</v>
      </c>
      <c r="C38" s="358"/>
      <c r="D38" s="359"/>
      <c r="E38" s="359"/>
      <c r="F38" s="359"/>
      <c r="G38" s="359"/>
      <c r="H38" s="359"/>
      <c r="I38" s="359"/>
      <c r="J38" s="359"/>
      <c r="K38" s="359"/>
      <c r="L38" s="359"/>
      <c r="M38" s="359"/>
      <c r="N38" s="359"/>
      <c r="O38" s="359">
        <v>249</v>
      </c>
      <c r="P38" s="259">
        <v>248</v>
      </c>
      <c r="Q38" s="359">
        <v>248</v>
      </c>
      <c r="R38" s="259">
        <v>248</v>
      </c>
      <c r="S38" s="259">
        <v>249</v>
      </c>
      <c r="T38" s="259">
        <v>249</v>
      </c>
      <c r="U38" s="259">
        <v>249</v>
      </c>
      <c r="V38" s="259">
        <v>249</v>
      </c>
      <c r="W38" s="259">
        <v>248.76</v>
      </c>
      <c r="X38" s="259">
        <v>248.76</v>
      </c>
      <c r="Y38" s="259">
        <v>250</v>
      </c>
      <c r="Z38" s="358">
        <v>167</v>
      </c>
      <c r="AA38" s="359">
        <v>168</v>
      </c>
      <c r="AB38" s="359">
        <v>168</v>
      </c>
      <c r="AC38" s="359">
        <v>168</v>
      </c>
      <c r="AD38" s="359">
        <v>224.06</v>
      </c>
      <c r="AE38" s="359">
        <v>224.06</v>
      </c>
      <c r="AF38" s="359">
        <v>224.06</v>
      </c>
      <c r="AG38" s="359">
        <v>224</v>
      </c>
      <c r="AH38" s="268">
        <f t="shared" si="10"/>
        <v>89.600000000000009</v>
      </c>
      <c r="AI38" s="228" t="s">
        <v>139</v>
      </c>
    </row>
    <row r="39" spans="1:35" ht="12.75" customHeight="1" x14ac:dyDescent="0.2">
      <c r="A39" s="8"/>
      <c r="B39" s="10" t="s">
        <v>1</v>
      </c>
      <c r="C39" s="347"/>
      <c r="D39" s="323">
        <v>673</v>
      </c>
      <c r="E39" s="323">
        <v>696</v>
      </c>
      <c r="F39" s="323">
        <v>699</v>
      </c>
      <c r="G39" s="323">
        <v>699</v>
      </c>
      <c r="H39" s="323">
        <v>699</v>
      </c>
      <c r="I39" s="323">
        <v>699</v>
      </c>
      <c r="J39" s="323">
        <v>699</v>
      </c>
      <c r="K39" s="323">
        <v>699</v>
      </c>
      <c r="L39" s="323">
        <v>699</v>
      </c>
      <c r="M39" s="323">
        <v>699</v>
      </c>
      <c r="N39" s="323">
        <v>699</v>
      </c>
      <c r="O39" s="323">
        <v>699</v>
      </c>
      <c r="P39" s="318">
        <v>699</v>
      </c>
      <c r="Q39" s="323">
        <v>699</v>
      </c>
      <c r="R39" s="318">
        <v>699</v>
      </c>
      <c r="S39" s="318">
        <v>699</v>
      </c>
      <c r="T39" s="318">
        <v>699</v>
      </c>
      <c r="U39" s="318">
        <v>699</v>
      </c>
      <c r="V39" s="318">
        <v>699</v>
      </c>
      <c r="W39" s="318">
        <v>699</v>
      </c>
      <c r="X39" s="318">
        <v>699</v>
      </c>
      <c r="Y39" s="318">
        <v>699</v>
      </c>
      <c r="Z39" s="347">
        <v>234</v>
      </c>
      <c r="AA39" s="323">
        <v>234</v>
      </c>
      <c r="AB39" s="323">
        <v>234</v>
      </c>
      <c r="AC39" s="323">
        <v>234</v>
      </c>
      <c r="AD39" s="323">
        <v>234</v>
      </c>
      <c r="AE39" s="323">
        <v>234</v>
      </c>
      <c r="AF39" s="323">
        <v>234</v>
      </c>
      <c r="AG39" s="323">
        <v>234</v>
      </c>
      <c r="AH39" s="231">
        <f t="shared" si="10"/>
        <v>33.476394849785407</v>
      </c>
      <c r="AI39" s="10" t="s">
        <v>1</v>
      </c>
    </row>
    <row r="40" spans="1:35" ht="12.75" customHeight="1" x14ac:dyDescent="0.2">
      <c r="A40" s="8"/>
      <c r="B40" s="228" t="s">
        <v>140</v>
      </c>
      <c r="C40" s="358"/>
      <c r="D40" s="359"/>
      <c r="E40" s="359"/>
      <c r="F40" s="359"/>
      <c r="G40" s="359"/>
      <c r="H40" s="359"/>
      <c r="I40" s="359"/>
      <c r="J40" s="359"/>
      <c r="K40" s="359"/>
      <c r="L40" s="359"/>
      <c r="M40" s="359"/>
      <c r="N40" s="359">
        <v>3809</v>
      </c>
      <c r="O40" s="259">
        <v>3809</v>
      </c>
      <c r="P40" s="259">
        <v>3809</v>
      </c>
      <c r="Q40" s="359">
        <v>3809</v>
      </c>
      <c r="R40" s="259">
        <v>3809</v>
      </c>
      <c r="S40" s="259">
        <v>3809</v>
      </c>
      <c r="T40" s="259">
        <v>3809</v>
      </c>
      <c r="U40" s="259">
        <v>3809</v>
      </c>
      <c r="V40" s="259">
        <v>3809</v>
      </c>
      <c r="W40" s="259">
        <v>3809</v>
      </c>
      <c r="X40" s="259">
        <v>3809</v>
      </c>
      <c r="Y40" s="259">
        <v>3809</v>
      </c>
      <c r="Z40" s="358">
        <v>1254</v>
      </c>
      <c r="AA40" s="359">
        <v>1254</v>
      </c>
      <c r="AB40" s="359">
        <v>1254</v>
      </c>
      <c r="AC40" s="359">
        <v>1278</v>
      </c>
      <c r="AD40" s="359">
        <v>1279</v>
      </c>
      <c r="AE40" s="359">
        <v>1279</v>
      </c>
      <c r="AF40" s="359">
        <v>1275</v>
      </c>
      <c r="AG40" s="359">
        <v>1275</v>
      </c>
      <c r="AH40" s="268">
        <f t="shared" si="10"/>
        <v>33.473352585980571</v>
      </c>
      <c r="AI40" s="228" t="s">
        <v>140</v>
      </c>
    </row>
    <row r="41" spans="1:35" ht="12.75" customHeight="1" x14ac:dyDescent="0.2">
      <c r="A41" s="8"/>
      <c r="B41" s="12" t="s">
        <v>40</v>
      </c>
      <c r="C41" s="362">
        <v>7985</v>
      </c>
      <c r="D41" s="363">
        <v>8387</v>
      </c>
      <c r="E41" s="363">
        <v>8429</v>
      </c>
      <c r="F41" s="363">
        <v>8549</v>
      </c>
      <c r="G41" s="363">
        <v>8607</v>
      </c>
      <c r="H41" s="363">
        <v>8607</v>
      </c>
      <c r="I41" s="363">
        <v>8607</v>
      </c>
      <c r="J41" s="363">
        <v>8682</v>
      </c>
      <c r="K41" s="363">
        <v>8671</v>
      </c>
      <c r="L41" s="363">
        <v>8671</v>
      </c>
      <c r="M41" s="363">
        <v>8671</v>
      </c>
      <c r="N41" s="363">
        <v>8697</v>
      </c>
      <c r="O41" s="363">
        <v>8697</v>
      </c>
      <c r="P41" s="326">
        <v>8697</v>
      </c>
      <c r="Q41" s="363">
        <v>8697</v>
      </c>
      <c r="R41" s="326">
        <v>8697</v>
      </c>
      <c r="S41" s="326">
        <v>8699</v>
      </c>
      <c r="T41" s="326">
        <v>9080</v>
      </c>
      <c r="U41" s="318">
        <v>9594</v>
      </c>
      <c r="V41" s="318">
        <v>9642</v>
      </c>
      <c r="W41" s="318">
        <v>9642</v>
      </c>
      <c r="X41" s="318">
        <v>9718</v>
      </c>
      <c r="Y41" s="318">
        <v>10087</v>
      </c>
      <c r="Z41" s="347">
        <v>1920</v>
      </c>
      <c r="AA41" s="323">
        <v>1928</v>
      </c>
      <c r="AB41" s="323">
        <v>2313</v>
      </c>
      <c r="AC41" s="323">
        <v>2791</v>
      </c>
      <c r="AD41" s="323">
        <v>2789</v>
      </c>
      <c r="AE41" s="323">
        <v>2840</v>
      </c>
      <c r="AF41" s="323">
        <v>2922</v>
      </c>
      <c r="AG41" s="323">
        <v>3330</v>
      </c>
      <c r="AH41" s="231">
        <f t="shared" si="10"/>
        <v>33.012788737979577</v>
      </c>
      <c r="AI41" s="12" t="s">
        <v>40</v>
      </c>
    </row>
    <row r="42" spans="1:35" ht="12.75" customHeight="1" x14ac:dyDescent="0.2">
      <c r="A42" s="8"/>
      <c r="B42" s="228" t="s">
        <v>26</v>
      </c>
      <c r="C42" s="322" t="s">
        <v>59</v>
      </c>
      <c r="D42" s="364" t="s">
        <v>59</v>
      </c>
      <c r="E42" s="365" t="s">
        <v>59</v>
      </c>
      <c r="F42" s="365" t="s">
        <v>59</v>
      </c>
      <c r="G42" s="364" t="s">
        <v>59</v>
      </c>
      <c r="H42" s="364" t="s">
        <v>59</v>
      </c>
      <c r="I42" s="364" t="s">
        <v>59</v>
      </c>
      <c r="J42" s="364" t="s">
        <v>59</v>
      </c>
      <c r="K42" s="364" t="s">
        <v>59</v>
      </c>
      <c r="L42" s="364" t="s">
        <v>59</v>
      </c>
      <c r="M42" s="364" t="s">
        <v>59</v>
      </c>
      <c r="N42" s="364" t="s">
        <v>59</v>
      </c>
      <c r="O42" s="365" t="s">
        <v>59</v>
      </c>
      <c r="P42" s="365" t="s">
        <v>59</v>
      </c>
      <c r="Q42" s="365" t="s">
        <v>59</v>
      </c>
      <c r="R42" s="365" t="s">
        <v>59</v>
      </c>
      <c r="S42" s="365" t="s">
        <v>59</v>
      </c>
      <c r="T42" s="365" t="s">
        <v>59</v>
      </c>
      <c r="U42" s="365" t="s">
        <v>59</v>
      </c>
      <c r="V42" s="365" t="s">
        <v>59</v>
      </c>
      <c r="W42" s="365" t="s">
        <v>59</v>
      </c>
      <c r="X42" s="365" t="s">
        <v>59</v>
      </c>
      <c r="Y42" s="365" t="s">
        <v>59</v>
      </c>
      <c r="Z42" s="366" t="s">
        <v>59</v>
      </c>
      <c r="AA42" s="365" t="s">
        <v>59</v>
      </c>
      <c r="AB42" s="365" t="s">
        <v>59</v>
      </c>
      <c r="AC42" s="365" t="s">
        <v>59</v>
      </c>
      <c r="AD42" s="365" t="s">
        <v>59</v>
      </c>
      <c r="AE42" s="365" t="s">
        <v>59</v>
      </c>
      <c r="AF42" s="365" t="s">
        <v>59</v>
      </c>
      <c r="AG42" s="365" t="s">
        <v>59</v>
      </c>
      <c r="AH42" s="310" t="s">
        <v>59</v>
      </c>
      <c r="AI42" s="228" t="s">
        <v>26</v>
      </c>
    </row>
    <row r="43" spans="1:35" ht="12.75" customHeight="1" x14ac:dyDescent="0.2">
      <c r="A43" s="8"/>
      <c r="B43" s="10" t="s">
        <v>56</v>
      </c>
      <c r="C43" s="347">
        <v>4242</v>
      </c>
      <c r="D43" s="323">
        <v>4242</v>
      </c>
      <c r="E43" s="323">
        <v>4044</v>
      </c>
      <c r="F43" s="323">
        <v>4023</v>
      </c>
      <c r="G43" s="323">
        <v>4152</v>
      </c>
      <c r="H43" s="323">
        <v>4152</v>
      </c>
      <c r="I43" s="323">
        <v>4152</v>
      </c>
      <c r="J43" s="323">
        <v>4021</v>
      </c>
      <c r="K43" s="323">
        <v>4413</v>
      </c>
      <c r="L43" s="323">
        <v>4425</v>
      </c>
      <c r="M43" s="323">
        <v>4324</v>
      </c>
      <c r="N43" s="323">
        <v>4334</v>
      </c>
      <c r="O43" s="323">
        <v>4334</v>
      </c>
      <c r="P43" s="318">
        <v>4334</v>
      </c>
      <c r="Q43" s="323">
        <v>4338</v>
      </c>
      <c r="R43" s="318">
        <v>4374</v>
      </c>
      <c r="S43" s="318">
        <v>4341</v>
      </c>
      <c r="T43" s="318">
        <v>4151</v>
      </c>
      <c r="U43" s="318">
        <v>4199</v>
      </c>
      <c r="V43" s="318">
        <v>4154</v>
      </c>
      <c r="W43" s="412">
        <f>4230-339</f>
        <v>3891</v>
      </c>
      <c r="X43" s="318">
        <f>4224-327</f>
        <v>3897</v>
      </c>
      <c r="Y43" s="318">
        <f>4219-352</f>
        <v>3867</v>
      </c>
      <c r="Z43" s="347">
        <v>2792</v>
      </c>
      <c r="AA43" s="323">
        <v>2779</v>
      </c>
      <c r="AB43" s="323">
        <v>2746</v>
      </c>
      <c r="AC43" s="323">
        <v>2765</v>
      </c>
      <c r="AD43" s="323">
        <v>2500</v>
      </c>
      <c r="AE43" s="323">
        <v>2489</v>
      </c>
      <c r="AF43" s="323">
        <v>2500</v>
      </c>
      <c r="AG43" s="323">
        <v>2470</v>
      </c>
      <c r="AH43" s="231">
        <f t="shared" si="10"/>
        <v>63.873803982415311</v>
      </c>
      <c r="AI43" s="10" t="s">
        <v>56</v>
      </c>
    </row>
    <row r="44" spans="1:35" ht="12.75" customHeight="1" x14ac:dyDescent="0.2">
      <c r="A44" s="8"/>
      <c r="B44" s="261" t="s">
        <v>27</v>
      </c>
      <c r="C44" s="367">
        <v>3161</v>
      </c>
      <c r="D44" s="368">
        <v>3178</v>
      </c>
      <c r="E44" s="368">
        <v>3215</v>
      </c>
      <c r="F44" s="368">
        <v>3232</v>
      </c>
      <c r="G44" s="368">
        <v>3234</v>
      </c>
      <c r="H44" s="368">
        <v>3184</v>
      </c>
      <c r="I44" s="368">
        <v>3151</v>
      </c>
      <c r="J44" s="368">
        <v>3143</v>
      </c>
      <c r="K44" s="368">
        <v>3216</v>
      </c>
      <c r="L44" s="368">
        <v>3225</v>
      </c>
      <c r="M44" s="368">
        <v>3222</v>
      </c>
      <c r="N44" s="368">
        <f>2990+241</f>
        <v>3231</v>
      </c>
      <c r="O44" s="368">
        <v>3381</v>
      </c>
      <c r="P44" s="369">
        <f>241+3158</f>
        <v>3399</v>
      </c>
      <c r="Q44" s="368">
        <f>3158+405</f>
        <v>3563</v>
      </c>
      <c r="R44" s="369">
        <f>3158+405</f>
        <v>3563</v>
      </c>
      <c r="S44" s="369">
        <v>3557</v>
      </c>
      <c r="T44" s="369">
        <f>460+3139</f>
        <v>3599</v>
      </c>
      <c r="U44" s="369">
        <f>3137+460</f>
        <v>3597</v>
      </c>
      <c r="V44" s="369">
        <v>3574</v>
      </c>
      <c r="W44" s="369">
        <f>3138+413</f>
        <v>3551</v>
      </c>
      <c r="X44" s="369">
        <f>3175+413</f>
        <v>3588</v>
      </c>
      <c r="Y44" s="369">
        <f>3171+436</f>
        <v>3607</v>
      </c>
      <c r="Z44" s="367">
        <f>3158+405</f>
        <v>3563</v>
      </c>
      <c r="AA44" s="368">
        <v>3557</v>
      </c>
      <c r="AB44" s="368">
        <f>460+3139</f>
        <v>3599</v>
      </c>
      <c r="AC44" s="368">
        <f>3137+436</f>
        <v>3573</v>
      </c>
      <c r="AD44" s="368">
        <f>3137+436</f>
        <v>3573</v>
      </c>
      <c r="AE44" s="368">
        <f>3137+413</f>
        <v>3550</v>
      </c>
      <c r="AF44" s="368">
        <f>3174+413</f>
        <v>3587</v>
      </c>
      <c r="AG44" s="368">
        <f>3171+436</f>
        <v>3607</v>
      </c>
      <c r="AH44" s="267">
        <f t="shared" si="10"/>
        <v>100</v>
      </c>
      <c r="AI44" s="261" t="s">
        <v>27</v>
      </c>
    </row>
    <row r="45" spans="1:35" ht="25.5" customHeight="1" x14ac:dyDescent="0.2">
      <c r="B45" s="442" t="s">
        <v>166</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242"/>
      <c r="AD45" s="255"/>
      <c r="AE45" s="192"/>
      <c r="AF45" s="307"/>
      <c r="AG45" s="410"/>
      <c r="AH45" s="192"/>
      <c r="AI45" s="192"/>
    </row>
    <row r="46" spans="1:35" ht="12.75" customHeight="1" x14ac:dyDescent="0.2">
      <c r="B46" s="187" t="s">
        <v>0</v>
      </c>
      <c r="D46" s="187"/>
      <c r="E46" s="187"/>
      <c r="F46" s="187"/>
      <c r="G46" s="187"/>
      <c r="H46" s="187"/>
      <c r="I46" s="187"/>
      <c r="J46" s="187"/>
      <c r="K46" s="187"/>
      <c r="L46" s="187"/>
      <c r="M46" s="187"/>
      <c r="N46" s="187"/>
      <c r="O46" s="187"/>
      <c r="P46" s="24"/>
      <c r="Q46" s="24"/>
      <c r="R46" s="24"/>
      <c r="S46" s="24"/>
      <c r="AB46" s="24"/>
      <c r="AC46" s="24"/>
      <c r="AD46" s="24"/>
      <c r="AE46" s="24"/>
      <c r="AF46" s="24"/>
      <c r="AG46" s="24"/>
      <c r="AH46" s="24"/>
      <c r="AI46" s="24"/>
    </row>
    <row r="47" spans="1:35" x14ac:dyDescent="0.2">
      <c r="B47" s="234" t="s">
        <v>131</v>
      </c>
    </row>
    <row r="48" spans="1:35" x14ac:dyDescent="0.2">
      <c r="B48" s="234" t="s">
        <v>149</v>
      </c>
    </row>
    <row r="49" spans="2:11" x14ac:dyDescent="0.2">
      <c r="B49" s="2" t="s">
        <v>167</v>
      </c>
    </row>
    <row r="50" spans="2:11" x14ac:dyDescent="0.2">
      <c r="F50" s="187"/>
    </row>
    <row r="62" spans="2:11" ht="15" x14ac:dyDescent="0.25">
      <c r="G62" s="244"/>
      <c r="H62" s="243"/>
      <c r="I62" s="243"/>
      <c r="J62" s="243"/>
      <c r="K62" s="243"/>
    </row>
    <row r="65" spans="7:11" ht="15" x14ac:dyDescent="0.25">
      <c r="G65" s="243"/>
      <c r="H65" s="243"/>
      <c r="I65" s="244"/>
      <c r="J65" s="244"/>
      <c r="K65" s="244"/>
    </row>
    <row r="66" spans="7:11" ht="15" x14ac:dyDescent="0.25">
      <c r="G66" s="244"/>
      <c r="H66" s="244"/>
      <c r="I66" s="245"/>
      <c r="J66" s="245"/>
      <c r="K66" s="245"/>
    </row>
    <row r="67" spans="7:11" ht="15" x14ac:dyDescent="0.25">
      <c r="G67" s="243"/>
      <c r="H67" s="244"/>
      <c r="I67" s="245"/>
      <c r="J67" s="245"/>
      <c r="K67" s="245"/>
    </row>
    <row r="68" spans="7:11" ht="15" x14ac:dyDescent="0.25">
      <c r="G68" s="243"/>
      <c r="H68" s="244"/>
      <c r="I68" s="245"/>
      <c r="J68" s="245"/>
      <c r="K68" s="245"/>
    </row>
    <row r="69" spans="7:11" ht="15" x14ac:dyDescent="0.25">
      <c r="G69" s="243"/>
      <c r="H69" s="244"/>
      <c r="I69" s="245"/>
      <c r="J69" s="245"/>
      <c r="K69" s="245"/>
    </row>
    <row r="70" spans="7:11" ht="15" x14ac:dyDescent="0.25">
      <c r="G70" s="243"/>
      <c r="H70" s="244"/>
      <c r="I70" s="245"/>
      <c r="J70" s="245"/>
      <c r="K70" s="245"/>
    </row>
    <row r="71" spans="7:11" ht="15" x14ac:dyDescent="0.25">
      <c r="G71" s="243"/>
      <c r="H71" s="244"/>
      <c r="I71" s="245"/>
      <c r="J71" s="245"/>
      <c r="K71" s="245"/>
    </row>
    <row r="72" spans="7:11" ht="15" x14ac:dyDescent="0.25">
      <c r="G72" s="243"/>
      <c r="H72" s="244"/>
      <c r="I72" s="245"/>
      <c r="J72" s="245"/>
      <c r="K72" s="245"/>
    </row>
    <row r="73" spans="7:11" ht="15" x14ac:dyDescent="0.25">
      <c r="G73" s="243"/>
      <c r="H73" s="244"/>
      <c r="I73" s="245"/>
      <c r="J73" s="245"/>
      <c r="K73" s="245"/>
    </row>
    <row r="74" spans="7:11" ht="15" x14ac:dyDescent="0.25">
      <c r="G74" s="243"/>
      <c r="H74" s="244"/>
      <c r="I74" s="245"/>
      <c r="J74" s="245"/>
      <c r="K74" s="245"/>
    </row>
    <row r="75" spans="7:11" ht="15" x14ac:dyDescent="0.25">
      <c r="G75" s="244"/>
      <c r="H75" s="244"/>
      <c r="I75" s="245"/>
      <c r="J75" s="245"/>
      <c r="K75" s="245"/>
    </row>
    <row r="76" spans="7:11" ht="15" x14ac:dyDescent="0.25">
      <c r="G76" s="243"/>
      <c r="H76" s="244"/>
      <c r="I76" s="245"/>
      <c r="J76" s="245"/>
      <c r="K76" s="245"/>
    </row>
    <row r="77" spans="7:11" ht="15" x14ac:dyDescent="0.25">
      <c r="G77" s="243"/>
      <c r="H77" s="244"/>
      <c r="I77" s="245"/>
      <c r="J77" s="245"/>
      <c r="K77" s="245"/>
    </row>
    <row r="78" spans="7:11" ht="15" x14ac:dyDescent="0.25">
      <c r="H78" s="244"/>
      <c r="I78" s="245"/>
      <c r="J78" s="245"/>
      <c r="K78" s="245"/>
    </row>
    <row r="79" spans="7:11" ht="15" x14ac:dyDescent="0.25">
      <c r="H79" s="244"/>
      <c r="I79" s="245"/>
      <c r="J79" s="245"/>
      <c r="K79" s="245"/>
    </row>
    <row r="80" spans="7:11" ht="15" x14ac:dyDescent="0.25">
      <c r="H80" s="244"/>
      <c r="I80" s="246"/>
      <c r="J80" s="246"/>
      <c r="K80" s="246"/>
    </row>
    <row r="81" spans="8:11" ht="15" x14ac:dyDescent="0.25">
      <c r="H81" s="244"/>
      <c r="I81" s="245"/>
      <c r="J81" s="245"/>
      <c r="K81" s="245"/>
    </row>
    <row r="82" spans="8:11" ht="15" x14ac:dyDescent="0.25">
      <c r="H82" s="244"/>
      <c r="I82" s="245"/>
      <c r="J82" s="245"/>
      <c r="K82" s="245"/>
    </row>
    <row r="83" spans="8:11" ht="15" x14ac:dyDescent="0.25">
      <c r="H83" s="244"/>
      <c r="I83" s="246"/>
      <c r="J83" s="246"/>
      <c r="K83" s="246"/>
    </row>
  </sheetData>
  <mergeCells count="3">
    <mergeCell ref="B1:C1"/>
    <mergeCell ref="B2:AB2"/>
    <mergeCell ref="B45:AB45"/>
  </mergeCells>
  <phoneticPr fontId="9" type="noConversion"/>
  <printOptions horizontalCentered="1"/>
  <pageMargins left="0.47244094488188981" right="0.47244094488188981"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dimension ref="A1:L79"/>
  <sheetViews>
    <sheetView topLeftCell="A51" workbookViewId="0">
      <selection activeCell="J38" sqref="J38"/>
    </sheetView>
  </sheetViews>
  <sheetFormatPr defaultRowHeight="12.75" x14ac:dyDescent="0.2"/>
  <cols>
    <col min="1" max="1" width="1.42578125" customWidth="1"/>
    <col min="2" max="2" width="7.5703125" customWidth="1"/>
    <col min="3" max="11" width="7.7109375" customWidth="1"/>
    <col min="12" max="12" width="8.42578125" customWidth="1"/>
    <col min="13" max="13" width="1.5703125" customWidth="1"/>
  </cols>
  <sheetData>
    <row r="1" spans="2:12" ht="14.25" customHeight="1" x14ac:dyDescent="0.25">
      <c r="B1" s="464"/>
      <c r="C1" s="464"/>
      <c r="D1" s="25"/>
      <c r="E1" s="25"/>
      <c r="F1" s="25"/>
      <c r="G1" s="25"/>
      <c r="H1" s="25"/>
      <c r="I1" s="25"/>
      <c r="J1" s="25"/>
      <c r="K1" s="25"/>
      <c r="L1" s="16" t="s">
        <v>116</v>
      </c>
    </row>
    <row r="2" spans="2:12" ht="30" customHeight="1" x14ac:dyDescent="0.2">
      <c r="B2" s="465" t="s">
        <v>61</v>
      </c>
      <c r="C2" s="465"/>
      <c r="D2" s="465"/>
      <c r="E2" s="465"/>
      <c r="F2" s="465"/>
      <c r="G2" s="465"/>
      <c r="H2" s="465"/>
      <c r="I2" s="465"/>
      <c r="J2" s="465"/>
      <c r="K2" s="465"/>
      <c r="L2" s="465"/>
    </row>
    <row r="3" spans="2:12" ht="15" customHeight="1" x14ac:dyDescent="0.2">
      <c r="B3" s="466" t="s">
        <v>82</v>
      </c>
      <c r="C3" s="466"/>
      <c r="D3" s="466"/>
      <c r="E3" s="466"/>
      <c r="F3" s="466"/>
      <c r="G3" s="466"/>
      <c r="H3" s="466"/>
      <c r="I3" s="466"/>
      <c r="J3" s="466"/>
      <c r="K3" s="466"/>
      <c r="L3" s="466"/>
    </row>
    <row r="4" spans="2:12" ht="12.75" customHeight="1" x14ac:dyDescent="0.2">
      <c r="B4" s="467" t="s">
        <v>2</v>
      </c>
      <c r="C4" s="467"/>
      <c r="D4" s="467"/>
      <c r="E4" s="467"/>
      <c r="F4" s="467"/>
      <c r="G4" s="467"/>
      <c r="H4" s="467"/>
      <c r="I4" s="467"/>
      <c r="J4" s="467"/>
      <c r="K4" s="467"/>
      <c r="L4" s="467"/>
    </row>
    <row r="5" spans="2:12" s="20" customFormat="1" ht="24.95" customHeight="1" x14ac:dyDescent="0.2">
      <c r="B5" s="32"/>
      <c r="C5" s="60" t="s">
        <v>45</v>
      </c>
      <c r="D5" s="61" t="s">
        <v>46</v>
      </c>
      <c r="E5" s="61" t="s">
        <v>47</v>
      </c>
      <c r="F5" s="61" t="s">
        <v>48</v>
      </c>
      <c r="G5" s="61" t="s">
        <v>50</v>
      </c>
      <c r="H5" s="61" t="s">
        <v>43</v>
      </c>
      <c r="I5" s="61" t="s">
        <v>52</v>
      </c>
      <c r="J5" s="61" t="s">
        <v>36</v>
      </c>
      <c r="K5" s="62" t="s">
        <v>44</v>
      </c>
      <c r="L5" s="62" t="s">
        <v>81</v>
      </c>
    </row>
    <row r="6" spans="2:12" s="15" customFormat="1" ht="12.75" hidden="1" customHeight="1" x14ac:dyDescent="0.2">
      <c r="B6" s="89">
        <v>1981</v>
      </c>
      <c r="C6" s="188" t="s">
        <v>102</v>
      </c>
      <c r="D6" s="177" t="s">
        <v>102</v>
      </c>
      <c r="E6" s="177" t="s">
        <v>102</v>
      </c>
      <c r="F6" s="189">
        <v>301</v>
      </c>
      <c r="G6" s="189">
        <v>150</v>
      </c>
      <c r="H6" s="189"/>
      <c r="I6" s="189"/>
      <c r="J6" s="189"/>
      <c r="K6" s="190" t="s">
        <v>102</v>
      </c>
      <c r="L6" s="191">
        <f t="shared" ref="L6:L34" si="0">SUM(C6:K6)</f>
        <v>451</v>
      </c>
    </row>
    <row r="7" spans="2:12" s="15" customFormat="1" ht="12.75" hidden="1" customHeight="1" x14ac:dyDescent="0.2">
      <c r="B7" s="90">
        <v>1983</v>
      </c>
      <c r="C7" s="160" t="s">
        <v>102</v>
      </c>
      <c r="D7" s="161" t="s">
        <v>102</v>
      </c>
      <c r="E7" s="161" t="s">
        <v>102</v>
      </c>
      <c r="F7" s="144">
        <v>417</v>
      </c>
      <c r="G7" s="144">
        <v>150</v>
      </c>
      <c r="H7" s="144"/>
      <c r="I7" s="144"/>
      <c r="J7" s="144"/>
      <c r="K7" s="162" t="s">
        <v>102</v>
      </c>
      <c r="L7" s="145">
        <f t="shared" si="0"/>
        <v>567</v>
      </c>
    </row>
    <row r="8" spans="2:12" s="15" customFormat="1" ht="12.75" hidden="1" customHeight="1" x14ac:dyDescent="0.2">
      <c r="B8" s="90">
        <v>1984</v>
      </c>
      <c r="C8" s="160" t="s">
        <v>102</v>
      </c>
      <c r="D8" s="161" t="s">
        <v>102</v>
      </c>
      <c r="E8" s="161" t="s">
        <v>102</v>
      </c>
      <c r="F8" s="144">
        <v>417</v>
      </c>
      <c r="G8" s="144">
        <v>224</v>
      </c>
      <c r="H8" s="144"/>
      <c r="I8" s="144"/>
      <c r="J8" s="144"/>
      <c r="K8" s="162" t="s">
        <v>102</v>
      </c>
      <c r="L8" s="145">
        <f t="shared" si="0"/>
        <v>641</v>
      </c>
    </row>
    <row r="9" spans="2:12" s="20" customFormat="1" ht="12.75" customHeight="1" x14ac:dyDescent="0.2">
      <c r="B9" s="90">
        <v>1985</v>
      </c>
      <c r="C9" s="321" t="s">
        <v>102</v>
      </c>
      <c r="D9" s="354" t="s">
        <v>102</v>
      </c>
      <c r="E9" s="354" t="s">
        <v>102</v>
      </c>
      <c r="F9" s="353">
        <v>419</v>
      </c>
      <c r="G9" s="353">
        <v>224</v>
      </c>
      <c r="H9" s="372" t="s">
        <v>59</v>
      </c>
      <c r="I9" s="356" t="s">
        <v>59</v>
      </c>
      <c r="J9" s="356" t="s">
        <v>59</v>
      </c>
      <c r="K9" s="373" t="s">
        <v>102</v>
      </c>
      <c r="L9" s="374">
        <f t="shared" si="0"/>
        <v>643</v>
      </c>
    </row>
    <row r="10" spans="2:12" s="20" customFormat="1" ht="12.75" hidden="1" customHeight="1" x14ac:dyDescent="0.2">
      <c r="B10" s="90">
        <v>1986</v>
      </c>
      <c r="C10" s="321" t="s">
        <v>102</v>
      </c>
      <c r="D10" s="354" t="s">
        <v>102</v>
      </c>
      <c r="E10" s="354" t="s">
        <v>102</v>
      </c>
      <c r="F10" s="353">
        <v>419</v>
      </c>
      <c r="G10" s="353">
        <v>224</v>
      </c>
      <c r="H10" s="356" t="s">
        <v>59</v>
      </c>
      <c r="I10" s="356" t="s">
        <v>59</v>
      </c>
      <c r="J10" s="356"/>
      <c r="K10" s="373" t="s">
        <v>102</v>
      </c>
      <c r="L10" s="374">
        <f t="shared" si="0"/>
        <v>643</v>
      </c>
    </row>
    <row r="11" spans="2:12" s="20" customFormat="1" ht="12.75" hidden="1" customHeight="1" x14ac:dyDescent="0.2">
      <c r="B11" s="90">
        <v>1987</v>
      </c>
      <c r="C11" s="321" t="s">
        <v>102</v>
      </c>
      <c r="D11" s="354" t="s">
        <v>102</v>
      </c>
      <c r="E11" s="354" t="s">
        <v>102</v>
      </c>
      <c r="F11" s="353">
        <v>419</v>
      </c>
      <c r="G11" s="353">
        <v>224</v>
      </c>
      <c r="H11" s="356" t="s">
        <v>59</v>
      </c>
      <c r="I11" s="356" t="s">
        <v>59</v>
      </c>
      <c r="J11" s="356"/>
      <c r="K11" s="373" t="s">
        <v>102</v>
      </c>
      <c r="L11" s="374">
        <f t="shared" si="0"/>
        <v>643</v>
      </c>
    </row>
    <row r="12" spans="2:12" s="20" customFormat="1" ht="12.75" hidden="1" customHeight="1" x14ac:dyDescent="0.2">
      <c r="B12" s="90">
        <v>1988</v>
      </c>
      <c r="C12" s="321" t="s">
        <v>102</v>
      </c>
      <c r="D12" s="354">
        <v>90</v>
      </c>
      <c r="E12" s="354" t="s">
        <v>102</v>
      </c>
      <c r="F12" s="353">
        <v>419</v>
      </c>
      <c r="G12" s="353">
        <v>224</v>
      </c>
      <c r="H12" s="356" t="s">
        <v>59</v>
      </c>
      <c r="I12" s="356" t="s">
        <v>59</v>
      </c>
      <c r="J12" s="356"/>
      <c r="K12" s="373" t="s">
        <v>102</v>
      </c>
      <c r="L12" s="374">
        <f t="shared" si="0"/>
        <v>733</v>
      </c>
    </row>
    <row r="13" spans="2:12" s="20" customFormat="1" ht="12.75" hidden="1" customHeight="1" x14ac:dyDescent="0.2">
      <c r="B13" s="90">
        <v>1989</v>
      </c>
      <c r="C13" s="321" t="s">
        <v>102</v>
      </c>
      <c r="D13" s="354">
        <v>90</v>
      </c>
      <c r="E13" s="354" t="s">
        <v>102</v>
      </c>
      <c r="F13" s="353">
        <f>419+291</f>
        <v>710</v>
      </c>
      <c r="G13" s="353">
        <v>224</v>
      </c>
      <c r="H13" s="356" t="s">
        <v>59</v>
      </c>
      <c r="I13" s="356" t="s">
        <v>59</v>
      </c>
      <c r="J13" s="356"/>
      <c r="K13" s="373" t="s">
        <v>102</v>
      </c>
      <c r="L13" s="374">
        <f t="shared" si="0"/>
        <v>1024</v>
      </c>
    </row>
    <row r="14" spans="2:12" s="20" customFormat="1" ht="12.75" customHeight="1" x14ac:dyDescent="0.2">
      <c r="B14" s="90">
        <v>1990</v>
      </c>
      <c r="C14" s="321" t="s">
        <v>102</v>
      </c>
      <c r="D14" s="354">
        <v>90</v>
      </c>
      <c r="E14" s="354" t="s">
        <v>102</v>
      </c>
      <c r="F14" s="353">
        <v>710</v>
      </c>
      <c r="G14" s="353">
        <v>224</v>
      </c>
      <c r="H14" s="356" t="s">
        <v>59</v>
      </c>
      <c r="I14" s="356" t="s">
        <v>59</v>
      </c>
      <c r="J14" s="356" t="s">
        <v>59</v>
      </c>
      <c r="K14" s="373" t="s">
        <v>102</v>
      </c>
      <c r="L14" s="374">
        <f t="shared" si="0"/>
        <v>1024</v>
      </c>
    </row>
    <row r="15" spans="2:12" s="20" customFormat="1" ht="12.75" hidden="1" customHeight="1" x14ac:dyDescent="0.2">
      <c r="B15" s="90">
        <v>1991</v>
      </c>
      <c r="C15" s="321" t="s">
        <v>102</v>
      </c>
      <c r="D15" s="354">
        <v>199</v>
      </c>
      <c r="E15" s="354" t="s">
        <v>102</v>
      </c>
      <c r="F15" s="353">
        <v>710</v>
      </c>
      <c r="G15" s="353">
        <v>224</v>
      </c>
      <c r="H15" s="356" t="s">
        <v>59</v>
      </c>
      <c r="I15" s="356" t="s">
        <v>59</v>
      </c>
      <c r="J15" s="356"/>
      <c r="K15" s="373" t="s">
        <v>102</v>
      </c>
      <c r="L15" s="374">
        <f t="shared" si="0"/>
        <v>1133</v>
      </c>
    </row>
    <row r="16" spans="2:12" s="20" customFormat="1" ht="12.75" hidden="1" customHeight="1" x14ac:dyDescent="0.2">
      <c r="B16" s="90">
        <v>1992</v>
      </c>
      <c r="C16" s="321" t="s">
        <v>102</v>
      </c>
      <c r="D16" s="354">
        <v>199</v>
      </c>
      <c r="E16" s="354">
        <v>471</v>
      </c>
      <c r="F16" s="353">
        <v>710</v>
      </c>
      <c r="G16" s="353">
        <v>248</v>
      </c>
      <c r="H16" s="356" t="s">
        <v>59</v>
      </c>
      <c r="I16" s="356" t="s">
        <v>59</v>
      </c>
      <c r="J16" s="356"/>
      <c r="K16" s="373" t="s">
        <v>102</v>
      </c>
      <c r="L16" s="374">
        <f t="shared" si="0"/>
        <v>1628</v>
      </c>
    </row>
    <row r="17" spans="2:12" s="20" customFormat="1" ht="12.75" hidden="1" customHeight="1" x14ac:dyDescent="0.2">
      <c r="B17" s="90">
        <v>1993</v>
      </c>
      <c r="C17" s="321" t="s">
        <v>102</v>
      </c>
      <c r="D17" s="354">
        <v>199</v>
      </c>
      <c r="E17" s="354">
        <v>471</v>
      </c>
      <c r="F17" s="353">
        <f>710+121</f>
        <v>831</v>
      </c>
      <c r="G17" s="353">
        <v>248</v>
      </c>
      <c r="H17" s="356" t="s">
        <v>59</v>
      </c>
      <c r="I17" s="356" t="s">
        <v>59</v>
      </c>
      <c r="J17" s="356"/>
      <c r="K17" s="373" t="s">
        <v>102</v>
      </c>
      <c r="L17" s="374">
        <f t="shared" si="0"/>
        <v>1749</v>
      </c>
    </row>
    <row r="18" spans="2:12" s="20" customFormat="1" ht="12.75" hidden="1" customHeight="1" x14ac:dyDescent="0.2">
      <c r="B18" s="90">
        <v>1994</v>
      </c>
      <c r="C18" s="321" t="s">
        <v>102</v>
      </c>
      <c r="D18" s="354">
        <v>447</v>
      </c>
      <c r="E18" s="354">
        <v>471</v>
      </c>
      <c r="F18" s="353">
        <f>831+346</f>
        <v>1177</v>
      </c>
      <c r="G18" s="353">
        <v>248</v>
      </c>
      <c r="H18" s="356" t="s">
        <v>59</v>
      </c>
      <c r="I18" s="356" t="s">
        <v>59</v>
      </c>
      <c r="J18" s="356"/>
      <c r="K18" s="373" t="s">
        <v>102</v>
      </c>
      <c r="L18" s="374">
        <f t="shared" si="0"/>
        <v>2343</v>
      </c>
    </row>
    <row r="19" spans="2:12" s="20" customFormat="1" ht="12.75" customHeight="1" x14ac:dyDescent="0.2">
      <c r="B19" s="90">
        <v>1995</v>
      </c>
      <c r="C19" s="321" t="s">
        <v>102</v>
      </c>
      <c r="D19" s="354">
        <v>447</v>
      </c>
      <c r="E19" s="354">
        <v>471</v>
      </c>
      <c r="F19" s="353">
        <f>1177+104</f>
        <v>1281</v>
      </c>
      <c r="G19" s="353">
        <v>248</v>
      </c>
      <c r="H19" s="356" t="s">
        <v>59</v>
      </c>
      <c r="I19" s="356" t="s">
        <v>59</v>
      </c>
      <c r="J19" s="356" t="s">
        <v>59</v>
      </c>
      <c r="K19" s="373" t="s">
        <v>102</v>
      </c>
      <c r="L19" s="374">
        <f t="shared" si="0"/>
        <v>2447</v>
      </c>
    </row>
    <row r="20" spans="2:12" s="20" customFormat="1" ht="12.75" hidden="1" customHeight="1" x14ac:dyDescent="0.2">
      <c r="B20" s="90">
        <v>1996</v>
      </c>
      <c r="C20" s="321" t="s">
        <v>102</v>
      </c>
      <c r="D20" s="354">
        <v>447</v>
      </c>
      <c r="E20" s="354">
        <v>471</v>
      </c>
      <c r="F20" s="353">
        <v>1281</v>
      </c>
      <c r="G20" s="353">
        <v>248</v>
      </c>
      <c r="H20" s="356" t="s">
        <v>59</v>
      </c>
      <c r="I20" s="356" t="s">
        <v>59</v>
      </c>
      <c r="J20" s="356"/>
      <c r="K20" s="373" t="s">
        <v>102</v>
      </c>
      <c r="L20" s="374">
        <f t="shared" si="0"/>
        <v>2447</v>
      </c>
    </row>
    <row r="21" spans="2:12" s="20" customFormat="1" ht="12.75" hidden="1" customHeight="1" x14ac:dyDescent="0.2">
      <c r="B21" s="90">
        <v>1997</v>
      </c>
      <c r="C21" s="321" t="s">
        <v>102</v>
      </c>
      <c r="D21" s="354">
        <v>447</v>
      </c>
      <c r="E21" s="354">
        <v>471</v>
      </c>
      <c r="F21" s="353">
        <v>1281</v>
      </c>
      <c r="G21" s="353">
        <v>248</v>
      </c>
      <c r="H21" s="356" t="s">
        <v>59</v>
      </c>
      <c r="I21" s="356" t="s">
        <v>59</v>
      </c>
      <c r="J21" s="356"/>
      <c r="K21" s="373" t="s">
        <v>102</v>
      </c>
      <c r="L21" s="374">
        <f t="shared" si="0"/>
        <v>2447</v>
      </c>
    </row>
    <row r="22" spans="2:12" s="20" customFormat="1" ht="12.75" hidden="1" customHeight="1" x14ac:dyDescent="0.2">
      <c r="B22" s="90">
        <v>1998</v>
      </c>
      <c r="C22" s="321">
        <v>72</v>
      </c>
      <c r="D22" s="354">
        <v>636</v>
      </c>
      <c r="E22" s="354">
        <v>471</v>
      </c>
      <c r="F22" s="353">
        <v>1281</v>
      </c>
      <c r="G22" s="353">
        <v>248</v>
      </c>
      <c r="H22" s="356" t="s">
        <v>59</v>
      </c>
      <c r="I22" s="356" t="s">
        <v>59</v>
      </c>
      <c r="J22" s="356"/>
      <c r="K22" s="373" t="s">
        <v>102</v>
      </c>
      <c r="L22" s="374">
        <f t="shared" si="0"/>
        <v>2708</v>
      </c>
    </row>
    <row r="23" spans="2:12" s="20" customFormat="1" ht="12.75" hidden="1" customHeight="1" x14ac:dyDescent="0.2">
      <c r="B23" s="90">
        <v>1999</v>
      </c>
      <c r="C23" s="321">
        <v>72</v>
      </c>
      <c r="D23" s="354">
        <v>636</v>
      </c>
      <c r="E23" s="354">
        <v>471</v>
      </c>
      <c r="F23" s="353">
        <v>1281</v>
      </c>
      <c r="G23" s="353">
        <v>248</v>
      </c>
      <c r="H23" s="356" t="s">
        <v>59</v>
      </c>
      <c r="I23" s="356" t="s">
        <v>59</v>
      </c>
      <c r="J23" s="356"/>
      <c r="K23" s="373" t="s">
        <v>102</v>
      </c>
      <c r="L23" s="374">
        <f t="shared" si="0"/>
        <v>2708</v>
      </c>
    </row>
    <row r="24" spans="2:12" s="20" customFormat="1" ht="12.75" customHeight="1" x14ac:dyDescent="0.2">
      <c r="B24" s="90">
        <v>2000</v>
      </c>
      <c r="C24" s="321">
        <v>72</v>
      </c>
      <c r="D24" s="354">
        <v>636</v>
      </c>
      <c r="E24" s="354">
        <v>471</v>
      </c>
      <c r="F24" s="353">
        <v>1281</v>
      </c>
      <c r="G24" s="353">
        <v>248</v>
      </c>
      <c r="H24" s="356" t="s">
        <v>59</v>
      </c>
      <c r="I24" s="356" t="s">
        <v>59</v>
      </c>
      <c r="J24" s="356" t="s">
        <v>59</v>
      </c>
      <c r="K24" s="373" t="s">
        <v>102</v>
      </c>
      <c r="L24" s="374">
        <f t="shared" si="0"/>
        <v>2708</v>
      </c>
    </row>
    <row r="25" spans="2:12" s="20" customFormat="1" ht="12.75" hidden="1" customHeight="1" x14ac:dyDescent="0.2">
      <c r="B25" s="90">
        <v>2001</v>
      </c>
      <c r="C25" s="321">
        <v>72</v>
      </c>
      <c r="D25" s="354">
        <v>636</v>
      </c>
      <c r="E25" s="354">
        <v>471</v>
      </c>
      <c r="F25" s="353">
        <f>1281+259</f>
        <v>1540</v>
      </c>
      <c r="G25" s="353">
        <v>248</v>
      </c>
      <c r="H25" s="356" t="s">
        <v>59</v>
      </c>
      <c r="I25" s="356" t="s">
        <v>59</v>
      </c>
      <c r="J25" s="356"/>
      <c r="K25" s="373" t="s">
        <v>102</v>
      </c>
      <c r="L25" s="374">
        <f t="shared" si="0"/>
        <v>2967</v>
      </c>
    </row>
    <row r="26" spans="2:12" s="20" customFormat="1" ht="12.75" hidden="1" customHeight="1" x14ac:dyDescent="0.2">
      <c r="B26" s="90">
        <v>2002</v>
      </c>
      <c r="C26" s="321">
        <f t="shared" ref="C26:C32" si="1">72+65</f>
        <v>137</v>
      </c>
      <c r="D26" s="354">
        <v>833</v>
      </c>
      <c r="E26" s="354">
        <v>471</v>
      </c>
      <c r="F26" s="353">
        <v>1540</v>
      </c>
      <c r="G26" s="353">
        <v>248</v>
      </c>
      <c r="H26" s="356" t="s">
        <v>59</v>
      </c>
      <c r="I26" s="356" t="s">
        <v>59</v>
      </c>
      <c r="J26" s="356"/>
      <c r="K26" s="373" t="s">
        <v>102</v>
      </c>
      <c r="L26" s="374">
        <f t="shared" si="0"/>
        <v>3229</v>
      </c>
    </row>
    <row r="27" spans="2:12" s="20" customFormat="1" ht="12.75" customHeight="1" x14ac:dyDescent="0.2">
      <c r="B27" s="90">
        <v>2003</v>
      </c>
      <c r="C27" s="321">
        <f t="shared" si="1"/>
        <v>137</v>
      </c>
      <c r="D27" s="354">
        <v>875</v>
      </c>
      <c r="E27" s="354">
        <v>1069</v>
      </c>
      <c r="F27" s="353">
        <v>1540</v>
      </c>
      <c r="G27" s="353">
        <v>248</v>
      </c>
      <c r="H27" s="356" t="s">
        <v>59</v>
      </c>
      <c r="I27" s="356" t="s">
        <v>59</v>
      </c>
      <c r="J27" s="356" t="s">
        <v>59</v>
      </c>
      <c r="K27" s="373">
        <v>74</v>
      </c>
      <c r="L27" s="374">
        <f t="shared" si="0"/>
        <v>3943</v>
      </c>
    </row>
    <row r="28" spans="2:12" s="20" customFormat="1" ht="12.75" customHeight="1" x14ac:dyDescent="0.2">
      <c r="B28" s="90">
        <v>2004</v>
      </c>
      <c r="C28" s="321">
        <f t="shared" si="1"/>
        <v>137</v>
      </c>
      <c r="D28" s="354">
        <v>1196</v>
      </c>
      <c r="E28" s="354">
        <v>1069</v>
      </c>
      <c r="F28" s="353">
        <v>1540</v>
      </c>
      <c r="G28" s="353">
        <v>248</v>
      </c>
      <c r="H28" s="356" t="s">
        <v>59</v>
      </c>
      <c r="I28" s="356" t="s">
        <v>59</v>
      </c>
      <c r="J28" s="356" t="s">
        <v>59</v>
      </c>
      <c r="K28" s="373">
        <v>74</v>
      </c>
      <c r="L28" s="374">
        <f t="shared" si="0"/>
        <v>4264</v>
      </c>
    </row>
    <row r="29" spans="2:12" s="20" customFormat="1" ht="12.75" customHeight="1" x14ac:dyDescent="0.2">
      <c r="B29" s="90">
        <v>2005</v>
      </c>
      <c r="C29" s="321">
        <f t="shared" si="1"/>
        <v>137</v>
      </c>
      <c r="D29" s="354">
        <v>1196</v>
      </c>
      <c r="E29" s="354">
        <v>1090</v>
      </c>
      <c r="F29" s="353">
        <v>1540</v>
      </c>
      <c r="G29" s="353">
        <v>248</v>
      </c>
      <c r="H29" s="356" t="s">
        <v>59</v>
      </c>
      <c r="I29" s="356" t="s">
        <v>59</v>
      </c>
      <c r="J29" s="356" t="s">
        <v>59</v>
      </c>
      <c r="K29" s="373">
        <v>74</v>
      </c>
      <c r="L29" s="374">
        <f t="shared" si="0"/>
        <v>4285</v>
      </c>
    </row>
    <row r="30" spans="2:12" s="20" customFormat="1" ht="12.75" customHeight="1" x14ac:dyDescent="0.2">
      <c r="B30" s="90">
        <v>2006</v>
      </c>
      <c r="C30" s="321">
        <f t="shared" si="1"/>
        <v>137</v>
      </c>
      <c r="D30" s="354">
        <v>1285</v>
      </c>
      <c r="E30" s="354">
        <v>1272</v>
      </c>
      <c r="F30" s="353">
        <v>1540</v>
      </c>
      <c r="G30" s="353">
        <f>G31+94+220</f>
        <v>876</v>
      </c>
      <c r="H30" s="356" t="s">
        <v>59</v>
      </c>
      <c r="I30" s="356" t="s">
        <v>59</v>
      </c>
      <c r="J30" s="356" t="s">
        <v>59</v>
      </c>
      <c r="K30" s="373">
        <v>74</v>
      </c>
      <c r="L30" s="374">
        <f t="shared" si="0"/>
        <v>5184</v>
      </c>
    </row>
    <row r="31" spans="2:12" s="20" customFormat="1" ht="12.75" customHeight="1" x14ac:dyDescent="0.2">
      <c r="B31" s="90">
        <v>2007</v>
      </c>
      <c r="C31" s="321">
        <f t="shared" si="1"/>
        <v>137</v>
      </c>
      <c r="D31" s="354">
        <v>1285</v>
      </c>
      <c r="E31" s="354">
        <v>1511</v>
      </c>
      <c r="F31" s="353">
        <f>1540+332</f>
        <v>1872</v>
      </c>
      <c r="G31" s="353">
        <v>562</v>
      </c>
      <c r="H31" s="356" t="s">
        <v>59</v>
      </c>
      <c r="I31" s="356" t="s">
        <v>59</v>
      </c>
      <c r="J31" s="356" t="s">
        <v>59</v>
      </c>
      <c r="K31" s="373">
        <v>113</v>
      </c>
      <c r="L31" s="374">
        <f t="shared" si="0"/>
        <v>5480</v>
      </c>
    </row>
    <row r="32" spans="2:12" s="20" customFormat="1" ht="12.75" customHeight="1" x14ac:dyDescent="0.2">
      <c r="B32" s="90">
        <v>2008</v>
      </c>
      <c r="C32" s="321">
        <f t="shared" si="1"/>
        <v>137</v>
      </c>
      <c r="D32" s="354">
        <v>1285</v>
      </c>
      <c r="E32" s="354">
        <f>1511+88</f>
        <v>1599</v>
      </c>
      <c r="F32" s="353">
        <v>1872</v>
      </c>
      <c r="G32" s="353">
        <f>562+182</f>
        <v>744</v>
      </c>
      <c r="H32" s="356" t="s">
        <v>59</v>
      </c>
      <c r="I32" s="356" t="s">
        <v>59</v>
      </c>
      <c r="J32" s="356" t="s">
        <v>59</v>
      </c>
      <c r="K32" s="373">
        <v>113</v>
      </c>
      <c r="L32" s="374">
        <f t="shared" si="0"/>
        <v>5750</v>
      </c>
    </row>
    <row r="33" spans="1:12" s="20" customFormat="1" ht="12.75" customHeight="1" x14ac:dyDescent="0.2">
      <c r="B33" s="90">
        <v>2009</v>
      </c>
      <c r="C33" s="321">
        <f>137+72</f>
        <v>209</v>
      </c>
      <c r="D33" s="354">
        <v>1285</v>
      </c>
      <c r="E33" s="354">
        <f>1599+5</f>
        <v>1604</v>
      </c>
      <c r="F33" s="353">
        <v>1872</v>
      </c>
      <c r="G33" s="353">
        <f>744+55+77+47</f>
        <v>923</v>
      </c>
      <c r="H33" s="356">
        <v>120</v>
      </c>
      <c r="I33" s="356" t="s">
        <v>59</v>
      </c>
      <c r="J33" s="356" t="s">
        <v>59</v>
      </c>
      <c r="K33" s="373">
        <v>113</v>
      </c>
      <c r="L33" s="374">
        <f t="shared" si="0"/>
        <v>6126</v>
      </c>
    </row>
    <row r="34" spans="1:12" s="20" customFormat="1" ht="12.75" customHeight="1" x14ac:dyDescent="0.2">
      <c r="B34" s="90">
        <v>2010</v>
      </c>
      <c r="C34" s="321">
        <f>137+72</f>
        <v>209</v>
      </c>
      <c r="D34" s="354">
        <v>1285</v>
      </c>
      <c r="E34" s="354">
        <f>1604+20+432</f>
        <v>2056</v>
      </c>
      <c r="F34" s="353">
        <f>1872+24</f>
        <v>1896</v>
      </c>
      <c r="G34" s="353">
        <f>923</f>
        <v>923</v>
      </c>
      <c r="H34" s="356">
        <v>120</v>
      </c>
      <c r="I34" s="356" t="s">
        <v>59</v>
      </c>
      <c r="J34" s="356" t="s">
        <v>59</v>
      </c>
      <c r="K34" s="373">
        <v>113</v>
      </c>
      <c r="L34" s="374">
        <f t="shared" si="0"/>
        <v>6602</v>
      </c>
    </row>
    <row r="35" spans="1:12" s="20" customFormat="1" ht="12.75" customHeight="1" x14ac:dyDescent="0.2">
      <c r="B35" s="90">
        <v>2011</v>
      </c>
      <c r="C35" s="321">
        <v>209</v>
      </c>
      <c r="D35" s="354">
        <v>1285</v>
      </c>
      <c r="E35" s="354">
        <f>2056+88</f>
        <v>2144</v>
      </c>
      <c r="F35" s="353">
        <f>1896+140</f>
        <v>2036</v>
      </c>
      <c r="G35" s="353">
        <v>923</v>
      </c>
      <c r="H35" s="356">
        <v>120</v>
      </c>
      <c r="I35" s="356" t="s">
        <v>59</v>
      </c>
      <c r="J35" s="356" t="s">
        <v>59</v>
      </c>
      <c r="K35" s="354">
        <v>113</v>
      </c>
      <c r="L35" s="374">
        <f>SUM(C35:K35)</f>
        <v>6830</v>
      </c>
    </row>
    <row r="36" spans="1:12" s="20" customFormat="1" ht="12.75" customHeight="1" x14ac:dyDescent="0.2">
      <c r="B36" s="90">
        <v>2012</v>
      </c>
      <c r="C36" s="321">
        <v>209</v>
      </c>
      <c r="D36" s="354">
        <v>1334</v>
      </c>
      <c r="E36" s="354">
        <f>2056+88</f>
        <v>2144</v>
      </c>
      <c r="F36" s="353">
        <f>1896+140</f>
        <v>2036</v>
      </c>
      <c r="G36" s="353">
        <v>923</v>
      </c>
      <c r="H36" s="356">
        <v>120</v>
      </c>
      <c r="I36" s="356" t="s">
        <v>59</v>
      </c>
      <c r="J36" s="356" t="s">
        <v>59</v>
      </c>
      <c r="K36" s="354">
        <v>113</v>
      </c>
      <c r="L36" s="374">
        <f>SUM(C36:K36)</f>
        <v>6879</v>
      </c>
    </row>
    <row r="37" spans="1:12" s="2" customFormat="1" ht="15" customHeight="1" x14ac:dyDescent="0.2">
      <c r="B37" s="90">
        <v>2013</v>
      </c>
      <c r="C37" s="321">
        <v>209</v>
      </c>
      <c r="D37" s="354">
        <v>1334</v>
      </c>
      <c r="E37" s="354">
        <v>2515</v>
      </c>
      <c r="F37" s="353">
        <v>2036</v>
      </c>
      <c r="G37" s="353">
        <v>923</v>
      </c>
      <c r="H37" s="356">
        <v>120</v>
      </c>
      <c r="I37" s="356">
        <v>48</v>
      </c>
      <c r="J37" s="356" t="s">
        <v>59</v>
      </c>
      <c r="K37" s="354">
        <v>113</v>
      </c>
      <c r="L37" s="374">
        <f>SUM(C37:K37)</f>
        <v>7298</v>
      </c>
    </row>
    <row r="38" spans="1:12" s="2" customFormat="1" ht="15" customHeight="1" x14ac:dyDescent="0.2">
      <c r="B38" s="90">
        <v>2014</v>
      </c>
      <c r="C38" s="354">
        <v>209</v>
      </c>
      <c r="D38" s="354">
        <v>1352</v>
      </c>
      <c r="E38" s="354">
        <v>2515</v>
      </c>
      <c r="F38" s="353">
        <v>2036</v>
      </c>
      <c r="G38" s="353">
        <v>923</v>
      </c>
      <c r="H38" s="356">
        <v>120</v>
      </c>
      <c r="I38" s="356">
        <v>48</v>
      </c>
      <c r="J38" s="356" t="s">
        <v>59</v>
      </c>
      <c r="K38" s="354">
        <v>113</v>
      </c>
      <c r="L38" s="374">
        <f>SUM(C38:K38)</f>
        <v>7316</v>
      </c>
    </row>
    <row r="39" spans="1:12" s="2" customFormat="1" ht="15" customHeight="1" x14ac:dyDescent="0.2">
      <c r="B39" s="424">
        <v>2015</v>
      </c>
      <c r="C39" s="425">
        <v>209</v>
      </c>
      <c r="D39" s="375">
        <v>1475</v>
      </c>
      <c r="E39" s="375">
        <v>2871</v>
      </c>
      <c r="F39" s="376">
        <v>2036</v>
      </c>
      <c r="G39" s="376">
        <v>923</v>
      </c>
      <c r="H39" s="377">
        <v>120</v>
      </c>
      <c r="I39" s="377">
        <v>48</v>
      </c>
      <c r="J39" s="377">
        <v>224</v>
      </c>
      <c r="K39" s="426">
        <v>113</v>
      </c>
      <c r="L39" s="378">
        <f>SUM(C39:K39)</f>
        <v>8019</v>
      </c>
    </row>
    <row r="40" spans="1:12" s="2" customFormat="1" ht="24.95" customHeight="1" x14ac:dyDescent="0.2">
      <c r="B40" s="462" t="s">
        <v>169</v>
      </c>
      <c r="C40" s="462"/>
      <c r="D40" s="462"/>
      <c r="E40" s="462"/>
      <c r="F40" s="462"/>
      <c r="G40" s="462"/>
      <c r="H40" s="462"/>
      <c r="I40" s="462"/>
      <c r="J40" s="462"/>
      <c r="K40" s="462"/>
      <c r="L40" s="462"/>
    </row>
    <row r="41" spans="1:12" s="2" customFormat="1" ht="17.25" customHeight="1" x14ac:dyDescent="0.2">
      <c r="B41" s="462" t="s">
        <v>124</v>
      </c>
      <c r="C41" s="462"/>
      <c r="D41" s="462"/>
      <c r="E41" s="462"/>
      <c r="F41" s="462"/>
      <c r="G41" s="462"/>
      <c r="H41" s="462"/>
      <c r="I41" s="462"/>
      <c r="J41" s="462"/>
      <c r="K41" s="462"/>
      <c r="L41" s="462"/>
    </row>
    <row r="42" spans="1:12" ht="25.5" customHeight="1" x14ac:dyDescent="0.2">
      <c r="A42" s="1"/>
      <c r="B42" s="192"/>
      <c r="C42" s="192"/>
      <c r="D42" s="192"/>
      <c r="E42" s="192"/>
      <c r="F42" s="192"/>
      <c r="G42" s="192"/>
      <c r="H42" s="192"/>
      <c r="I42" s="298"/>
      <c r="J42" s="423"/>
      <c r="K42" s="192"/>
      <c r="L42" s="192"/>
    </row>
    <row r="43" spans="1:12" ht="16.5" customHeight="1" x14ac:dyDescent="0.2">
      <c r="B43" s="463" t="s">
        <v>3</v>
      </c>
      <c r="C43" s="463"/>
      <c r="D43" s="463"/>
      <c r="E43" s="463"/>
      <c r="F43" s="463"/>
      <c r="G43" s="463"/>
      <c r="H43" s="463"/>
      <c r="I43" s="463"/>
      <c r="J43" s="463"/>
      <c r="K43" s="463"/>
      <c r="L43" s="463"/>
    </row>
    <row r="44" spans="1:12" ht="9.75" customHeight="1" x14ac:dyDescent="0.2">
      <c r="B44" s="63"/>
      <c r="C44" s="468" t="s">
        <v>6</v>
      </c>
      <c r="D44" s="64"/>
      <c r="E44" s="64"/>
      <c r="F44" s="64"/>
      <c r="G44" s="428"/>
      <c r="H44" s="428"/>
      <c r="I44" s="428"/>
      <c r="J44" s="69"/>
      <c r="K44" s="65" t="s">
        <v>7</v>
      </c>
      <c r="L44" s="470" t="s">
        <v>97</v>
      </c>
    </row>
    <row r="45" spans="1:12" ht="12.75" customHeight="1" x14ac:dyDescent="0.2">
      <c r="B45" s="66"/>
      <c r="C45" s="469"/>
      <c r="D45" s="67"/>
      <c r="E45" s="67"/>
      <c r="F45" s="67"/>
      <c r="G45" s="429"/>
      <c r="H45" s="429"/>
      <c r="I45" s="429"/>
      <c r="J45" s="70"/>
      <c r="K45" s="68" t="s">
        <v>8</v>
      </c>
      <c r="L45" s="471"/>
    </row>
    <row r="46" spans="1:12" ht="12.75" customHeight="1" x14ac:dyDescent="0.2">
      <c r="B46" s="194" t="s">
        <v>41</v>
      </c>
      <c r="C46" s="195" t="s">
        <v>171</v>
      </c>
      <c r="D46" s="195"/>
      <c r="E46" s="196"/>
      <c r="F46" s="196"/>
      <c r="G46" s="195"/>
      <c r="H46" s="195"/>
      <c r="I46" s="195"/>
      <c r="J46" s="197"/>
      <c r="K46" s="198">
        <v>56</v>
      </c>
      <c r="L46" s="199">
        <v>2018</v>
      </c>
    </row>
    <row r="47" spans="1:12" ht="13.5" customHeight="1" x14ac:dyDescent="0.2">
      <c r="B47" s="153" t="s">
        <v>46</v>
      </c>
      <c r="C47" s="19" t="s">
        <v>156</v>
      </c>
      <c r="D47" s="19"/>
      <c r="E47" s="27"/>
      <c r="F47" s="27"/>
      <c r="G47" s="19"/>
      <c r="H47" s="19"/>
      <c r="I47" s="19"/>
      <c r="J47" s="163"/>
      <c r="K47" s="164">
        <v>39</v>
      </c>
      <c r="L47" s="371">
        <v>2029</v>
      </c>
    </row>
    <row r="48" spans="1:12" ht="12.75" customHeight="1" x14ac:dyDescent="0.2">
      <c r="B48" s="200" t="s">
        <v>46</v>
      </c>
      <c r="C48" s="201" t="s">
        <v>151</v>
      </c>
      <c r="D48" s="201"/>
      <c r="E48" s="202"/>
      <c r="F48" s="202"/>
      <c r="G48" s="201"/>
      <c r="H48" s="201"/>
      <c r="I48" s="201"/>
      <c r="J48" s="203"/>
      <c r="K48" s="204">
        <v>83</v>
      </c>
      <c r="L48" s="205">
        <v>2017</v>
      </c>
    </row>
    <row r="49" spans="2:12" ht="12.75" customHeight="1" x14ac:dyDescent="0.2">
      <c r="B49" s="153" t="s">
        <v>46</v>
      </c>
      <c r="C49" s="19" t="s">
        <v>152</v>
      </c>
      <c r="D49" s="19"/>
      <c r="E49" s="27"/>
      <c r="F49" s="27"/>
      <c r="G49" s="19"/>
      <c r="H49" s="19"/>
      <c r="I49" s="19"/>
      <c r="J49" s="163"/>
      <c r="K49" s="164">
        <v>100</v>
      </c>
      <c r="L49" s="371">
        <v>2017</v>
      </c>
    </row>
    <row r="50" spans="2:12" ht="12.75" customHeight="1" x14ac:dyDescent="0.2">
      <c r="B50" s="200" t="s">
        <v>46</v>
      </c>
      <c r="C50" s="201" t="s">
        <v>157</v>
      </c>
      <c r="D50" s="201"/>
      <c r="E50" s="202"/>
      <c r="F50" s="202"/>
      <c r="G50" s="201"/>
      <c r="H50" s="201"/>
      <c r="I50" s="201"/>
      <c r="J50" s="203"/>
      <c r="K50" s="204">
        <v>57</v>
      </c>
      <c r="L50" s="370">
        <v>2021</v>
      </c>
    </row>
    <row r="51" spans="2:12" ht="12.75" customHeight="1" x14ac:dyDescent="0.2">
      <c r="B51" s="153" t="s">
        <v>46</v>
      </c>
      <c r="C51" s="19" t="s">
        <v>158</v>
      </c>
      <c r="D51" s="19"/>
      <c r="E51" s="27"/>
      <c r="F51" s="27"/>
      <c r="G51" s="19"/>
      <c r="H51" s="19"/>
      <c r="I51" s="19"/>
      <c r="J51" s="163"/>
      <c r="K51" s="164">
        <v>12</v>
      </c>
      <c r="L51" s="371">
        <v>2021</v>
      </c>
    </row>
    <row r="52" spans="2:12" ht="12.75" customHeight="1" x14ac:dyDescent="0.2">
      <c r="B52" s="200" t="s">
        <v>46</v>
      </c>
      <c r="C52" s="201" t="s">
        <v>159</v>
      </c>
      <c r="D52" s="201"/>
      <c r="E52" s="202"/>
      <c r="F52" s="202"/>
      <c r="G52" s="201"/>
      <c r="H52" s="201"/>
      <c r="I52" s="201"/>
      <c r="J52" s="203"/>
      <c r="K52" s="204">
        <v>60</v>
      </c>
      <c r="L52" s="370">
        <v>2021</v>
      </c>
    </row>
    <row r="53" spans="2:12" ht="12.75" customHeight="1" x14ac:dyDescent="0.2">
      <c r="B53" s="153" t="s">
        <v>46</v>
      </c>
      <c r="C53" s="19" t="s">
        <v>160</v>
      </c>
      <c r="D53" s="19"/>
      <c r="E53" s="27"/>
      <c r="F53" s="27"/>
      <c r="G53" s="19"/>
      <c r="H53" s="19"/>
      <c r="I53" s="19"/>
      <c r="J53" s="163"/>
      <c r="K53" s="164">
        <v>17</v>
      </c>
      <c r="L53" s="371">
        <v>2022</v>
      </c>
    </row>
    <row r="54" spans="2:12" ht="12.75" customHeight="1" x14ac:dyDescent="0.2">
      <c r="B54" s="200" t="s">
        <v>47</v>
      </c>
      <c r="C54" s="201" t="s">
        <v>141</v>
      </c>
      <c r="D54" s="201"/>
      <c r="E54" s="202"/>
      <c r="F54" s="202"/>
      <c r="G54" s="201"/>
      <c r="H54" s="201"/>
      <c r="I54" s="201"/>
      <c r="J54" s="203"/>
      <c r="K54" s="204">
        <v>231</v>
      </c>
      <c r="L54" s="205"/>
    </row>
    <row r="55" spans="2:12" ht="12.75" customHeight="1" x14ac:dyDescent="0.2">
      <c r="B55" s="153" t="s">
        <v>47</v>
      </c>
      <c r="C55" s="19" t="s">
        <v>103</v>
      </c>
      <c r="D55" s="19"/>
      <c r="E55" s="27"/>
      <c r="F55" s="27"/>
      <c r="G55" s="19"/>
      <c r="H55" s="19"/>
      <c r="I55" s="19"/>
      <c r="J55" s="163"/>
      <c r="K55" s="164">
        <v>175</v>
      </c>
      <c r="L55" s="165"/>
    </row>
    <row r="56" spans="2:12" ht="12.75" customHeight="1" x14ac:dyDescent="0.2">
      <c r="B56" s="200" t="s">
        <v>47</v>
      </c>
      <c r="C56" s="201" t="s">
        <v>104</v>
      </c>
      <c r="D56" s="201"/>
      <c r="E56" s="202"/>
      <c r="F56" s="202"/>
      <c r="G56" s="201"/>
      <c r="H56" s="201"/>
      <c r="I56" s="201"/>
      <c r="J56" s="203"/>
      <c r="K56" s="204">
        <v>50</v>
      </c>
      <c r="L56" s="205"/>
    </row>
    <row r="57" spans="2:12" ht="12.75" customHeight="1" x14ac:dyDescent="0.2">
      <c r="B57" s="153" t="s">
        <v>47</v>
      </c>
      <c r="C57" s="19" t="s">
        <v>105</v>
      </c>
      <c r="D57" s="19"/>
      <c r="E57" s="27"/>
      <c r="F57" s="27"/>
      <c r="G57" s="19"/>
      <c r="H57" s="19"/>
      <c r="I57" s="19"/>
      <c r="J57" s="163"/>
      <c r="K57" s="164">
        <v>109</v>
      </c>
      <c r="L57" s="165"/>
    </row>
    <row r="58" spans="2:12" ht="12.75" customHeight="1" x14ac:dyDescent="0.2">
      <c r="B58" s="200" t="s">
        <v>47</v>
      </c>
      <c r="C58" s="201" t="s">
        <v>172</v>
      </c>
      <c r="D58" s="201"/>
      <c r="E58" s="202"/>
      <c r="F58" s="202"/>
      <c r="G58" s="201"/>
      <c r="H58" s="201"/>
      <c r="I58" s="201"/>
      <c r="J58" s="203"/>
      <c r="K58" s="204">
        <v>62</v>
      </c>
      <c r="L58" s="205"/>
    </row>
    <row r="59" spans="2:12" ht="12.75" customHeight="1" x14ac:dyDescent="0.2">
      <c r="B59" s="153" t="s">
        <v>47</v>
      </c>
      <c r="C59" s="19" t="s">
        <v>132</v>
      </c>
      <c r="D59" s="19"/>
      <c r="E59" s="27"/>
      <c r="F59" s="27"/>
      <c r="G59" s="3"/>
      <c r="H59" s="3"/>
      <c r="I59" s="3"/>
      <c r="J59" s="430"/>
      <c r="K59" s="164">
        <v>278</v>
      </c>
      <c r="L59" s="176"/>
    </row>
    <row r="60" spans="2:12" ht="12.75" customHeight="1" x14ac:dyDescent="0.2">
      <c r="B60" s="200" t="s">
        <v>47</v>
      </c>
      <c r="C60" s="201" t="s">
        <v>133</v>
      </c>
      <c r="D60" s="206"/>
      <c r="E60" s="206"/>
      <c r="F60" s="206"/>
      <c r="G60" s="206"/>
      <c r="H60" s="206"/>
      <c r="I60" s="206"/>
      <c r="J60" s="431"/>
      <c r="K60" s="204">
        <v>152</v>
      </c>
      <c r="L60" s="207"/>
    </row>
    <row r="61" spans="2:12" ht="15" customHeight="1" x14ac:dyDescent="0.2">
      <c r="B61" s="153" t="s">
        <v>47</v>
      </c>
      <c r="C61" s="19" t="s">
        <v>134</v>
      </c>
      <c r="D61" s="3"/>
      <c r="E61" s="3"/>
      <c r="F61" s="3"/>
      <c r="G61" s="3"/>
      <c r="H61" s="3"/>
      <c r="I61" s="3"/>
      <c r="J61" s="430"/>
      <c r="K61" s="164">
        <v>27</v>
      </c>
      <c r="L61" s="176"/>
    </row>
    <row r="62" spans="2:12" ht="15" customHeight="1" x14ac:dyDescent="0.2">
      <c r="B62" s="200" t="s">
        <v>47</v>
      </c>
      <c r="C62" s="201" t="s">
        <v>173</v>
      </c>
      <c r="D62" s="206"/>
      <c r="E62" s="206"/>
      <c r="F62" s="206"/>
      <c r="G62" s="206"/>
      <c r="H62" s="206"/>
      <c r="I62" s="206"/>
      <c r="J62" s="431"/>
      <c r="K62" s="204">
        <v>50</v>
      </c>
      <c r="L62" s="427"/>
    </row>
    <row r="63" spans="2:12" ht="15" customHeight="1" x14ac:dyDescent="0.2">
      <c r="B63" s="153" t="s">
        <v>47</v>
      </c>
      <c r="C63" s="19" t="s">
        <v>135</v>
      </c>
      <c r="D63" s="3"/>
      <c r="E63" s="3"/>
      <c r="F63" s="3"/>
      <c r="G63" s="19"/>
      <c r="H63" s="19"/>
      <c r="I63" s="19"/>
      <c r="J63" s="163"/>
      <c r="K63" s="164">
        <v>128</v>
      </c>
      <c r="L63" s="165"/>
    </row>
    <row r="64" spans="2:12" ht="15" customHeight="1" x14ac:dyDescent="0.2">
      <c r="B64" s="200" t="s">
        <v>48</v>
      </c>
      <c r="C64" s="201" t="s">
        <v>136</v>
      </c>
      <c r="D64" s="206"/>
      <c r="E64" s="206"/>
      <c r="F64" s="206"/>
      <c r="G64" s="201"/>
      <c r="H64" s="201"/>
      <c r="I64" s="201"/>
      <c r="J64" s="203"/>
      <c r="K64" s="204">
        <v>106</v>
      </c>
      <c r="L64" s="205">
        <v>2016</v>
      </c>
    </row>
    <row r="65" spans="2:12" ht="15" customHeight="1" x14ac:dyDescent="0.2">
      <c r="B65" s="153" t="s">
        <v>48</v>
      </c>
      <c r="C65" s="19" t="s">
        <v>137</v>
      </c>
      <c r="D65" s="3"/>
      <c r="E65" s="3"/>
      <c r="F65" s="3"/>
      <c r="G65" s="19"/>
      <c r="H65" s="19"/>
      <c r="I65" s="19"/>
      <c r="J65" s="163"/>
      <c r="K65" s="164">
        <v>214</v>
      </c>
      <c r="L65" s="165">
        <v>2017</v>
      </c>
    </row>
    <row r="66" spans="2:12" ht="15" customHeight="1" x14ac:dyDescent="0.2">
      <c r="B66" s="200" t="s">
        <v>48</v>
      </c>
      <c r="C66" s="201" t="s">
        <v>138</v>
      </c>
      <c r="D66" s="206"/>
      <c r="E66" s="206"/>
      <c r="F66" s="206"/>
      <c r="G66" s="201"/>
      <c r="H66" s="201"/>
      <c r="I66" s="201"/>
      <c r="J66" s="203"/>
      <c r="K66" s="204">
        <v>340</v>
      </c>
      <c r="L66" s="205">
        <v>2017</v>
      </c>
    </row>
    <row r="67" spans="2:12" ht="15" customHeight="1" x14ac:dyDescent="0.2">
      <c r="B67" s="153" t="s">
        <v>48</v>
      </c>
      <c r="C67" s="19" t="s">
        <v>126</v>
      </c>
      <c r="D67" s="19"/>
      <c r="E67" s="27"/>
      <c r="F67" s="27"/>
      <c r="G67" s="19"/>
      <c r="H67" s="19"/>
      <c r="I67" s="19"/>
      <c r="J67" s="163"/>
      <c r="K67" s="164">
        <v>80</v>
      </c>
      <c r="L67" s="165">
        <v>2018</v>
      </c>
    </row>
    <row r="68" spans="2:12" ht="15" customHeight="1" x14ac:dyDescent="0.2">
      <c r="B68" s="200" t="s">
        <v>50</v>
      </c>
      <c r="C68" s="201" t="s">
        <v>161</v>
      </c>
      <c r="D68" s="201"/>
      <c r="E68" s="202"/>
      <c r="F68" s="202"/>
      <c r="G68" s="201"/>
      <c r="H68" s="201"/>
      <c r="I68" s="201"/>
      <c r="J68" s="203"/>
      <c r="K68" s="204">
        <v>58</v>
      </c>
      <c r="L68" s="370">
        <v>2016</v>
      </c>
    </row>
    <row r="69" spans="2:12" ht="15" customHeight="1" x14ac:dyDescent="0.2">
      <c r="B69" s="153" t="s">
        <v>50</v>
      </c>
      <c r="C69" s="19" t="s">
        <v>162</v>
      </c>
      <c r="D69" s="19"/>
      <c r="E69" s="27"/>
      <c r="F69" s="27"/>
      <c r="G69" s="19"/>
      <c r="H69" s="19"/>
      <c r="I69" s="19"/>
      <c r="J69" s="163"/>
      <c r="K69" s="164">
        <v>67</v>
      </c>
      <c r="L69" s="371">
        <v>2020</v>
      </c>
    </row>
    <row r="70" spans="2:12" ht="15" customHeight="1" x14ac:dyDescent="0.2">
      <c r="B70" s="200" t="s">
        <v>52</v>
      </c>
      <c r="C70" s="201" t="s">
        <v>170</v>
      </c>
      <c r="D70" s="201"/>
      <c r="E70" s="202"/>
      <c r="F70" s="202"/>
      <c r="G70" s="201"/>
      <c r="H70" s="201"/>
      <c r="I70" s="201"/>
      <c r="J70" s="203"/>
      <c r="K70" s="204">
        <v>17</v>
      </c>
      <c r="L70" s="370">
        <v>2015</v>
      </c>
    </row>
    <row r="71" spans="2:12" ht="15" customHeight="1" x14ac:dyDescent="0.2">
      <c r="B71" s="153" t="s">
        <v>52</v>
      </c>
      <c r="C71" s="19" t="s">
        <v>153</v>
      </c>
      <c r="D71" s="3"/>
      <c r="E71" s="3"/>
      <c r="F71" s="3"/>
      <c r="G71" s="19"/>
      <c r="H71" s="19"/>
      <c r="I71" s="19"/>
      <c r="J71" s="163"/>
      <c r="K71" s="164">
        <v>27</v>
      </c>
      <c r="L71" s="371">
        <v>2024</v>
      </c>
    </row>
    <row r="72" spans="2:12" ht="15" customHeight="1" x14ac:dyDescent="0.2">
      <c r="B72" s="200" t="s">
        <v>52</v>
      </c>
      <c r="C72" s="201" t="s">
        <v>154</v>
      </c>
      <c r="D72" s="206"/>
      <c r="E72" s="206"/>
      <c r="F72" s="206"/>
      <c r="G72" s="201"/>
      <c r="H72" s="201"/>
      <c r="I72" s="201"/>
      <c r="J72" s="203"/>
      <c r="K72" s="204">
        <v>110</v>
      </c>
      <c r="L72" s="370">
        <v>2024</v>
      </c>
    </row>
    <row r="73" spans="2:12" ht="15" customHeight="1" x14ac:dyDescent="0.2">
      <c r="B73" s="153" t="s">
        <v>52</v>
      </c>
      <c r="C73" s="19" t="s">
        <v>155</v>
      </c>
      <c r="D73" s="3"/>
      <c r="E73" s="3"/>
      <c r="F73" s="3"/>
      <c r="G73" s="19"/>
      <c r="H73" s="432"/>
      <c r="I73" s="432"/>
      <c r="J73" s="433"/>
      <c r="K73" s="164">
        <v>64</v>
      </c>
      <c r="L73" s="371"/>
    </row>
    <row r="74" spans="2:12" ht="15" customHeight="1" x14ac:dyDescent="0.2">
      <c r="B74" s="442" t="s">
        <v>150</v>
      </c>
      <c r="C74" s="442"/>
      <c r="D74" s="442"/>
      <c r="E74" s="442"/>
      <c r="F74" s="442"/>
      <c r="G74" s="442"/>
      <c r="H74" s="442"/>
      <c r="I74" s="442"/>
      <c r="J74" s="442"/>
      <c r="K74" s="442"/>
      <c r="L74" s="442"/>
    </row>
    <row r="75" spans="2:12" ht="24.95" customHeight="1" x14ac:dyDescent="0.2">
      <c r="B75" s="445" t="s">
        <v>125</v>
      </c>
      <c r="C75" s="445"/>
      <c r="D75" s="445"/>
      <c r="E75" s="445"/>
      <c r="F75" s="445"/>
      <c r="G75" s="445"/>
      <c r="H75" s="445"/>
      <c r="I75" s="445"/>
      <c r="J75" s="445"/>
      <c r="K75" s="445"/>
      <c r="L75" s="445"/>
    </row>
    <row r="76" spans="2:12" ht="11.25" customHeight="1" x14ac:dyDescent="0.2">
      <c r="B76" s="461"/>
      <c r="C76" s="461"/>
      <c r="D76" s="461"/>
      <c r="E76" s="461"/>
      <c r="F76" s="461"/>
      <c r="G76" s="461"/>
      <c r="H76" s="461"/>
      <c r="I76" s="461"/>
      <c r="J76" s="461"/>
      <c r="K76" s="461"/>
      <c r="L76" s="461"/>
    </row>
    <row r="77" spans="2:12" ht="11.25" customHeight="1" x14ac:dyDescent="0.2">
      <c r="B77" s="14"/>
      <c r="C77" s="14"/>
      <c r="D77" s="14"/>
      <c r="E77" s="14"/>
      <c r="F77" s="14"/>
      <c r="G77" s="14"/>
      <c r="H77" s="14"/>
      <c r="I77" s="14"/>
      <c r="J77" s="14"/>
      <c r="K77" s="14"/>
      <c r="L77" s="14"/>
    </row>
    <row r="78" spans="2:12" ht="12.75" customHeight="1" x14ac:dyDescent="0.2">
      <c r="B78" s="14"/>
      <c r="C78" s="14"/>
      <c r="D78" s="14"/>
      <c r="E78" s="14"/>
      <c r="F78" s="14"/>
      <c r="G78" s="14"/>
      <c r="H78" s="14"/>
      <c r="I78" s="14"/>
      <c r="J78" s="14"/>
      <c r="K78" s="14"/>
      <c r="L78" s="14"/>
    </row>
    <row r="79" spans="2:12" x14ac:dyDescent="0.2">
      <c r="B79" s="13"/>
      <c r="C79" s="13"/>
      <c r="D79" s="13"/>
      <c r="E79" s="13"/>
      <c r="F79" s="13"/>
      <c r="G79" s="13"/>
      <c r="H79" s="13"/>
      <c r="I79" s="13"/>
      <c r="J79" s="13"/>
      <c r="K79" s="13"/>
      <c r="L79" s="13"/>
    </row>
  </sheetData>
  <mergeCells count="12">
    <mergeCell ref="B1:C1"/>
    <mergeCell ref="B2:L2"/>
    <mergeCell ref="B3:L3"/>
    <mergeCell ref="B4:L4"/>
    <mergeCell ref="C44:C45"/>
    <mergeCell ref="L44:L45"/>
    <mergeCell ref="B76:L76"/>
    <mergeCell ref="B40:L40"/>
    <mergeCell ref="B41:L41"/>
    <mergeCell ref="B75:L75"/>
    <mergeCell ref="B43:L43"/>
    <mergeCell ref="B74:L74"/>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G48"/>
  <sheetViews>
    <sheetView topLeftCell="A19" workbookViewId="0">
      <selection activeCell="Q23" sqref="Q23"/>
    </sheetView>
  </sheetViews>
  <sheetFormatPr defaultRowHeight="12.75" x14ac:dyDescent="0.2"/>
  <cols>
    <col min="1" max="1" width="3.7109375" customWidth="1"/>
    <col min="2" max="2" width="5.7109375" customWidth="1"/>
    <col min="3" max="3" width="0.85546875" customWidth="1"/>
    <col min="4" max="4" width="9.28515625" customWidth="1"/>
    <col min="5" max="5" width="12.7109375" customWidth="1"/>
    <col min="6" max="7" width="8.7109375" customWidth="1"/>
  </cols>
  <sheetData>
    <row r="1" spans="1:7" ht="14.25" customHeight="1" x14ac:dyDescent="0.2">
      <c r="B1" s="33"/>
      <c r="G1" s="16" t="s">
        <v>117</v>
      </c>
    </row>
    <row r="2" spans="1:7" ht="14.25" customHeight="1" x14ac:dyDescent="0.25">
      <c r="B2" s="475" t="s">
        <v>9</v>
      </c>
      <c r="C2" s="475"/>
      <c r="D2" s="475"/>
      <c r="E2" s="475"/>
      <c r="F2" s="475"/>
      <c r="G2" s="475"/>
    </row>
    <row r="3" spans="1:7" ht="20.100000000000001" customHeight="1" x14ac:dyDescent="0.2">
      <c r="B3" s="476" t="s">
        <v>10</v>
      </c>
      <c r="C3" s="476"/>
      <c r="D3" s="476"/>
      <c r="E3" s="476"/>
      <c r="F3" s="476"/>
      <c r="G3" s="476"/>
    </row>
    <row r="4" spans="1:7" ht="9.9499999999999993" customHeight="1" x14ac:dyDescent="0.2">
      <c r="B4" s="143"/>
      <c r="C4" s="143"/>
      <c r="D4" s="143"/>
      <c r="E4" s="143"/>
      <c r="F4" s="143"/>
      <c r="G4" s="143"/>
    </row>
    <row r="5" spans="1:7" ht="28.5" customHeight="1" x14ac:dyDescent="0.2">
      <c r="B5" s="21"/>
      <c r="C5" s="80"/>
      <c r="D5" s="81" t="s">
        <v>11</v>
      </c>
      <c r="E5" s="480" t="s">
        <v>12</v>
      </c>
      <c r="F5" s="481"/>
      <c r="G5" s="482"/>
    </row>
    <row r="6" spans="1:7" ht="15.75" customHeight="1" x14ac:dyDescent="0.2">
      <c r="B6" s="21"/>
      <c r="C6" s="82"/>
      <c r="D6" s="83" t="s">
        <v>13</v>
      </c>
      <c r="E6" s="132" t="s">
        <v>14</v>
      </c>
      <c r="F6" s="478" t="s">
        <v>15</v>
      </c>
      <c r="G6" s="479"/>
    </row>
    <row r="7" spans="1:7" ht="12" customHeight="1" x14ac:dyDescent="0.2">
      <c r="A7" s="29"/>
      <c r="B7" s="150" t="s">
        <v>45</v>
      </c>
      <c r="C7" s="71"/>
      <c r="D7" s="72">
        <v>1435</v>
      </c>
      <c r="E7" s="114">
        <v>3000</v>
      </c>
      <c r="F7" s="115">
        <v>25000</v>
      </c>
      <c r="G7" s="104" t="s">
        <v>70</v>
      </c>
    </row>
    <row r="8" spans="1:7" ht="12" customHeight="1" x14ac:dyDescent="0.2">
      <c r="A8" s="29"/>
      <c r="B8" s="91" t="s">
        <v>28</v>
      </c>
      <c r="C8" s="98"/>
      <c r="D8" s="99">
        <v>1435</v>
      </c>
      <c r="E8" s="116"/>
      <c r="F8" s="117">
        <v>25000</v>
      </c>
      <c r="G8" s="105" t="s">
        <v>70</v>
      </c>
    </row>
    <row r="9" spans="1:7" ht="12" customHeight="1" x14ac:dyDescent="0.2">
      <c r="A9" s="29"/>
      <c r="B9" s="151" t="s">
        <v>30</v>
      </c>
      <c r="C9" s="73"/>
      <c r="D9" s="74">
        <v>1435</v>
      </c>
      <c r="E9" s="118">
        <v>3000</v>
      </c>
      <c r="F9" s="119">
        <v>25000</v>
      </c>
      <c r="G9" s="106" t="s">
        <v>4</v>
      </c>
    </row>
    <row r="10" spans="1:7" ht="12" customHeight="1" x14ac:dyDescent="0.2">
      <c r="A10" s="29"/>
      <c r="B10" s="92" t="s">
        <v>41</v>
      </c>
      <c r="C10" s="100"/>
      <c r="D10" s="101">
        <v>1435</v>
      </c>
      <c r="E10" s="120">
        <v>3000</v>
      </c>
      <c r="F10" s="121">
        <v>25000</v>
      </c>
      <c r="G10" s="107" t="s">
        <v>70</v>
      </c>
    </row>
    <row r="11" spans="1:7" ht="12" customHeight="1" x14ac:dyDescent="0.2">
      <c r="A11" s="29"/>
      <c r="B11" s="11" t="s">
        <v>46</v>
      </c>
      <c r="C11" s="30"/>
      <c r="D11" s="26">
        <v>1435</v>
      </c>
      <c r="E11" s="122" t="s">
        <v>16</v>
      </c>
      <c r="F11" s="123">
        <v>15000</v>
      </c>
      <c r="G11" s="108" t="s">
        <v>69</v>
      </c>
    </row>
    <row r="12" spans="1:7" ht="11.1" customHeight="1" x14ac:dyDescent="0.2">
      <c r="A12" s="29"/>
      <c r="B12" s="151"/>
      <c r="C12" s="73"/>
      <c r="D12" s="74"/>
      <c r="E12" s="118" t="s">
        <v>17</v>
      </c>
      <c r="F12" s="119"/>
      <c r="G12" s="106"/>
    </row>
    <row r="13" spans="1:7" ht="12" customHeight="1" x14ac:dyDescent="0.2">
      <c r="A13" s="29"/>
      <c r="B13" s="92" t="s">
        <v>31</v>
      </c>
      <c r="C13" s="100"/>
      <c r="D13" s="101">
        <v>1520</v>
      </c>
      <c r="E13" s="120">
        <v>3000</v>
      </c>
      <c r="F13" s="121"/>
      <c r="G13" s="107"/>
    </row>
    <row r="14" spans="1:7" ht="12" customHeight="1" x14ac:dyDescent="0.2">
      <c r="A14" s="29"/>
      <c r="B14" s="152" t="s">
        <v>49</v>
      </c>
      <c r="C14" s="75"/>
      <c r="D14" s="76">
        <v>1600</v>
      </c>
      <c r="E14" s="124">
        <v>1500</v>
      </c>
      <c r="F14" s="125"/>
      <c r="G14" s="109"/>
    </row>
    <row r="15" spans="1:7" ht="12" customHeight="1" x14ac:dyDescent="0.2">
      <c r="A15" s="29"/>
      <c r="B15" s="93" t="s">
        <v>42</v>
      </c>
      <c r="C15" s="102"/>
      <c r="D15" s="103">
        <v>600</v>
      </c>
      <c r="E15" s="126"/>
      <c r="F15" s="127"/>
      <c r="G15" s="110"/>
    </row>
    <row r="16" spans="1:7" ht="12" customHeight="1" x14ac:dyDescent="0.2">
      <c r="A16" s="29"/>
      <c r="B16" s="93"/>
      <c r="C16" s="102"/>
      <c r="D16" s="103">
        <v>1000</v>
      </c>
      <c r="E16" s="126"/>
      <c r="F16" s="127"/>
      <c r="G16" s="110"/>
    </row>
    <row r="17" spans="1:7" ht="12" customHeight="1" x14ac:dyDescent="0.2">
      <c r="A17" s="29"/>
      <c r="B17" s="91"/>
      <c r="C17" s="98"/>
      <c r="D17" s="99">
        <v>1435</v>
      </c>
      <c r="E17" s="116"/>
      <c r="F17" s="117">
        <v>25000</v>
      </c>
      <c r="G17" s="105" t="s">
        <v>70</v>
      </c>
    </row>
    <row r="18" spans="1:7" ht="12" customHeight="1" x14ac:dyDescent="0.2">
      <c r="A18" s="29"/>
      <c r="B18" s="11" t="s">
        <v>18</v>
      </c>
      <c r="C18" s="30"/>
      <c r="D18" s="26">
        <v>1000</v>
      </c>
      <c r="E18" s="122">
        <v>1500</v>
      </c>
      <c r="F18" s="123"/>
      <c r="G18" s="108"/>
    </row>
    <row r="19" spans="1:7" ht="12" customHeight="1" x14ac:dyDescent="0.2">
      <c r="A19" s="29"/>
      <c r="B19" s="11"/>
      <c r="C19" s="30"/>
      <c r="D19" s="26">
        <v>1435</v>
      </c>
      <c r="E19" s="122"/>
      <c r="F19" s="123">
        <v>25000</v>
      </c>
      <c r="G19" s="108" t="s">
        <v>70</v>
      </c>
    </row>
    <row r="20" spans="1:7" ht="12" customHeight="1" x14ac:dyDescent="0.2">
      <c r="A20" s="29"/>
      <c r="B20" s="151"/>
      <c r="C20" s="73"/>
      <c r="D20" s="74">
        <v>1668</v>
      </c>
      <c r="E20" s="118">
        <v>3000</v>
      </c>
      <c r="F20" s="119"/>
      <c r="G20" s="106"/>
    </row>
    <row r="21" spans="1:7" ht="12" customHeight="1" x14ac:dyDescent="0.2">
      <c r="A21" s="29"/>
      <c r="B21" s="93" t="s">
        <v>48</v>
      </c>
      <c r="C21" s="102"/>
      <c r="D21" s="103">
        <v>1000</v>
      </c>
      <c r="E21" s="126" t="s">
        <v>19</v>
      </c>
      <c r="F21" s="127"/>
      <c r="G21" s="110"/>
    </row>
    <row r="22" spans="1:7" ht="11.1" customHeight="1" x14ac:dyDescent="0.2">
      <c r="A22" s="29"/>
      <c r="B22" s="93"/>
      <c r="C22" s="102"/>
      <c r="D22" s="103"/>
      <c r="E22" s="126" t="s">
        <v>17</v>
      </c>
      <c r="F22" s="127"/>
      <c r="G22" s="110"/>
    </row>
    <row r="23" spans="1:7" ht="12" customHeight="1" x14ac:dyDescent="0.2">
      <c r="A23" s="29"/>
      <c r="B23" s="93"/>
      <c r="C23" s="102"/>
      <c r="D23" s="99">
        <v>1435</v>
      </c>
      <c r="E23" s="116">
        <v>1500</v>
      </c>
      <c r="F23" s="117">
        <v>25000</v>
      </c>
      <c r="G23" s="105" t="s">
        <v>70</v>
      </c>
    </row>
    <row r="24" spans="1:7" ht="12" customHeight="1" x14ac:dyDescent="0.2">
      <c r="A24" s="29"/>
      <c r="B24" s="10" t="s">
        <v>60</v>
      </c>
      <c r="C24" s="30"/>
      <c r="D24" s="76">
        <v>1435</v>
      </c>
      <c r="E24" s="124">
        <v>3000</v>
      </c>
      <c r="F24" s="125">
        <v>25000</v>
      </c>
      <c r="G24" s="109" t="s">
        <v>70</v>
      </c>
    </row>
    <row r="25" spans="1:7" ht="12" customHeight="1" x14ac:dyDescent="0.2">
      <c r="A25" s="29"/>
      <c r="B25" s="269" t="s">
        <v>50</v>
      </c>
      <c r="C25" s="308"/>
      <c r="D25" s="271">
        <v>1435</v>
      </c>
      <c r="E25" s="272">
        <v>3000</v>
      </c>
      <c r="F25" s="273">
        <v>25000</v>
      </c>
      <c r="G25" s="274" t="s">
        <v>70</v>
      </c>
    </row>
    <row r="26" spans="1:7" ht="9.9499999999999993" customHeight="1" x14ac:dyDescent="0.2">
      <c r="A26" s="29"/>
      <c r="B26" s="152" t="s">
        <v>29</v>
      </c>
      <c r="C26" s="75"/>
      <c r="D26" s="77" t="s">
        <v>59</v>
      </c>
      <c r="E26" s="128" t="s">
        <v>59</v>
      </c>
      <c r="F26" s="129" t="s">
        <v>59</v>
      </c>
      <c r="G26" s="111" t="s">
        <v>59</v>
      </c>
    </row>
    <row r="27" spans="1:7" ht="12" customHeight="1" x14ac:dyDescent="0.2">
      <c r="A27" s="29"/>
      <c r="B27" s="275" t="s">
        <v>33</v>
      </c>
      <c r="C27" s="270"/>
      <c r="D27" s="271">
        <v>1520</v>
      </c>
      <c r="E27" s="272">
        <v>3000</v>
      </c>
      <c r="F27" s="276"/>
      <c r="G27" s="277"/>
    </row>
    <row r="28" spans="1:7" ht="12" customHeight="1" x14ac:dyDescent="0.2">
      <c r="A28" s="29"/>
      <c r="B28" s="152" t="s">
        <v>34</v>
      </c>
      <c r="C28" s="75"/>
      <c r="D28" s="76">
        <v>1520</v>
      </c>
      <c r="E28" s="124"/>
      <c r="F28" s="125">
        <v>25000</v>
      </c>
      <c r="G28" s="109" t="s">
        <v>70</v>
      </c>
    </row>
    <row r="29" spans="1:7" ht="12" customHeight="1" x14ac:dyDescent="0.2">
      <c r="A29" s="29"/>
      <c r="B29" s="275" t="s">
        <v>51</v>
      </c>
      <c r="C29" s="270"/>
      <c r="D29" s="271">
        <v>1435</v>
      </c>
      <c r="E29" s="272"/>
      <c r="F29" s="276">
        <v>25000</v>
      </c>
      <c r="G29" s="277" t="s">
        <v>70</v>
      </c>
    </row>
    <row r="30" spans="1:7" ht="12" customHeight="1" x14ac:dyDescent="0.2">
      <c r="A30" s="29"/>
      <c r="B30" s="152" t="s">
        <v>32</v>
      </c>
      <c r="C30" s="75"/>
      <c r="D30" s="76">
        <v>1435</v>
      </c>
      <c r="E30" s="124"/>
      <c r="F30" s="125">
        <v>25000</v>
      </c>
      <c r="G30" s="109" t="s">
        <v>70</v>
      </c>
    </row>
    <row r="31" spans="1:7" ht="9.9499999999999993" customHeight="1" x14ac:dyDescent="0.2">
      <c r="A31" s="29"/>
      <c r="B31" s="275" t="s">
        <v>35</v>
      </c>
      <c r="C31" s="270"/>
      <c r="D31" s="278" t="s">
        <v>59</v>
      </c>
      <c r="E31" s="279" t="s">
        <v>59</v>
      </c>
      <c r="F31" s="280" t="s">
        <v>59</v>
      </c>
      <c r="G31" s="281" t="s">
        <v>59</v>
      </c>
    </row>
    <row r="32" spans="1:7" ht="12" customHeight="1" x14ac:dyDescent="0.2">
      <c r="A32" s="29"/>
      <c r="B32" s="152" t="s">
        <v>43</v>
      </c>
      <c r="C32" s="75"/>
      <c r="D32" s="76">
        <v>1435</v>
      </c>
      <c r="E32" s="124">
        <v>1500</v>
      </c>
      <c r="F32" s="125"/>
      <c r="G32" s="109"/>
    </row>
    <row r="33" spans="1:7" ht="12" customHeight="1" x14ac:dyDescent="0.2">
      <c r="A33" s="29"/>
      <c r="B33" s="275" t="s">
        <v>52</v>
      </c>
      <c r="C33" s="270"/>
      <c r="D33" s="271">
        <v>1435</v>
      </c>
      <c r="E33" s="272"/>
      <c r="F33" s="276">
        <v>15000</v>
      </c>
      <c r="G33" s="277" t="s">
        <v>69</v>
      </c>
    </row>
    <row r="34" spans="1:7" ht="12" customHeight="1" x14ac:dyDescent="0.2">
      <c r="A34" s="8"/>
      <c r="B34" s="152" t="s">
        <v>36</v>
      </c>
      <c r="C34" s="75"/>
      <c r="D34" s="76">
        <v>1435</v>
      </c>
      <c r="E34" s="124">
        <v>3000</v>
      </c>
      <c r="F34" s="125"/>
      <c r="G34" s="109"/>
    </row>
    <row r="35" spans="1:7" ht="12" customHeight="1" x14ac:dyDescent="0.2">
      <c r="A35" s="8"/>
      <c r="B35" s="282" t="s">
        <v>53</v>
      </c>
      <c r="C35" s="283"/>
      <c r="D35" s="284">
        <v>1000</v>
      </c>
      <c r="E35" s="285"/>
      <c r="F35" s="286"/>
      <c r="G35" s="287"/>
    </row>
    <row r="36" spans="1:7" ht="12" customHeight="1" x14ac:dyDescent="0.2">
      <c r="A36" s="8"/>
      <c r="B36" s="151"/>
      <c r="C36" s="73"/>
      <c r="D36" s="74">
        <v>1668</v>
      </c>
      <c r="E36" s="118"/>
      <c r="F36" s="119">
        <v>25000</v>
      </c>
      <c r="G36" s="106" t="s">
        <v>70</v>
      </c>
    </row>
    <row r="37" spans="1:7" ht="12" customHeight="1" x14ac:dyDescent="0.2">
      <c r="A37" s="8"/>
      <c r="B37" s="288" t="s">
        <v>37</v>
      </c>
      <c r="C37" s="289"/>
      <c r="D37" s="290">
        <v>1435</v>
      </c>
      <c r="E37" s="291"/>
      <c r="F37" s="273">
        <v>25000</v>
      </c>
      <c r="G37" s="274" t="s">
        <v>70</v>
      </c>
    </row>
    <row r="38" spans="1:7" ht="12" customHeight="1" x14ac:dyDescent="0.2">
      <c r="A38" s="8"/>
      <c r="B38" s="152" t="s">
        <v>39</v>
      </c>
      <c r="C38" s="75"/>
      <c r="D38" s="76">
        <v>1435</v>
      </c>
      <c r="E38" s="124">
        <v>3000</v>
      </c>
      <c r="F38" s="125"/>
      <c r="G38" s="109"/>
    </row>
    <row r="39" spans="1:7" ht="12" customHeight="1" x14ac:dyDescent="0.2">
      <c r="A39" s="8"/>
      <c r="B39" s="275" t="s">
        <v>38</v>
      </c>
      <c r="C39" s="270"/>
      <c r="D39" s="271">
        <v>1435</v>
      </c>
      <c r="E39" s="272">
        <v>3000</v>
      </c>
      <c r="F39" s="276">
        <v>25000</v>
      </c>
      <c r="G39" s="277" t="s">
        <v>70</v>
      </c>
    </row>
    <row r="40" spans="1:7" ht="12" customHeight="1" x14ac:dyDescent="0.2">
      <c r="A40" s="8"/>
      <c r="B40" s="152" t="s">
        <v>54</v>
      </c>
      <c r="C40" s="75"/>
      <c r="D40" s="76">
        <v>1524</v>
      </c>
      <c r="E40" s="124"/>
      <c r="F40" s="125">
        <v>25000</v>
      </c>
      <c r="G40" s="109" t="s">
        <v>70</v>
      </c>
    </row>
    <row r="41" spans="1:7" ht="12" customHeight="1" x14ac:dyDescent="0.2">
      <c r="A41" s="8"/>
      <c r="B41" s="275" t="s">
        <v>55</v>
      </c>
      <c r="C41" s="270"/>
      <c r="D41" s="271">
        <v>1435</v>
      </c>
      <c r="E41" s="272"/>
      <c r="F41" s="276">
        <v>15000</v>
      </c>
      <c r="G41" s="277" t="s">
        <v>69</v>
      </c>
    </row>
    <row r="42" spans="1:7" ht="12" customHeight="1" x14ac:dyDescent="0.2">
      <c r="A42" s="8"/>
      <c r="B42" s="483" t="s">
        <v>44</v>
      </c>
      <c r="C42" s="30"/>
      <c r="D42" s="26">
        <v>1435</v>
      </c>
      <c r="E42" s="122">
        <v>750</v>
      </c>
      <c r="F42" s="123">
        <v>25000</v>
      </c>
      <c r="G42" s="108" t="s">
        <v>70</v>
      </c>
    </row>
    <row r="43" spans="1:7" ht="11.1" customHeight="1" x14ac:dyDescent="0.2">
      <c r="B43" s="484"/>
      <c r="C43" s="30"/>
      <c r="D43" s="78">
        <v>1600</v>
      </c>
      <c r="E43" s="122" t="s">
        <v>17</v>
      </c>
      <c r="F43" s="123"/>
      <c r="G43" s="112"/>
    </row>
    <row r="44" spans="1:7" ht="11.1" customHeight="1" x14ac:dyDescent="0.2">
      <c r="B44" s="484"/>
      <c r="C44" s="30"/>
      <c r="D44" s="79" t="s">
        <v>20</v>
      </c>
      <c r="E44" s="130"/>
      <c r="F44" s="131"/>
      <c r="G44" s="113"/>
    </row>
    <row r="45" spans="1:7" ht="24.95" customHeight="1" x14ac:dyDescent="0.2">
      <c r="B45" s="443" t="s">
        <v>101</v>
      </c>
      <c r="C45" s="443"/>
      <c r="D45" s="443"/>
      <c r="E45" s="443"/>
      <c r="F45" s="443"/>
      <c r="G45" s="443"/>
    </row>
    <row r="46" spans="1:7" ht="12.75" customHeight="1" x14ac:dyDescent="0.2">
      <c r="B46" s="477" t="s">
        <v>100</v>
      </c>
      <c r="C46" s="477"/>
      <c r="D46" s="477"/>
      <c r="E46" s="477"/>
      <c r="F46" s="477"/>
    </row>
    <row r="47" spans="1:7" ht="24.95" customHeight="1" x14ac:dyDescent="0.2">
      <c r="B47" s="474" t="s">
        <v>99</v>
      </c>
      <c r="C47" s="474"/>
      <c r="D47" s="474"/>
      <c r="E47" s="474"/>
      <c r="F47" s="474"/>
      <c r="G47" s="474"/>
    </row>
    <row r="48" spans="1:7" ht="12.75" customHeight="1" x14ac:dyDescent="0.2">
      <c r="B48" s="472" t="s">
        <v>98</v>
      </c>
      <c r="C48" s="473"/>
      <c r="D48" s="473"/>
      <c r="E48" s="473"/>
      <c r="F48" s="473"/>
      <c r="G48" s="473"/>
    </row>
  </sheetData>
  <mergeCells count="9">
    <mergeCell ref="B48:G48"/>
    <mergeCell ref="B47:G47"/>
    <mergeCell ref="B2:G2"/>
    <mergeCell ref="B3:G3"/>
    <mergeCell ref="B46:F46"/>
    <mergeCell ref="F6:G6"/>
    <mergeCell ref="E5:G5"/>
    <mergeCell ref="B45:G45"/>
    <mergeCell ref="B42:B44"/>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J47"/>
  <sheetViews>
    <sheetView topLeftCell="A58" workbookViewId="0">
      <selection activeCell="K1" sqref="K1:AC1048576"/>
    </sheetView>
  </sheetViews>
  <sheetFormatPr defaultRowHeight="12.75" x14ac:dyDescent="0.2"/>
  <cols>
    <col min="1" max="1" width="3.85546875" customWidth="1"/>
    <col min="2" max="2" width="4.85546875" customWidth="1"/>
    <col min="3" max="8" width="8.7109375" customWidth="1"/>
    <col min="9" max="9" width="4.85546875" customWidth="1"/>
  </cols>
  <sheetData>
    <row r="1" spans="1:10" ht="14.25" customHeight="1" x14ac:dyDescent="0.2">
      <c r="A1" s="1"/>
      <c r="B1" s="441"/>
      <c r="C1" s="441"/>
      <c r="D1" s="28"/>
      <c r="E1" s="25"/>
      <c r="F1" s="25"/>
      <c r="G1" s="25"/>
      <c r="I1" s="18" t="s">
        <v>118</v>
      </c>
    </row>
    <row r="2" spans="1:10" ht="30" customHeight="1" x14ac:dyDescent="0.2">
      <c r="A2" s="1"/>
      <c r="B2" s="444" t="s">
        <v>63</v>
      </c>
      <c r="C2" s="444"/>
      <c r="D2" s="444"/>
      <c r="E2" s="444"/>
      <c r="F2" s="444"/>
      <c r="G2" s="444"/>
      <c r="H2" s="444"/>
      <c r="I2" s="444"/>
    </row>
    <row r="3" spans="1:10" ht="18" customHeight="1" x14ac:dyDescent="0.2">
      <c r="A3" s="1"/>
      <c r="B3" s="485" t="s">
        <v>107</v>
      </c>
      <c r="C3" s="485"/>
      <c r="D3" s="485"/>
      <c r="E3" s="485"/>
      <c r="F3" s="485"/>
      <c r="G3" s="485"/>
      <c r="H3" s="485"/>
      <c r="I3" s="485"/>
    </row>
    <row r="4" spans="1:10" ht="33.75" customHeight="1" x14ac:dyDescent="0.2">
      <c r="B4" s="3"/>
      <c r="C4" s="84" t="s">
        <v>64</v>
      </c>
      <c r="D4" s="85" t="s">
        <v>65</v>
      </c>
      <c r="E4" s="85" t="s">
        <v>66</v>
      </c>
      <c r="F4" s="85" t="s">
        <v>71</v>
      </c>
      <c r="G4" s="85" t="s">
        <v>67</v>
      </c>
      <c r="H4" s="86" t="s">
        <v>68</v>
      </c>
    </row>
    <row r="5" spans="1:10" ht="12.75" customHeight="1" x14ac:dyDescent="0.2">
      <c r="B5" s="51" t="s">
        <v>143</v>
      </c>
      <c r="C5" s="208">
        <f t="shared" ref="C5" si="0">SUM(C8:C35)</f>
        <v>33</v>
      </c>
      <c r="D5" s="209">
        <f t="shared" ref="D5:H5" si="1">SUM(D8:D35)</f>
        <v>28</v>
      </c>
      <c r="E5" s="209">
        <f t="shared" si="1"/>
        <v>95</v>
      </c>
      <c r="F5" s="209">
        <f t="shared" si="1"/>
        <v>37</v>
      </c>
      <c r="G5" s="209">
        <f t="shared" si="1"/>
        <v>106</v>
      </c>
      <c r="H5" s="209">
        <f t="shared" si="1"/>
        <v>37</v>
      </c>
      <c r="I5" s="51" t="s">
        <v>143</v>
      </c>
    </row>
    <row r="6" spans="1:10" ht="12.75" customHeight="1" x14ac:dyDescent="0.2">
      <c r="A6" s="8"/>
      <c r="B6" s="54" t="s">
        <v>144</v>
      </c>
      <c r="C6" s="210">
        <f>SUM(C8,C11:C12,C14:C17,C23,C26:C27,C29,C33:C35,C19)</f>
        <v>31</v>
      </c>
      <c r="D6" s="211">
        <f t="shared" ref="D6:H6" si="2">SUM(D8,D11:D12,D14:D17,D23,D26:D27,D29,D33:D35,D19)</f>
        <v>25</v>
      </c>
      <c r="E6" s="211">
        <f t="shared" si="2"/>
        <v>75</v>
      </c>
      <c r="F6" s="211">
        <f t="shared" si="2"/>
        <v>34</v>
      </c>
      <c r="G6" s="211">
        <f t="shared" si="2"/>
        <v>91</v>
      </c>
      <c r="H6" s="211">
        <f t="shared" si="2"/>
        <v>36</v>
      </c>
      <c r="I6" s="54" t="s">
        <v>144</v>
      </c>
    </row>
    <row r="7" spans="1:10" ht="12.75" customHeight="1" x14ac:dyDescent="0.2">
      <c r="A7" s="8"/>
      <c r="B7" s="57" t="s">
        <v>145</v>
      </c>
      <c r="C7" s="212">
        <f>C5-C6</f>
        <v>2</v>
      </c>
      <c r="D7" s="212">
        <f t="shared" ref="D7:H7" si="3">D5-D6</f>
        <v>3</v>
      </c>
      <c r="E7" s="212">
        <f t="shared" si="3"/>
        <v>20</v>
      </c>
      <c r="F7" s="212">
        <f t="shared" si="3"/>
        <v>3</v>
      </c>
      <c r="G7" s="212">
        <f t="shared" si="3"/>
        <v>15</v>
      </c>
      <c r="H7" s="212">
        <f t="shared" si="3"/>
        <v>1</v>
      </c>
      <c r="I7" s="57" t="s">
        <v>145</v>
      </c>
    </row>
    <row r="8" spans="1:10" ht="12.75" customHeight="1" x14ac:dyDescent="0.2">
      <c r="A8" s="8"/>
      <c r="B8" s="9" t="s">
        <v>45</v>
      </c>
      <c r="C8" s="213">
        <v>1</v>
      </c>
      <c r="D8" s="214">
        <v>1</v>
      </c>
      <c r="E8" s="214"/>
      <c r="F8" s="214"/>
      <c r="G8" s="214">
        <v>2</v>
      </c>
      <c r="H8" s="193">
        <v>1</v>
      </c>
      <c r="I8" s="9" t="s">
        <v>45</v>
      </c>
      <c r="J8" s="248"/>
    </row>
    <row r="9" spans="1:10" ht="12.75" customHeight="1" x14ac:dyDescent="0.2">
      <c r="A9" s="8"/>
      <c r="B9" s="54" t="s">
        <v>28</v>
      </c>
      <c r="C9" s="215"/>
      <c r="D9" s="216"/>
      <c r="E9" s="216">
        <v>3</v>
      </c>
      <c r="F9" s="216"/>
      <c r="G9" s="216"/>
      <c r="H9" s="154"/>
      <c r="I9" s="54" t="s">
        <v>28</v>
      </c>
      <c r="J9" s="248"/>
    </row>
    <row r="10" spans="1:10" ht="12.75" customHeight="1" x14ac:dyDescent="0.2">
      <c r="A10" s="8"/>
      <c r="B10" s="10" t="s">
        <v>30</v>
      </c>
      <c r="C10" s="217">
        <v>1</v>
      </c>
      <c r="D10" s="218"/>
      <c r="E10" s="218"/>
      <c r="F10" s="218"/>
      <c r="G10" s="218">
        <v>3</v>
      </c>
      <c r="H10" s="165">
        <v>1</v>
      </c>
      <c r="I10" s="10" t="s">
        <v>30</v>
      </c>
      <c r="J10" s="248"/>
    </row>
    <row r="11" spans="1:10" ht="12.75" customHeight="1" x14ac:dyDescent="0.2">
      <c r="A11" s="8"/>
      <c r="B11" s="54" t="s">
        <v>41</v>
      </c>
      <c r="C11" s="215">
        <v>1</v>
      </c>
      <c r="D11" s="216"/>
      <c r="E11" s="216">
        <v>2</v>
      </c>
      <c r="F11" s="216"/>
      <c r="G11" s="216">
        <v>4</v>
      </c>
      <c r="H11" s="154">
        <v>1</v>
      </c>
      <c r="I11" s="54" t="s">
        <v>41</v>
      </c>
      <c r="J11" s="248"/>
    </row>
    <row r="12" spans="1:10" ht="12.75" customHeight="1" x14ac:dyDescent="0.2">
      <c r="A12" s="8"/>
      <c r="B12" s="10" t="s">
        <v>46</v>
      </c>
      <c r="C12" s="217">
        <v>5</v>
      </c>
      <c r="D12" s="218">
        <v>4</v>
      </c>
      <c r="E12" s="218">
        <v>7</v>
      </c>
      <c r="F12" s="218">
        <v>5</v>
      </c>
      <c r="G12" s="218">
        <v>6</v>
      </c>
      <c r="H12" s="165"/>
      <c r="I12" s="10" t="s">
        <v>46</v>
      </c>
      <c r="J12" s="248"/>
    </row>
    <row r="13" spans="1:10" ht="12.75" customHeight="1" x14ac:dyDescent="0.2">
      <c r="A13" s="8"/>
      <c r="B13" s="54" t="s">
        <v>31</v>
      </c>
      <c r="C13" s="215"/>
      <c r="D13" s="216"/>
      <c r="E13" s="216">
        <v>1</v>
      </c>
      <c r="F13" s="216"/>
      <c r="G13" s="216"/>
      <c r="H13" s="154"/>
      <c r="I13" s="54" t="s">
        <v>31</v>
      </c>
      <c r="J13" s="248"/>
    </row>
    <row r="14" spans="1:10" ht="12.75" customHeight="1" x14ac:dyDescent="0.2">
      <c r="A14" s="8"/>
      <c r="B14" s="10" t="s">
        <v>49</v>
      </c>
      <c r="C14" s="217">
        <v>1</v>
      </c>
      <c r="D14" s="218"/>
      <c r="E14" s="218">
        <v>2</v>
      </c>
      <c r="F14" s="218">
        <v>1</v>
      </c>
      <c r="G14" s="218">
        <v>1</v>
      </c>
      <c r="H14" s="165"/>
      <c r="I14" s="10" t="s">
        <v>49</v>
      </c>
    </row>
    <row r="15" spans="1:10" ht="12.75" customHeight="1" x14ac:dyDescent="0.2">
      <c r="A15" s="8"/>
      <c r="B15" s="54" t="s">
        <v>42</v>
      </c>
      <c r="C15" s="215">
        <v>1</v>
      </c>
      <c r="D15" s="216">
        <v>2</v>
      </c>
      <c r="E15" s="216">
        <v>6</v>
      </c>
      <c r="F15" s="216">
        <v>1</v>
      </c>
      <c r="G15" s="216">
        <v>11</v>
      </c>
      <c r="H15" s="154">
        <v>12</v>
      </c>
      <c r="I15" s="54" t="s">
        <v>42</v>
      </c>
    </row>
    <row r="16" spans="1:10" ht="12.75" customHeight="1" x14ac:dyDescent="0.2">
      <c r="A16" s="8"/>
      <c r="B16" s="10" t="s">
        <v>47</v>
      </c>
      <c r="C16" s="217">
        <v>6</v>
      </c>
      <c r="D16" s="218">
        <v>3</v>
      </c>
      <c r="E16" s="218">
        <v>10</v>
      </c>
      <c r="F16" s="218">
        <v>8</v>
      </c>
      <c r="G16" s="218">
        <v>6</v>
      </c>
      <c r="H16" s="165"/>
      <c r="I16" s="10" t="s">
        <v>47</v>
      </c>
    </row>
    <row r="17" spans="1:9" ht="12.75" customHeight="1" x14ac:dyDescent="0.2">
      <c r="A17" s="8"/>
      <c r="B17" s="54" t="s">
        <v>48</v>
      </c>
      <c r="C17" s="215">
        <v>3</v>
      </c>
      <c r="D17" s="216">
        <v>3</v>
      </c>
      <c r="E17" s="216">
        <v>12</v>
      </c>
      <c r="F17" s="216">
        <v>5</v>
      </c>
      <c r="G17" s="216">
        <v>20</v>
      </c>
      <c r="H17" s="154">
        <v>1</v>
      </c>
      <c r="I17" s="54" t="s">
        <v>48</v>
      </c>
    </row>
    <row r="18" spans="1:9" ht="12.75" customHeight="1" x14ac:dyDescent="0.2">
      <c r="A18" s="8"/>
      <c r="B18" s="10" t="s">
        <v>60</v>
      </c>
      <c r="C18" s="217"/>
      <c r="D18" s="218"/>
      <c r="E18" s="218">
        <v>3</v>
      </c>
      <c r="F18" s="218"/>
      <c r="G18" s="218">
        <v>2</v>
      </c>
      <c r="H18" s="165"/>
      <c r="I18" s="10" t="s">
        <v>60</v>
      </c>
    </row>
    <row r="19" spans="1:9" ht="12.75" customHeight="1" x14ac:dyDescent="0.2">
      <c r="A19" s="8"/>
      <c r="B19" s="228" t="s">
        <v>50</v>
      </c>
      <c r="C19" s="292">
        <v>2</v>
      </c>
      <c r="D19" s="293">
        <v>6</v>
      </c>
      <c r="E19" s="293">
        <v>15</v>
      </c>
      <c r="F19" s="293">
        <v>3</v>
      </c>
      <c r="G19" s="293">
        <v>7</v>
      </c>
      <c r="H19" s="205"/>
      <c r="I19" s="228" t="s">
        <v>50</v>
      </c>
    </row>
    <row r="20" spans="1:9" ht="12.75" customHeight="1" x14ac:dyDescent="0.2">
      <c r="A20" s="8"/>
      <c r="B20" s="10" t="s">
        <v>29</v>
      </c>
      <c r="C20" s="217"/>
      <c r="D20" s="218">
        <v>1</v>
      </c>
      <c r="E20" s="218">
        <v>1</v>
      </c>
      <c r="F20" s="218"/>
      <c r="G20" s="218"/>
      <c r="H20" s="165"/>
      <c r="I20" s="10" t="s">
        <v>29</v>
      </c>
    </row>
    <row r="21" spans="1:9" ht="12.75" customHeight="1" x14ac:dyDescent="0.2">
      <c r="A21" s="8"/>
      <c r="B21" s="228" t="s">
        <v>33</v>
      </c>
      <c r="C21" s="292"/>
      <c r="D21" s="293"/>
      <c r="E21" s="293">
        <v>1</v>
      </c>
      <c r="F21" s="293"/>
      <c r="G21" s="293"/>
      <c r="H21" s="205"/>
      <c r="I21" s="228" t="s">
        <v>33</v>
      </c>
    </row>
    <row r="22" spans="1:9" ht="12.75" customHeight="1" x14ac:dyDescent="0.2">
      <c r="A22" s="8"/>
      <c r="B22" s="10" t="s">
        <v>34</v>
      </c>
      <c r="C22" s="217"/>
      <c r="D22" s="218"/>
      <c r="E22" s="218">
        <v>1</v>
      </c>
      <c r="F22" s="218">
        <v>1</v>
      </c>
      <c r="G22" s="218">
        <v>1</v>
      </c>
      <c r="H22" s="165"/>
      <c r="I22" s="10" t="s">
        <v>34</v>
      </c>
    </row>
    <row r="23" spans="1:9" ht="12.75" customHeight="1" x14ac:dyDescent="0.2">
      <c r="A23" s="8"/>
      <c r="B23" s="228" t="s">
        <v>51</v>
      </c>
      <c r="C23" s="292"/>
      <c r="D23" s="293"/>
      <c r="E23" s="293">
        <v>1</v>
      </c>
      <c r="F23" s="293"/>
      <c r="G23" s="293"/>
      <c r="H23" s="205"/>
      <c r="I23" s="228" t="s">
        <v>51</v>
      </c>
    </row>
    <row r="24" spans="1:9" ht="12.75" customHeight="1" x14ac:dyDescent="0.2">
      <c r="A24" s="8"/>
      <c r="B24" s="10" t="s">
        <v>32</v>
      </c>
      <c r="C24" s="217"/>
      <c r="D24" s="218">
        <v>1</v>
      </c>
      <c r="E24" s="218"/>
      <c r="F24" s="218"/>
      <c r="G24" s="218"/>
      <c r="H24" s="165"/>
      <c r="I24" s="10" t="s">
        <v>32</v>
      </c>
    </row>
    <row r="25" spans="1:9" ht="12.75" customHeight="1" x14ac:dyDescent="0.2">
      <c r="A25" s="8"/>
      <c r="B25" s="228" t="s">
        <v>35</v>
      </c>
      <c r="C25" s="292"/>
      <c r="D25" s="293"/>
      <c r="E25" s="293">
        <v>1</v>
      </c>
      <c r="F25" s="293"/>
      <c r="G25" s="293"/>
      <c r="H25" s="205"/>
      <c r="I25" s="228" t="s">
        <v>35</v>
      </c>
    </row>
    <row r="26" spans="1:9" ht="12.75" customHeight="1" x14ac:dyDescent="0.2">
      <c r="A26" s="8"/>
      <c r="B26" s="10" t="s">
        <v>43</v>
      </c>
      <c r="C26" s="217">
        <v>1</v>
      </c>
      <c r="D26" s="218"/>
      <c r="E26" s="218">
        <v>2</v>
      </c>
      <c r="F26" s="218"/>
      <c r="G26" s="218">
        <v>2</v>
      </c>
      <c r="H26" s="165"/>
      <c r="I26" s="10" t="s">
        <v>43</v>
      </c>
    </row>
    <row r="27" spans="1:9" ht="12.75" customHeight="1" x14ac:dyDescent="0.2">
      <c r="A27" s="8"/>
      <c r="B27" s="228" t="s">
        <v>52</v>
      </c>
      <c r="C27" s="292">
        <v>1</v>
      </c>
      <c r="D27" s="293"/>
      <c r="E27" s="293">
        <v>1</v>
      </c>
      <c r="F27" s="293">
        <v>3</v>
      </c>
      <c r="G27" s="293">
        <v>1</v>
      </c>
      <c r="H27" s="205"/>
      <c r="I27" s="228" t="s">
        <v>52</v>
      </c>
    </row>
    <row r="28" spans="1:9" ht="12.75" customHeight="1" x14ac:dyDescent="0.2">
      <c r="A28" s="8"/>
      <c r="B28" s="10" t="s">
        <v>36</v>
      </c>
      <c r="C28" s="217">
        <v>1</v>
      </c>
      <c r="D28" s="218"/>
      <c r="E28" s="218">
        <v>6</v>
      </c>
      <c r="F28" s="218">
        <v>1</v>
      </c>
      <c r="G28" s="218">
        <v>4</v>
      </c>
      <c r="H28" s="165"/>
      <c r="I28" s="10" t="s">
        <v>36</v>
      </c>
    </row>
    <row r="29" spans="1:9" ht="12.75" customHeight="1" x14ac:dyDescent="0.2">
      <c r="A29" s="8"/>
      <c r="B29" s="228" t="s">
        <v>53</v>
      </c>
      <c r="C29" s="292">
        <v>1</v>
      </c>
      <c r="D29" s="293">
        <v>2</v>
      </c>
      <c r="E29" s="293">
        <v>1</v>
      </c>
      <c r="F29" s="293">
        <v>1</v>
      </c>
      <c r="G29" s="293">
        <v>3</v>
      </c>
      <c r="H29" s="205">
        <v>5</v>
      </c>
      <c r="I29" s="228" t="s">
        <v>53</v>
      </c>
    </row>
    <row r="30" spans="1:9" ht="12.75" customHeight="1" x14ac:dyDescent="0.2">
      <c r="A30" s="8"/>
      <c r="B30" s="10" t="s">
        <v>37</v>
      </c>
      <c r="C30" s="217"/>
      <c r="D30" s="218">
        <v>1</v>
      </c>
      <c r="E30" s="218">
        <v>1</v>
      </c>
      <c r="F30" s="218">
        <v>1</v>
      </c>
      <c r="G30" s="218">
        <v>4</v>
      </c>
      <c r="H30" s="165"/>
      <c r="I30" s="10" t="s">
        <v>37</v>
      </c>
    </row>
    <row r="31" spans="1:9" ht="12.75" customHeight="1" x14ac:dyDescent="0.2">
      <c r="A31" s="8"/>
      <c r="B31" s="228" t="s">
        <v>39</v>
      </c>
      <c r="C31" s="292"/>
      <c r="D31" s="293"/>
      <c r="E31" s="293">
        <v>1</v>
      </c>
      <c r="F31" s="293"/>
      <c r="G31" s="293"/>
      <c r="H31" s="205"/>
      <c r="I31" s="228" t="s">
        <v>39</v>
      </c>
    </row>
    <row r="32" spans="1:9" ht="12.75" customHeight="1" x14ac:dyDescent="0.2">
      <c r="A32" s="8"/>
      <c r="B32" s="10" t="s">
        <v>38</v>
      </c>
      <c r="C32" s="217"/>
      <c r="D32" s="218"/>
      <c r="E32" s="218">
        <v>1</v>
      </c>
      <c r="F32" s="218"/>
      <c r="G32" s="218">
        <v>1</v>
      </c>
      <c r="H32" s="165"/>
      <c r="I32" s="10" t="s">
        <v>38</v>
      </c>
    </row>
    <row r="33" spans="1:10" ht="12.75" customHeight="1" x14ac:dyDescent="0.2">
      <c r="A33" s="8"/>
      <c r="B33" s="228" t="s">
        <v>54</v>
      </c>
      <c r="C33" s="292">
        <v>1</v>
      </c>
      <c r="D33" s="293"/>
      <c r="E33" s="293"/>
      <c r="F33" s="293">
        <v>1</v>
      </c>
      <c r="G33" s="293">
        <v>8</v>
      </c>
      <c r="H33" s="205">
        <v>9</v>
      </c>
      <c r="I33" s="228" t="s">
        <v>54</v>
      </c>
    </row>
    <row r="34" spans="1:10" ht="12.75" customHeight="1" x14ac:dyDescent="0.2">
      <c r="A34" s="8"/>
      <c r="B34" s="10" t="s">
        <v>55</v>
      </c>
      <c r="C34" s="217">
        <v>1</v>
      </c>
      <c r="D34" s="218">
        <v>1</v>
      </c>
      <c r="E34" s="218">
        <v>5</v>
      </c>
      <c r="F34" s="218">
        <v>1</v>
      </c>
      <c r="G34" s="218">
        <v>10</v>
      </c>
      <c r="H34" s="165">
        <v>1</v>
      </c>
      <c r="I34" s="10" t="s">
        <v>55</v>
      </c>
    </row>
    <row r="35" spans="1:10" ht="12.75" customHeight="1" x14ac:dyDescent="0.2">
      <c r="A35" s="8"/>
      <c r="B35" s="228" t="s">
        <v>44</v>
      </c>
      <c r="C35" s="292">
        <v>6</v>
      </c>
      <c r="D35" s="293">
        <v>3</v>
      </c>
      <c r="E35" s="293">
        <v>11</v>
      </c>
      <c r="F35" s="293">
        <v>5</v>
      </c>
      <c r="G35" s="293">
        <v>10</v>
      </c>
      <c r="H35" s="205">
        <v>6</v>
      </c>
      <c r="I35" s="228" t="s">
        <v>44</v>
      </c>
    </row>
    <row r="36" spans="1:10" ht="12.75" customHeight="1" x14ac:dyDescent="0.2">
      <c r="A36" s="8"/>
      <c r="B36" s="9" t="s">
        <v>142</v>
      </c>
      <c r="C36" s="213"/>
      <c r="D36" s="214"/>
      <c r="E36" s="214">
        <v>1</v>
      </c>
      <c r="F36" s="214"/>
      <c r="G36" s="214"/>
      <c r="H36" s="193"/>
      <c r="I36" s="9" t="s">
        <v>142</v>
      </c>
    </row>
    <row r="37" spans="1:10" ht="12.75" customHeight="1" x14ac:dyDescent="0.2">
      <c r="A37" s="8"/>
      <c r="B37" s="228" t="s">
        <v>139</v>
      </c>
      <c r="C37" s="292"/>
      <c r="D37" s="293"/>
      <c r="E37" s="293"/>
      <c r="F37" s="293">
        <v>2</v>
      </c>
      <c r="G37" s="293"/>
      <c r="H37" s="370"/>
      <c r="I37" s="228" t="s">
        <v>139</v>
      </c>
    </row>
    <row r="38" spans="1:10" ht="12.75" customHeight="1" x14ac:dyDescent="0.2">
      <c r="A38" s="8"/>
      <c r="B38" s="10" t="s">
        <v>1</v>
      </c>
      <c r="C38" s="217"/>
      <c r="D38" s="218"/>
      <c r="E38" s="218">
        <v>1</v>
      </c>
      <c r="F38" s="218"/>
      <c r="G38" s="218"/>
      <c r="H38" s="165">
        <v>1</v>
      </c>
      <c r="I38" s="10" t="s">
        <v>1</v>
      </c>
    </row>
    <row r="39" spans="1:10" ht="12.75" customHeight="1" x14ac:dyDescent="0.2">
      <c r="A39" s="8"/>
      <c r="B39" s="228" t="s">
        <v>140</v>
      </c>
      <c r="C39" s="292"/>
      <c r="D39" s="293"/>
      <c r="E39" s="293">
        <v>1</v>
      </c>
      <c r="F39" s="293"/>
      <c r="G39" s="293"/>
      <c r="H39" s="205">
        <v>1</v>
      </c>
      <c r="I39" s="228" t="s">
        <v>140</v>
      </c>
      <c r="J39" s="248"/>
    </row>
    <row r="40" spans="1:10" ht="12.75" customHeight="1" x14ac:dyDescent="0.2">
      <c r="A40" s="8"/>
      <c r="B40" s="12" t="s">
        <v>40</v>
      </c>
      <c r="C40" s="219">
        <v>5</v>
      </c>
      <c r="D40" s="220">
        <v>4</v>
      </c>
      <c r="E40" s="220">
        <v>6</v>
      </c>
      <c r="F40" s="220">
        <v>6</v>
      </c>
      <c r="G40" s="220">
        <v>18</v>
      </c>
      <c r="H40" s="221">
        <v>9</v>
      </c>
      <c r="I40" s="12" t="s">
        <v>40</v>
      </c>
      <c r="J40" s="218"/>
    </row>
    <row r="41" spans="1:10" ht="12.75" customHeight="1" x14ac:dyDescent="0.2">
      <c r="A41" s="8"/>
      <c r="B41" s="228" t="s">
        <v>26</v>
      </c>
      <c r="C41" s="292"/>
      <c r="D41" s="293"/>
      <c r="E41" s="293">
        <v>1</v>
      </c>
      <c r="F41" s="293"/>
      <c r="G41" s="293"/>
      <c r="H41" s="199"/>
      <c r="I41" s="228" t="s">
        <v>26</v>
      </c>
    </row>
    <row r="42" spans="1:10" ht="12.75" customHeight="1" x14ac:dyDescent="0.2">
      <c r="A42" s="8"/>
      <c r="B42" s="10" t="s">
        <v>56</v>
      </c>
      <c r="C42" s="217">
        <v>1</v>
      </c>
      <c r="D42" s="218">
        <v>1</v>
      </c>
      <c r="E42" s="218">
        <v>8</v>
      </c>
      <c r="F42" s="218">
        <v>2</v>
      </c>
      <c r="G42" s="218">
        <v>6</v>
      </c>
      <c r="H42" s="165"/>
      <c r="I42" s="10" t="s">
        <v>56</v>
      </c>
    </row>
    <row r="43" spans="1:10" ht="12.75" customHeight="1" x14ac:dyDescent="0.2">
      <c r="A43" s="8"/>
      <c r="B43" s="261" t="s">
        <v>27</v>
      </c>
      <c r="C43" s="294">
        <v>2</v>
      </c>
      <c r="D43" s="295">
        <v>1</v>
      </c>
      <c r="E43" s="295"/>
      <c r="F43" s="295"/>
      <c r="G43" s="295">
        <v>2</v>
      </c>
      <c r="H43" s="296">
        <v>1</v>
      </c>
      <c r="I43" s="261" t="s">
        <v>27</v>
      </c>
    </row>
    <row r="44" spans="1:10" ht="23.25" customHeight="1" x14ac:dyDescent="0.2">
      <c r="B44" s="442" t="s">
        <v>163</v>
      </c>
      <c r="C44" s="442"/>
      <c r="D44" s="442"/>
      <c r="E44" s="442"/>
      <c r="F44" s="442"/>
      <c r="G44" s="442"/>
      <c r="H44" s="222"/>
    </row>
    <row r="45" spans="1:10" ht="47.25" customHeight="1" x14ac:dyDescent="0.2">
      <c r="B45" s="462" t="s">
        <v>168</v>
      </c>
      <c r="C45" s="462"/>
      <c r="D45" s="462"/>
      <c r="E45" s="462"/>
      <c r="F45" s="462"/>
      <c r="G45" s="462"/>
      <c r="H45" s="462"/>
      <c r="I45" s="462"/>
    </row>
    <row r="46" spans="1:10" ht="12.75" customHeight="1" x14ac:dyDescent="0.2"/>
    <row r="47" spans="1:10" ht="12.75" customHeight="1" x14ac:dyDescent="0.2"/>
  </sheetData>
  <mergeCells count="5">
    <mergeCell ref="B45:I45"/>
    <mergeCell ref="B1:C1"/>
    <mergeCell ref="B44:G44"/>
    <mergeCell ref="B2:I2"/>
    <mergeCell ref="B3:I3"/>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Y49"/>
  <sheetViews>
    <sheetView topLeftCell="P1" workbookViewId="0">
      <selection activeCell="AB21" sqref="AB21"/>
    </sheetView>
  </sheetViews>
  <sheetFormatPr defaultColWidth="9.140625" defaultRowHeight="12.75" x14ac:dyDescent="0.2"/>
  <cols>
    <col min="1" max="1" width="2.7109375" customWidth="1"/>
    <col min="2" max="2" width="4" customWidth="1"/>
    <col min="3" max="5" width="6" customWidth="1"/>
    <col min="6" max="10" width="6.7109375" customWidth="1"/>
    <col min="11" max="13" width="6" customWidth="1"/>
    <col min="14" max="15" width="6.7109375" customWidth="1"/>
    <col min="16" max="22" width="7.28515625" customWidth="1"/>
    <col min="23" max="24" width="7.42578125" customWidth="1"/>
    <col min="25" max="25" width="4.7109375" customWidth="1"/>
  </cols>
  <sheetData>
    <row r="1" spans="1:25" ht="14.25" customHeight="1" x14ac:dyDescent="0.2">
      <c r="B1" s="441"/>
      <c r="C1" s="441"/>
      <c r="D1" s="28"/>
      <c r="E1" s="25"/>
      <c r="F1" s="25"/>
      <c r="G1" s="25"/>
      <c r="H1" s="25"/>
      <c r="I1" s="25"/>
      <c r="J1" s="25"/>
      <c r="K1" s="25"/>
      <c r="L1" s="25"/>
      <c r="Y1" s="18" t="s">
        <v>119</v>
      </c>
    </row>
    <row r="2" spans="1:25" ht="30" customHeight="1" x14ac:dyDescent="0.2">
      <c r="B2" s="444" t="s">
        <v>77</v>
      </c>
      <c r="C2" s="444"/>
      <c r="D2" s="444"/>
      <c r="E2" s="444"/>
      <c r="F2" s="444"/>
      <c r="G2" s="444"/>
      <c r="H2" s="444"/>
      <c r="I2" s="444"/>
      <c r="J2" s="444"/>
      <c r="K2" s="444"/>
      <c r="L2" s="444"/>
      <c r="M2" s="444"/>
      <c r="N2" s="444"/>
      <c r="O2" s="444"/>
      <c r="P2" s="444"/>
      <c r="Q2" s="444"/>
      <c r="R2" s="444"/>
      <c r="S2" s="444"/>
      <c r="T2" s="444"/>
      <c r="U2" s="444"/>
      <c r="V2" s="444"/>
      <c r="W2" s="444"/>
      <c r="X2" s="444"/>
      <c r="Y2" s="444"/>
    </row>
    <row r="3" spans="1:25" ht="38.25" customHeight="1" x14ac:dyDescent="0.2">
      <c r="B3" s="466" t="s">
        <v>78</v>
      </c>
      <c r="C3" s="466"/>
      <c r="D3" s="466"/>
      <c r="E3" s="466"/>
      <c r="F3" s="466"/>
      <c r="G3" s="466"/>
      <c r="H3" s="466"/>
      <c r="I3" s="466"/>
      <c r="J3" s="466"/>
      <c r="K3" s="466"/>
      <c r="L3" s="466"/>
      <c r="M3" s="466"/>
      <c r="N3" s="466"/>
      <c r="O3" s="466"/>
      <c r="P3" s="466"/>
      <c r="Q3" s="466"/>
      <c r="R3" s="466"/>
      <c r="S3" s="466"/>
      <c r="T3" s="466"/>
      <c r="U3" s="466"/>
      <c r="V3" s="466"/>
      <c r="W3" s="466"/>
      <c r="X3" s="466"/>
      <c r="Y3" s="466"/>
    </row>
    <row r="4" spans="1:25" ht="12.75" customHeight="1" x14ac:dyDescent="0.2">
      <c r="B4" s="3"/>
      <c r="C4" s="37"/>
      <c r="D4" s="37"/>
      <c r="E4" s="182"/>
      <c r="F4" s="182"/>
      <c r="G4" s="182"/>
      <c r="H4" s="182"/>
      <c r="I4" s="182"/>
      <c r="J4" s="182"/>
      <c r="K4" s="182"/>
      <c r="L4" s="182"/>
      <c r="R4" s="38" t="s">
        <v>5</v>
      </c>
      <c r="S4" s="38"/>
      <c r="T4" s="38"/>
      <c r="U4" s="38"/>
      <c r="V4" s="38"/>
      <c r="W4" s="38"/>
      <c r="X4" s="38"/>
    </row>
    <row r="5" spans="1:25" ht="15" customHeight="1" x14ac:dyDescent="0.2">
      <c r="B5" s="178"/>
      <c r="C5" s="48">
        <v>1970</v>
      </c>
      <c r="D5" s="49">
        <v>1980</v>
      </c>
      <c r="E5" s="49">
        <v>1990</v>
      </c>
      <c r="F5" s="49">
        <v>1995</v>
      </c>
      <c r="G5" s="49">
        <v>1996</v>
      </c>
      <c r="H5" s="49">
        <v>1997</v>
      </c>
      <c r="I5" s="49">
        <v>1998</v>
      </c>
      <c r="J5" s="49">
        <v>1999</v>
      </c>
      <c r="K5" s="49">
        <v>2000</v>
      </c>
      <c r="L5" s="49">
        <v>2001</v>
      </c>
      <c r="M5" s="49">
        <v>2002</v>
      </c>
      <c r="N5" s="49">
        <v>2003</v>
      </c>
      <c r="O5" s="49">
        <v>2004</v>
      </c>
      <c r="P5" s="49">
        <v>2005</v>
      </c>
      <c r="Q5" s="49">
        <v>2006</v>
      </c>
      <c r="R5" s="49">
        <v>2007</v>
      </c>
      <c r="S5" s="49">
        <v>2008</v>
      </c>
      <c r="T5" s="49">
        <v>2009</v>
      </c>
      <c r="U5" s="49">
        <v>2010</v>
      </c>
      <c r="V5" s="49">
        <v>2011</v>
      </c>
      <c r="W5" s="49">
        <v>2012</v>
      </c>
      <c r="X5" s="50">
        <v>2013</v>
      </c>
    </row>
    <row r="6" spans="1:25" ht="12.75" customHeight="1" x14ac:dyDescent="0.2">
      <c r="B6" s="51" t="s">
        <v>143</v>
      </c>
      <c r="C6" s="379"/>
      <c r="D6" s="332"/>
      <c r="E6" s="332"/>
      <c r="F6" s="332">
        <f t="shared" ref="F6:O6" si="0">SUM(F9:F36)</f>
        <v>38611</v>
      </c>
      <c r="G6" s="170">
        <f t="shared" si="0"/>
        <v>38256</v>
      </c>
      <c r="H6" s="170">
        <f t="shared" si="0"/>
        <v>38464</v>
      </c>
      <c r="I6" s="170">
        <f t="shared" si="0"/>
        <v>39536.1</v>
      </c>
      <c r="J6" s="170">
        <f t="shared" si="0"/>
        <v>39450.1</v>
      </c>
      <c r="K6" s="170">
        <f t="shared" si="0"/>
        <v>40810.800000000003</v>
      </c>
      <c r="L6" s="170">
        <f t="shared" si="0"/>
        <v>40367.1</v>
      </c>
      <c r="M6" s="170">
        <f t="shared" si="0"/>
        <v>40277.1</v>
      </c>
      <c r="N6" s="170">
        <f t="shared" si="0"/>
        <v>40116.1</v>
      </c>
      <c r="O6" s="170">
        <f t="shared" si="0"/>
        <v>41245.1</v>
      </c>
      <c r="P6" s="332">
        <f t="shared" ref="P6:V6" si="1">SUM(P9:P36)</f>
        <v>41820.1</v>
      </c>
      <c r="Q6" s="332">
        <f t="shared" si="1"/>
        <v>41746.1</v>
      </c>
      <c r="R6" s="332">
        <f t="shared" si="1"/>
        <v>41686.1</v>
      </c>
      <c r="S6" s="332">
        <f t="shared" si="1"/>
        <v>41391.1</v>
      </c>
      <c r="T6" s="170">
        <f t="shared" si="1"/>
        <v>41360.1</v>
      </c>
      <c r="U6" s="170">
        <f t="shared" si="1"/>
        <v>41788.699999999997</v>
      </c>
      <c r="V6" s="171">
        <f t="shared" si="1"/>
        <v>41919.300000000003</v>
      </c>
      <c r="W6" s="171">
        <f t="shared" ref="W6" si="2">SUM(W9:W36)</f>
        <v>41862.300000000003</v>
      </c>
      <c r="X6" s="171">
        <f t="shared" ref="X6" si="3">SUM(X9:X36)</f>
        <v>42043.3</v>
      </c>
      <c r="Y6" s="51" t="s">
        <v>143</v>
      </c>
    </row>
    <row r="7" spans="1:25" ht="12.75" customHeight="1" x14ac:dyDescent="0.2">
      <c r="A7" s="2"/>
      <c r="B7" s="54" t="s">
        <v>144</v>
      </c>
      <c r="C7" s="380">
        <f>SUM(C9,C12:C13,C15:C18,C24,C27:C28,C30,C34:C36,C20)</f>
        <v>31748</v>
      </c>
      <c r="D7" s="336">
        <f t="shared" ref="D7:V7" si="4">SUM(D9,D12:D13,D15:D18,D24,D27:D28,D30,D34:D36,D20)</f>
        <v>30030</v>
      </c>
      <c r="E7" s="336">
        <f t="shared" si="4"/>
        <v>26565</v>
      </c>
      <c r="F7" s="336">
        <f t="shared" si="4"/>
        <v>28338</v>
      </c>
      <c r="G7" s="171">
        <f t="shared" si="4"/>
        <v>28151</v>
      </c>
      <c r="H7" s="171">
        <f t="shared" si="4"/>
        <v>28559</v>
      </c>
      <c r="I7" s="336">
        <f t="shared" si="4"/>
        <v>29857</v>
      </c>
      <c r="J7" s="171">
        <f t="shared" si="4"/>
        <v>29770</v>
      </c>
      <c r="K7" s="171">
        <f t="shared" si="4"/>
        <v>31120</v>
      </c>
      <c r="L7" s="171">
        <f t="shared" si="4"/>
        <v>30665</v>
      </c>
      <c r="M7" s="171">
        <f t="shared" si="4"/>
        <v>30791</v>
      </c>
      <c r="N7" s="171">
        <f t="shared" si="4"/>
        <v>30618</v>
      </c>
      <c r="O7" s="171">
        <f t="shared" si="4"/>
        <v>31669</v>
      </c>
      <c r="P7" s="336">
        <f t="shared" si="4"/>
        <v>32096</v>
      </c>
      <c r="Q7" s="336">
        <f t="shared" si="4"/>
        <v>31849</v>
      </c>
      <c r="R7" s="336">
        <f t="shared" si="4"/>
        <v>31789</v>
      </c>
      <c r="S7" s="336">
        <f t="shared" si="4"/>
        <v>31479</v>
      </c>
      <c r="T7" s="171">
        <f t="shared" si="4"/>
        <v>31429</v>
      </c>
      <c r="U7" s="171">
        <f t="shared" si="4"/>
        <v>31580</v>
      </c>
      <c r="V7" s="171">
        <f t="shared" si="4"/>
        <v>31495</v>
      </c>
      <c r="W7" s="171">
        <f t="shared" ref="W7" si="5">SUM(W9,W12:W13,W15:W18,W24,W27:W28,W30,W34:W36,W20)</f>
        <v>31438</v>
      </c>
      <c r="X7" s="171">
        <f t="shared" ref="X7" si="6">SUM(X9,X12:X13,X15:X18,X24,X27:X28,X30,X34:X36,X20)</f>
        <v>31549</v>
      </c>
      <c r="Y7" s="54" t="s">
        <v>144</v>
      </c>
    </row>
    <row r="8" spans="1:25" ht="12.75" customHeight="1" x14ac:dyDescent="0.2">
      <c r="A8" s="2"/>
      <c r="B8" s="57" t="s">
        <v>145</v>
      </c>
      <c r="C8" s="340"/>
      <c r="D8" s="340"/>
      <c r="E8" s="340"/>
      <c r="F8" s="340">
        <f>F6-F7</f>
        <v>10273</v>
      </c>
      <c r="G8" s="381">
        <f t="shared" ref="G8:V8" si="7">G6-G7</f>
        <v>10105</v>
      </c>
      <c r="H8" s="340">
        <f t="shared" si="7"/>
        <v>9905</v>
      </c>
      <c r="I8" s="340">
        <f t="shared" si="7"/>
        <v>9679.0999999999985</v>
      </c>
      <c r="J8" s="340">
        <f t="shared" si="7"/>
        <v>9680.0999999999985</v>
      </c>
      <c r="K8" s="340">
        <f t="shared" si="7"/>
        <v>9690.8000000000029</v>
      </c>
      <c r="L8" s="340">
        <f t="shared" si="7"/>
        <v>9702.0999999999985</v>
      </c>
      <c r="M8" s="340">
        <f t="shared" si="7"/>
        <v>9486.0999999999985</v>
      </c>
      <c r="N8" s="340">
        <f t="shared" si="7"/>
        <v>9498.0999999999985</v>
      </c>
      <c r="O8" s="340">
        <f t="shared" si="7"/>
        <v>9576.0999999999985</v>
      </c>
      <c r="P8" s="340">
        <f t="shared" si="7"/>
        <v>9724.0999999999985</v>
      </c>
      <c r="Q8" s="340">
        <f t="shared" si="7"/>
        <v>9897.0999999999985</v>
      </c>
      <c r="R8" s="340">
        <f t="shared" si="7"/>
        <v>9897.0999999999985</v>
      </c>
      <c r="S8" s="340">
        <f t="shared" si="7"/>
        <v>9912.0999999999985</v>
      </c>
      <c r="T8" s="340">
        <f t="shared" si="7"/>
        <v>9931.0999999999985</v>
      </c>
      <c r="U8" s="340">
        <f t="shared" si="7"/>
        <v>10208.699999999997</v>
      </c>
      <c r="V8" s="340">
        <f t="shared" si="7"/>
        <v>10424.300000000003</v>
      </c>
      <c r="W8" s="340">
        <f t="shared" ref="W8" si="8">W6-W7</f>
        <v>10424.300000000003</v>
      </c>
      <c r="X8" s="340">
        <f t="shared" ref="X8" si="9">X6-X7</f>
        <v>10494.300000000003</v>
      </c>
      <c r="Y8" s="57" t="s">
        <v>145</v>
      </c>
    </row>
    <row r="9" spans="1:25" ht="12.75" customHeight="1" x14ac:dyDescent="0.2">
      <c r="A9" s="8"/>
      <c r="B9" s="9" t="s">
        <v>45</v>
      </c>
      <c r="C9" s="317">
        <v>1553</v>
      </c>
      <c r="D9" s="318">
        <v>1510</v>
      </c>
      <c r="E9" s="318">
        <v>1515</v>
      </c>
      <c r="F9" s="318">
        <v>1540</v>
      </c>
      <c r="G9" s="257">
        <v>1540</v>
      </c>
      <c r="H9" s="257">
        <v>1540</v>
      </c>
      <c r="I9" s="318">
        <v>1534</v>
      </c>
      <c r="J9" s="318">
        <v>1534</v>
      </c>
      <c r="K9" s="318">
        <v>1534</v>
      </c>
      <c r="L9" s="318">
        <v>1527</v>
      </c>
      <c r="M9" s="318">
        <v>1527</v>
      </c>
      <c r="N9" s="318">
        <v>1516</v>
      </c>
      <c r="O9" s="318">
        <v>1516</v>
      </c>
      <c r="P9" s="318">
        <v>1516</v>
      </c>
      <c r="Q9" s="318">
        <v>1516</v>
      </c>
      <c r="R9" s="318">
        <v>1516</v>
      </c>
      <c r="S9" s="318">
        <v>1516</v>
      </c>
      <c r="T9" s="257">
        <v>1516</v>
      </c>
      <c r="U9" s="257">
        <v>1516</v>
      </c>
      <c r="V9" s="257">
        <v>1516</v>
      </c>
      <c r="W9" s="257">
        <v>1516</v>
      </c>
      <c r="X9" s="257">
        <v>1516</v>
      </c>
      <c r="Y9" s="9" t="s">
        <v>45</v>
      </c>
    </row>
    <row r="10" spans="1:25" ht="12.75" customHeight="1" x14ac:dyDescent="0.2">
      <c r="A10" s="8"/>
      <c r="B10" s="54" t="s">
        <v>28</v>
      </c>
      <c r="C10" s="314"/>
      <c r="D10" s="249"/>
      <c r="E10" s="249">
        <v>470</v>
      </c>
      <c r="F10" s="249">
        <v>470</v>
      </c>
      <c r="G10" s="249">
        <v>470</v>
      </c>
      <c r="H10" s="249">
        <v>470</v>
      </c>
      <c r="I10" s="249">
        <v>470</v>
      </c>
      <c r="J10" s="249">
        <v>470</v>
      </c>
      <c r="K10" s="249">
        <v>470</v>
      </c>
      <c r="L10" s="249">
        <v>470</v>
      </c>
      <c r="M10" s="249">
        <v>470</v>
      </c>
      <c r="N10" s="249">
        <v>470</v>
      </c>
      <c r="O10" s="249">
        <v>470</v>
      </c>
      <c r="P10" s="249">
        <v>470</v>
      </c>
      <c r="Q10" s="249">
        <v>470</v>
      </c>
      <c r="R10" s="249">
        <v>470</v>
      </c>
      <c r="S10" s="249">
        <v>470</v>
      </c>
      <c r="T10" s="249">
        <v>470</v>
      </c>
      <c r="U10" s="249">
        <v>470</v>
      </c>
      <c r="V10" s="249">
        <v>470</v>
      </c>
      <c r="W10" s="249">
        <v>470</v>
      </c>
      <c r="X10" s="249">
        <v>470</v>
      </c>
      <c r="Y10" s="54" t="s">
        <v>28</v>
      </c>
    </row>
    <row r="11" spans="1:25" ht="12.75" customHeight="1" x14ac:dyDescent="0.2">
      <c r="A11" s="8"/>
      <c r="B11" s="10" t="s">
        <v>30</v>
      </c>
      <c r="C11" s="321"/>
      <c r="D11" s="354"/>
      <c r="E11" s="354"/>
      <c r="F11" s="318">
        <v>677</v>
      </c>
      <c r="G11" s="318">
        <v>677</v>
      </c>
      <c r="H11" s="318">
        <v>677</v>
      </c>
      <c r="I11" s="318">
        <v>664</v>
      </c>
      <c r="J11" s="318">
        <v>664</v>
      </c>
      <c r="K11" s="318">
        <v>664</v>
      </c>
      <c r="L11" s="318">
        <v>664</v>
      </c>
      <c r="M11" s="318">
        <v>664</v>
      </c>
      <c r="N11" s="318">
        <v>664</v>
      </c>
      <c r="O11" s="318">
        <v>664</v>
      </c>
      <c r="P11" s="318">
        <v>664</v>
      </c>
      <c r="Q11" s="318">
        <v>664</v>
      </c>
      <c r="R11" s="318">
        <v>664</v>
      </c>
      <c r="S11" s="318">
        <v>664</v>
      </c>
      <c r="T11" s="318">
        <v>676</v>
      </c>
      <c r="U11" s="318">
        <v>676</v>
      </c>
      <c r="V11" s="318">
        <v>676</v>
      </c>
      <c r="W11" s="318">
        <v>676</v>
      </c>
      <c r="X11" s="318">
        <v>686.8</v>
      </c>
      <c r="Y11" s="10" t="s">
        <v>30</v>
      </c>
    </row>
    <row r="12" spans="1:25" ht="12.75" customHeight="1" x14ac:dyDescent="0.2">
      <c r="A12" s="8"/>
      <c r="B12" s="54" t="s">
        <v>41</v>
      </c>
      <c r="C12" s="314" t="s">
        <v>59</v>
      </c>
      <c r="D12" s="249" t="s">
        <v>59</v>
      </c>
      <c r="E12" s="249" t="s">
        <v>59</v>
      </c>
      <c r="F12" s="249" t="s">
        <v>59</v>
      </c>
      <c r="G12" s="249" t="s">
        <v>59</v>
      </c>
      <c r="H12" s="249" t="s">
        <v>59</v>
      </c>
      <c r="I12" s="249" t="s">
        <v>59</v>
      </c>
      <c r="J12" s="249" t="s">
        <v>59</v>
      </c>
      <c r="K12" s="249" t="s">
        <v>59</v>
      </c>
      <c r="L12" s="249" t="s">
        <v>59</v>
      </c>
      <c r="M12" s="249" t="s">
        <v>59</v>
      </c>
      <c r="N12" s="249" t="s">
        <v>59</v>
      </c>
      <c r="O12" s="249" t="s">
        <v>59</v>
      </c>
      <c r="P12" s="249" t="s">
        <v>59</v>
      </c>
      <c r="Q12" s="249" t="s">
        <v>59</v>
      </c>
      <c r="R12" s="249" t="s">
        <v>59</v>
      </c>
      <c r="S12" s="249" t="s">
        <v>59</v>
      </c>
      <c r="T12" s="249" t="s">
        <v>59</v>
      </c>
      <c r="U12" s="249" t="s">
        <v>59</v>
      </c>
      <c r="V12" s="249" t="s">
        <v>59</v>
      </c>
      <c r="W12" s="249" t="s">
        <v>59</v>
      </c>
      <c r="X12" s="249" t="s">
        <v>59</v>
      </c>
      <c r="Y12" s="54" t="s">
        <v>41</v>
      </c>
    </row>
    <row r="13" spans="1:25" ht="12.75" customHeight="1" x14ac:dyDescent="0.2">
      <c r="A13" s="8"/>
      <c r="B13" s="10" t="s">
        <v>46</v>
      </c>
      <c r="C13" s="317">
        <v>6808</v>
      </c>
      <c r="D13" s="318">
        <v>6697</v>
      </c>
      <c r="E13" s="382">
        <v>4350</v>
      </c>
      <c r="F13" s="318">
        <v>6663</v>
      </c>
      <c r="G13" s="318">
        <v>6760</v>
      </c>
      <c r="H13" s="318">
        <v>6673</v>
      </c>
      <c r="I13" s="318">
        <v>6740</v>
      </c>
      <c r="J13" s="318">
        <v>6754</v>
      </c>
      <c r="K13" s="318">
        <v>6754</v>
      </c>
      <c r="L13" s="318">
        <v>6687</v>
      </c>
      <c r="M13" s="318">
        <v>6642</v>
      </c>
      <c r="N13" s="318">
        <v>6636</v>
      </c>
      <c r="O13" s="318">
        <v>7565</v>
      </c>
      <c r="P13" s="318">
        <v>7565</v>
      </c>
      <c r="Q13" s="318">
        <v>7565</v>
      </c>
      <c r="R13" s="318">
        <v>7565</v>
      </c>
      <c r="S13" s="318">
        <v>7565</v>
      </c>
      <c r="T13" s="318">
        <v>7565</v>
      </c>
      <c r="U13" s="318">
        <v>7728</v>
      </c>
      <c r="V13" s="318">
        <v>7728</v>
      </c>
      <c r="W13" s="318">
        <v>7675</v>
      </c>
      <c r="X13" s="318">
        <v>7675</v>
      </c>
      <c r="Y13" s="10" t="s">
        <v>46</v>
      </c>
    </row>
    <row r="14" spans="1:25" ht="12.75" customHeight="1" x14ac:dyDescent="0.2">
      <c r="A14" s="8"/>
      <c r="B14" s="54" t="s">
        <v>31</v>
      </c>
      <c r="C14" s="314"/>
      <c r="D14" s="249"/>
      <c r="E14" s="249"/>
      <c r="F14" s="249">
        <v>520</v>
      </c>
      <c r="G14" s="249">
        <v>520</v>
      </c>
      <c r="H14" s="249">
        <v>320</v>
      </c>
      <c r="I14" s="249">
        <v>320</v>
      </c>
      <c r="J14" s="249">
        <v>320</v>
      </c>
      <c r="K14" s="249">
        <v>320</v>
      </c>
      <c r="L14" s="249">
        <v>320</v>
      </c>
      <c r="M14" s="249">
        <v>320</v>
      </c>
      <c r="N14" s="249">
        <v>320</v>
      </c>
      <c r="O14" s="249">
        <v>320</v>
      </c>
      <c r="P14" s="249">
        <v>320</v>
      </c>
      <c r="Q14" s="249">
        <v>320</v>
      </c>
      <c r="R14" s="249">
        <v>320</v>
      </c>
      <c r="S14" s="249">
        <v>335</v>
      </c>
      <c r="T14" s="249">
        <v>335</v>
      </c>
      <c r="U14" s="249">
        <v>335</v>
      </c>
      <c r="V14" s="249">
        <v>335</v>
      </c>
      <c r="W14" s="249">
        <v>335</v>
      </c>
      <c r="X14" s="249">
        <v>399</v>
      </c>
      <c r="Y14" s="54" t="s">
        <v>31</v>
      </c>
    </row>
    <row r="15" spans="1:25" ht="12.75" customHeight="1" x14ac:dyDescent="0.2">
      <c r="A15" s="8"/>
      <c r="B15" s="10" t="s">
        <v>49</v>
      </c>
      <c r="C15" s="317" t="s">
        <v>59</v>
      </c>
      <c r="D15" s="318" t="s">
        <v>59</v>
      </c>
      <c r="E15" s="318" t="s">
        <v>59</v>
      </c>
      <c r="F15" s="318" t="s">
        <v>59</v>
      </c>
      <c r="G15" s="318" t="s">
        <v>59</v>
      </c>
      <c r="H15" s="318" t="s">
        <v>59</v>
      </c>
      <c r="I15" s="318" t="s">
        <v>59</v>
      </c>
      <c r="J15" s="318" t="s">
        <v>59</v>
      </c>
      <c r="K15" s="318" t="s">
        <v>59</v>
      </c>
      <c r="L15" s="318" t="s">
        <v>59</v>
      </c>
      <c r="M15" s="318" t="s">
        <v>59</v>
      </c>
      <c r="N15" s="318" t="s">
        <v>59</v>
      </c>
      <c r="O15" s="318" t="s">
        <v>59</v>
      </c>
      <c r="P15" s="318" t="s">
        <v>59</v>
      </c>
      <c r="Q15" s="318" t="s">
        <v>59</v>
      </c>
      <c r="R15" s="318" t="s">
        <v>59</v>
      </c>
      <c r="S15" s="318" t="s">
        <v>59</v>
      </c>
      <c r="T15" s="318" t="s">
        <v>59</v>
      </c>
      <c r="U15" s="318" t="s">
        <v>59</v>
      </c>
      <c r="V15" s="318" t="s">
        <v>59</v>
      </c>
      <c r="W15" s="318" t="s">
        <v>59</v>
      </c>
      <c r="X15" s="318" t="s">
        <v>59</v>
      </c>
      <c r="Y15" s="10" t="s">
        <v>49</v>
      </c>
    </row>
    <row r="16" spans="1:25" ht="12.75" customHeight="1" x14ac:dyDescent="0.2">
      <c r="A16" s="8"/>
      <c r="B16" s="54" t="s">
        <v>42</v>
      </c>
      <c r="C16" s="249" t="s">
        <v>59</v>
      </c>
      <c r="D16" s="249" t="s">
        <v>59</v>
      </c>
      <c r="E16" s="249" t="s">
        <v>59</v>
      </c>
      <c r="F16" s="249" t="s">
        <v>59</v>
      </c>
      <c r="G16" s="249" t="s">
        <v>59</v>
      </c>
      <c r="H16" s="249" t="s">
        <v>59</v>
      </c>
      <c r="I16" s="249" t="s">
        <v>59</v>
      </c>
      <c r="J16" s="249" t="s">
        <v>59</v>
      </c>
      <c r="K16" s="249" t="s">
        <v>59</v>
      </c>
      <c r="L16" s="249" t="s">
        <v>59</v>
      </c>
      <c r="M16" s="249" t="s">
        <v>59</v>
      </c>
      <c r="N16" s="249" t="s">
        <v>59</v>
      </c>
      <c r="O16" s="249" t="s">
        <v>59</v>
      </c>
      <c r="P16" s="249" t="s">
        <v>59</v>
      </c>
      <c r="Q16" s="249" t="s">
        <v>59</v>
      </c>
      <c r="R16" s="249" t="s">
        <v>59</v>
      </c>
      <c r="S16" s="249" t="s">
        <v>59</v>
      </c>
      <c r="T16" s="249" t="s">
        <v>59</v>
      </c>
      <c r="U16" s="249" t="s">
        <v>59</v>
      </c>
      <c r="V16" s="249" t="s">
        <v>59</v>
      </c>
      <c r="W16" s="249" t="s">
        <v>59</v>
      </c>
      <c r="X16" s="249" t="s">
        <v>59</v>
      </c>
      <c r="Y16" s="54" t="s">
        <v>42</v>
      </c>
    </row>
    <row r="17" spans="1:25" ht="12.75" customHeight="1" x14ac:dyDescent="0.2">
      <c r="A17" s="8"/>
      <c r="B17" s="10" t="s">
        <v>47</v>
      </c>
      <c r="C17" s="317"/>
      <c r="D17" s="318"/>
      <c r="E17" s="318" t="s">
        <v>59</v>
      </c>
      <c r="F17" s="318" t="s">
        <v>59</v>
      </c>
      <c r="G17" s="318" t="s">
        <v>59</v>
      </c>
      <c r="H17" s="318" t="s">
        <v>59</v>
      </c>
      <c r="I17" s="318" t="s">
        <v>59</v>
      </c>
      <c r="J17" s="318" t="s">
        <v>59</v>
      </c>
      <c r="K17" s="318" t="s">
        <v>59</v>
      </c>
      <c r="L17" s="318" t="s">
        <v>59</v>
      </c>
      <c r="M17" s="318" t="s">
        <v>59</v>
      </c>
      <c r="N17" s="318" t="s">
        <v>59</v>
      </c>
      <c r="O17" s="318" t="s">
        <v>59</v>
      </c>
      <c r="P17" s="318" t="s">
        <v>59</v>
      </c>
      <c r="Q17" s="318" t="s">
        <v>59</v>
      </c>
      <c r="R17" s="318" t="s">
        <v>59</v>
      </c>
      <c r="S17" s="318" t="s">
        <v>59</v>
      </c>
      <c r="T17" s="318" t="s">
        <v>59</v>
      </c>
      <c r="U17" s="318" t="s">
        <v>59</v>
      </c>
      <c r="V17" s="318" t="s">
        <v>59</v>
      </c>
      <c r="W17" s="318" t="s">
        <v>59</v>
      </c>
      <c r="X17" s="318" t="s">
        <v>59</v>
      </c>
      <c r="Y17" s="10" t="s">
        <v>47</v>
      </c>
    </row>
    <row r="18" spans="1:25" ht="12.75" customHeight="1" x14ac:dyDescent="0.2">
      <c r="A18" s="8"/>
      <c r="B18" s="54" t="s">
        <v>48</v>
      </c>
      <c r="C18" s="314">
        <v>7433</v>
      </c>
      <c r="D18" s="249">
        <v>6568</v>
      </c>
      <c r="E18" s="249">
        <v>6197</v>
      </c>
      <c r="F18" s="249">
        <v>5962</v>
      </c>
      <c r="G18" s="249">
        <v>5678</v>
      </c>
      <c r="H18" s="249">
        <v>6051</v>
      </c>
      <c r="I18" s="249">
        <v>5732</v>
      </c>
      <c r="J18" s="249">
        <v>5576</v>
      </c>
      <c r="K18" s="249">
        <v>5789</v>
      </c>
      <c r="L18" s="249">
        <v>5378</v>
      </c>
      <c r="M18" s="249">
        <v>5637</v>
      </c>
      <c r="N18" s="249">
        <v>5384</v>
      </c>
      <c r="O18" s="249">
        <v>5372</v>
      </c>
      <c r="P18" s="249">
        <v>5788</v>
      </c>
      <c r="Q18" s="249">
        <v>5497</v>
      </c>
      <c r="R18" s="249">
        <v>5444</v>
      </c>
      <c r="S18" s="249">
        <v>5200</v>
      </c>
      <c r="T18" s="249">
        <v>5132</v>
      </c>
      <c r="U18" s="249">
        <v>5110</v>
      </c>
      <c r="V18" s="249">
        <v>5019</v>
      </c>
      <c r="W18" s="249">
        <v>4996</v>
      </c>
      <c r="X18" s="249">
        <v>5064</v>
      </c>
      <c r="Y18" s="54" t="s">
        <v>48</v>
      </c>
    </row>
    <row r="19" spans="1:25" ht="12.75" customHeight="1" x14ac:dyDescent="0.2">
      <c r="A19" s="8"/>
      <c r="B19" s="10" t="s">
        <v>60</v>
      </c>
      <c r="C19" s="317"/>
      <c r="D19" s="318"/>
      <c r="E19" s="318">
        <v>933</v>
      </c>
      <c r="F19" s="318">
        <v>933</v>
      </c>
      <c r="G19" s="318">
        <v>933</v>
      </c>
      <c r="H19" s="318">
        <v>933</v>
      </c>
      <c r="I19" s="318">
        <v>720.1</v>
      </c>
      <c r="J19" s="318">
        <v>720.1</v>
      </c>
      <c r="K19" s="318">
        <v>720.1</v>
      </c>
      <c r="L19" s="318">
        <v>720.1</v>
      </c>
      <c r="M19" s="318">
        <v>720.1</v>
      </c>
      <c r="N19" s="318">
        <v>720.1</v>
      </c>
      <c r="O19" s="318">
        <v>804.1</v>
      </c>
      <c r="P19" s="318">
        <v>804.1</v>
      </c>
      <c r="Q19" s="318">
        <v>804.1</v>
      </c>
      <c r="R19" s="318">
        <v>804.1</v>
      </c>
      <c r="S19" s="318">
        <v>804.1</v>
      </c>
      <c r="T19" s="318">
        <v>804.1</v>
      </c>
      <c r="U19" s="318">
        <v>805.2</v>
      </c>
      <c r="V19" s="318">
        <v>1016.8</v>
      </c>
      <c r="W19" s="318">
        <v>1016.8</v>
      </c>
      <c r="X19" s="318">
        <v>1016.9</v>
      </c>
      <c r="Y19" s="10" t="s">
        <v>60</v>
      </c>
    </row>
    <row r="20" spans="1:25" ht="12.75" customHeight="1" x14ac:dyDescent="0.2">
      <c r="A20" s="8"/>
      <c r="B20" s="228" t="s">
        <v>50</v>
      </c>
      <c r="C20" s="320">
        <v>2337</v>
      </c>
      <c r="D20" s="259">
        <v>2337</v>
      </c>
      <c r="E20" s="259">
        <v>1366</v>
      </c>
      <c r="F20" s="259">
        <v>1466</v>
      </c>
      <c r="G20" s="259">
        <v>1466</v>
      </c>
      <c r="H20" s="259">
        <v>1463</v>
      </c>
      <c r="I20" s="259">
        <v>1477</v>
      </c>
      <c r="J20" s="259">
        <v>1477</v>
      </c>
      <c r="K20" s="259">
        <v>1477</v>
      </c>
      <c r="L20" s="259">
        <v>1477</v>
      </c>
      <c r="M20" s="259">
        <v>1477</v>
      </c>
      <c r="N20" s="259">
        <v>1562</v>
      </c>
      <c r="O20" s="259">
        <v>1562</v>
      </c>
      <c r="P20" s="259">
        <v>1562</v>
      </c>
      <c r="Q20" s="259">
        <v>1562</v>
      </c>
      <c r="R20" s="259">
        <v>1562</v>
      </c>
      <c r="S20" s="259">
        <v>1562</v>
      </c>
      <c r="T20" s="259">
        <v>1562</v>
      </c>
      <c r="U20" s="259">
        <v>1562</v>
      </c>
      <c r="V20" s="259">
        <v>1562</v>
      </c>
      <c r="W20" s="259">
        <v>1562</v>
      </c>
      <c r="X20" s="259">
        <v>1562</v>
      </c>
      <c r="Y20" s="228" t="s">
        <v>50</v>
      </c>
    </row>
    <row r="21" spans="1:25" ht="12.75" customHeight="1" x14ac:dyDescent="0.2">
      <c r="A21" s="8"/>
      <c r="B21" s="10" t="s">
        <v>29</v>
      </c>
      <c r="C21" s="317" t="s">
        <v>59</v>
      </c>
      <c r="D21" s="318" t="s">
        <v>59</v>
      </c>
      <c r="E21" s="318" t="s">
        <v>59</v>
      </c>
      <c r="F21" s="318" t="s">
        <v>59</v>
      </c>
      <c r="G21" s="318" t="s">
        <v>59</v>
      </c>
      <c r="H21" s="318" t="s">
        <v>59</v>
      </c>
      <c r="I21" s="318" t="s">
        <v>59</v>
      </c>
      <c r="J21" s="318" t="s">
        <v>59</v>
      </c>
      <c r="K21" s="318" t="s">
        <v>59</v>
      </c>
      <c r="L21" s="318" t="s">
        <v>59</v>
      </c>
      <c r="M21" s="318" t="s">
        <v>59</v>
      </c>
      <c r="N21" s="318" t="s">
        <v>59</v>
      </c>
      <c r="O21" s="318" t="s">
        <v>59</v>
      </c>
      <c r="P21" s="318" t="s">
        <v>59</v>
      </c>
      <c r="Q21" s="318" t="s">
        <v>59</v>
      </c>
      <c r="R21" s="318" t="s">
        <v>59</v>
      </c>
      <c r="S21" s="318" t="s">
        <v>59</v>
      </c>
      <c r="T21" s="318" t="s">
        <v>59</v>
      </c>
      <c r="U21" s="318" t="s">
        <v>59</v>
      </c>
      <c r="V21" s="318" t="s">
        <v>59</v>
      </c>
      <c r="W21" s="318" t="s">
        <v>59</v>
      </c>
      <c r="X21" s="318" t="s">
        <v>59</v>
      </c>
      <c r="Y21" s="10" t="s">
        <v>29</v>
      </c>
    </row>
    <row r="22" spans="1:25" ht="12.75" customHeight="1" x14ac:dyDescent="0.2">
      <c r="A22" s="8"/>
      <c r="B22" s="228" t="s">
        <v>33</v>
      </c>
      <c r="C22" s="320"/>
      <c r="D22" s="259"/>
      <c r="E22" s="259" t="s">
        <v>59</v>
      </c>
      <c r="F22" s="259" t="s">
        <v>59</v>
      </c>
      <c r="G22" s="259" t="s">
        <v>59</v>
      </c>
      <c r="H22" s="259" t="s">
        <v>59</v>
      </c>
      <c r="I22" s="259" t="s">
        <v>59</v>
      </c>
      <c r="J22" s="259" t="s">
        <v>59</v>
      </c>
      <c r="K22" s="259" t="s">
        <v>59</v>
      </c>
      <c r="L22" s="259" t="s">
        <v>59</v>
      </c>
      <c r="M22" s="259" t="s">
        <v>59</v>
      </c>
      <c r="N22" s="259" t="s">
        <v>59</v>
      </c>
      <c r="O22" s="259" t="s">
        <v>59</v>
      </c>
      <c r="P22" s="259" t="s">
        <v>59</v>
      </c>
      <c r="Q22" s="259" t="s">
        <v>59</v>
      </c>
      <c r="R22" s="259" t="s">
        <v>59</v>
      </c>
      <c r="S22" s="259" t="s">
        <v>59</v>
      </c>
      <c r="T22" s="259" t="s">
        <v>59</v>
      </c>
      <c r="U22" s="259" t="s">
        <v>59</v>
      </c>
      <c r="V22" s="259" t="s">
        <v>59</v>
      </c>
      <c r="W22" s="259" t="s">
        <v>59</v>
      </c>
      <c r="X22" s="259" t="s">
        <v>59</v>
      </c>
      <c r="Y22" s="228" t="s">
        <v>33</v>
      </c>
    </row>
    <row r="23" spans="1:25" ht="12.75" customHeight="1" x14ac:dyDescent="0.2">
      <c r="A23" s="8"/>
      <c r="B23" s="10" t="s">
        <v>34</v>
      </c>
      <c r="C23" s="317"/>
      <c r="D23" s="318"/>
      <c r="E23" s="318">
        <v>369</v>
      </c>
      <c r="F23" s="318">
        <v>369</v>
      </c>
      <c r="G23" s="318">
        <v>369</v>
      </c>
      <c r="H23" s="318">
        <v>369</v>
      </c>
      <c r="I23" s="318">
        <v>369</v>
      </c>
      <c r="J23" s="318">
        <v>369</v>
      </c>
      <c r="K23" s="318">
        <v>379.7</v>
      </c>
      <c r="L23" s="318">
        <v>281</v>
      </c>
      <c r="M23" s="318">
        <v>281</v>
      </c>
      <c r="N23" s="318">
        <v>290</v>
      </c>
      <c r="O23" s="318">
        <v>290</v>
      </c>
      <c r="P23" s="318">
        <v>290</v>
      </c>
      <c r="Q23" s="318">
        <v>441</v>
      </c>
      <c r="R23" s="318">
        <v>441</v>
      </c>
      <c r="S23" s="318">
        <v>441</v>
      </c>
      <c r="T23" s="318">
        <v>448</v>
      </c>
      <c r="U23" s="318">
        <v>448</v>
      </c>
      <c r="V23" s="318">
        <v>452</v>
      </c>
      <c r="W23" s="318">
        <v>452</v>
      </c>
      <c r="X23" s="318">
        <v>452</v>
      </c>
      <c r="Y23" s="10" t="s">
        <v>34</v>
      </c>
    </row>
    <row r="24" spans="1:25" ht="12.75" customHeight="1" x14ac:dyDescent="0.2">
      <c r="A24" s="8"/>
      <c r="B24" s="228" t="s">
        <v>51</v>
      </c>
      <c r="C24" s="320">
        <v>37</v>
      </c>
      <c r="D24" s="259">
        <v>37</v>
      </c>
      <c r="E24" s="259">
        <v>37</v>
      </c>
      <c r="F24" s="259">
        <v>37</v>
      </c>
      <c r="G24" s="259">
        <v>37</v>
      </c>
      <c r="H24" s="259">
        <v>37</v>
      </c>
      <c r="I24" s="259">
        <v>37</v>
      </c>
      <c r="J24" s="259">
        <v>37</v>
      </c>
      <c r="K24" s="259">
        <v>37</v>
      </c>
      <c r="L24" s="259">
        <v>37</v>
      </c>
      <c r="M24" s="259">
        <v>37</v>
      </c>
      <c r="N24" s="259">
        <v>37</v>
      </c>
      <c r="O24" s="259">
        <v>37</v>
      </c>
      <c r="P24" s="259">
        <v>37</v>
      </c>
      <c r="Q24" s="259">
        <v>37</v>
      </c>
      <c r="R24" s="259">
        <v>37</v>
      </c>
      <c r="S24" s="259">
        <v>37</v>
      </c>
      <c r="T24" s="259">
        <v>37</v>
      </c>
      <c r="U24" s="299">
        <v>37</v>
      </c>
      <c r="V24" s="299">
        <v>37</v>
      </c>
      <c r="W24" s="299">
        <v>37</v>
      </c>
      <c r="X24" s="299">
        <v>37</v>
      </c>
      <c r="Y24" s="228" t="s">
        <v>51</v>
      </c>
    </row>
    <row r="25" spans="1:25" ht="12.75" customHeight="1" x14ac:dyDescent="0.2">
      <c r="A25" s="8"/>
      <c r="B25" s="10" t="s">
        <v>32</v>
      </c>
      <c r="C25" s="317"/>
      <c r="D25" s="318"/>
      <c r="E25" s="318">
        <v>1373</v>
      </c>
      <c r="F25" s="318">
        <v>1373</v>
      </c>
      <c r="G25" s="318">
        <v>1373</v>
      </c>
      <c r="H25" s="318">
        <v>1373</v>
      </c>
      <c r="I25" s="318">
        <v>1373</v>
      </c>
      <c r="J25" s="318">
        <v>1373</v>
      </c>
      <c r="K25" s="318">
        <v>1373</v>
      </c>
      <c r="L25" s="318">
        <v>1484</v>
      </c>
      <c r="M25" s="318">
        <v>1440</v>
      </c>
      <c r="N25" s="318">
        <v>1440</v>
      </c>
      <c r="O25" s="318">
        <v>1439</v>
      </c>
      <c r="P25" s="318">
        <v>1587</v>
      </c>
      <c r="Q25" s="318">
        <v>1587</v>
      </c>
      <c r="R25" s="318">
        <v>1587</v>
      </c>
      <c r="S25" s="318">
        <v>1587</v>
      </c>
      <c r="T25" s="318">
        <v>1587</v>
      </c>
      <c r="U25" s="318">
        <v>1864.2</v>
      </c>
      <c r="V25" s="318">
        <v>1864.2</v>
      </c>
      <c r="W25" s="318">
        <v>1864.2</v>
      </c>
      <c r="X25" s="318">
        <v>1864</v>
      </c>
      <c r="Y25" s="10" t="s">
        <v>32</v>
      </c>
    </row>
    <row r="26" spans="1:25" ht="12.75" customHeight="1" x14ac:dyDescent="0.2">
      <c r="A26" s="8"/>
      <c r="B26" s="228" t="s">
        <v>35</v>
      </c>
      <c r="C26" s="320" t="s">
        <v>59</v>
      </c>
      <c r="D26" s="259" t="s">
        <v>59</v>
      </c>
      <c r="E26" s="259" t="s">
        <v>59</v>
      </c>
      <c r="F26" s="259" t="s">
        <v>59</v>
      </c>
      <c r="G26" s="259" t="s">
        <v>59</v>
      </c>
      <c r="H26" s="259" t="s">
        <v>59</v>
      </c>
      <c r="I26" s="259" t="s">
        <v>59</v>
      </c>
      <c r="J26" s="259" t="s">
        <v>59</v>
      </c>
      <c r="K26" s="259" t="s">
        <v>59</v>
      </c>
      <c r="L26" s="259" t="s">
        <v>59</v>
      </c>
      <c r="M26" s="259" t="s">
        <v>59</v>
      </c>
      <c r="N26" s="259" t="s">
        <v>59</v>
      </c>
      <c r="O26" s="259" t="s">
        <v>59</v>
      </c>
      <c r="P26" s="259" t="s">
        <v>59</v>
      </c>
      <c r="Q26" s="259" t="s">
        <v>59</v>
      </c>
      <c r="R26" s="259" t="s">
        <v>59</v>
      </c>
      <c r="S26" s="259" t="s">
        <v>59</v>
      </c>
      <c r="T26" s="259" t="s">
        <v>59</v>
      </c>
      <c r="U26" s="259" t="s">
        <v>59</v>
      </c>
      <c r="V26" s="259" t="s">
        <v>59</v>
      </c>
      <c r="W26" s="259" t="s">
        <v>59</v>
      </c>
      <c r="X26" s="259" t="s">
        <v>59</v>
      </c>
      <c r="Y26" s="228" t="s">
        <v>35</v>
      </c>
    </row>
    <row r="27" spans="1:25" ht="12.75" customHeight="1" x14ac:dyDescent="0.2">
      <c r="A27" s="8"/>
      <c r="B27" s="10" t="s">
        <v>43</v>
      </c>
      <c r="C27" s="317">
        <v>5599</v>
      </c>
      <c r="D27" s="318">
        <v>4843</v>
      </c>
      <c r="E27" s="318">
        <v>5046</v>
      </c>
      <c r="F27" s="318">
        <v>5046</v>
      </c>
      <c r="G27" s="318">
        <v>5046</v>
      </c>
      <c r="H27" s="318">
        <v>5046</v>
      </c>
      <c r="I27" s="318">
        <v>5046</v>
      </c>
      <c r="J27" s="257">
        <v>5046</v>
      </c>
      <c r="K27" s="257">
        <v>6183</v>
      </c>
      <c r="L27" s="257">
        <v>6183</v>
      </c>
      <c r="M27" s="257">
        <v>6183</v>
      </c>
      <c r="N27" s="257">
        <v>6183</v>
      </c>
      <c r="O27" s="257">
        <v>6183</v>
      </c>
      <c r="P27" s="318">
        <v>6183</v>
      </c>
      <c r="Q27" s="318">
        <v>6211</v>
      </c>
      <c r="R27" s="318">
        <v>6215</v>
      </c>
      <c r="S27" s="318">
        <v>6215</v>
      </c>
      <c r="T27" s="318">
        <v>6214</v>
      </c>
      <c r="U27" s="318">
        <v>6220</v>
      </c>
      <c r="V27" s="318">
        <v>6219</v>
      </c>
      <c r="W27" s="318">
        <v>6237</v>
      </c>
      <c r="X27" s="318">
        <v>6242</v>
      </c>
      <c r="Y27" s="10" t="s">
        <v>43</v>
      </c>
    </row>
    <row r="28" spans="1:25" ht="12.75" customHeight="1" x14ac:dyDescent="0.2">
      <c r="A28" s="8"/>
      <c r="B28" s="228" t="s">
        <v>52</v>
      </c>
      <c r="C28" s="320">
        <v>350</v>
      </c>
      <c r="D28" s="259">
        <v>350</v>
      </c>
      <c r="E28" s="259">
        <v>351</v>
      </c>
      <c r="F28" s="259">
        <v>351</v>
      </c>
      <c r="G28" s="259">
        <v>351</v>
      </c>
      <c r="H28" s="259">
        <v>351</v>
      </c>
      <c r="I28" s="259">
        <v>351</v>
      </c>
      <c r="J28" s="259">
        <v>351</v>
      </c>
      <c r="K28" s="259">
        <v>351</v>
      </c>
      <c r="L28" s="259">
        <v>351</v>
      </c>
      <c r="M28" s="259">
        <v>351</v>
      </c>
      <c r="N28" s="259">
        <v>351</v>
      </c>
      <c r="O28" s="259">
        <v>351</v>
      </c>
      <c r="P28" s="259">
        <v>351</v>
      </c>
      <c r="Q28" s="259">
        <v>351</v>
      </c>
      <c r="R28" s="259">
        <v>351</v>
      </c>
      <c r="S28" s="259">
        <v>351</v>
      </c>
      <c r="T28" s="259">
        <v>351</v>
      </c>
      <c r="U28" s="259">
        <v>351</v>
      </c>
      <c r="V28" s="259">
        <v>351</v>
      </c>
      <c r="W28" s="259">
        <v>351</v>
      </c>
      <c r="X28" s="259">
        <v>351</v>
      </c>
      <c r="Y28" s="228" t="s">
        <v>52</v>
      </c>
    </row>
    <row r="29" spans="1:25" ht="12.75" customHeight="1" x14ac:dyDescent="0.2">
      <c r="A29" s="8"/>
      <c r="B29" s="10" t="s">
        <v>36</v>
      </c>
      <c r="C29" s="317"/>
      <c r="D29" s="318"/>
      <c r="E29" s="318">
        <v>3997</v>
      </c>
      <c r="F29" s="318">
        <v>3980</v>
      </c>
      <c r="G29" s="318">
        <v>3812</v>
      </c>
      <c r="H29" s="318">
        <v>3812</v>
      </c>
      <c r="I29" s="318">
        <v>3812</v>
      </c>
      <c r="J29" s="318">
        <v>3813</v>
      </c>
      <c r="K29" s="318">
        <v>3813</v>
      </c>
      <c r="L29" s="318">
        <v>3812</v>
      </c>
      <c r="M29" s="318">
        <v>3640</v>
      </c>
      <c r="N29" s="318">
        <v>3643</v>
      </c>
      <c r="O29" s="318">
        <v>3638</v>
      </c>
      <c r="P29" s="318">
        <v>3638</v>
      </c>
      <c r="Q29" s="318">
        <v>3660</v>
      </c>
      <c r="R29" s="318">
        <v>3660</v>
      </c>
      <c r="S29" s="318">
        <v>3660</v>
      </c>
      <c r="T29" s="318">
        <v>3660</v>
      </c>
      <c r="U29" s="318">
        <v>3659.3</v>
      </c>
      <c r="V29" s="318">
        <v>3659.3</v>
      </c>
      <c r="W29" s="318">
        <v>3659.3</v>
      </c>
      <c r="X29" s="318">
        <v>3654.6</v>
      </c>
      <c r="Y29" s="10" t="s">
        <v>36</v>
      </c>
    </row>
    <row r="30" spans="1:25" ht="12.75" customHeight="1" x14ac:dyDescent="0.2">
      <c r="A30" s="8"/>
      <c r="B30" s="228" t="s">
        <v>53</v>
      </c>
      <c r="C30" s="259" t="s">
        <v>59</v>
      </c>
      <c r="D30" s="259" t="s">
        <v>59</v>
      </c>
      <c r="E30" s="259" t="s">
        <v>59</v>
      </c>
      <c r="F30" s="259" t="s">
        <v>59</v>
      </c>
      <c r="G30" s="259" t="s">
        <v>59</v>
      </c>
      <c r="H30" s="259" t="s">
        <v>59</v>
      </c>
      <c r="I30" s="259" t="s">
        <v>59</v>
      </c>
      <c r="J30" s="259" t="s">
        <v>59</v>
      </c>
      <c r="K30" s="259" t="s">
        <v>59</v>
      </c>
      <c r="L30" s="259" t="s">
        <v>59</v>
      </c>
      <c r="M30" s="259" t="s">
        <v>59</v>
      </c>
      <c r="N30" s="259" t="s">
        <v>59</v>
      </c>
      <c r="O30" s="259" t="s">
        <v>59</v>
      </c>
      <c r="P30" s="259" t="s">
        <v>59</v>
      </c>
      <c r="Q30" s="259" t="s">
        <v>59</v>
      </c>
      <c r="R30" s="259" t="s">
        <v>59</v>
      </c>
      <c r="S30" s="259" t="s">
        <v>59</v>
      </c>
      <c r="T30" s="259" t="s">
        <v>59</v>
      </c>
      <c r="U30" s="259" t="s">
        <v>59</v>
      </c>
      <c r="V30" s="259" t="s">
        <v>59</v>
      </c>
      <c r="W30" s="259" t="s">
        <v>59</v>
      </c>
      <c r="X30" s="259" t="s">
        <v>59</v>
      </c>
      <c r="Y30" s="228" t="s">
        <v>53</v>
      </c>
    </row>
    <row r="31" spans="1:25" ht="12.75" customHeight="1" x14ac:dyDescent="0.2">
      <c r="A31" s="8"/>
      <c r="B31" s="10" t="s">
        <v>37</v>
      </c>
      <c r="C31" s="317"/>
      <c r="D31" s="318"/>
      <c r="E31" s="318">
        <v>1782</v>
      </c>
      <c r="F31" s="318">
        <v>1779</v>
      </c>
      <c r="G31" s="318">
        <v>1779</v>
      </c>
      <c r="H31" s="318">
        <v>1779</v>
      </c>
      <c r="I31" s="318">
        <v>1779</v>
      </c>
      <c r="J31" s="318">
        <v>1779</v>
      </c>
      <c r="K31" s="318">
        <v>1779</v>
      </c>
      <c r="L31" s="318">
        <v>1779</v>
      </c>
      <c r="M31" s="318">
        <v>1779</v>
      </c>
      <c r="N31" s="318">
        <v>1779</v>
      </c>
      <c r="O31" s="318">
        <v>1779</v>
      </c>
      <c r="P31" s="318">
        <v>1779</v>
      </c>
      <c r="Q31" s="318">
        <v>1779</v>
      </c>
      <c r="R31" s="318">
        <v>1779</v>
      </c>
      <c r="S31" s="318">
        <v>1779</v>
      </c>
      <c r="T31" s="318">
        <v>1779</v>
      </c>
      <c r="U31" s="318">
        <v>1779</v>
      </c>
      <c r="V31" s="318">
        <v>1779</v>
      </c>
      <c r="W31" s="318">
        <v>1779</v>
      </c>
      <c r="X31" s="318">
        <v>1779</v>
      </c>
      <c r="Y31" s="10" t="s">
        <v>37</v>
      </c>
    </row>
    <row r="32" spans="1:25" ht="12.75" customHeight="1" x14ac:dyDescent="0.2">
      <c r="A32" s="8"/>
      <c r="B32" s="228" t="s">
        <v>39</v>
      </c>
      <c r="C32" s="320" t="s">
        <v>59</v>
      </c>
      <c r="D32" s="259" t="s">
        <v>59</v>
      </c>
      <c r="E32" s="259" t="s">
        <v>59</v>
      </c>
      <c r="F32" s="259" t="s">
        <v>59</v>
      </c>
      <c r="G32" s="259" t="s">
        <v>59</v>
      </c>
      <c r="H32" s="259" t="s">
        <v>59</v>
      </c>
      <c r="I32" s="259" t="s">
        <v>59</v>
      </c>
      <c r="J32" s="259" t="s">
        <v>59</v>
      </c>
      <c r="K32" s="259" t="s">
        <v>59</v>
      </c>
      <c r="L32" s="259" t="s">
        <v>59</v>
      </c>
      <c r="M32" s="259" t="s">
        <v>59</v>
      </c>
      <c r="N32" s="259" t="s">
        <v>59</v>
      </c>
      <c r="O32" s="259" t="s">
        <v>59</v>
      </c>
      <c r="P32" s="259" t="s">
        <v>59</v>
      </c>
      <c r="Q32" s="259" t="s">
        <v>59</v>
      </c>
      <c r="R32" s="259" t="s">
        <v>59</v>
      </c>
      <c r="S32" s="259" t="s">
        <v>59</v>
      </c>
      <c r="T32" s="259" t="s">
        <v>59</v>
      </c>
      <c r="U32" s="259" t="s">
        <v>59</v>
      </c>
      <c r="V32" s="259" t="s">
        <v>59</v>
      </c>
      <c r="W32" s="259" t="s">
        <v>59</v>
      </c>
      <c r="X32" s="259" t="s">
        <v>59</v>
      </c>
      <c r="Y32" s="228" t="s">
        <v>39</v>
      </c>
    </row>
    <row r="33" spans="1:25" ht="12.75" customHeight="1" x14ac:dyDescent="0.2">
      <c r="A33" s="8"/>
      <c r="B33" s="10" t="s">
        <v>38</v>
      </c>
      <c r="C33" s="321"/>
      <c r="D33" s="354"/>
      <c r="E33" s="354">
        <v>2379</v>
      </c>
      <c r="F33" s="318">
        <v>172</v>
      </c>
      <c r="G33" s="318">
        <v>172</v>
      </c>
      <c r="H33" s="318">
        <v>172</v>
      </c>
      <c r="I33" s="318">
        <v>172</v>
      </c>
      <c r="J33" s="318">
        <v>172</v>
      </c>
      <c r="K33" s="318">
        <v>172</v>
      </c>
      <c r="L33" s="318">
        <v>172</v>
      </c>
      <c r="M33" s="318">
        <v>172</v>
      </c>
      <c r="N33" s="318">
        <v>172</v>
      </c>
      <c r="O33" s="318">
        <v>172</v>
      </c>
      <c r="P33" s="318">
        <v>172</v>
      </c>
      <c r="Q33" s="318">
        <v>172</v>
      </c>
      <c r="R33" s="318">
        <v>172</v>
      </c>
      <c r="S33" s="318">
        <v>172</v>
      </c>
      <c r="T33" s="318">
        <v>172</v>
      </c>
      <c r="U33" s="318">
        <v>172</v>
      </c>
      <c r="V33" s="318">
        <v>172</v>
      </c>
      <c r="W33" s="318">
        <v>172</v>
      </c>
      <c r="X33" s="318">
        <v>172</v>
      </c>
      <c r="Y33" s="10" t="s">
        <v>38</v>
      </c>
    </row>
    <row r="34" spans="1:25" ht="12.75" customHeight="1" x14ac:dyDescent="0.2">
      <c r="A34" s="8"/>
      <c r="B34" s="228" t="s">
        <v>54</v>
      </c>
      <c r="C34" s="320">
        <v>6000</v>
      </c>
      <c r="D34" s="259">
        <v>6057</v>
      </c>
      <c r="E34" s="259">
        <v>6072</v>
      </c>
      <c r="F34" s="259">
        <v>6120</v>
      </c>
      <c r="G34" s="259">
        <v>6120</v>
      </c>
      <c r="H34" s="259">
        <v>6245</v>
      </c>
      <c r="I34" s="259">
        <v>7787</v>
      </c>
      <c r="J34" s="259">
        <v>7842</v>
      </c>
      <c r="K34" s="259">
        <v>7842</v>
      </c>
      <c r="L34" s="259">
        <v>7872</v>
      </c>
      <c r="M34" s="259">
        <v>7872</v>
      </c>
      <c r="N34" s="259">
        <v>7884</v>
      </c>
      <c r="O34" s="259">
        <v>8018</v>
      </c>
      <c r="P34" s="259">
        <v>8029</v>
      </c>
      <c r="Q34" s="259">
        <v>8045</v>
      </c>
      <c r="R34" s="259">
        <v>8049</v>
      </c>
      <c r="S34" s="259">
        <v>7983</v>
      </c>
      <c r="T34" s="259">
        <v>8002</v>
      </c>
      <c r="U34" s="259">
        <v>8006</v>
      </c>
      <c r="V34" s="259">
        <v>8013</v>
      </c>
      <c r="W34" s="259">
        <v>8014</v>
      </c>
      <c r="X34" s="383">
        <v>8052</v>
      </c>
      <c r="Y34" s="228" t="s">
        <v>54</v>
      </c>
    </row>
    <row r="35" spans="1:25" ht="12.75" customHeight="1" x14ac:dyDescent="0.2">
      <c r="A35" s="8"/>
      <c r="B35" s="10" t="s">
        <v>55</v>
      </c>
      <c r="C35" s="318" t="s">
        <v>59</v>
      </c>
      <c r="D35" s="318" t="s">
        <v>59</v>
      </c>
      <c r="E35" s="318" t="s">
        <v>59</v>
      </c>
      <c r="F35" s="318" t="s">
        <v>59</v>
      </c>
      <c r="G35" s="318" t="s">
        <v>59</v>
      </c>
      <c r="H35" s="318" t="s">
        <v>59</v>
      </c>
      <c r="I35" s="318" t="s">
        <v>59</v>
      </c>
      <c r="J35" s="318" t="s">
        <v>59</v>
      </c>
      <c r="K35" s="318" t="s">
        <v>59</v>
      </c>
      <c r="L35" s="318" t="s">
        <v>59</v>
      </c>
      <c r="M35" s="318" t="s">
        <v>59</v>
      </c>
      <c r="N35" s="318" t="s">
        <v>59</v>
      </c>
      <c r="O35" s="318" t="s">
        <v>59</v>
      </c>
      <c r="P35" s="318" t="s">
        <v>59</v>
      </c>
      <c r="Q35" s="318" t="s">
        <v>59</v>
      </c>
      <c r="R35" s="318" t="s">
        <v>59</v>
      </c>
      <c r="S35" s="318" t="s">
        <v>59</v>
      </c>
      <c r="T35" s="318" t="s">
        <v>59</v>
      </c>
      <c r="U35" s="318" t="s">
        <v>59</v>
      </c>
      <c r="V35" s="318" t="s">
        <v>59</v>
      </c>
      <c r="W35" s="318" t="s">
        <v>59</v>
      </c>
      <c r="X35" s="318" t="s">
        <v>59</v>
      </c>
      <c r="Y35" s="10" t="s">
        <v>55</v>
      </c>
    </row>
    <row r="36" spans="1:25" ht="12.75" customHeight="1" x14ac:dyDescent="0.2">
      <c r="A36" s="8"/>
      <c r="B36" s="228" t="s">
        <v>44</v>
      </c>
      <c r="C36" s="320">
        <v>1631</v>
      </c>
      <c r="D36" s="259">
        <v>1631</v>
      </c>
      <c r="E36" s="259">
        <v>1631</v>
      </c>
      <c r="F36" s="259">
        <v>1153</v>
      </c>
      <c r="G36" s="259">
        <v>1153</v>
      </c>
      <c r="H36" s="259">
        <v>1153</v>
      </c>
      <c r="I36" s="259">
        <v>1153</v>
      </c>
      <c r="J36" s="259">
        <v>1153</v>
      </c>
      <c r="K36" s="259">
        <v>1153</v>
      </c>
      <c r="L36" s="259">
        <v>1153</v>
      </c>
      <c r="M36" s="259">
        <v>1065</v>
      </c>
      <c r="N36" s="259">
        <v>1065</v>
      </c>
      <c r="O36" s="259">
        <v>1065</v>
      </c>
      <c r="P36" s="259">
        <v>1065</v>
      </c>
      <c r="Q36" s="259">
        <v>1065</v>
      </c>
      <c r="R36" s="259">
        <v>1050</v>
      </c>
      <c r="S36" s="259">
        <v>1050</v>
      </c>
      <c r="T36" s="259">
        <v>1050</v>
      </c>
      <c r="U36" s="259">
        <v>1050</v>
      </c>
      <c r="V36" s="259">
        <v>1050</v>
      </c>
      <c r="W36" s="259">
        <v>1050</v>
      </c>
      <c r="X36" s="259">
        <v>1050</v>
      </c>
      <c r="Y36" s="228" t="s">
        <v>44</v>
      </c>
    </row>
    <row r="37" spans="1:25" ht="12.75" customHeight="1" x14ac:dyDescent="0.2">
      <c r="A37" s="8"/>
      <c r="B37" s="9" t="s">
        <v>142</v>
      </c>
      <c r="C37" s="384" t="s">
        <v>59</v>
      </c>
      <c r="D37" s="312" t="s">
        <v>59</v>
      </c>
      <c r="E37" s="312" t="s">
        <v>59</v>
      </c>
      <c r="F37" s="312" t="s">
        <v>59</v>
      </c>
      <c r="G37" s="312" t="s">
        <v>59</v>
      </c>
      <c r="H37" s="312" t="s">
        <v>59</v>
      </c>
      <c r="I37" s="312" t="s">
        <v>59</v>
      </c>
      <c r="J37" s="312" t="s">
        <v>59</v>
      </c>
      <c r="K37" s="312" t="s">
        <v>59</v>
      </c>
      <c r="L37" s="312" t="s">
        <v>59</v>
      </c>
      <c r="M37" s="312" t="s">
        <v>59</v>
      </c>
      <c r="N37" s="312" t="s">
        <v>59</v>
      </c>
      <c r="O37" s="312" t="s">
        <v>59</v>
      </c>
      <c r="P37" s="312" t="s">
        <v>59</v>
      </c>
      <c r="Q37" s="312" t="s">
        <v>59</v>
      </c>
      <c r="R37" s="312" t="s">
        <v>59</v>
      </c>
      <c r="S37" s="312" t="s">
        <v>59</v>
      </c>
      <c r="T37" s="312" t="s">
        <v>59</v>
      </c>
      <c r="U37" s="312" t="s">
        <v>59</v>
      </c>
      <c r="V37" s="312" t="s">
        <v>59</v>
      </c>
      <c r="W37" s="312" t="s">
        <v>59</v>
      </c>
      <c r="X37" s="312" t="s">
        <v>59</v>
      </c>
      <c r="Y37" s="9" t="s">
        <v>142</v>
      </c>
    </row>
    <row r="38" spans="1:25" ht="12.75" customHeight="1" x14ac:dyDescent="0.2">
      <c r="A38" s="8"/>
      <c r="B38" s="228" t="s">
        <v>139</v>
      </c>
      <c r="C38" s="320" t="s">
        <v>59</v>
      </c>
      <c r="D38" s="259" t="s">
        <v>59</v>
      </c>
      <c r="E38" s="259" t="s">
        <v>59</v>
      </c>
      <c r="F38" s="259" t="s">
        <v>59</v>
      </c>
      <c r="G38" s="259" t="s">
        <v>59</v>
      </c>
      <c r="H38" s="259" t="s">
        <v>59</v>
      </c>
      <c r="I38" s="259" t="s">
        <v>59</v>
      </c>
      <c r="J38" s="259" t="s">
        <v>59</v>
      </c>
      <c r="K38" s="259" t="s">
        <v>59</v>
      </c>
      <c r="L38" s="259" t="s">
        <v>59</v>
      </c>
      <c r="M38" s="259" t="s">
        <v>59</v>
      </c>
      <c r="N38" s="259" t="s">
        <v>59</v>
      </c>
      <c r="O38" s="259" t="s">
        <v>59</v>
      </c>
      <c r="P38" s="259" t="s">
        <v>59</v>
      </c>
      <c r="Q38" s="259" t="s">
        <v>59</v>
      </c>
      <c r="R38" s="259" t="s">
        <v>59</v>
      </c>
      <c r="S38" s="259" t="s">
        <v>59</v>
      </c>
      <c r="T38" s="259" t="s">
        <v>59</v>
      </c>
      <c r="U38" s="259" t="s">
        <v>59</v>
      </c>
      <c r="V38" s="259" t="s">
        <v>59</v>
      </c>
      <c r="W38" s="259" t="s">
        <v>59</v>
      </c>
      <c r="X38" s="259" t="s">
        <v>59</v>
      </c>
      <c r="Y38" s="228" t="s">
        <v>139</v>
      </c>
    </row>
    <row r="39" spans="1:25" ht="12.75" customHeight="1" x14ac:dyDescent="0.2">
      <c r="A39" s="8"/>
      <c r="B39" s="10" t="s">
        <v>1</v>
      </c>
      <c r="C39" s="317" t="s">
        <v>59</v>
      </c>
      <c r="D39" s="318" t="s">
        <v>59</v>
      </c>
      <c r="E39" s="318" t="s">
        <v>59</v>
      </c>
      <c r="F39" s="318" t="s">
        <v>59</v>
      </c>
      <c r="G39" s="318" t="s">
        <v>59</v>
      </c>
      <c r="H39" s="318" t="s">
        <v>59</v>
      </c>
      <c r="I39" s="318" t="s">
        <v>59</v>
      </c>
      <c r="J39" s="318" t="s">
        <v>59</v>
      </c>
      <c r="K39" s="318" t="s">
        <v>59</v>
      </c>
      <c r="L39" s="318" t="s">
        <v>59</v>
      </c>
      <c r="M39" s="318" t="s">
        <v>59</v>
      </c>
      <c r="N39" s="318" t="s">
        <v>59</v>
      </c>
      <c r="O39" s="318" t="s">
        <v>59</v>
      </c>
      <c r="P39" s="318" t="s">
        <v>59</v>
      </c>
      <c r="Q39" s="318" t="s">
        <v>59</v>
      </c>
      <c r="R39" s="318" t="s">
        <v>59</v>
      </c>
      <c r="S39" s="318" t="s">
        <v>59</v>
      </c>
      <c r="T39" s="318" t="s">
        <v>59</v>
      </c>
      <c r="U39" s="318" t="s">
        <v>59</v>
      </c>
      <c r="V39" s="318" t="s">
        <v>59</v>
      </c>
      <c r="W39" s="318" t="s">
        <v>59</v>
      </c>
      <c r="X39" s="318" t="s">
        <v>59</v>
      </c>
      <c r="Y39" s="10" t="s">
        <v>1</v>
      </c>
    </row>
    <row r="40" spans="1:25" ht="12.75" customHeight="1" x14ac:dyDescent="0.2">
      <c r="A40" s="8"/>
      <c r="B40" s="228" t="s">
        <v>140</v>
      </c>
      <c r="C40" s="320"/>
      <c r="D40" s="259"/>
      <c r="E40" s="259"/>
      <c r="F40" s="259"/>
      <c r="G40" s="259"/>
      <c r="H40" s="259"/>
      <c r="I40" s="259"/>
      <c r="J40" s="259"/>
      <c r="K40" s="259"/>
      <c r="L40" s="259"/>
      <c r="M40" s="259"/>
      <c r="N40" s="259"/>
      <c r="O40" s="259"/>
      <c r="P40" s="259"/>
      <c r="Q40" s="259"/>
      <c r="R40" s="299"/>
      <c r="S40" s="299"/>
      <c r="T40" s="299"/>
      <c r="U40" s="259">
        <v>1364</v>
      </c>
      <c r="V40" s="259">
        <v>1364</v>
      </c>
      <c r="W40" s="259">
        <v>1364</v>
      </c>
      <c r="X40" s="259">
        <v>1364</v>
      </c>
      <c r="Y40" s="228" t="s">
        <v>140</v>
      </c>
    </row>
    <row r="41" spans="1:25" ht="12.75" customHeight="1" x14ac:dyDescent="0.2">
      <c r="A41" s="8"/>
      <c r="B41" s="12" t="s">
        <v>40</v>
      </c>
      <c r="C41" s="325" t="s">
        <v>59</v>
      </c>
      <c r="D41" s="326" t="s">
        <v>59</v>
      </c>
      <c r="E41" s="326" t="s">
        <v>59</v>
      </c>
      <c r="F41" s="326" t="s">
        <v>59</v>
      </c>
      <c r="G41" s="326" t="s">
        <v>59</v>
      </c>
      <c r="H41" s="326" t="s">
        <v>59</v>
      </c>
      <c r="I41" s="326" t="s">
        <v>59</v>
      </c>
      <c r="J41" s="326" t="s">
        <v>59</v>
      </c>
      <c r="K41" s="326" t="s">
        <v>59</v>
      </c>
      <c r="L41" s="326" t="s">
        <v>59</v>
      </c>
      <c r="M41" s="326" t="s">
        <v>59</v>
      </c>
      <c r="N41" s="326" t="s">
        <v>59</v>
      </c>
      <c r="O41" s="326" t="s">
        <v>59</v>
      </c>
      <c r="P41" s="326" t="s">
        <v>59</v>
      </c>
      <c r="Q41" s="326" t="s">
        <v>59</v>
      </c>
      <c r="R41" s="326" t="s">
        <v>59</v>
      </c>
      <c r="S41" s="326" t="s">
        <v>59</v>
      </c>
      <c r="T41" s="326" t="s">
        <v>59</v>
      </c>
      <c r="U41" s="326" t="s">
        <v>59</v>
      </c>
      <c r="V41" s="326" t="s">
        <v>59</v>
      </c>
      <c r="W41" s="326" t="s">
        <v>59</v>
      </c>
      <c r="X41" s="326" t="s">
        <v>59</v>
      </c>
      <c r="Y41" s="12" t="s">
        <v>40</v>
      </c>
    </row>
    <row r="42" spans="1:25" ht="12.75" customHeight="1" x14ac:dyDescent="0.2">
      <c r="A42" s="8"/>
      <c r="B42" s="300" t="s">
        <v>26</v>
      </c>
      <c r="C42" s="320" t="s">
        <v>59</v>
      </c>
      <c r="D42" s="259" t="s">
        <v>59</v>
      </c>
      <c r="E42" s="259" t="s">
        <v>59</v>
      </c>
      <c r="F42" s="259" t="s">
        <v>59</v>
      </c>
      <c r="G42" s="259" t="s">
        <v>59</v>
      </c>
      <c r="H42" s="259" t="s">
        <v>59</v>
      </c>
      <c r="I42" s="259" t="s">
        <v>59</v>
      </c>
      <c r="J42" s="259" t="s">
        <v>59</v>
      </c>
      <c r="K42" s="259" t="s">
        <v>59</v>
      </c>
      <c r="L42" s="259" t="s">
        <v>59</v>
      </c>
      <c r="M42" s="259" t="s">
        <v>59</v>
      </c>
      <c r="N42" s="259" t="s">
        <v>59</v>
      </c>
      <c r="O42" s="259" t="s">
        <v>59</v>
      </c>
      <c r="P42" s="259" t="s">
        <v>59</v>
      </c>
      <c r="Q42" s="259" t="s">
        <v>59</v>
      </c>
      <c r="R42" s="259" t="s">
        <v>59</v>
      </c>
      <c r="S42" s="259" t="s">
        <v>59</v>
      </c>
      <c r="T42" s="259" t="s">
        <v>59</v>
      </c>
      <c r="U42" s="259" t="s">
        <v>59</v>
      </c>
      <c r="V42" s="259" t="s">
        <v>59</v>
      </c>
      <c r="W42" s="259" t="s">
        <v>59</v>
      </c>
      <c r="X42" s="259" t="s">
        <v>59</v>
      </c>
      <c r="Y42" s="300" t="s">
        <v>26</v>
      </c>
    </row>
    <row r="43" spans="1:25" ht="12.75" customHeight="1" x14ac:dyDescent="0.2">
      <c r="A43" s="8"/>
      <c r="B43" s="10" t="s">
        <v>56</v>
      </c>
      <c r="C43" s="317" t="s">
        <v>59</v>
      </c>
      <c r="D43" s="318" t="s">
        <v>59</v>
      </c>
      <c r="E43" s="318" t="s">
        <v>59</v>
      </c>
      <c r="F43" s="318" t="s">
        <v>59</v>
      </c>
      <c r="G43" s="318" t="s">
        <v>59</v>
      </c>
      <c r="H43" s="318" t="s">
        <v>59</v>
      </c>
      <c r="I43" s="318" t="s">
        <v>59</v>
      </c>
      <c r="J43" s="318" t="s">
        <v>59</v>
      </c>
      <c r="K43" s="318" t="s">
        <v>59</v>
      </c>
      <c r="L43" s="318" t="s">
        <v>59</v>
      </c>
      <c r="M43" s="318" t="s">
        <v>59</v>
      </c>
      <c r="N43" s="318" t="s">
        <v>59</v>
      </c>
      <c r="O43" s="318" t="s">
        <v>59</v>
      </c>
      <c r="P43" s="318" t="s">
        <v>59</v>
      </c>
      <c r="Q43" s="318" t="s">
        <v>59</v>
      </c>
      <c r="R43" s="318" t="s">
        <v>59</v>
      </c>
      <c r="S43" s="318" t="s">
        <v>59</v>
      </c>
      <c r="T43" s="318" t="s">
        <v>59</v>
      </c>
      <c r="U43" s="318" t="s">
        <v>59</v>
      </c>
      <c r="V43" s="318" t="s">
        <v>59</v>
      </c>
      <c r="W43" s="318" t="s">
        <v>59</v>
      </c>
      <c r="X43" s="318" t="s">
        <v>59</v>
      </c>
      <c r="Y43" s="10" t="s">
        <v>56</v>
      </c>
    </row>
    <row r="44" spans="1:25" ht="12.75" customHeight="1" x14ac:dyDescent="0.2">
      <c r="A44" s="8"/>
      <c r="B44" s="261" t="s">
        <v>27</v>
      </c>
      <c r="C44" s="385" t="s">
        <v>59</v>
      </c>
      <c r="D44" s="369" t="s">
        <v>59</v>
      </c>
      <c r="E44" s="369" t="s">
        <v>59</v>
      </c>
      <c r="F44" s="259" t="s">
        <v>59</v>
      </c>
      <c r="G44" s="259" t="s">
        <v>59</v>
      </c>
      <c r="H44" s="259" t="s">
        <v>59</v>
      </c>
      <c r="I44" s="259" t="s">
        <v>59</v>
      </c>
      <c r="J44" s="259" t="s">
        <v>59</v>
      </c>
      <c r="K44" s="259" t="s">
        <v>59</v>
      </c>
      <c r="L44" s="259" t="s">
        <v>59</v>
      </c>
      <c r="M44" s="259" t="s">
        <v>59</v>
      </c>
      <c r="N44" s="259" t="s">
        <v>59</v>
      </c>
      <c r="O44" s="259" t="s">
        <v>59</v>
      </c>
      <c r="P44" s="259" t="s">
        <v>59</v>
      </c>
      <c r="Q44" s="259" t="s">
        <v>59</v>
      </c>
      <c r="R44" s="259" t="s">
        <v>59</v>
      </c>
      <c r="S44" s="259" t="s">
        <v>59</v>
      </c>
      <c r="T44" s="259" t="s">
        <v>59</v>
      </c>
      <c r="U44" s="259" t="s">
        <v>59</v>
      </c>
      <c r="V44" s="259" t="s">
        <v>59</v>
      </c>
      <c r="W44" s="259" t="s">
        <v>59</v>
      </c>
      <c r="X44" s="259" t="s">
        <v>59</v>
      </c>
      <c r="Y44" s="261" t="s">
        <v>27</v>
      </c>
    </row>
    <row r="45" spans="1:25" ht="15" customHeight="1" x14ac:dyDescent="0.2">
      <c r="B45" s="442" t="s">
        <v>127</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row>
    <row r="46" spans="1:25" ht="12.75" customHeight="1" x14ac:dyDescent="0.2">
      <c r="B46" s="487"/>
      <c r="C46" s="487"/>
      <c r="D46" s="487"/>
      <c r="E46" s="487"/>
      <c r="F46" s="487"/>
      <c r="G46" s="487"/>
      <c r="H46" s="487"/>
      <c r="I46" s="487"/>
      <c r="J46" s="487"/>
      <c r="K46" s="487"/>
      <c r="L46" s="487"/>
      <c r="M46" s="487"/>
      <c r="N46" s="487"/>
      <c r="O46" s="487"/>
      <c r="P46" s="487"/>
      <c r="Q46" s="223"/>
      <c r="R46" s="223"/>
      <c r="S46" s="223"/>
      <c r="T46" s="223"/>
      <c r="U46" s="223"/>
      <c r="V46" s="223"/>
      <c r="W46" s="223"/>
      <c r="X46" s="223"/>
      <c r="Y46" s="224"/>
    </row>
    <row r="47" spans="1:25" ht="12.75" customHeight="1" x14ac:dyDescent="0.2">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row>
    <row r="48" spans="1:25" ht="12.75" customHeight="1" x14ac:dyDescent="0.2">
      <c r="B48" s="225" t="s">
        <v>128</v>
      </c>
      <c r="C48" s="39"/>
      <c r="D48" s="39"/>
      <c r="E48" s="39"/>
      <c r="F48" s="39"/>
      <c r="G48" s="39"/>
      <c r="H48" s="39"/>
      <c r="I48" s="39"/>
      <c r="J48" s="39"/>
      <c r="K48" s="39"/>
      <c r="L48" s="39"/>
      <c r="M48" s="224"/>
      <c r="N48" s="224"/>
      <c r="O48" s="224"/>
      <c r="P48" s="224"/>
      <c r="Q48" s="224"/>
      <c r="R48" s="224"/>
      <c r="S48" s="224"/>
      <c r="T48" s="224"/>
      <c r="U48" s="224"/>
      <c r="V48" s="224"/>
      <c r="W48" s="224"/>
      <c r="X48" s="224"/>
      <c r="Y48" s="224"/>
    </row>
    <row r="49" spans="4:25" x14ac:dyDescent="0.2">
      <c r="D49" s="39"/>
      <c r="E49" s="39"/>
      <c r="F49" s="39"/>
      <c r="G49" s="39"/>
      <c r="H49" s="39"/>
      <c r="I49" s="39"/>
      <c r="J49" s="39"/>
      <c r="K49" s="39"/>
      <c r="L49" s="39"/>
      <c r="M49" s="224"/>
      <c r="N49" s="224"/>
      <c r="O49" s="224"/>
      <c r="P49" s="224"/>
      <c r="Q49" s="224"/>
      <c r="R49" s="224"/>
      <c r="S49" s="224"/>
      <c r="T49" s="224"/>
      <c r="U49" s="224"/>
      <c r="V49" s="224"/>
      <c r="W49" s="224"/>
      <c r="X49" s="224"/>
      <c r="Y49" s="224"/>
    </row>
  </sheetData>
  <mergeCells count="6">
    <mergeCell ref="B47:Y47"/>
    <mergeCell ref="B1:C1"/>
    <mergeCell ref="B46:P46"/>
    <mergeCell ref="B2:Y2"/>
    <mergeCell ref="B3:Y3"/>
    <mergeCell ref="B45:Y4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AC49"/>
  <sheetViews>
    <sheetView tabSelected="1" workbookViewId="0">
      <selection activeCell="B50" sqref="B50"/>
    </sheetView>
  </sheetViews>
  <sheetFormatPr defaultRowHeight="12.75" x14ac:dyDescent="0.2"/>
  <cols>
    <col min="1" max="1" width="2.7109375" customWidth="1"/>
    <col min="2" max="2" width="4" customWidth="1"/>
    <col min="3" max="5" width="6.7109375" customWidth="1"/>
    <col min="6" max="9" width="5.7109375" customWidth="1"/>
    <col min="10" max="10" width="6.7109375" customWidth="1"/>
    <col min="11" max="14" width="5.7109375" customWidth="1"/>
    <col min="15" max="19" width="6.7109375" customWidth="1"/>
    <col min="20" max="22" width="7.28515625" customWidth="1"/>
    <col min="23" max="24" width="7.28515625" style="1" customWidth="1"/>
    <col min="25" max="28" width="7.28515625" customWidth="1"/>
    <col min="29" max="29" width="5.5703125" customWidth="1"/>
  </cols>
  <sheetData>
    <row r="1" spans="1:29" ht="14.25" customHeight="1" x14ac:dyDescent="0.2">
      <c r="A1" s="1"/>
      <c r="B1" s="441"/>
      <c r="C1" s="441"/>
      <c r="D1" s="28"/>
      <c r="E1" s="25"/>
      <c r="F1" s="25"/>
      <c r="G1" s="25"/>
      <c r="H1" s="25"/>
      <c r="I1" s="25"/>
      <c r="J1" s="25"/>
      <c r="K1" s="25"/>
      <c r="L1" s="25"/>
      <c r="M1" s="25"/>
      <c r="N1" s="25"/>
      <c r="O1" s="25"/>
      <c r="AC1" s="18" t="s">
        <v>120</v>
      </c>
    </row>
    <row r="2" spans="1:29" ht="30" customHeight="1" x14ac:dyDescent="0.2">
      <c r="A2" s="1"/>
      <c r="B2" s="444" t="s">
        <v>24</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15" customHeight="1" x14ac:dyDescent="0.2">
      <c r="A3" s="1"/>
      <c r="B3" s="485" t="s">
        <v>25</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row>
    <row r="4" spans="1:29" x14ac:dyDescent="0.2">
      <c r="B4" s="3"/>
      <c r="C4" s="35"/>
      <c r="D4" s="36"/>
      <c r="E4" s="227"/>
      <c r="F4" s="227"/>
      <c r="G4" s="227"/>
      <c r="H4" s="227"/>
      <c r="I4" s="227"/>
      <c r="J4" s="23"/>
      <c r="K4" s="23"/>
      <c r="L4" s="23"/>
      <c r="M4" s="23"/>
      <c r="N4" s="23"/>
      <c r="O4" s="23"/>
      <c r="V4" s="169" t="s">
        <v>5</v>
      </c>
      <c r="W4" s="169"/>
      <c r="X4" s="169"/>
      <c r="Y4" s="169"/>
      <c r="Z4" s="169"/>
      <c r="AA4" s="169"/>
      <c r="AB4" s="169"/>
    </row>
    <row r="5" spans="1:29" ht="15" customHeight="1" x14ac:dyDescent="0.2">
      <c r="B5" s="175"/>
      <c r="C5" s="173">
        <v>1970</v>
      </c>
      <c r="D5" s="173">
        <v>1980</v>
      </c>
      <c r="E5" s="173">
        <v>1990</v>
      </c>
      <c r="F5" s="49">
        <v>1991</v>
      </c>
      <c r="G5" s="49">
        <v>1992</v>
      </c>
      <c r="H5" s="49">
        <v>1993</v>
      </c>
      <c r="I5" s="49">
        <v>1994</v>
      </c>
      <c r="J5" s="49">
        <v>1995</v>
      </c>
      <c r="K5" s="49">
        <v>1996</v>
      </c>
      <c r="L5" s="49">
        <v>1997</v>
      </c>
      <c r="M5" s="49">
        <v>1998</v>
      </c>
      <c r="N5" s="49">
        <v>1999</v>
      </c>
      <c r="O5" s="49">
        <v>2000</v>
      </c>
      <c r="P5" s="49">
        <v>2001</v>
      </c>
      <c r="Q5" s="49">
        <v>2002</v>
      </c>
      <c r="R5" s="49">
        <v>2003</v>
      </c>
      <c r="S5" s="49">
        <v>2004</v>
      </c>
      <c r="T5" s="49">
        <v>2005</v>
      </c>
      <c r="U5" s="49">
        <v>2006</v>
      </c>
      <c r="V5" s="49">
        <v>2007</v>
      </c>
      <c r="W5" s="49">
        <v>2008</v>
      </c>
      <c r="X5" s="49">
        <v>2009</v>
      </c>
      <c r="Y5" s="49">
        <v>2010</v>
      </c>
      <c r="Z5" s="49">
        <v>2011</v>
      </c>
      <c r="AA5" s="49">
        <v>2012</v>
      </c>
      <c r="AB5" s="50">
        <v>2013</v>
      </c>
      <c r="AC5" s="7"/>
    </row>
    <row r="6" spans="1:29" ht="12.75" customHeight="1" x14ac:dyDescent="0.2">
      <c r="B6" s="51" t="s">
        <v>143</v>
      </c>
      <c r="C6" s="386"/>
      <c r="D6" s="386"/>
      <c r="E6" s="386"/>
      <c r="F6" s="332"/>
      <c r="G6" s="332"/>
      <c r="H6" s="332"/>
      <c r="I6" s="170"/>
      <c r="J6" s="170"/>
      <c r="K6" s="170"/>
      <c r="L6" s="170"/>
      <c r="M6" s="170"/>
      <c r="N6" s="170">
        <f t="shared" ref="N6:S6" si="0">SUM(N9:N36)</f>
        <v>35276</v>
      </c>
      <c r="O6" s="170">
        <f t="shared" si="0"/>
        <v>35330</v>
      </c>
      <c r="P6" s="170">
        <f t="shared" si="0"/>
        <v>35748</v>
      </c>
      <c r="Q6" s="170">
        <f t="shared" si="0"/>
        <v>35366</v>
      </c>
      <c r="R6" s="170">
        <f t="shared" si="0"/>
        <v>35725</v>
      </c>
      <c r="S6" s="170">
        <f t="shared" si="0"/>
        <v>35126</v>
      </c>
      <c r="T6" s="170">
        <f t="shared" ref="T6:Y6" si="1">SUM(T9:T36)</f>
        <v>36388</v>
      </c>
      <c r="U6" s="170">
        <f t="shared" si="1"/>
        <v>36835</v>
      </c>
      <c r="V6" s="170">
        <f t="shared" si="1"/>
        <v>37105</v>
      </c>
      <c r="W6" s="170">
        <f t="shared" si="1"/>
        <v>37283</v>
      </c>
      <c r="X6" s="170">
        <f t="shared" si="1"/>
        <v>37309</v>
      </c>
      <c r="Y6" s="170">
        <f t="shared" si="1"/>
        <v>37528</v>
      </c>
      <c r="Z6" s="170">
        <f t="shared" ref="Z6" si="2">SUM(Z9:Z36)</f>
        <v>37365</v>
      </c>
      <c r="AA6" s="170">
        <f t="shared" ref="AA6" si="3">SUM(AA9:AA36)</f>
        <v>36883.699999999997</v>
      </c>
      <c r="AB6" s="171">
        <f t="shared" ref="AB6" si="4">SUM(AB9:AB36)</f>
        <v>36814</v>
      </c>
      <c r="AC6" s="51" t="s">
        <v>143</v>
      </c>
    </row>
    <row r="7" spans="1:29" ht="12.75" customHeight="1" x14ac:dyDescent="0.2">
      <c r="A7" s="8"/>
      <c r="B7" s="54" t="s">
        <v>144</v>
      </c>
      <c r="C7" s="387">
        <f>SUM(C9,C12:C13,C15:C18,C24,C27:C28,C30,C34:C36,C20)</f>
        <v>11149</v>
      </c>
      <c r="D7" s="388">
        <f t="shared" ref="D7:Y7" si="5">SUM(D9,D12:D13,D15:D18,D24,D27:D28,D30,D34:D36,D20)</f>
        <v>17167</v>
      </c>
      <c r="E7" s="388">
        <f t="shared" si="5"/>
        <v>18309</v>
      </c>
      <c r="F7" s="336">
        <f t="shared" si="5"/>
        <v>19940</v>
      </c>
      <c r="G7" s="336">
        <f t="shared" si="5"/>
        <v>20593</v>
      </c>
      <c r="H7" s="336">
        <f t="shared" si="5"/>
        <v>20803</v>
      </c>
      <c r="I7" s="171">
        <f t="shared" si="5"/>
        <v>19855</v>
      </c>
      <c r="J7" s="171">
        <f t="shared" si="5"/>
        <v>20631</v>
      </c>
      <c r="K7" s="171">
        <f t="shared" si="5"/>
        <v>20618</v>
      </c>
      <c r="L7" s="171">
        <f t="shared" si="5"/>
        <v>21917</v>
      </c>
      <c r="M7" s="171">
        <f t="shared" si="5"/>
        <v>22030</v>
      </c>
      <c r="N7" s="171">
        <f t="shared" si="5"/>
        <v>22040</v>
      </c>
      <c r="O7" s="171">
        <f t="shared" si="5"/>
        <v>22135</v>
      </c>
      <c r="P7" s="171">
        <f t="shared" si="5"/>
        <v>22560</v>
      </c>
      <c r="Q7" s="171">
        <f t="shared" si="5"/>
        <v>22489</v>
      </c>
      <c r="R7" s="171">
        <f t="shared" si="5"/>
        <v>22541</v>
      </c>
      <c r="S7" s="171">
        <f t="shared" si="5"/>
        <v>22928</v>
      </c>
      <c r="T7" s="171">
        <f t="shared" si="5"/>
        <v>22984</v>
      </c>
      <c r="U7" s="171">
        <f t="shared" si="5"/>
        <v>23455</v>
      </c>
      <c r="V7" s="171">
        <f t="shared" si="5"/>
        <v>24055</v>
      </c>
      <c r="W7" s="171">
        <f t="shared" si="5"/>
        <v>24211</v>
      </c>
      <c r="X7" s="171">
        <f t="shared" si="5"/>
        <v>24163</v>
      </c>
      <c r="Y7" s="171">
        <f t="shared" si="5"/>
        <v>24408</v>
      </c>
      <c r="Z7" s="171">
        <f t="shared" ref="Z7" si="6">SUM(Z9,Z12:Z13,Z15:Z18,Z24,Z27:Z28,Z30,Z34:Z36,Z20)</f>
        <v>26071</v>
      </c>
      <c r="AA7" s="171">
        <f t="shared" ref="AA7" si="7">SUM(AA9,AA12:AA13,AA15:AA18,AA24,AA27:AA28,AA30,AA34:AA36,AA20)</f>
        <v>25985</v>
      </c>
      <c r="AB7" s="171">
        <f t="shared" ref="AB7" si="8">SUM(AB9,AB12:AB13,AB15:AB18,AB24,AB27:AB28,AB30,AB34:AB36,AB20)</f>
        <v>25913</v>
      </c>
      <c r="AC7" s="54" t="s">
        <v>144</v>
      </c>
    </row>
    <row r="8" spans="1:29" ht="12.75" customHeight="1" x14ac:dyDescent="0.2">
      <c r="A8" s="8"/>
      <c r="B8" s="57" t="s">
        <v>145</v>
      </c>
      <c r="C8" s="389"/>
      <c r="D8" s="389"/>
      <c r="E8" s="389"/>
      <c r="F8" s="340"/>
      <c r="G8" s="340"/>
      <c r="H8" s="340"/>
      <c r="I8" s="340"/>
      <c r="J8" s="340"/>
      <c r="K8" s="340"/>
      <c r="L8" s="340"/>
      <c r="M8" s="340"/>
      <c r="N8" s="340">
        <f>N6-N7</f>
        <v>13236</v>
      </c>
      <c r="O8" s="340">
        <f t="shared" ref="O8:Z8" si="9">O6-O7</f>
        <v>13195</v>
      </c>
      <c r="P8" s="340">
        <f t="shared" si="9"/>
        <v>13188</v>
      </c>
      <c r="Q8" s="340">
        <f t="shared" si="9"/>
        <v>12877</v>
      </c>
      <c r="R8" s="340">
        <f t="shared" si="9"/>
        <v>13184</v>
      </c>
      <c r="S8" s="340">
        <f t="shared" si="9"/>
        <v>12198</v>
      </c>
      <c r="T8" s="340">
        <f t="shared" si="9"/>
        <v>13404</v>
      </c>
      <c r="U8" s="340">
        <f t="shared" si="9"/>
        <v>13380</v>
      </c>
      <c r="V8" s="340">
        <f t="shared" si="9"/>
        <v>13050</v>
      </c>
      <c r="W8" s="340">
        <f t="shared" si="9"/>
        <v>13072</v>
      </c>
      <c r="X8" s="340">
        <f t="shared" si="9"/>
        <v>13146</v>
      </c>
      <c r="Y8" s="340">
        <f t="shared" si="9"/>
        <v>13120</v>
      </c>
      <c r="Z8" s="340">
        <f t="shared" si="9"/>
        <v>11294</v>
      </c>
      <c r="AA8" s="340">
        <f t="shared" ref="AA8" si="10">AA6-AA7</f>
        <v>10898.699999999997</v>
      </c>
      <c r="AB8" s="340">
        <f t="shared" ref="AB8" si="11">AB6-AB7</f>
        <v>10901</v>
      </c>
      <c r="AC8" s="57" t="s">
        <v>145</v>
      </c>
    </row>
    <row r="9" spans="1:29" ht="12.75" customHeight="1" x14ac:dyDescent="0.2">
      <c r="A9" s="8"/>
      <c r="B9" s="9" t="s">
        <v>45</v>
      </c>
      <c r="C9" s="390">
        <v>52</v>
      </c>
      <c r="D9" s="390">
        <v>458</v>
      </c>
      <c r="E9" s="391">
        <v>301</v>
      </c>
      <c r="F9" s="312">
        <v>294</v>
      </c>
      <c r="G9" s="312">
        <v>294</v>
      </c>
      <c r="H9" s="312">
        <v>294</v>
      </c>
      <c r="I9" s="360">
        <v>294</v>
      </c>
      <c r="J9" s="360">
        <v>294</v>
      </c>
      <c r="K9" s="360">
        <v>294</v>
      </c>
      <c r="L9" s="360">
        <v>294</v>
      </c>
      <c r="M9" s="360">
        <v>294</v>
      </c>
      <c r="N9" s="360">
        <v>294</v>
      </c>
      <c r="O9" s="360">
        <v>294</v>
      </c>
      <c r="P9" s="360">
        <v>294</v>
      </c>
      <c r="Q9" s="360">
        <v>294</v>
      </c>
      <c r="R9" s="360">
        <v>294</v>
      </c>
      <c r="S9" s="360">
        <v>294</v>
      </c>
      <c r="T9" s="360">
        <v>294</v>
      </c>
      <c r="U9" s="360">
        <v>294</v>
      </c>
      <c r="V9" s="360">
        <v>294</v>
      </c>
      <c r="W9" s="360">
        <v>294</v>
      </c>
      <c r="X9" s="360">
        <v>294</v>
      </c>
      <c r="Y9" s="360">
        <v>294</v>
      </c>
      <c r="Z9" s="360">
        <v>294</v>
      </c>
      <c r="AA9" s="360">
        <v>294</v>
      </c>
      <c r="AB9" s="360">
        <v>294</v>
      </c>
      <c r="AC9" s="9" t="s">
        <v>45</v>
      </c>
    </row>
    <row r="10" spans="1:29" ht="12.75" customHeight="1" x14ac:dyDescent="0.2">
      <c r="A10" s="8"/>
      <c r="B10" s="54" t="s">
        <v>28</v>
      </c>
      <c r="C10" s="392" t="s">
        <v>57</v>
      </c>
      <c r="D10" s="392" t="s">
        <v>57</v>
      </c>
      <c r="E10" s="392">
        <v>578</v>
      </c>
      <c r="F10" s="249">
        <v>578</v>
      </c>
      <c r="G10" s="249">
        <v>578</v>
      </c>
      <c r="H10" s="249">
        <v>578</v>
      </c>
      <c r="I10" s="249">
        <v>578</v>
      </c>
      <c r="J10" s="249">
        <v>578</v>
      </c>
      <c r="K10" s="249">
        <v>578</v>
      </c>
      <c r="L10" s="249">
        <v>578</v>
      </c>
      <c r="M10" s="249">
        <v>578</v>
      </c>
      <c r="N10" s="249">
        <v>578</v>
      </c>
      <c r="O10" s="249">
        <v>578</v>
      </c>
      <c r="P10" s="249">
        <v>578</v>
      </c>
      <c r="Q10" s="249">
        <v>578</v>
      </c>
      <c r="R10" s="249">
        <v>578</v>
      </c>
      <c r="S10" s="249">
        <v>578</v>
      </c>
      <c r="T10" s="249">
        <v>578</v>
      </c>
      <c r="U10" s="249">
        <v>578</v>
      </c>
      <c r="V10" s="249">
        <v>578</v>
      </c>
      <c r="W10" s="249">
        <v>603</v>
      </c>
      <c r="X10" s="249">
        <v>608</v>
      </c>
      <c r="Y10" s="249">
        <v>578</v>
      </c>
      <c r="Z10" s="249">
        <v>578</v>
      </c>
      <c r="AA10" s="249">
        <v>578</v>
      </c>
      <c r="AB10" s="249">
        <v>578</v>
      </c>
      <c r="AC10" s="54" t="s">
        <v>28</v>
      </c>
    </row>
    <row r="11" spans="1:29" ht="12.75" customHeight="1" x14ac:dyDescent="0.2">
      <c r="A11" s="8"/>
      <c r="B11" s="10" t="s">
        <v>30</v>
      </c>
      <c r="C11" s="390"/>
      <c r="D11" s="390"/>
      <c r="E11" s="390"/>
      <c r="F11" s="318"/>
      <c r="G11" s="318"/>
      <c r="H11" s="318">
        <v>568</v>
      </c>
      <c r="I11" s="318">
        <v>568</v>
      </c>
      <c r="J11" s="318">
        <v>581</v>
      </c>
      <c r="K11" s="318">
        <v>736</v>
      </c>
      <c r="L11" s="318">
        <v>736</v>
      </c>
      <c r="M11" s="318">
        <v>736</v>
      </c>
      <c r="N11" s="318">
        <v>736</v>
      </c>
      <c r="O11" s="318">
        <v>675</v>
      </c>
      <c r="P11" s="318">
        <v>675</v>
      </c>
      <c r="Q11" s="318">
        <v>675</v>
      </c>
      <c r="R11" s="318">
        <v>675</v>
      </c>
      <c r="S11" s="318">
        <v>675</v>
      </c>
      <c r="T11" s="318">
        <v>675</v>
      </c>
      <c r="U11" s="318">
        <v>675</v>
      </c>
      <c r="V11" s="318">
        <v>675</v>
      </c>
      <c r="W11" s="318">
        <v>675</v>
      </c>
      <c r="X11" s="318">
        <v>675</v>
      </c>
      <c r="Y11" s="318">
        <v>674</v>
      </c>
      <c r="Z11" s="318">
        <v>674</v>
      </c>
      <c r="AA11" s="318">
        <v>674</v>
      </c>
      <c r="AB11" s="318">
        <v>674</v>
      </c>
      <c r="AC11" s="10" t="s">
        <v>30</v>
      </c>
    </row>
    <row r="12" spans="1:29" ht="12.75" customHeight="1" x14ac:dyDescent="0.2">
      <c r="A12" s="8"/>
      <c r="B12" s="54" t="s">
        <v>41</v>
      </c>
      <c r="C12" s="393" t="s">
        <v>59</v>
      </c>
      <c r="D12" s="392">
        <v>77</v>
      </c>
      <c r="E12" s="392">
        <v>444</v>
      </c>
      <c r="F12" s="249">
        <v>444</v>
      </c>
      <c r="G12" s="249">
        <v>409</v>
      </c>
      <c r="H12" s="249">
        <v>336</v>
      </c>
      <c r="I12" s="249">
        <v>336</v>
      </c>
      <c r="J12" s="249">
        <v>330</v>
      </c>
      <c r="K12" s="249">
        <v>330</v>
      </c>
      <c r="L12" s="249">
        <v>330</v>
      </c>
      <c r="M12" s="249">
        <v>330</v>
      </c>
      <c r="N12" s="249">
        <v>330</v>
      </c>
      <c r="O12" s="249">
        <v>330</v>
      </c>
      <c r="P12" s="249">
        <v>330</v>
      </c>
      <c r="Q12" s="249">
        <v>330</v>
      </c>
      <c r="R12" s="249">
        <v>330</v>
      </c>
      <c r="S12" s="249">
        <v>330</v>
      </c>
      <c r="T12" s="249">
        <v>330</v>
      </c>
      <c r="U12" s="249">
        <v>330</v>
      </c>
      <c r="V12" s="249">
        <v>330</v>
      </c>
      <c r="W12" s="249">
        <v>330</v>
      </c>
      <c r="X12" s="249">
        <v>330</v>
      </c>
      <c r="Y12" s="249">
        <v>330</v>
      </c>
      <c r="Z12" s="249">
        <v>330</v>
      </c>
      <c r="AA12" s="249">
        <v>330</v>
      </c>
      <c r="AB12" s="249">
        <v>330</v>
      </c>
      <c r="AC12" s="54" t="s">
        <v>41</v>
      </c>
    </row>
    <row r="13" spans="1:29" ht="12.75" customHeight="1" x14ac:dyDescent="0.2">
      <c r="A13" s="8"/>
      <c r="B13" s="10" t="s">
        <v>46</v>
      </c>
      <c r="C13" s="390">
        <v>2058</v>
      </c>
      <c r="D13" s="390">
        <v>2222</v>
      </c>
      <c r="E13" s="390">
        <v>2222</v>
      </c>
      <c r="F13" s="318">
        <v>3318</v>
      </c>
      <c r="G13" s="318">
        <v>3318</v>
      </c>
      <c r="H13" s="318">
        <v>3318</v>
      </c>
      <c r="I13" s="394">
        <v>2460</v>
      </c>
      <c r="J13" s="318">
        <v>2460</v>
      </c>
      <c r="K13" s="318">
        <v>2460</v>
      </c>
      <c r="L13" s="318">
        <v>2460</v>
      </c>
      <c r="M13" s="318">
        <v>2370</v>
      </c>
      <c r="N13" s="318">
        <v>2370</v>
      </c>
      <c r="O13" s="318">
        <v>2370</v>
      </c>
      <c r="P13" s="318">
        <v>2370</v>
      </c>
      <c r="Q13" s="318">
        <v>2370</v>
      </c>
      <c r="R13" s="318">
        <v>2370</v>
      </c>
      <c r="S13" s="318">
        <v>2370</v>
      </c>
      <c r="T13" s="318">
        <v>2370</v>
      </c>
      <c r="U13" s="318">
        <v>2370</v>
      </c>
      <c r="V13" s="318">
        <v>2370</v>
      </c>
      <c r="W13" s="318">
        <v>2370</v>
      </c>
      <c r="X13" s="318">
        <v>2370</v>
      </c>
      <c r="Y13" s="318">
        <v>2370</v>
      </c>
      <c r="Z13" s="318">
        <v>2370</v>
      </c>
      <c r="AA13" s="318">
        <v>2370</v>
      </c>
      <c r="AB13" s="318">
        <v>2370</v>
      </c>
      <c r="AC13" s="10" t="s">
        <v>46</v>
      </c>
    </row>
    <row r="14" spans="1:29" ht="12.75" customHeight="1" x14ac:dyDescent="0.2">
      <c r="A14" s="8"/>
      <c r="B14" s="54" t="s">
        <v>31</v>
      </c>
      <c r="C14" s="392" t="s">
        <v>59</v>
      </c>
      <c r="D14" s="392" t="s">
        <v>59</v>
      </c>
      <c r="E14" s="392" t="s">
        <v>59</v>
      </c>
      <c r="F14" s="249" t="s">
        <v>59</v>
      </c>
      <c r="G14" s="249" t="s">
        <v>59</v>
      </c>
      <c r="H14" s="249" t="s">
        <v>59</v>
      </c>
      <c r="I14" s="249" t="s">
        <v>59</v>
      </c>
      <c r="J14" s="249" t="s">
        <v>59</v>
      </c>
      <c r="K14" s="249" t="s">
        <v>59</v>
      </c>
      <c r="L14" s="249" t="s">
        <v>59</v>
      </c>
      <c r="M14" s="249" t="s">
        <v>59</v>
      </c>
      <c r="N14" s="249" t="s">
        <v>59</v>
      </c>
      <c r="O14" s="249" t="s">
        <v>59</v>
      </c>
      <c r="P14" s="249" t="s">
        <v>59</v>
      </c>
      <c r="Q14" s="249" t="s">
        <v>59</v>
      </c>
      <c r="R14" s="249" t="s">
        <v>59</v>
      </c>
      <c r="S14" s="249" t="s">
        <v>59</v>
      </c>
      <c r="T14" s="249" t="s">
        <v>59</v>
      </c>
      <c r="U14" s="249" t="s">
        <v>59</v>
      </c>
      <c r="V14" s="249" t="s">
        <v>59</v>
      </c>
      <c r="W14" s="249" t="s">
        <v>59</v>
      </c>
      <c r="X14" s="249" t="s">
        <v>59</v>
      </c>
      <c r="Y14" s="249" t="s">
        <v>59</v>
      </c>
      <c r="Z14" s="249" t="s">
        <v>59</v>
      </c>
      <c r="AA14" s="249" t="s">
        <v>59</v>
      </c>
      <c r="AB14" s="249" t="s">
        <v>59</v>
      </c>
      <c r="AC14" s="54" t="s">
        <v>31</v>
      </c>
    </row>
    <row r="15" spans="1:29" ht="12.75" customHeight="1" x14ac:dyDescent="0.2">
      <c r="A15" s="8"/>
      <c r="B15" s="10" t="s">
        <v>49</v>
      </c>
      <c r="C15" s="390" t="s">
        <v>59</v>
      </c>
      <c r="D15" s="390" t="s">
        <v>59</v>
      </c>
      <c r="E15" s="390" t="s">
        <v>59</v>
      </c>
      <c r="F15" s="318" t="s">
        <v>59</v>
      </c>
      <c r="G15" s="318" t="s">
        <v>59</v>
      </c>
      <c r="H15" s="318" t="s">
        <v>59</v>
      </c>
      <c r="I15" s="318" t="s">
        <v>59</v>
      </c>
      <c r="J15" s="318" t="s">
        <v>59</v>
      </c>
      <c r="K15" s="318" t="s">
        <v>59</v>
      </c>
      <c r="L15" s="318" t="s">
        <v>59</v>
      </c>
      <c r="M15" s="318" t="s">
        <v>59</v>
      </c>
      <c r="N15" s="318" t="s">
        <v>59</v>
      </c>
      <c r="O15" s="318" t="s">
        <v>59</v>
      </c>
      <c r="P15" s="318" t="s">
        <v>59</v>
      </c>
      <c r="Q15" s="318" t="s">
        <v>59</v>
      </c>
      <c r="R15" s="318" t="s">
        <v>59</v>
      </c>
      <c r="S15" s="318" t="s">
        <v>59</v>
      </c>
      <c r="T15" s="318" t="s">
        <v>59</v>
      </c>
      <c r="U15" s="318" t="s">
        <v>59</v>
      </c>
      <c r="V15" s="318" t="s">
        <v>59</v>
      </c>
      <c r="W15" s="318" t="s">
        <v>59</v>
      </c>
      <c r="X15" s="318" t="s">
        <v>59</v>
      </c>
      <c r="Y15" s="318" t="s">
        <v>59</v>
      </c>
      <c r="Z15" s="318" t="s">
        <v>59</v>
      </c>
      <c r="AA15" s="318" t="s">
        <v>59</v>
      </c>
      <c r="AB15" s="318" t="s">
        <v>59</v>
      </c>
      <c r="AC15" s="10" t="s">
        <v>49</v>
      </c>
    </row>
    <row r="16" spans="1:29" ht="12.75" customHeight="1" x14ac:dyDescent="0.2">
      <c r="A16" s="8"/>
      <c r="B16" s="54" t="s">
        <v>42</v>
      </c>
      <c r="C16" s="392" t="s">
        <v>59</v>
      </c>
      <c r="D16" s="392" t="s">
        <v>59</v>
      </c>
      <c r="E16" s="392" t="s">
        <v>59</v>
      </c>
      <c r="F16" s="249" t="s">
        <v>59</v>
      </c>
      <c r="G16" s="249" t="s">
        <v>59</v>
      </c>
      <c r="H16" s="249" t="s">
        <v>59</v>
      </c>
      <c r="I16" s="249" t="s">
        <v>59</v>
      </c>
      <c r="J16" s="249" t="s">
        <v>59</v>
      </c>
      <c r="K16" s="249" t="s">
        <v>59</v>
      </c>
      <c r="L16" s="249" t="s">
        <v>59</v>
      </c>
      <c r="M16" s="249" t="s">
        <v>59</v>
      </c>
      <c r="N16" s="249" t="s">
        <v>59</v>
      </c>
      <c r="O16" s="249" t="s">
        <v>59</v>
      </c>
      <c r="P16" s="249" t="s">
        <v>59</v>
      </c>
      <c r="Q16" s="249" t="s">
        <v>59</v>
      </c>
      <c r="R16" s="249" t="s">
        <v>59</v>
      </c>
      <c r="S16" s="249">
        <v>267</v>
      </c>
      <c r="T16" s="249">
        <v>267</v>
      </c>
      <c r="U16" s="249">
        <v>267</v>
      </c>
      <c r="V16" s="249">
        <v>267</v>
      </c>
      <c r="W16" s="249">
        <v>267</v>
      </c>
      <c r="X16" s="97">
        <v>267</v>
      </c>
      <c r="Y16" s="97">
        <v>267</v>
      </c>
      <c r="Z16" s="97">
        <v>267</v>
      </c>
      <c r="AA16" s="97">
        <v>267</v>
      </c>
      <c r="AB16" s="97">
        <v>267</v>
      </c>
      <c r="AC16" s="54" t="s">
        <v>42</v>
      </c>
    </row>
    <row r="17" spans="1:29" ht="12.75" customHeight="1" x14ac:dyDescent="0.2">
      <c r="A17" s="8"/>
      <c r="B17" s="10" t="s">
        <v>47</v>
      </c>
      <c r="C17" s="390">
        <v>930</v>
      </c>
      <c r="D17" s="390">
        <v>1753</v>
      </c>
      <c r="E17" s="390">
        <v>2678</v>
      </c>
      <c r="F17" s="318">
        <v>3097</v>
      </c>
      <c r="G17" s="318">
        <v>3536</v>
      </c>
      <c r="H17" s="318">
        <v>3536</v>
      </c>
      <c r="I17" s="318">
        <v>3536</v>
      </c>
      <c r="J17" s="318">
        <v>3691</v>
      </c>
      <c r="K17" s="318">
        <v>3691</v>
      </c>
      <c r="L17" s="318">
        <v>3691</v>
      </c>
      <c r="M17" s="318">
        <v>3691</v>
      </c>
      <c r="N17" s="318">
        <v>3698</v>
      </c>
      <c r="O17" s="318">
        <v>3780</v>
      </c>
      <c r="P17" s="318">
        <v>3779</v>
      </c>
      <c r="Q17" s="318">
        <v>3784</v>
      </c>
      <c r="R17" s="318">
        <v>3784</v>
      </c>
      <c r="S17" s="318">
        <v>3831</v>
      </c>
      <c r="T17" s="318">
        <v>3833</v>
      </c>
      <c r="U17" s="318">
        <v>3841</v>
      </c>
      <c r="V17" s="318">
        <v>3904</v>
      </c>
      <c r="W17" s="318">
        <v>4195</v>
      </c>
      <c r="X17" s="318">
        <v>4213</v>
      </c>
      <c r="Y17" s="318">
        <v>4365</v>
      </c>
      <c r="Z17" s="318">
        <v>4722</v>
      </c>
      <c r="AA17" s="318">
        <v>4743</v>
      </c>
      <c r="AB17" s="318">
        <v>4735</v>
      </c>
      <c r="AC17" s="10" t="s">
        <v>47</v>
      </c>
    </row>
    <row r="18" spans="1:29" ht="12.75" customHeight="1" x14ac:dyDescent="0.2">
      <c r="A18" s="8"/>
      <c r="B18" s="54" t="s">
        <v>48</v>
      </c>
      <c r="C18" s="392">
        <v>3609</v>
      </c>
      <c r="D18" s="392">
        <v>5254</v>
      </c>
      <c r="E18" s="392">
        <v>4948</v>
      </c>
      <c r="F18" s="249">
        <v>4871</v>
      </c>
      <c r="G18" s="249">
        <v>4871</v>
      </c>
      <c r="H18" s="249">
        <v>4830</v>
      </c>
      <c r="I18" s="249">
        <v>4830</v>
      </c>
      <c r="J18" s="249">
        <v>4983</v>
      </c>
      <c r="K18" s="249">
        <v>4983</v>
      </c>
      <c r="L18" s="249">
        <v>5746</v>
      </c>
      <c r="M18" s="249">
        <v>5746</v>
      </c>
      <c r="N18" s="249">
        <v>5746</v>
      </c>
      <c r="O18" s="249">
        <v>5746</v>
      </c>
      <c r="P18" s="249">
        <v>5746</v>
      </c>
      <c r="Q18" s="249">
        <v>5746</v>
      </c>
      <c r="R18" s="249">
        <v>5746</v>
      </c>
      <c r="S18" s="249">
        <v>5746</v>
      </c>
      <c r="T18" s="249">
        <v>5746</v>
      </c>
      <c r="U18" s="249">
        <v>5746</v>
      </c>
      <c r="V18" s="249">
        <v>6332</v>
      </c>
      <c r="W18" s="249">
        <v>6196</v>
      </c>
      <c r="X18" s="249">
        <v>6199</v>
      </c>
      <c r="Y18" s="249">
        <v>6293</v>
      </c>
      <c r="Z18" s="249">
        <v>7600</v>
      </c>
      <c r="AA18" s="249">
        <v>7493</v>
      </c>
      <c r="AB18" s="249">
        <v>7416</v>
      </c>
      <c r="AC18" s="54" t="s">
        <v>48</v>
      </c>
    </row>
    <row r="19" spans="1:29" ht="12.75" customHeight="1" x14ac:dyDescent="0.2">
      <c r="A19" s="8"/>
      <c r="B19" s="10" t="s">
        <v>60</v>
      </c>
      <c r="C19" s="390"/>
      <c r="D19" s="390"/>
      <c r="E19" s="390">
        <v>865</v>
      </c>
      <c r="F19" s="318"/>
      <c r="G19" s="318"/>
      <c r="H19" s="318"/>
      <c r="I19" s="318"/>
      <c r="J19" s="318">
        <v>601</v>
      </c>
      <c r="K19" s="318">
        <v>601</v>
      </c>
      <c r="L19" s="318">
        <v>601</v>
      </c>
      <c r="M19" s="318">
        <v>601</v>
      </c>
      <c r="N19" s="318">
        <v>601</v>
      </c>
      <c r="O19" s="318">
        <v>601</v>
      </c>
      <c r="P19" s="318">
        <v>601</v>
      </c>
      <c r="Q19" s="318">
        <v>601</v>
      </c>
      <c r="R19" s="318">
        <v>601</v>
      </c>
      <c r="S19" s="318">
        <v>601</v>
      </c>
      <c r="T19" s="318">
        <v>610</v>
      </c>
      <c r="U19" s="318">
        <v>610</v>
      </c>
      <c r="V19" s="318">
        <v>610</v>
      </c>
      <c r="W19" s="318">
        <v>610</v>
      </c>
      <c r="X19" s="318">
        <v>610</v>
      </c>
      <c r="Y19" s="318">
        <v>610</v>
      </c>
      <c r="Z19" s="318">
        <v>610</v>
      </c>
      <c r="AA19" s="318">
        <v>610</v>
      </c>
      <c r="AB19" s="318">
        <v>610</v>
      </c>
      <c r="AC19" s="10" t="s">
        <v>60</v>
      </c>
    </row>
    <row r="20" spans="1:29" ht="12.75" customHeight="1" x14ac:dyDescent="0.2">
      <c r="A20" s="8"/>
      <c r="B20" s="228" t="s">
        <v>50</v>
      </c>
      <c r="C20" s="395">
        <v>1939</v>
      </c>
      <c r="D20" s="395">
        <v>3069</v>
      </c>
      <c r="E20" s="395">
        <v>4086</v>
      </c>
      <c r="F20" s="259">
        <v>4098</v>
      </c>
      <c r="G20" s="259">
        <v>4235</v>
      </c>
      <c r="H20" s="259">
        <v>4235</v>
      </c>
      <c r="I20" s="259">
        <v>4235</v>
      </c>
      <c r="J20" s="259">
        <v>4235</v>
      </c>
      <c r="K20" s="259">
        <v>4233</v>
      </c>
      <c r="L20" s="259">
        <v>4145</v>
      </c>
      <c r="M20" s="259">
        <v>4331</v>
      </c>
      <c r="N20" s="259">
        <v>4364</v>
      </c>
      <c r="O20" s="259">
        <v>4346</v>
      </c>
      <c r="P20" s="259">
        <v>4358</v>
      </c>
      <c r="Q20" s="259">
        <v>4283</v>
      </c>
      <c r="R20" s="259">
        <v>4377</v>
      </c>
      <c r="S20" s="259">
        <v>4370</v>
      </c>
      <c r="T20" s="259">
        <v>4328</v>
      </c>
      <c r="U20" s="259">
        <v>4336</v>
      </c>
      <c r="V20" s="259">
        <v>4359</v>
      </c>
      <c r="W20" s="259">
        <v>4360</v>
      </c>
      <c r="X20" s="259">
        <v>4291</v>
      </c>
      <c r="Y20" s="259">
        <v>4291</v>
      </c>
      <c r="Z20" s="259">
        <v>4290</v>
      </c>
      <c r="AA20" s="259">
        <v>4290</v>
      </c>
      <c r="AB20" s="259">
        <v>4303</v>
      </c>
      <c r="AC20" s="228" t="s">
        <v>50</v>
      </c>
    </row>
    <row r="21" spans="1:29" ht="12.75" customHeight="1" x14ac:dyDescent="0.2">
      <c r="A21" s="8"/>
      <c r="B21" s="10" t="s">
        <v>29</v>
      </c>
      <c r="C21" s="390" t="s">
        <v>59</v>
      </c>
      <c r="D21" s="390" t="s">
        <v>59</v>
      </c>
      <c r="E21" s="390" t="s">
        <v>59</v>
      </c>
      <c r="F21" s="318" t="s">
        <v>59</v>
      </c>
      <c r="G21" s="318" t="s">
        <v>59</v>
      </c>
      <c r="H21" s="318" t="s">
        <v>59</v>
      </c>
      <c r="I21" s="318" t="s">
        <v>59</v>
      </c>
      <c r="J21" s="318" t="s">
        <v>59</v>
      </c>
      <c r="K21" s="318" t="s">
        <v>59</v>
      </c>
      <c r="L21" s="318" t="s">
        <v>59</v>
      </c>
      <c r="M21" s="318" t="s">
        <v>59</v>
      </c>
      <c r="N21" s="318" t="s">
        <v>59</v>
      </c>
      <c r="O21" s="318" t="s">
        <v>59</v>
      </c>
      <c r="P21" s="318" t="s">
        <v>59</v>
      </c>
      <c r="Q21" s="318" t="s">
        <v>59</v>
      </c>
      <c r="R21" s="318" t="s">
        <v>59</v>
      </c>
      <c r="S21" s="318" t="s">
        <v>59</v>
      </c>
      <c r="T21" s="318" t="s">
        <v>59</v>
      </c>
      <c r="U21" s="318" t="s">
        <v>59</v>
      </c>
      <c r="V21" s="318" t="s">
        <v>59</v>
      </c>
      <c r="W21" s="318" t="s">
        <v>59</v>
      </c>
      <c r="X21" s="318" t="s">
        <v>59</v>
      </c>
      <c r="Y21" s="318" t="s">
        <v>59</v>
      </c>
      <c r="Z21" s="318" t="s">
        <v>59</v>
      </c>
      <c r="AA21" s="318" t="s">
        <v>59</v>
      </c>
      <c r="AB21" s="318" t="s">
        <v>59</v>
      </c>
      <c r="AC21" s="10" t="s">
        <v>29</v>
      </c>
    </row>
    <row r="22" spans="1:29" ht="12.75" customHeight="1" x14ac:dyDescent="0.2">
      <c r="A22" s="8"/>
      <c r="B22" s="228" t="s">
        <v>33</v>
      </c>
      <c r="C22" s="395" t="s">
        <v>57</v>
      </c>
      <c r="D22" s="395" t="s">
        <v>57</v>
      </c>
      <c r="E22" s="395">
        <v>766</v>
      </c>
      <c r="F22" s="259">
        <v>766</v>
      </c>
      <c r="G22" s="259">
        <v>766</v>
      </c>
      <c r="H22" s="259">
        <v>755</v>
      </c>
      <c r="I22" s="259">
        <v>766</v>
      </c>
      <c r="J22" s="259">
        <v>766</v>
      </c>
      <c r="K22" s="259">
        <v>766</v>
      </c>
      <c r="L22" s="259">
        <v>766</v>
      </c>
      <c r="M22" s="259">
        <v>766</v>
      </c>
      <c r="N22" s="259">
        <v>766</v>
      </c>
      <c r="O22" s="259">
        <v>766</v>
      </c>
      <c r="P22" s="259">
        <v>766</v>
      </c>
      <c r="Q22" s="259">
        <v>766</v>
      </c>
      <c r="R22" s="259">
        <v>766</v>
      </c>
      <c r="S22" s="259">
        <v>766</v>
      </c>
      <c r="T22" s="259">
        <v>860</v>
      </c>
      <c r="U22" s="259">
        <v>860</v>
      </c>
      <c r="V22" s="259">
        <v>417</v>
      </c>
      <c r="W22" s="259">
        <v>417</v>
      </c>
      <c r="X22" s="259">
        <v>417</v>
      </c>
      <c r="Y22" s="259">
        <v>417</v>
      </c>
      <c r="Z22" s="259">
        <v>417</v>
      </c>
      <c r="AA22" s="259">
        <v>417</v>
      </c>
      <c r="AB22" s="259">
        <v>417</v>
      </c>
      <c r="AC22" s="228" t="s">
        <v>33</v>
      </c>
    </row>
    <row r="23" spans="1:29" ht="12.75" customHeight="1" x14ac:dyDescent="0.2">
      <c r="A23" s="8"/>
      <c r="B23" s="10" t="s">
        <v>34</v>
      </c>
      <c r="C23" s="390" t="s">
        <v>57</v>
      </c>
      <c r="D23" s="390" t="s">
        <v>57</v>
      </c>
      <c r="E23" s="390"/>
      <c r="F23" s="318"/>
      <c r="G23" s="318"/>
      <c r="H23" s="318"/>
      <c r="I23" s="318"/>
      <c r="J23" s="318">
        <v>400</v>
      </c>
      <c r="K23" s="318">
        <v>399</v>
      </c>
      <c r="L23" s="318">
        <v>399</v>
      </c>
      <c r="M23" s="318">
        <v>399</v>
      </c>
      <c r="N23" s="318">
        <v>500</v>
      </c>
      <c r="O23" s="318">
        <v>500</v>
      </c>
      <c r="P23" s="318">
        <v>500</v>
      </c>
      <c r="Q23" s="318">
        <v>500</v>
      </c>
      <c r="R23" s="318">
        <v>500</v>
      </c>
      <c r="S23" s="318">
        <v>500</v>
      </c>
      <c r="T23" s="318">
        <v>500</v>
      </c>
      <c r="U23" s="318">
        <v>500</v>
      </c>
      <c r="V23" s="318">
        <v>500</v>
      </c>
      <c r="W23" s="318">
        <v>500</v>
      </c>
      <c r="X23" s="318">
        <v>500</v>
      </c>
      <c r="Y23" s="318">
        <v>500</v>
      </c>
      <c r="Z23" s="318">
        <v>500</v>
      </c>
      <c r="AA23" s="318">
        <v>500</v>
      </c>
      <c r="AB23" s="318">
        <v>500</v>
      </c>
      <c r="AC23" s="10" t="s">
        <v>34</v>
      </c>
    </row>
    <row r="24" spans="1:29" ht="12.75" customHeight="1" x14ac:dyDescent="0.2">
      <c r="A24" s="8"/>
      <c r="B24" s="228" t="s">
        <v>51</v>
      </c>
      <c r="C24" s="395" t="s">
        <v>59</v>
      </c>
      <c r="D24" s="395" t="s">
        <v>59</v>
      </c>
      <c r="E24" s="395" t="s">
        <v>59</v>
      </c>
      <c r="F24" s="259" t="s">
        <v>59</v>
      </c>
      <c r="G24" s="259" t="s">
        <v>59</v>
      </c>
      <c r="H24" s="259" t="s">
        <v>59</v>
      </c>
      <c r="I24" s="259" t="s">
        <v>59</v>
      </c>
      <c r="J24" s="259" t="s">
        <v>59</v>
      </c>
      <c r="K24" s="259" t="s">
        <v>59</v>
      </c>
      <c r="L24" s="259" t="s">
        <v>59</v>
      </c>
      <c r="M24" s="259" t="s">
        <v>59</v>
      </c>
      <c r="N24" s="259" t="s">
        <v>59</v>
      </c>
      <c r="O24" s="259" t="s">
        <v>59</v>
      </c>
      <c r="P24" s="259" t="s">
        <v>59</v>
      </c>
      <c r="Q24" s="259" t="s">
        <v>59</v>
      </c>
      <c r="R24" s="259" t="s">
        <v>59</v>
      </c>
      <c r="S24" s="259" t="s">
        <v>59</v>
      </c>
      <c r="T24" s="259" t="s">
        <v>59</v>
      </c>
      <c r="U24" s="259" t="s">
        <v>59</v>
      </c>
      <c r="V24" s="259" t="s">
        <v>59</v>
      </c>
      <c r="W24" s="259" t="s">
        <v>59</v>
      </c>
      <c r="X24" s="259" t="s">
        <v>59</v>
      </c>
      <c r="Y24" s="259" t="s">
        <v>59</v>
      </c>
      <c r="Z24" s="259" t="s">
        <v>59</v>
      </c>
      <c r="AA24" s="259" t="s">
        <v>59</v>
      </c>
      <c r="AB24" s="259" t="s">
        <v>59</v>
      </c>
      <c r="AC24" s="228" t="s">
        <v>51</v>
      </c>
    </row>
    <row r="25" spans="1:29" ht="12.75" customHeight="1" x14ac:dyDescent="0.2">
      <c r="A25" s="8"/>
      <c r="B25" s="10" t="s">
        <v>32</v>
      </c>
      <c r="C25" s="390" t="s">
        <v>57</v>
      </c>
      <c r="D25" s="390">
        <v>1067</v>
      </c>
      <c r="E25" s="390">
        <v>2574</v>
      </c>
      <c r="F25" s="318">
        <v>2574</v>
      </c>
      <c r="G25" s="318">
        <v>2483</v>
      </c>
      <c r="H25" s="318">
        <v>2071</v>
      </c>
      <c r="I25" s="318">
        <v>2071</v>
      </c>
      <c r="J25" s="318">
        <v>2071</v>
      </c>
      <c r="K25" s="318">
        <v>2071</v>
      </c>
      <c r="L25" s="318">
        <v>848</v>
      </c>
      <c r="M25" s="318">
        <v>848</v>
      </c>
      <c r="N25" s="318">
        <v>2041</v>
      </c>
      <c r="O25" s="318">
        <v>2061</v>
      </c>
      <c r="P25" s="318">
        <v>2047</v>
      </c>
      <c r="Q25" s="318">
        <v>2047</v>
      </c>
      <c r="R25" s="318">
        <v>2047</v>
      </c>
      <c r="S25" s="318">
        <v>2031</v>
      </c>
      <c r="T25" s="318">
        <v>2032</v>
      </c>
      <c r="U25" s="318">
        <v>2032</v>
      </c>
      <c r="V25" s="318">
        <v>2209</v>
      </c>
      <c r="W25" s="318">
        <v>2206</v>
      </c>
      <c r="X25" s="318">
        <v>2207</v>
      </c>
      <c r="Y25" s="318">
        <v>2209</v>
      </c>
      <c r="Z25" s="318">
        <v>2215</v>
      </c>
      <c r="AA25" s="318">
        <v>2214.6999999999998</v>
      </c>
      <c r="AB25" s="318">
        <v>2217</v>
      </c>
      <c r="AC25" s="10" t="s">
        <v>32</v>
      </c>
    </row>
    <row r="26" spans="1:29" ht="12.75" customHeight="1" x14ac:dyDescent="0.2">
      <c r="A26" s="8"/>
      <c r="B26" s="228" t="s">
        <v>35</v>
      </c>
      <c r="C26" s="395" t="s">
        <v>59</v>
      </c>
      <c r="D26" s="395" t="s">
        <v>59</v>
      </c>
      <c r="E26" s="395" t="s">
        <v>59</v>
      </c>
      <c r="F26" s="259" t="s">
        <v>59</v>
      </c>
      <c r="G26" s="259" t="s">
        <v>59</v>
      </c>
      <c r="H26" s="259" t="s">
        <v>59</v>
      </c>
      <c r="I26" s="259" t="s">
        <v>59</v>
      </c>
      <c r="J26" s="259" t="s">
        <v>59</v>
      </c>
      <c r="K26" s="259" t="s">
        <v>59</v>
      </c>
      <c r="L26" s="259" t="s">
        <v>59</v>
      </c>
      <c r="M26" s="259" t="s">
        <v>59</v>
      </c>
      <c r="N26" s="259" t="s">
        <v>59</v>
      </c>
      <c r="O26" s="259" t="s">
        <v>59</v>
      </c>
      <c r="P26" s="259" t="s">
        <v>59</v>
      </c>
      <c r="Q26" s="259" t="s">
        <v>59</v>
      </c>
      <c r="R26" s="259" t="s">
        <v>59</v>
      </c>
      <c r="S26" s="259" t="s">
        <v>59</v>
      </c>
      <c r="T26" s="259" t="s">
        <v>59</v>
      </c>
      <c r="U26" s="259" t="s">
        <v>59</v>
      </c>
      <c r="V26" s="259" t="s">
        <v>59</v>
      </c>
      <c r="W26" s="259" t="s">
        <v>59</v>
      </c>
      <c r="X26" s="259" t="s">
        <v>59</v>
      </c>
      <c r="Y26" s="259" t="s">
        <v>59</v>
      </c>
      <c r="Z26" s="259" t="s">
        <v>59</v>
      </c>
      <c r="AA26" s="259" t="s">
        <v>59</v>
      </c>
      <c r="AB26" s="259" t="s">
        <v>59</v>
      </c>
      <c r="AC26" s="228" t="s">
        <v>35</v>
      </c>
    </row>
    <row r="27" spans="1:29" ht="12.75" customHeight="1" x14ac:dyDescent="0.2">
      <c r="A27" s="8"/>
      <c r="B27" s="10" t="s">
        <v>43</v>
      </c>
      <c r="C27" s="390">
        <v>323</v>
      </c>
      <c r="D27" s="390">
        <v>391</v>
      </c>
      <c r="E27" s="390">
        <v>391</v>
      </c>
      <c r="F27" s="318">
        <v>391</v>
      </c>
      <c r="G27" s="318">
        <v>391</v>
      </c>
      <c r="H27" s="318">
        <v>391</v>
      </c>
      <c r="I27" s="318">
        <v>391</v>
      </c>
      <c r="J27" s="318">
        <v>391</v>
      </c>
      <c r="K27" s="318">
        <v>391</v>
      </c>
      <c r="L27" s="318">
        <v>391</v>
      </c>
      <c r="M27" s="318">
        <v>391</v>
      </c>
      <c r="N27" s="318">
        <v>391</v>
      </c>
      <c r="O27" s="318">
        <v>391</v>
      </c>
      <c r="P27" s="318">
        <v>391</v>
      </c>
      <c r="Q27" s="318">
        <v>391</v>
      </c>
      <c r="R27" s="318">
        <v>391</v>
      </c>
      <c r="S27" s="318">
        <v>391</v>
      </c>
      <c r="T27" s="318">
        <v>391</v>
      </c>
      <c r="U27" s="318">
        <v>391</v>
      </c>
      <c r="V27" s="318">
        <v>391</v>
      </c>
      <c r="W27" s="318">
        <v>391</v>
      </c>
      <c r="X27" s="318">
        <v>391</v>
      </c>
      <c r="Y27" s="318">
        <v>391</v>
      </c>
      <c r="Z27" s="318">
        <v>391</v>
      </c>
      <c r="AA27" s="318">
        <v>391</v>
      </c>
      <c r="AB27" s="318">
        <v>391</v>
      </c>
      <c r="AC27" s="10" t="s">
        <v>43</v>
      </c>
    </row>
    <row r="28" spans="1:29" ht="12.75" customHeight="1" x14ac:dyDescent="0.2">
      <c r="A28" s="8"/>
      <c r="B28" s="228" t="s">
        <v>52</v>
      </c>
      <c r="C28" s="395">
        <v>604</v>
      </c>
      <c r="D28" s="395">
        <v>777</v>
      </c>
      <c r="E28" s="395">
        <v>777</v>
      </c>
      <c r="F28" s="259">
        <v>777</v>
      </c>
      <c r="G28" s="259">
        <v>777</v>
      </c>
      <c r="H28" s="259">
        <v>777</v>
      </c>
      <c r="I28" s="259">
        <v>777</v>
      </c>
      <c r="J28" s="259">
        <v>777</v>
      </c>
      <c r="K28" s="259">
        <v>777</v>
      </c>
      <c r="L28" s="259">
        <v>777</v>
      </c>
      <c r="M28" s="259">
        <v>777</v>
      </c>
      <c r="N28" s="259">
        <v>777</v>
      </c>
      <c r="O28" s="259">
        <v>777</v>
      </c>
      <c r="P28" s="259">
        <v>777</v>
      </c>
      <c r="Q28" s="259">
        <v>777</v>
      </c>
      <c r="R28" s="259">
        <v>777</v>
      </c>
      <c r="S28" s="259">
        <v>777</v>
      </c>
      <c r="T28" s="259">
        <v>777</v>
      </c>
      <c r="U28" s="259">
        <v>1214</v>
      </c>
      <c r="V28" s="259">
        <v>1214</v>
      </c>
      <c r="W28" s="259">
        <v>1214</v>
      </c>
      <c r="X28" s="259">
        <v>1214</v>
      </c>
      <c r="Y28" s="259">
        <v>1214</v>
      </c>
      <c r="Z28" s="259">
        <v>1214</v>
      </c>
      <c r="AA28" s="259">
        <v>1214</v>
      </c>
      <c r="AB28" s="259">
        <v>1214</v>
      </c>
      <c r="AC28" s="228" t="s">
        <v>52</v>
      </c>
    </row>
    <row r="29" spans="1:29" ht="12.75" customHeight="1" x14ac:dyDescent="0.2">
      <c r="A29" s="8"/>
      <c r="B29" s="10" t="s">
        <v>36</v>
      </c>
      <c r="C29" s="390" t="s">
        <v>57</v>
      </c>
      <c r="D29" s="390">
        <v>1975</v>
      </c>
      <c r="E29" s="390">
        <v>2039</v>
      </c>
      <c r="F29" s="318">
        <v>2040</v>
      </c>
      <c r="G29" s="318">
        <v>2192</v>
      </c>
      <c r="H29" s="318">
        <v>2192</v>
      </c>
      <c r="I29" s="318">
        <v>2278</v>
      </c>
      <c r="J29" s="318">
        <v>2278</v>
      </c>
      <c r="K29" s="318">
        <v>2278</v>
      </c>
      <c r="L29" s="318">
        <v>2278</v>
      </c>
      <c r="M29" s="318">
        <v>2278</v>
      </c>
      <c r="N29" s="318">
        <v>2278</v>
      </c>
      <c r="O29" s="318">
        <v>2278</v>
      </c>
      <c r="P29" s="318">
        <v>2285</v>
      </c>
      <c r="Q29" s="318">
        <v>2286</v>
      </c>
      <c r="R29" s="318">
        <v>2293</v>
      </c>
      <c r="S29" s="318">
        <v>2278</v>
      </c>
      <c r="T29" s="318">
        <v>2278</v>
      </c>
      <c r="U29" s="318">
        <v>2278</v>
      </c>
      <c r="V29" s="318">
        <v>2278</v>
      </c>
      <c r="W29" s="318">
        <v>2278</v>
      </c>
      <c r="X29" s="318">
        <v>2360</v>
      </c>
      <c r="Y29" s="318">
        <v>2362</v>
      </c>
      <c r="Z29" s="318">
        <v>2444</v>
      </c>
      <c r="AA29" s="318">
        <v>2444</v>
      </c>
      <c r="AB29" s="318">
        <v>2444</v>
      </c>
      <c r="AC29" s="10" t="s">
        <v>36</v>
      </c>
    </row>
    <row r="30" spans="1:29" ht="12.75" customHeight="1" x14ac:dyDescent="0.2">
      <c r="A30" s="8"/>
      <c r="B30" s="228" t="s">
        <v>53</v>
      </c>
      <c r="C30" s="395" t="s">
        <v>59</v>
      </c>
      <c r="D30" s="395" t="s">
        <v>59</v>
      </c>
      <c r="E30" s="395" t="s">
        <v>59</v>
      </c>
      <c r="F30" s="259" t="s">
        <v>59</v>
      </c>
      <c r="G30" s="259" t="s">
        <v>59</v>
      </c>
      <c r="H30" s="259" t="s">
        <v>59</v>
      </c>
      <c r="I30" s="259" t="s">
        <v>59</v>
      </c>
      <c r="J30" s="259" t="s">
        <v>59</v>
      </c>
      <c r="K30" s="259" t="s">
        <v>59</v>
      </c>
      <c r="L30" s="259">
        <v>147</v>
      </c>
      <c r="M30" s="259">
        <v>147</v>
      </c>
      <c r="N30" s="259">
        <v>147</v>
      </c>
      <c r="O30" s="259">
        <v>147</v>
      </c>
      <c r="P30" s="259">
        <v>147</v>
      </c>
      <c r="Q30" s="259">
        <v>147</v>
      </c>
      <c r="R30" s="259">
        <v>147</v>
      </c>
      <c r="S30" s="259">
        <v>147</v>
      </c>
      <c r="T30" s="259">
        <v>147</v>
      </c>
      <c r="U30" s="259">
        <v>147</v>
      </c>
      <c r="V30" s="259">
        <v>147</v>
      </c>
      <c r="W30" s="259">
        <v>147</v>
      </c>
      <c r="X30" s="259">
        <v>147</v>
      </c>
      <c r="Y30" s="259">
        <v>147</v>
      </c>
      <c r="Z30" s="259">
        <v>147</v>
      </c>
      <c r="AA30" s="259">
        <v>147</v>
      </c>
      <c r="AB30" s="259">
        <v>147</v>
      </c>
      <c r="AC30" s="228" t="s">
        <v>53</v>
      </c>
    </row>
    <row r="31" spans="1:29" ht="12.75" customHeight="1" x14ac:dyDescent="0.2">
      <c r="A31" s="8"/>
      <c r="B31" s="10" t="s">
        <v>37</v>
      </c>
      <c r="C31" s="390" t="s">
        <v>57</v>
      </c>
      <c r="D31" s="390" t="s">
        <v>57</v>
      </c>
      <c r="E31" s="390">
        <v>3694</v>
      </c>
      <c r="F31" s="318"/>
      <c r="G31" s="318"/>
      <c r="H31" s="318"/>
      <c r="I31" s="318">
        <v>4468</v>
      </c>
      <c r="J31" s="318">
        <v>4479</v>
      </c>
      <c r="K31" s="318">
        <v>4479</v>
      </c>
      <c r="L31" s="318">
        <v>5626</v>
      </c>
      <c r="M31" s="318">
        <v>5626</v>
      </c>
      <c r="N31" s="318">
        <v>5221</v>
      </c>
      <c r="O31" s="318">
        <v>5221</v>
      </c>
      <c r="P31" s="318">
        <v>5221</v>
      </c>
      <c r="Q31" s="318">
        <v>4909</v>
      </c>
      <c r="R31" s="318">
        <v>5209</v>
      </c>
      <c r="S31" s="318">
        <v>4254</v>
      </c>
      <c r="T31" s="318">
        <v>5356</v>
      </c>
      <c r="U31" s="318">
        <v>5332</v>
      </c>
      <c r="V31" s="318">
        <v>5268</v>
      </c>
      <c r="W31" s="318">
        <v>5268</v>
      </c>
      <c r="X31" s="318">
        <v>5260</v>
      </c>
      <c r="Y31" s="318">
        <v>5260</v>
      </c>
      <c r="Z31" s="412">
        <v>3346</v>
      </c>
      <c r="AA31" s="318">
        <v>2951</v>
      </c>
      <c r="AB31" s="318">
        <v>2951</v>
      </c>
      <c r="AC31" s="10" t="s">
        <v>37</v>
      </c>
    </row>
    <row r="32" spans="1:29" ht="12.75" customHeight="1" x14ac:dyDescent="0.2">
      <c r="A32" s="8"/>
      <c r="B32" s="228" t="s">
        <v>39</v>
      </c>
      <c r="C32" s="395" t="s">
        <v>59</v>
      </c>
      <c r="D32" s="395" t="s">
        <v>59</v>
      </c>
      <c r="E32" s="395" t="s">
        <v>59</v>
      </c>
      <c r="F32" s="259" t="s">
        <v>59</v>
      </c>
      <c r="G32" s="259" t="s">
        <v>59</v>
      </c>
      <c r="H32" s="259" t="s">
        <v>59</v>
      </c>
      <c r="I32" s="259" t="s">
        <v>59</v>
      </c>
      <c r="J32" s="259" t="s">
        <v>59</v>
      </c>
      <c r="K32" s="259" t="s">
        <v>59</v>
      </c>
      <c r="L32" s="259" t="s">
        <v>59</v>
      </c>
      <c r="M32" s="259" t="s">
        <v>59</v>
      </c>
      <c r="N32" s="259" t="s">
        <v>59</v>
      </c>
      <c r="O32" s="259" t="s">
        <v>59</v>
      </c>
      <c r="P32" s="259" t="s">
        <v>59</v>
      </c>
      <c r="Q32" s="259" t="s">
        <v>59</v>
      </c>
      <c r="R32" s="259" t="s">
        <v>59</v>
      </c>
      <c r="S32" s="259" t="s">
        <v>59</v>
      </c>
      <c r="T32" s="259" t="s">
        <v>59</v>
      </c>
      <c r="U32" s="259" t="s">
        <v>59</v>
      </c>
      <c r="V32" s="259" t="s">
        <v>59</v>
      </c>
      <c r="W32" s="259" t="s">
        <v>59</v>
      </c>
      <c r="X32" s="259" t="s">
        <v>59</v>
      </c>
      <c r="Y32" s="259" t="s">
        <v>59</v>
      </c>
      <c r="Z32" s="259" t="s">
        <v>59</v>
      </c>
      <c r="AA32" s="259" t="s">
        <v>59</v>
      </c>
      <c r="AB32" s="259" t="s">
        <v>59</v>
      </c>
      <c r="AC32" s="228" t="s">
        <v>39</v>
      </c>
    </row>
    <row r="33" spans="1:29" ht="12.75" customHeight="1" x14ac:dyDescent="0.2">
      <c r="A33" s="8"/>
      <c r="B33" s="10" t="s">
        <v>38</v>
      </c>
      <c r="C33" s="390"/>
      <c r="D33" s="390"/>
      <c r="E33" s="390"/>
      <c r="F33" s="318"/>
      <c r="G33" s="318"/>
      <c r="H33" s="318">
        <v>515</v>
      </c>
      <c r="I33" s="318">
        <v>515</v>
      </c>
      <c r="J33" s="318">
        <v>515</v>
      </c>
      <c r="K33" s="318">
        <v>515</v>
      </c>
      <c r="L33" s="318">
        <v>515</v>
      </c>
      <c r="M33" s="318">
        <v>515</v>
      </c>
      <c r="N33" s="318">
        <v>515</v>
      </c>
      <c r="O33" s="318">
        <v>515</v>
      </c>
      <c r="P33" s="318">
        <v>515</v>
      </c>
      <c r="Q33" s="318">
        <v>515</v>
      </c>
      <c r="R33" s="318">
        <v>515</v>
      </c>
      <c r="S33" s="318">
        <v>515</v>
      </c>
      <c r="T33" s="318">
        <v>515</v>
      </c>
      <c r="U33" s="318">
        <v>515</v>
      </c>
      <c r="V33" s="318">
        <v>515</v>
      </c>
      <c r="W33" s="382">
        <v>515</v>
      </c>
      <c r="X33" s="318">
        <v>509</v>
      </c>
      <c r="Y33" s="318">
        <v>510</v>
      </c>
      <c r="Z33" s="318">
        <v>510</v>
      </c>
      <c r="AA33" s="318">
        <v>510</v>
      </c>
      <c r="AB33" s="318">
        <v>510</v>
      </c>
      <c r="AC33" s="10" t="s">
        <v>38</v>
      </c>
    </row>
    <row r="34" spans="1:29" ht="12.75" customHeight="1" x14ac:dyDescent="0.2">
      <c r="A34" s="8"/>
      <c r="B34" s="228" t="s">
        <v>54</v>
      </c>
      <c r="C34" s="395" t="s">
        <v>59</v>
      </c>
      <c r="D34" s="395" t="s">
        <v>59</v>
      </c>
      <c r="E34" s="395" t="s">
        <v>59</v>
      </c>
      <c r="F34" s="259" t="s">
        <v>59</v>
      </c>
      <c r="G34" s="259" t="s">
        <v>59</v>
      </c>
      <c r="H34" s="259" t="s">
        <v>59</v>
      </c>
      <c r="I34" s="259" t="s">
        <v>59</v>
      </c>
      <c r="J34" s="259" t="s">
        <v>59</v>
      </c>
      <c r="K34" s="259" t="s">
        <v>59</v>
      </c>
      <c r="L34" s="259" t="s">
        <v>59</v>
      </c>
      <c r="M34" s="259" t="s">
        <v>59</v>
      </c>
      <c r="N34" s="259" t="s">
        <v>59</v>
      </c>
      <c r="O34" s="259" t="s">
        <v>59</v>
      </c>
      <c r="P34" s="259" t="s">
        <v>59</v>
      </c>
      <c r="Q34" s="259" t="s">
        <v>59</v>
      </c>
      <c r="R34" s="259" t="s">
        <v>59</v>
      </c>
      <c r="S34" s="259" t="s">
        <v>59</v>
      </c>
      <c r="T34" s="259" t="s">
        <v>59</v>
      </c>
      <c r="U34" s="259" t="s">
        <v>59</v>
      </c>
      <c r="V34" s="259" t="s">
        <v>59</v>
      </c>
      <c r="W34" s="259" t="s">
        <v>59</v>
      </c>
      <c r="X34" s="259" t="s">
        <v>59</v>
      </c>
      <c r="Y34" s="259" t="s">
        <v>59</v>
      </c>
      <c r="Z34" s="259" t="s">
        <v>59</v>
      </c>
      <c r="AA34" s="259" t="s">
        <v>59</v>
      </c>
      <c r="AB34" s="259" t="s">
        <v>59</v>
      </c>
      <c r="AC34" s="228" t="s">
        <v>54</v>
      </c>
    </row>
    <row r="35" spans="1:29" ht="12.75" customHeight="1" x14ac:dyDescent="0.2">
      <c r="A35" s="8"/>
      <c r="B35" s="10" t="s">
        <v>55</v>
      </c>
      <c r="C35" s="390" t="s">
        <v>59</v>
      </c>
      <c r="D35" s="390" t="s">
        <v>59</v>
      </c>
      <c r="E35" s="390" t="s">
        <v>59</v>
      </c>
      <c r="F35" s="318" t="s">
        <v>59</v>
      </c>
      <c r="G35" s="318" t="s">
        <v>59</v>
      </c>
      <c r="H35" s="318" t="s">
        <v>59</v>
      </c>
      <c r="I35" s="318" t="s">
        <v>59</v>
      </c>
      <c r="J35" s="318" t="s">
        <v>59</v>
      </c>
      <c r="K35" s="318" t="s">
        <v>59</v>
      </c>
      <c r="L35" s="318" t="s">
        <v>59</v>
      </c>
      <c r="M35" s="318" t="s">
        <v>59</v>
      </c>
      <c r="N35" s="318" t="s">
        <v>59</v>
      </c>
      <c r="O35" s="318" t="s">
        <v>59</v>
      </c>
      <c r="P35" s="318" t="s">
        <v>59</v>
      </c>
      <c r="Q35" s="318" t="s">
        <v>59</v>
      </c>
      <c r="R35" s="318" t="s">
        <v>59</v>
      </c>
      <c r="S35" s="318" t="s">
        <v>59</v>
      </c>
      <c r="T35" s="318" t="s">
        <v>59</v>
      </c>
      <c r="U35" s="318" t="s">
        <v>59</v>
      </c>
      <c r="V35" s="318" t="s">
        <v>59</v>
      </c>
      <c r="W35" s="318" t="s">
        <v>59</v>
      </c>
      <c r="X35" s="318" t="s">
        <v>59</v>
      </c>
      <c r="Y35" s="318" t="s">
        <v>59</v>
      </c>
      <c r="Z35" s="318" t="s">
        <v>59</v>
      </c>
      <c r="AA35" s="318" t="s">
        <v>59</v>
      </c>
      <c r="AB35" s="318" t="s">
        <v>59</v>
      </c>
      <c r="AC35" s="10" t="s">
        <v>55</v>
      </c>
    </row>
    <row r="36" spans="1:29" ht="12.75" customHeight="1" x14ac:dyDescent="0.2">
      <c r="A36" s="8"/>
      <c r="B36" s="228" t="s">
        <v>44</v>
      </c>
      <c r="C36" s="395">
        <v>1634</v>
      </c>
      <c r="D36" s="395">
        <v>3166</v>
      </c>
      <c r="E36" s="395">
        <v>2462</v>
      </c>
      <c r="F36" s="259">
        <v>2650</v>
      </c>
      <c r="G36" s="259">
        <v>2762</v>
      </c>
      <c r="H36" s="259">
        <v>3086</v>
      </c>
      <c r="I36" s="259">
        <v>2996</v>
      </c>
      <c r="J36" s="259">
        <v>3470</v>
      </c>
      <c r="K36" s="259">
        <v>3459</v>
      </c>
      <c r="L36" s="259">
        <v>3936</v>
      </c>
      <c r="M36" s="259">
        <v>3953</v>
      </c>
      <c r="N36" s="259">
        <v>3923</v>
      </c>
      <c r="O36" s="259">
        <v>3954</v>
      </c>
      <c r="P36" s="259">
        <v>4368</v>
      </c>
      <c r="Q36" s="259">
        <v>4367</v>
      </c>
      <c r="R36" s="259">
        <v>4325</v>
      </c>
      <c r="S36" s="259">
        <v>4405</v>
      </c>
      <c r="T36" s="259">
        <v>4501</v>
      </c>
      <c r="U36" s="259">
        <v>4519</v>
      </c>
      <c r="V36" s="259">
        <v>4447</v>
      </c>
      <c r="W36" s="259">
        <v>4447</v>
      </c>
      <c r="X36" s="259">
        <v>4447</v>
      </c>
      <c r="Y36" s="259">
        <v>4446</v>
      </c>
      <c r="Z36" s="259">
        <v>4446</v>
      </c>
      <c r="AA36" s="259">
        <v>4446</v>
      </c>
      <c r="AB36" s="299">
        <v>4446</v>
      </c>
      <c r="AC36" s="228" t="s">
        <v>44</v>
      </c>
    </row>
    <row r="37" spans="1:29" ht="12.75" customHeight="1" x14ac:dyDescent="0.2">
      <c r="A37" s="8"/>
      <c r="B37" s="300" t="s">
        <v>142</v>
      </c>
      <c r="C37" s="396" t="s">
        <v>59</v>
      </c>
      <c r="D37" s="396" t="s">
        <v>59</v>
      </c>
      <c r="E37" s="397" t="s">
        <v>59</v>
      </c>
      <c r="F37" s="398" t="s">
        <v>59</v>
      </c>
      <c r="G37" s="398" t="s">
        <v>59</v>
      </c>
      <c r="H37" s="398" t="s">
        <v>59</v>
      </c>
      <c r="I37" s="398" t="s">
        <v>59</v>
      </c>
      <c r="J37" s="398" t="s">
        <v>59</v>
      </c>
      <c r="K37" s="398" t="s">
        <v>59</v>
      </c>
      <c r="L37" s="398" t="s">
        <v>59</v>
      </c>
      <c r="M37" s="398" t="s">
        <v>59</v>
      </c>
      <c r="N37" s="398" t="s">
        <v>59</v>
      </c>
      <c r="O37" s="398" t="s">
        <v>59</v>
      </c>
      <c r="P37" s="398" t="s">
        <v>59</v>
      </c>
      <c r="Q37" s="398" t="s">
        <v>59</v>
      </c>
      <c r="R37" s="398" t="s">
        <v>59</v>
      </c>
      <c r="S37" s="398" t="s">
        <v>59</v>
      </c>
      <c r="T37" s="398" t="s">
        <v>59</v>
      </c>
      <c r="U37" s="398" t="s">
        <v>59</v>
      </c>
      <c r="V37" s="398" t="s">
        <v>59</v>
      </c>
      <c r="W37" s="398" t="s">
        <v>59</v>
      </c>
      <c r="X37" s="398" t="s">
        <v>59</v>
      </c>
      <c r="Y37" s="398" t="s">
        <v>59</v>
      </c>
      <c r="Z37" s="399" t="s">
        <v>59</v>
      </c>
      <c r="AA37" s="399" t="s">
        <v>59</v>
      </c>
      <c r="AB37" s="399" t="s">
        <v>59</v>
      </c>
      <c r="AC37" s="300" t="s">
        <v>142</v>
      </c>
    </row>
    <row r="38" spans="1:29" ht="12.75" customHeight="1" x14ac:dyDescent="0.2">
      <c r="A38" s="8"/>
      <c r="B38" s="10" t="s">
        <v>139</v>
      </c>
      <c r="C38" s="390" t="s">
        <v>59</v>
      </c>
      <c r="D38" s="390" t="s">
        <v>59</v>
      </c>
      <c r="E38" s="400" t="s">
        <v>59</v>
      </c>
      <c r="F38" s="318" t="s">
        <v>59</v>
      </c>
      <c r="G38" s="318" t="s">
        <v>59</v>
      </c>
      <c r="H38" s="318" t="s">
        <v>59</v>
      </c>
      <c r="I38" s="318" t="s">
        <v>59</v>
      </c>
      <c r="J38" s="318" t="s">
        <v>59</v>
      </c>
      <c r="K38" s="318" t="s">
        <v>59</v>
      </c>
      <c r="L38" s="318" t="s">
        <v>59</v>
      </c>
      <c r="M38" s="318" t="s">
        <v>59</v>
      </c>
      <c r="N38" s="318" t="s">
        <v>59</v>
      </c>
      <c r="O38" s="318" t="s">
        <v>59</v>
      </c>
      <c r="P38" s="318" t="s">
        <v>59</v>
      </c>
      <c r="Q38" s="318" t="s">
        <v>59</v>
      </c>
      <c r="R38" s="318" t="s">
        <v>59</v>
      </c>
      <c r="S38" s="318" t="s">
        <v>59</v>
      </c>
      <c r="T38" s="318" t="s">
        <v>59</v>
      </c>
      <c r="U38" s="318" t="s">
        <v>59</v>
      </c>
      <c r="V38" s="318" t="s">
        <v>59</v>
      </c>
      <c r="W38" s="318" t="s">
        <v>59</v>
      </c>
      <c r="X38" s="318" t="s">
        <v>59</v>
      </c>
      <c r="Y38" s="318" t="s">
        <v>59</v>
      </c>
      <c r="Z38" s="318" t="s">
        <v>59</v>
      </c>
      <c r="AA38" s="318" t="s">
        <v>59</v>
      </c>
      <c r="AB38" s="318" t="s">
        <v>59</v>
      </c>
      <c r="AC38" s="10" t="s">
        <v>139</v>
      </c>
    </row>
    <row r="39" spans="1:29" ht="12.75" customHeight="1" x14ac:dyDescent="0.2">
      <c r="A39" s="8"/>
      <c r="B39" s="228" t="s">
        <v>1</v>
      </c>
      <c r="C39" s="395"/>
      <c r="D39" s="395"/>
      <c r="E39" s="395"/>
      <c r="F39" s="259"/>
      <c r="G39" s="259"/>
      <c r="H39" s="259"/>
      <c r="I39" s="259"/>
      <c r="J39" s="259"/>
      <c r="K39" s="259"/>
      <c r="L39" s="259"/>
      <c r="M39" s="259"/>
      <c r="N39" s="259"/>
      <c r="O39" s="259"/>
      <c r="P39" s="259"/>
      <c r="Q39" s="259">
        <v>144</v>
      </c>
      <c r="R39" s="259">
        <v>144</v>
      </c>
      <c r="S39" s="259">
        <v>144</v>
      </c>
      <c r="T39" s="259">
        <v>155</v>
      </c>
      <c r="U39" s="259">
        <v>155</v>
      </c>
      <c r="V39" s="259">
        <v>155</v>
      </c>
      <c r="W39" s="259">
        <v>155</v>
      </c>
      <c r="X39" s="259">
        <v>143.6</v>
      </c>
      <c r="Y39" s="259">
        <v>143.69999999999999</v>
      </c>
      <c r="Z39" s="259">
        <v>143.6</v>
      </c>
      <c r="AA39" s="259">
        <v>143.6</v>
      </c>
      <c r="AB39" s="259" t="s">
        <v>59</v>
      </c>
      <c r="AC39" s="228" t="s">
        <v>1</v>
      </c>
    </row>
    <row r="40" spans="1:29" ht="12.75" customHeight="1" x14ac:dyDescent="0.2">
      <c r="A40" s="8"/>
      <c r="B40" s="10" t="s">
        <v>140</v>
      </c>
      <c r="C40" s="390"/>
      <c r="D40" s="390"/>
      <c r="E40" s="390"/>
      <c r="F40" s="318"/>
      <c r="G40" s="318"/>
      <c r="H40" s="318"/>
      <c r="I40" s="318"/>
      <c r="J40" s="318"/>
      <c r="K40" s="318"/>
      <c r="L40" s="318"/>
      <c r="M40" s="318"/>
      <c r="N40" s="318"/>
      <c r="O40" s="318"/>
      <c r="P40" s="318"/>
      <c r="Q40" s="318"/>
      <c r="R40" s="318"/>
      <c r="S40" s="318"/>
      <c r="T40" s="318"/>
      <c r="U40" s="318">
        <v>374</v>
      </c>
      <c r="V40" s="318">
        <v>374</v>
      </c>
      <c r="W40" s="318">
        <v>374</v>
      </c>
      <c r="X40" s="318">
        <v>374</v>
      </c>
      <c r="Y40" s="318">
        <v>374</v>
      </c>
      <c r="Z40" s="318">
        <v>434</v>
      </c>
      <c r="AA40" s="318">
        <v>434</v>
      </c>
      <c r="AB40" s="318">
        <v>434</v>
      </c>
      <c r="AC40" s="10" t="s">
        <v>140</v>
      </c>
    </row>
    <row r="41" spans="1:29" ht="12.75" customHeight="1" x14ac:dyDescent="0.2">
      <c r="A41" s="8"/>
      <c r="B41" s="261" t="s">
        <v>40</v>
      </c>
      <c r="C41" s="401" t="s">
        <v>57</v>
      </c>
      <c r="D41" s="401" t="s">
        <v>57</v>
      </c>
      <c r="E41" s="401" t="s">
        <v>57</v>
      </c>
      <c r="F41" s="369"/>
      <c r="G41" s="369">
        <v>1947</v>
      </c>
      <c r="H41" s="369">
        <v>1126</v>
      </c>
      <c r="I41" s="369">
        <v>1126</v>
      </c>
      <c r="J41" s="369">
        <v>1126</v>
      </c>
      <c r="K41" s="369">
        <v>2112</v>
      </c>
      <c r="L41" s="369">
        <v>2112</v>
      </c>
      <c r="M41" s="369">
        <v>2112</v>
      </c>
      <c r="N41" s="369">
        <v>2112</v>
      </c>
      <c r="O41" s="369">
        <v>2112</v>
      </c>
      <c r="P41" s="369">
        <v>2112</v>
      </c>
      <c r="Q41" s="369">
        <v>2112</v>
      </c>
      <c r="R41" s="369">
        <v>2112</v>
      </c>
      <c r="S41" s="369">
        <v>2112</v>
      </c>
      <c r="T41" s="369">
        <v>3065</v>
      </c>
      <c r="U41" s="369">
        <v>3065</v>
      </c>
      <c r="V41" s="369">
        <v>3065</v>
      </c>
      <c r="W41" s="369">
        <v>3065</v>
      </c>
      <c r="X41" s="369">
        <v>3065</v>
      </c>
      <c r="Y41" s="369">
        <v>3038</v>
      </c>
      <c r="Z41" s="369">
        <v>3038</v>
      </c>
      <c r="AA41" s="369">
        <v>3038</v>
      </c>
      <c r="AB41" s="369">
        <v>3053</v>
      </c>
      <c r="AC41" s="261" t="s">
        <v>40</v>
      </c>
    </row>
    <row r="42" spans="1:29" ht="12.75" customHeight="1" x14ac:dyDescent="0.2">
      <c r="A42" s="8"/>
      <c r="B42" s="10" t="s">
        <v>26</v>
      </c>
      <c r="C42" s="390" t="s">
        <v>59</v>
      </c>
      <c r="D42" s="390" t="s">
        <v>59</v>
      </c>
      <c r="E42" s="390" t="s">
        <v>59</v>
      </c>
      <c r="F42" s="318"/>
      <c r="G42" s="318"/>
      <c r="H42" s="318" t="s">
        <v>59</v>
      </c>
      <c r="I42" s="318" t="s">
        <v>59</v>
      </c>
      <c r="J42" s="318" t="s">
        <v>59</v>
      </c>
      <c r="K42" s="318" t="s">
        <v>59</v>
      </c>
      <c r="L42" s="318" t="s">
        <v>59</v>
      </c>
      <c r="M42" s="318" t="s">
        <v>59</v>
      </c>
      <c r="N42" s="318" t="s">
        <v>59</v>
      </c>
      <c r="O42" s="318" t="s">
        <v>59</v>
      </c>
      <c r="P42" s="318" t="s">
        <v>59</v>
      </c>
      <c r="Q42" s="318" t="s">
        <v>59</v>
      </c>
      <c r="R42" s="318" t="s">
        <v>59</v>
      </c>
      <c r="S42" s="318" t="s">
        <v>59</v>
      </c>
      <c r="T42" s="318" t="s">
        <v>59</v>
      </c>
      <c r="U42" s="318" t="s">
        <v>59</v>
      </c>
      <c r="V42" s="318" t="s">
        <v>59</v>
      </c>
      <c r="W42" s="318" t="s">
        <v>59</v>
      </c>
      <c r="X42" s="318" t="s">
        <v>59</v>
      </c>
      <c r="Y42" s="318" t="s">
        <v>59</v>
      </c>
      <c r="Z42" s="318" t="s">
        <v>59</v>
      </c>
      <c r="AA42" s="318" t="s">
        <v>59</v>
      </c>
      <c r="AB42" s="318" t="s">
        <v>59</v>
      </c>
      <c r="AC42" s="9" t="s">
        <v>26</v>
      </c>
    </row>
    <row r="43" spans="1:29" ht="12.75" customHeight="1" x14ac:dyDescent="0.2">
      <c r="A43" s="8"/>
      <c r="B43" s="228" t="s">
        <v>56</v>
      </c>
      <c r="C43" s="395" t="s">
        <v>57</v>
      </c>
      <c r="D43" s="395" t="s">
        <v>57</v>
      </c>
      <c r="E43" s="395"/>
      <c r="F43" s="259"/>
      <c r="G43" s="259"/>
      <c r="H43" s="259"/>
      <c r="I43" s="259"/>
      <c r="J43" s="259">
        <v>3701</v>
      </c>
      <c r="K43" s="259">
        <v>4249</v>
      </c>
      <c r="L43" s="259">
        <v>4553</v>
      </c>
      <c r="M43" s="259">
        <v>5747</v>
      </c>
      <c r="N43" s="259">
        <v>6827</v>
      </c>
      <c r="O43" s="259">
        <v>7908</v>
      </c>
      <c r="P43" s="259">
        <v>879</v>
      </c>
      <c r="Q43" s="259">
        <v>879</v>
      </c>
      <c r="R43" s="259">
        <v>1099</v>
      </c>
      <c r="S43" s="259">
        <v>1189</v>
      </c>
      <c r="T43" s="259">
        <v>1189</v>
      </c>
      <c r="U43" s="259">
        <v>1189</v>
      </c>
      <c r="V43" s="259">
        <v>1189</v>
      </c>
      <c r="W43" s="259">
        <v>1180</v>
      </c>
      <c r="X43" s="259">
        <v>1189</v>
      </c>
      <c r="Y43" s="259">
        <v>1260</v>
      </c>
      <c r="Z43" s="259">
        <v>1244</v>
      </c>
      <c r="AA43" s="259">
        <v>1245</v>
      </c>
      <c r="AB43" s="259">
        <v>1245</v>
      </c>
      <c r="AC43" s="228" t="s">
        <v>56</v>
      </c>
    </row>
    <row r="44" spans="1:29" ht="12.75" customHeight="1" x14ac:dyDescent="0.2">
      <c r="A44" s="8"/>
      <c r="B44" s="12" t="s">
        <v>27</v>
      </c>
      <c r="C44" s="402" t="s">
        <v>57</v>
      </c>
      <c r="D44" s="402" t="s">
        <v>57</v>
      </c>
      <c r="E44" s="402">
        <v>239</v>
      </c>
      <c r="F44" s="326">
        <v>239</v>
      </c>
      <c r="G44" s="326">
        <v>239</v>
      </c>
      <c r="H44" s="326">
        <v>239</v>
      </c>
      <c r="I44" s="326">
        <v>239</v>
      </c>
      <c r="J44" s="326">
        <v>239</v>
      </c>
      <c r="K44" s="326">
        <v>239</v>
      </c>
      <c r="L44" s="326">
        <v>109</v>
      </c>
      <c r="M44" s="326">
        <v>109</v>
      </c>
      <c r="N44" s="326">
        <v>109</v>
      </c>
      <c r="O44" s="326">
        <v>109</v>
      </c>
      <c r="P44" s="326">
        <v>109</v>
      </c>
      <c r="Q44" s="326">
        <v>109</v>
      </c>
      <c r="R44" s="326">
        <v>109</v>
      </c>
      <c r="S44" s="326">
        <v>109</v>
      </c>
      <c r="T44" s="326">
        <v>109</v>
      </c>
      <c r="U44" s="326">
        <v>109</v>
      </c>
      <c r="V44" s="326">
        <v>109</v>
      </c>
      <c r="W44" s="326">
        <v>109</v>
      </c>
      <c r="X44" s="326">
        <v>109</v>
      </c>
      <c r="Y44" s="326">
        <v>109</v>
      </c>
      <c r="Z44" s="326">
        <v>109</v>
      </c>
      <c r="AA44" s="326">
        <v>109</v>
      </c>
      <c r="AB44" s="326">
        <v>109</v>
      </c>
      <c r="AC44" s="12" t="s">
        <v>27</v>
      </c>
    </row>
    <row r="45" spans="1:29" ht="15" customHeight="1" x14ac:dyDescent="0.2">
      <c r="B45" s="462" t="s">
        <v>127</v>
      </c>
      <c r="C45" s="462"/>
      <c r="D45" s="462"/>
      <c r="E45" s="462"/>
      <c r="F45" s="462"/>
      <c r="G45" s="462"/>
      <c r="H45" s="462"/>
      <c r="I45" s="462"/>
      <c r="J45" s="462"/>
      <c r="K45" s="462"/>
      <c r="L45" s="462"/>
      <c r="M45" s="462"/>
      <c r="N45" s="462"/>
      <c r="O45" s="462"/>
      <c r="P45" s="462"/>
      <c r="Q45" s="462"/>
      <c r="R45" s="462"/>
      <c r="S45" s="462"/>
      <c r="T45" s="488"/>
      <c r="U45" s="488"/>
      <c r="V45" s="488"/>
      <c r="W45" s="488"/>
      <c r="X45" s="488"/>
      <c r="Y45" s="488"/>
      <c r="Z45" s="488"/>
      <c r="AA45" s="488"/>
      <c r="AB45" s="488"/>
      <c r="AC45" s="488"/>
    </row>
    <row r="46" spans="1:29" ht="12.75" customHeight="1" x14ac:dyDescent="0.2">
      <c r="B46" s="462" t="s">
        <v>88</v>
      </c>
      <c r="C46" s="462"/>
      <c r="D46" s="462"/>
      <c r="E46" s="462"/>
      <c r="F46" s="462"/>
      <c r="G46" s="462"/>
      <c r="H46" s="462"/>
      <c r="I46" s="462"/>
      <c r="J46" s="462"/>
      <c r="K46" s="462"/>
      <c r="L46" s="462"/>
      <c r="M46" s="462"/>
      <c r="N46" s="462"/>
      <c r="O46" s="462"/>
      <c r="P46" s="462"/>
      <c r="Q46" s="222"/>
      <c r="R46" s="17"/>
      <c r="S46" s="17"/>
      <c r="T46" s="17"/>
      <c r="U46" s="17"/>
      <c r="V46" s="17"/>
      <c r="W46" s="226"/>
      <c r="X46" s="226"/>
      <c r="Y46" s="17"/>
      <c r="Z46" s="17"/>
      <c r="AA46" s="17"/>
      <c r="AB46" s="17"/>
      <c r="AC46" s="17"/>
    </row>
    <row r="47" spans="1:29" ht="12.75" customHeight="1" x14ac:dyDescent="0.2">
      <c r="B47" s="2" t="s">
        <v>106</v>
      </c>
      <c r="C47" s="185"/>
      <c r="D47" s="185"/>
      <c r="E47" s="185"/>
      <c r="F47" s="185"/>
      <c r="G47" s="185"/>
      <c r="H47" s="185"/>
      <c r="I47" s="185"/>
      <c r="J47" s="185"/>
      <c r="K47" s="185"/>
      <c r="L47" s="185"/>
      <c r="M47" s="185"/>
      <c r="N47" s="185"/>
      <c r="O47" s="185"/>
      <c r="P47" s="185"/>
      <c r="Q47" s="185"/>
      <c r="R47" s="185"/>
      <c r="S47" s="185"/>
      <c r="T47" s="185"/>
      <c r="U47" s="17"/>
      <c r="V47" s="17"/>
      <c r="W47" s="226"/>
      <c r="X47" s="226"/>
      <c r="Y47" s="17"/>
      <c r="Z47" s="17"/>
      <c r="AA47" s="17"/>
      <c r="AB47" s="17"/>
      <c r="AC47" s="17"/>
    </row>
    <row r="48" spans="1:29" ht="12.75" customHeight="1" x14ac:dyDescent="0.2">
      <c r="B48" s="187" t="s">
        <v>129</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row>
    <row r="49" spans="2:29" x14ac:dyDescent="0.2">
      <c r="B49" s="187" t="s">
        <v>130</v>
      </c>
      <c r="D49" s="186"/>
      <c r="E49" s="186"/>
      <c r="F49" s="186"/>
      <c r="G49" s="186"/>
      <c r="H49" s="186"/>
      <c r="I49" s="186"/>
      <c r="J49" s="186"/>
      <c r="K49" s="186"/>
      <c r="L49" s="186"/>
      <c r="M49" s="186"/>
      <c r="N49" s="186"/>
      <c r="O49" s="186"/>
      <c r="P49" s="186"/>
      <c r="Q49" s="186"/>
      <c r="R49" s="186"/>
      <c r="S49" s="186"/>
      <c r="T49" s="186"/>
      <c r="U49" s="186"/>
      <c r="V49" s="186"/>
      <c r="W49" s="222"/>
      <c r="X49" s="222"/>
      <c r="Y49" s="186"/>
      <c r="Z49" s="297"/>
      <c r="AA49" s="309"/>
      <c r="AB49" s="411"/>
      <c r="AC49" s="186"/>
    </row>
  </sheetData>
  <mergeCells count="5">
    <mergeCell ref="B1:C1"/>
    <mergeCell ref="B46:P46"/>
    <mergeCell ref="B2:AC2"/>
    <mergeCell ref="B3:AC3"/>
    <mergeCell ref="B45:AC45"/>
  </mergeCells>
  <phoneticPr fontId="9"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T2.5</vt:lpstr>
      <vt:lpstr>motorway</vt:lpstr>
      <vt:lpstr>length_road</vt:lpstr>
      <vt:lpstr>rail_length</vt:lpstr>
      <vt:lpstr>rail_hs</vt:lpstr>
      <vt:lpstr>rail_gauge</vt:lpstr>
      <vt:lpstr>airports</vt:lpstr>
      <vt:lpstr>length_iww</vt:lpstr>
      <vt:lpstr>length_oil</vt:lpstr>
      <vt:lpstr>T2.5!A</vt:lpstr>
      <vt:lpstr>airports!Print_Area</vt:lpstr>
      <vt:lpstr>length_iww!Print_Area</vt:lpstr>
      <vt:lpstr>length_oil!Print_Area</vt:lpstr>
      <vt:lpstr>motorway!Print_Area</vt:lpstr>
      <vt:lpstr>rail_gauge!Print_Area</vt:lpstr>
      <vt:lpstr>rail_hs!Print_Area</vt:lpstr>
      <vt:lpstr>rail_length!Print_Area</vt:lpstr>
      <vt:lpstr>T2.5!Print_Area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 A3</cp:lastModifiedBy>
  <cp:lastPrinted>2015-04-09T10:06:30Z</cp:lastPrinted>
  <dcterms:created xsi:type="dcterms:W3CDTF">2003-09-05T14:33:05Z</dcterms:created>
  <dcterms:modified xsi:type="dcterms:W3CDTF">2016-07-12T09:15:47Z</dcterms:modified>
</cp:coreProperties>
</file>