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showInkAnnotation="0"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4 work files\PB2024\"/>
    </mc:Choice>
  </mc:AlternateContent>
  <xr:revisionPtr revIDLastSave="0" documentId="13_ncr:1_{3F99F682-4336-4AC1-8281-F87B59712E92}" xr6:coauthVersionLast="47" xr6:coauthVersionMax="47" xr10:uidLastSave="{00000000-0000-0000-0000-000000000000}"/>
  <bookViews>
    <workbookView xWindow="-120" yWindow="-120" windowWidth="29040" windowHeight="15840" tabRatio="882" xr2:uid="{00000000-000D-0000-FFFF-FFFF00000000}"/>
  </bookViews>
  <sheets>
    <sheet name="T2.3" sheetId="140" r:id="rId1"/>
    <sheet name="passeng_graph" sheetId="138" r:id="rId2"/>
    <sheet name="modal_split" sheetId="151" r:id="rId3"/>
    <sheet name="land modal split" sheetId="71" r:id="rId4"/>
    <sheet name="cars" sheetId="143" r:id="rId5"/>
    <sheet name="bus_coach" sheetId="144" r:id="rId6"/>
    <sheet name="tram and metro" sheetId="149" r:id="rId7"/>
    <sheet name="rail_pkm" sheetId="146" r:id="rId8"/>
    <sheet name="hs_rail" sheetId="97" r:id="rId9"/>
    <sheet name="USA" sheetId="142" r:id="rId10"/>
  </sheets>
  <externalReferences>
    <externalReference r:id="rId11"/>
  </externalReferences>
  <definedNames>
    <definedName name="A" localSheetId="0">'T2.3'!$A$65500</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5">bus_coach!$B$1:$AM$52</definedName>
    <definedName name="_xlnm.Print_Area" localSheetId="4">cars!$B$1:$AM$50</definedName>
    <definedName name="_xlnm.Print_Area" localSheetId="8">hs_rail!#REF!</definedName>
    <definedName name="_xlnm.Print_Area" localSheetId="3">'land modal split'!$B$1:$J$64</definedName>
    <definedName name="_xlnm.Print_Area" localSheetId="2">modal_split!$B$1:$J$39</definedName>
    <definedName name="_xlnm.Print_Area" localSheetId="1">passeng_graph!$B$1:$N$32</definedName>
    <definedName name="_xlnm.Print_Area" localSheetId="7">rail_pkm!$B$1:$AX$46</definedName>
    <definedName name="_xlnm.Print_Area" localSheetId="0">'T2.3'!$B$1:$E$25</definedName>
    <definedName name="_xlnm.Print_Area" localSheetId="9">USA!$B$1:$I$88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7" i="142" l="1"/>
  <c r="G67" i="142"/>
  <c r="C67" i="142"/>
  <c r="F71" i="142"/>
  <c r="G71" i="142"/>
  <c r="C71" i="142"/>
  <c r="H33" i="142" l="1"/>
  <c r="D34" i="142"/>
  <c r="D35" i="142"/>
  <c r="AG6" i="149"/>
  <c r="D39" i="151"/>
  <c r="E39" i="151"/>
  <c r="F39" i="151"/>
  <c r="G39" i="151"/>
  <c r="H39" i="151"/>
  <c r="I39" i="151"/>
  <c r="C39" i="151"/>
  <c r="D38" i="151"/>
  <c r="E38" i="151"/>
  <c r="F38" i="151"/>
  <c r="G38" i="151"/>
  <c r="H38" i="151"/>
  <c r="I38" i="151"/>
  <c r="C38" i="151"/>
  <c r="D37" i="151"/>
  <c r="E37" i="151"/>
  <c r="F37" i="151"/>
  <c r="G37" i="151"/>
  <c r="H37" i="151"/>
  <c r="I37" i="151"/>
  <c r="C37" i="151"/>
  <c r="D36" i="151"/>
  <c r="E36" i="151"/>
  <c r="F36" i="151"/>
  <c r="G36" i="151"/>
  <c r="H36" i="151"/>
  <c r="I36" i="151"/>
  <c r="C36" i="151"/>
  <c r="D35" i="151"/>
  <c r="E35" i="151"/>
  <c r="F35" i="151"/>
  <c r="G35" i="151"/>
  <c r="H35" i="151"/>
  <c r="I35" i="151"/>
  <c r="C35" i="151"/>
  <c r="J8" i="151"/>
  <c r="C46" i="151" s="1"/>
  <c r="J9" i="151"/>
  <c r="D47" i="151" s="1"/>
  <c r="J10" i="151"/>
  <c r="E48" i="151" s="1"/>
  <c r="J11" i="151"/>
  <c r="F49" i="151" s="1"/>
  <c r="J12" i="151"/>
  <c r="G50" i="151" s="1"/>
  <c r="J13" i="151"/>
  <c r="H51" i="151" s="1"/>
  <c r="J14" i="151"/>
  <c r="I52" i="151" s="1"/>
  <c r="J15" i="151"/>
  <c r="C53" i="151" s="1"/>
  <c r="J16" i="151"/>
  <c r="C54" i="151" s="1"/>
  <c r="J17" i="151"/>
  <c r="D55" i="151" s="1"/>
  <c r="J18" i="151"/>
  <c r="E56" i="151" s="1"/>
  <c r="J19" i="151"/>
  <c r="F57" i="151" s="1"/>
  <c r="J20" i="151"/>
  <c r="G58" i="151" s="1"/>
  <c r="J21" i="151"/>
  <c r="H59" i="151" s="1"/>
  <c r="J22" i="151"/>
  <c r="I60" i="151" s="1"/>
  <c r="J23" i="151"/>
  <c r="C61" i="151" s="1"/>
  <c r="J24" i="151"/>
  <c r="C62" i="151" s="1"/>
  <c r="J25" i="151"/>
  <c r="D63" i="151" s="1"/>
  <c r="J26" i="151"/>
  <c r="E64" i="151" s="1"/>
  <c r="J27" i="151"/>
  <c r="F65" i="151" s="1"/>
  <c r="J28" i="151"/>
  <c r="G66" i="151" s="1"/>
  <c r="J29" i="151"/>
  <c r="H67" i="151" s="1"/>
  <c r="J30" i="151"/>
  <c r="I68" i="151" s="1"/>
  <c r="J31" i="151"/>
  <c r="C69" i="151" s="1"/>
  <c r="J32" i="151"/>
  <c r="C70" i="151" s="1"/>
  <c r="J33" i="151"/>
  <c r="D71" i="151" s="1"/>
  <c r="J34" i="151"/>
  <c r="E72" i="151" s="1"/>
  <c r="J7" i="151"/>
  <c r="G45" i="151" s="1"/>
  <c r="D36" i="97"/>
  <c r="M8" i="71"/>
  <c r="H35" i="142"/>
  <c r="H34" i="142"/>
  <c r="E35" i="142"/>
  <c r="D71" i="142" l="1"/>
  <c r="D67" i="142"/>
  <c r="I35" i="142"/>
  <c r="E67" i="142"/>
  <c r="E71" i="142"/>
  <c r="H71" i="142"/>
  <c r="H67" i="142"/>
  <c r="O35" i="142"/>
  <c r="M35" i="142"/>
  <c r="R35" i="142"/>
  <c r="C72" i="151"/>
  <c r="F67" i="151"/>
  <c r="G60" i="151"/>
  <c r="G52" i="151"/>
  <c r="D72" i="151"/>
  <c r="G67" i="151"/>
  <c r="H60" i="151"/>
  <c r="H52" i="151"/>
  <c r="C71" i="151"/>
  <c r="E65" i="151"/>
  <c r="G59" i="151"/>
  <c r="G51" i="151"/>
  <c r="I70" i="151"/>
  <c r="D64" i="151"/>
  <c r="F59" i="151"/>
  <c r="F51" i="151"/>
  <c r="I69" i="151"/>
  <c r="C64" i="151"/>
  <c r="E57" i="151"/>
  <c r="E49" i="151"/>
  <c r="H69" i="151"/>
  <c r="C63" i="151"/>
  <c r="D56" i="151"/>
  <c r="D48" i="151"/>
  <c r="F45" i="151"/>
  <c r="H68" i="151"/>
  <c r="I61" i="151"/>
  <c r="C56" i="151"/>
  <c r="C48" i="151"/>
  <c r="E45" i="151"/>
  <c r="G68" i="151"/>
  <c r="H61" i="151"/>
  <c r="C55" i="151"/>
  <c r="C47" i="151"/>
  <c r="F58" i="151"/>
  <c r="F50" i="151"/>
  <c r="F66" i="151"/>
  <c r="D65" i="151"/>
  <c r="H53" i="151"/>
  <c r="D45" i="151"/>
  <c r="I71" i="151"/>
  <c r="H70" i="151"/>
  <c r="G69" i="151"/>
  <c r="F68" i="151"/>
  <c r="E67" i="151"/>
  <c r="D66" i="151"/>
  <c r="C65" i="151"/>
  <c r="I63" i="151"/>
  <c r="H62" i="151"/>
  <c r="G61" i="151"/>
  <c r="F60" i="151"/>
  <c r="E59" i="151"/>
  <c r="D58" i="151"/>
  <c r="C57" i="151"/>
  <c r="I55" i="151"/>
  <c r="H54" i="151"/>
  <c r="G53" i="151"/>
  <c r="F52" i="151"/>
  <c r="E51" i="151"/>
  <c r="D50" i="151"/>
  <c r="C49" i="151"/>
  <c r="I47" i="151"/>
  <c r="H46" i="151"/>
  <c r="E66" i="151"/>
  <c r="I62" i="151"/>
  <c r="E58" i="151"/>
  <c r="D57" i="151"/>
  <c r="I54" i="151"/>
  <c r="E50" i="151"/>
  <c r="D49" i="151"/>
  <c r="I46" i="151"/>
  <c r="I72" i="151"/>
  <c r="H71" i="151"/>
  <c r="G70" i="151"/>
  <c r="F69" i="151"/>
  <c r="E68" i="151"/>
  <c r="D67" i="151"/>
  <c r="C66" i="151"/>
  <c r="I64" i="151"/>
  <c r="H63" i="151"/>
  <c r="G62" i="151"/>
  <c r="F61" i="151"/>
  <c r="E60" i="151"/>
  <c r="D59" i="151"/>
  <c r="C58" i="151"/>
  <c r="I56" i="151"/>
  <c r="H55" i="151"/>
  <c r="G54" i="151"/>
  <c r="F53" i="151"/>
  <c r="E52" i="151"/>
  <c r="D51" i="151"/>
  <c r="C50" i="151"/>
  <c r="I48" i="151"/>
  <c r="H47" i="151"/>
  <c r="G46" i="151"/>
  <c r="H72" i="151"/>
  <c r="G71" i="151"/>
  <c r="F70" i="151"/>
  <c r="E69" i="151"/>
  <c r="D68" i="151"/>
  <c r="C67" i="151"/>
  <c r="I65" i="151"/>
  <c r="H64" i="151"/>
  <c r="G63" i="151"/>
  <c r="F62" i="151"/>
  <c r="E61" i="151"/>
  <c r="D60" i="151"/>
  <c r="C59" i="151"/>
  <c r="I57" i="151"/>
  <c r="H56" i="151"/>
  <c r="G55" i="151"/>
  <c r="F54" i="151"/>
  <c r="E53" i="151"/>
  <c r="D52" i="151"/>
  <c r="C51" i="151"/>
  <c r="I49" i="151"/>
  <c r="H48" i="151"/>
  <c r="G47" i="151"/>
  <c r="F46" i="151"/>
  <c r="I45" i="151"/>
  <c r="G72" i="151"/>
  <c r="F71" i="151"/>
  <c r="E70" i="151"/>
  <c r="D69" i="151"/>
  <c r="C68" i="151"/>
  <c r="I66" i="151"/>
  <c r="H65" i="151"/>
  <c r="G64" i="151"/>
  <c r="F63" i="151"/>
  <c r="E62" i="151"/>
  <c r="D61" i="151"/>
  <c r="C60" i="151"/>
  <c r="I58" i="151"/>
  <c r="H57" i="151"/>
  <c r="G56" i="151"/>
  <c r="F55" i="151"/>
  <c r="E54" i="151"/>
  <c r="D53" i="151"/>
  <c r="C52" i="151"/>
  <c r="I50" i="151"/>
  <c r="H49" i="151"/>
  <c r="G48" i="151"/>
  <c r="F47" i="151"/>
  <c r="E46" i="151"/>
  <c r="I53" i="151"/>
  <c r="J35" i="151"/>
  <c r="J36" i="151"/>
  <c r="J37" i="151"/>
  <c r="J38" i="151"/>
  <c r="J39" i="151"/>
  <c r="H45" i="151"/>
  <c r="F72" i="151"/>
  <c r="E71" i="151"/>
  <c r="D70" i="151"/>
  <c r="I67" i="151"/>
  <c r="H66" i="151"/>
  <c r="G65" i="151"/>
  <c r="F64" i="151"/>
  <c r="E63" i="151"/>
  <c r="D62" i="151"/>
  <c r="I59" i="151"/>
  <c r="H58" i="151"/>
  <c r="G57" i="151"/>
  <c r="F56" i="151"/>
  <c r="E55" i="151"/>
  <c r="D54" i="151"/>
  <c r="I51" i="151"/>
  <c r="H50" i="151"/>
  <c r="G49" i="151"/>
  <c r="F48" i="151"/>
  <c r="E47" i="151"/>
  <c r="D46" i="151"/>
  <c r="C45" i="151"/>
  <c r="H66" i="97"/>
  <c r="F37" i="97"/>
  <c r="F66" i="97" s="1"/>
  <c r="O37" i="97"/>
  <c r="O66" i="97" s="1"/>
  <c r="M37" i="97"/>
  <c r="M66" i="97" s="1"/>
  <c r="L37" i="97"/>
  <c r="L66" i="97" s="1"/>
  <c r="K37" i="97"/>
  <c r="J37" i="97"/>
  <c r="J66" i="97" s="1"/>
  <c r="G37" i="97"/>
  <c r="G66" i="97" s="1"/>
  <c r="F39" i="138"/>
  <c r="N39" i="138"/>
  <c r="V39" i="138"/>
  <c r="AD39" i="138"/>
  <c r="D37" i="138"/>
  <c r="J37" i="138"/>
  <c r="K37" i="138"/>
  <c r="L37" i="138"/>
  <c r="R37" i="138"/>
  <c r="S37" i="138"/>
  <c r="T37" i="138"/>
  <c r="Z37" i="138"/>
  <c r="AA37" i="138"/>
  <c r="AB37" i="138"/>
  <c r="AP45" i="146"/>
  <c r="AK45" i="146"/>
  <c r="AJ45" i="146"/>
  <c r="AI45" i="146"/>
  <c r="R45" i="146"/>
  <c r="Q45" i="146"/>
  <c r="P45" i="146"/>
  <c r="O45" i="146"/>
  <c r="N45" i="146"/>
  <c r="M45" i="146"/>
  <c r="L45" i="146"/>
  <c r="K45" i="146"/>
  <c r="J45" i="146"/>
  <c r="AJ44" i="146"/>
  <c r="AW43" i="146"/>
  <c r="AK42" i="146"/>
  <c r="AJ42" i="146"/>
  <c r="AI42" i="146"/>
  <c r="AH42" i="146"/>
  <c r="AK41" i="146"/>
  <c r="AJ41" i="146"/>
  <c r="AH41" i="146"/>
  <c r="AW40" i="146"/>
  <c r="AA40" i="146"/>
  <c r="Z40" i="146"/>
  <c r="Y40" i="146"/>
  <c r="AK39" i="146"/>
  <c r="AW39" i="146" s="1"/>
  <c r="AK38" i="146"/>
  <c r="AJ38" i="146"/>
  <c r="AE38" i="146"/>
  <c r="AW37" i="146"/>
  <c r="AW36" i="146"/>
  <c r="AW35" i="146"/>
  <c r="AQ35" i="146"/>
  <c r="AP35" i="146"/>
  <c r="AH35" i="146"/>
  <c r="AW33" i="146"/>
  <c r="AP33" i="146"/>
  <c r="AW32" i="146"/>
  <c r="N37" i="97" s="1"/>
  <c r="AP32" i="146"/>
  <c r="AM32" i="146"/>
  <c r="AL32" i="146"/>
  <c r="AW31" i="146"/>
  <c r="AW30" i="146"/>
  <c r="AW29" i="146"/>
  <c r="AW28" i="146"/>
  <c r="AP27" i="146"/>
  <c r="AK27" i="146"/>
  <c r="AJ27" i="146"/>
  <c r="AJ6" i="146" s="1"/>
  <c r="AI27" i="146"/>
  <c r="AH27" i="146"/>
  <c r="AW26" i="146"/>
  <c r="AP26" i="146"/>
  <c r="AI26" i="146"/>
  <c r="AH26" i="146"/>
  <c r="AG26" i="146"/>
  <c r="AF26" i="146"/>
  <c r="AF6" i="146" s="1"/>
  <c r="AE26" i="146"/>
  <c r="AD26" i="146"/>
  <c r="AD6" i="146" s="1"/>
  <c r="AW25" i="146"/>
  <c r="AH25" i="146"/>
  <c r="AW23" i="146"/>
  <c r="AP23" i="146"/>
  <c r="AH23" i="146"/>
  <c r="AW22" i="146"/>
  <c r="Z22" i="146"/>
  <c r="Z6" i="146" s="1"/>
  <c r="AW21" i="146"/>
  <c r="AP21" i="146"/>
  <c r="AW20" i="146"/>
  <c r="AP20" i="146"/>
  <c r="AW18" i="146"/>
  <c r="I37" i="97" s="1"/>
  <c r="AP18" i="146"/>
  <c r="R18" i="146"/>
  <c r="R6" i="146" s="1"/>
  <c r="Q18" i="146"/>
  <c r="Q6" i="146" s="1"/>
  <c r="P18" i="146"/>
  <c r="P6" i="146" s="1"/>
  <c r="O18" i="146"/>
  <c r="O6" i="146" s="1"/>
  <c r="N18" i="146"/>
  <c r="N6" i="146" s="1"/>
  <c r="M18" i="146"/>
  <c r="M6" i="146" s="1"/>
  <c r="L18" i="146"/>
  <c r="L6" i="146" s="1"/>
  <c r="K18" i="146"/>
  <c r="K6" i="146" s="1"/>
  <c r="J18" i="146"/>
  <c r="J6" i="146" s="1"/>
  <c r="AW17" i="146"/>
  <c r="AW16" i="146"/>
  <c r="AP16" i="146"/>
  <c r="AW15" i="146"/>
  <c r="AP15" i="146"/>
  <c r="AW14" i="146"/>
  <c r="AP14" i="146"/>
  <c r="AW13" i="146"/>
  <c r="AP13" i="146"/>
  <c r="AW12" i="146"/>
  <c r="AP12" i="146"/>
  <c r="AW11" i="146"/>
  <c r="AP11" i="146"/>
  <c r="AW10" i="146"/>
  <c r="AG10" i="146"/>
  <c r="AG6" i="146" s="1"/>
  <c r="AE10" i="146"/>
  <c r="AW9" i="146"/>
  <c r="E37" i="97" s="1"/>
  <c r="AP9" i="146"/>
  <c r="AW8" i="146"/>
  <c r="AP8" i="146"/>
  <c r="AW7" i="146"/>
  <c r="AI6" i="146"/>
  <c r="AC6" i="146"/>
  <c r="AB6" i="146"/>
  <c r="AA6" i="146"/>
  <c r="Y6" i="146"/>
  <c r="X6" i="146"/>
  <c r="W6" i="146"/>
  <c r="V6" i="146"/>
  <c r="U6" i="146"/>
  <c r="T6" i="146"/>
  <c r="S6" i="146"/>
  <c r="I6" i="146"/>
  <c r="H6" i="146"/>
  <c r="G6" i="146"/>
  <c r="F6" i="146"/>
  <c r="AL45" i="149"/>
  <c r="AC45" i="149"/>
  <c r="AB45" i="149"/>
  <c r="AA45" i="149"/>
  <c r="Z45" i="149"/>
  <c r="Y45" i="149"/>
  <c r="X45" i="149"/>
  <c r="W45" i="149"/>
  <c r="V45" i="149"/>
  <c r="U45" i="149"/>
  <c r="T45" i="149"/>
  <c r="S45" i="149"/>
  <c r="R45" i="149"/>
  <c r="Q45" i="149"/>
  <c r="P45" i="149"/>
  <c r="O45" i="149"/>
  <c r="N45" i="149"/>
  <c r="M45" i="149"/>
  <c r="AI44" i="149"/>
  <c r="AJ44" i="149" s="1"/>
  <c r="AJ42" i="149"/>
  <c r="AL42" i="149" s="1"/>
  <c r="AI37" i="149"/>
  <c r="AJ37" i="149" s="1"/>
  <c r="AL37" i="149" s="1"/>
  <c r="AJ36" i="149"/>
  <c r="AL36" i="149" s="1"/>
  <c r="AJ35" i="149"/>
  <c r="AL35" i="149" s="1"/>
  <c r="AJ33" i="149"/>
  <c r="AL33" i="149" s="1"/>
  <c r="AA33" i="149"/>
  <c r="Z33" i="149"/>
  <c r="Y33" i="149"/>
  <c r="X33" i="149"/>
  <c r="W33" i="149"/>
  <c r="V33" i="149"/>
  <c r="U33" i="149"/>
  <c r="T33" i="149"/>
  <c r="S33" i="149"/>
  <c r="R33" i="149"/>
  <c r="Q33" i="149"/>
  <c r="P33" i="149"/>
  <c r="O33" i="149"/>
  <c r="N33" i="149"/>
  <c r="M33" i="149"/>
  <c r="L33" i="149"/>
  <c r="AJ32" i="149"/>
  <c r="AL32" i="149" s="1"/>
  <c r="AB32" i="149"/>
  <c r="AC32" i="149" s="1"/>
  <c r="AA32" i="149"/>
  <c r="Z32" i="149"/>
  <c r="Y32" i="149"/>
  <c r="W32" i="149"/>
  <c r="V32" i="149"/>
  <c r="U32" i="149"/>
  <c r="T32" i="149"/>
  <c r="S32" i="149"/>
  <c r="R32" i="149"/>
  <c r="Q32" i="149"/>
  <c r="P32" i="149"/>
  <c r="O32" i="149"/>
  <c r="N32" i="149"/>
  <c r="L32" i="149"/>
  <c r="J32" i="149"/>
  <c r="H32" i="149"/>
  <c r="AJ31" i="149"/>
  <c r="AL31" i="149" s="1"/>
  <c r="AC31" i="149"/>
  <c r="AB31" i="149"/>
  <c r="AA31" i="149"/>
  <c r="Z31" i="149"/>
  <c r="W31" i="149"/>
  <c r="V31" i="149"/>
  <c r="N31" i="149"/>
  <c r="M31" i="149"/>
  <c r="J31" i="149"/>
  <c r="AL29" i="149"/>
  <c r="Z29" i="149"/>
  <c r="AL28" i="149"/>
  <c r="AC28" i="149"/>
  <c r="AB28" i="149"/>
  <c r="AA28" i="149"/>
  <c r="Y28" i="149"/>
  <c r="X28" i="149"/>
  <c r="W28" i="149"/>
  <c r="V28" i="149"/>
  <c r="U28" i="149"/>
  <c r="T28" i="149"/>
  <c r="AJ27" i="149"/>
  <c r="AL27" i="149" s="1"/>
  <c r="AB27" i="149"/>
  <c r="AC27" i="149" s="1"/>
  <c r="Y27" i="149"/>
  <c r="AJ26" i="149"/>
  <c r="AL26" i="149" s="1"/>
  <c r="AI26" i="149"/>
  <c r="AL25" i="149"/>
  <c r="AJ23" i="149"/>
  <c r="AL23" i="149" s="1"/>
  <c r="AC23" i="149"/>
  <c r="Z23" i="149"/>
  <c r="Y23" i="149"/>
  <c r="X23" i="149"/>
  <c r="W23" i="149"/>
  <c r="V23" i="149"/>
  <c r="U23" i="149"/>
  <c r="T23" i="149"/>
  <c r="S23" i="149"/>
  <c r="R23" i="149"/>
  <c r="Q23" i="149"/>
  <c r="P23" i="149"/>
  <c r="O23" i="149"/>
  <c r="N23" i="149"/>
  <c r="AJ22" i="149"/>
  <c r="AL22" i="149" s="1"/>
  <c r="AJ20" i="149"/>
  <c r="AL20" i="149" s="1"/>
  <c r="X20" i="149"/>
  <c r="W20" i="149"/>
  <c r="V20" i="149"/>
  <c r="U20" i="149"/>
  <c r="T20" i="149"/>
  <c r="S20" i="149"/>
  <c r="R20" i="149"/>
  <c r="Q20" i="149"/>
  <c r="P20" i="149"/>
  <c r="O20" i="149"/>
  <c r="N20" i="149"/>
  <c r="M20" i="149"/>
  <c r="L20" i="149"/>
  <c r="L6" i="149" s="1"/>
  <c r="E41" i="138" s="1"/>
  <c r="K20" i="149"/>
  <c r="J20" i="149"/>
  <c r="I20" i="149"/>
  <c r="H20" i="149"/>
  <c r="G20" i="149"/>
  <c r="F20" i="149"/>
  <c r="E20" i="149"/>
  <c r="AJ18" i="149"/>
  <c r="AL18" i="149" s="1"/>
  <c r="AI18" i="149"/>
  <c r="AH18" i="149"/>
  <c r="AG18" i="149"/>
  <c r="Z41" i="138" s="1"/>
  <c r="AF18" i="149"/>
  <c r="AF6" i="149" s="1"/>
  <c r="Y41" i="138" s="1"/>
  <c r="AC18" i="149"/>
  <c r="AB18" i="149"/>
  <c r="AA18" i="149"/>
  <c r="Z18" i="149"/>
  <c r="Y18" i="149"/>
  <c r="X18" i="149"/>
  <c r="W18" i="149"/>
  <c r="V18" i="149"/>
  <c r="U18" i="149"/>
  <c r="T18" i="149"/>
  <c r="S18" i="149"/>
  <c r="R18" i="149"/>
  <c r="Q18" i="149"/>
  <c r="P18" i="149"/>
  <c r="O18" i="149"/>
  <c r="N18" i="149"/>
  <c r="J18" i="149"/>
  <c r="E18" i="149"/>
  <c r="AL17" i="149"/>
  <c r="AC17" i="149"/>
  <c r="AB17" i="149"/>
  <c r="AA17" i="149"/>
  <c r="AL16" i="149"/>
  <c r="AL15" i="149"/>
  <c r="AJ14" i="149"/>
  <c r="AL14" i="149" s="1"/>
  <c r="Z14" i="149"/>
  <c r="AL13" i="149"/>
  <c r="AC13" i="149"/>
  <c r="AA13" i="149"/>
  <c r="Z13" i="149"/>
  <c r="Y13" i="149"/>
  <c r="X13" i="149"/>
  <c r="W13" i="149"/>
  <c r="V13" i="149"/>
  <c r="U13" i="149"/>
  <c r="AL12" i="149"/>
  <c r="V12" i="149"/>
  <c r="U12" i="149"/>
  <c r="T12" i="149"/>
  <c r="S12" i="149"/>
  <c r="R12" i="149"/>
  <c r="Q12" i="149"/>
  <c r="P12" i="149"/>
  <c r="O12" i="149"/>
  <c r="N12" i="149"/>
  <c r="M12" i="149"/>
  <c r="L12" i="149"/>
  <c r="K12" i="149"/>
  <c r="J12" i="149"/>
  <c r="AJ11" i="149"/>
  <c r="AL11" i="149" s="1"/>
  <c r="Y11" i="149"/>
  <c r="AJ10" i="149"/>
  <c r="AL10" i="149" s="1"/>
  <c r="AL9" i="149"/>
  <c r="AC9" i="149"/>
  <c r="AA9" i="149"/>
  <c r="Z9" i="149"/>
  <c r="Y9" i="149"/>
  <c r="W9" i="149"/>
  <c r="V9" i="149"/>
  <c r="U9" i="149"/>
  <c r="T9" i="149"/>
  <c r="S9" i="149"/>
  <c r="AJ8" i="149"/>
  <c r="AL8" i="149" s="1"/>
  <c r="Y8" i="149"/>
  <c r="AJ7" i="149"/>
  <c r="AL7" i="149" s="1"/>
  <c r="Z7" i="149"/>
  <c r="AA7" i="149" s="1"/>
  <c r="AK6" i="149"/>
  <c r="AD41" i="138" s="1"/>
  <c r="AH6" i="149"/>
  <c r="AA41" i="138" s="1"/>
  <c r="AE6" i="149"/>
  <c r="X41" i="138" s="1"/>
  <c r="AD6" i="149"/>
  <c r="W41" i="138" s="1"/>
  <c r="AL45" i="144"/>
  <c r="AL43" i="144"/>
  <c r="AL42" i="144"/>
  <c r="AL41" i="144"/>
  <c r="AL40" i="144"/>
  <c r="AL39" i="144"/>
  <c r="AL38" i="144"/>
  <c r="AL37" i="144"/>
  <c r="AL36" i="144"/>
  <c r="AL35" i="144"/>
  <c r="AL34" i="144"/>
  <c r="AL33" i="144"/>
  <c r="AL32" i="144"/>
  <c r="AL31" i="144"/>
  <c r="AL30" i="144"/>
  <c r="AL29" i="144"/>
  <c r="AL28" i="144"/>
  <c r="AL27" i="144"/>
  <c r="AJ26" i="144"/>
  <c r="AL26" i="144" s="1"/>
  <c r="AL25" i="144"/>
  <c r="AL24" i="144"/>
  <c r="AL23" i="144"/>
  <c r="AL22" i="144"/>
  <c r="AL21" i="144"/>
  <c r="AL20" i="144"/>
  <c r="AL19" i="144"/>
  <c r="AL18" i="144"/>
  <c r="AL17" i="144"/>
  <c r="AL16" i="144"/>
  <c r="AJ15" i="144"/>
  <c r="AL15" i="144" s="1"/>
  <c r="AL14" i="144"/>
  <c r="AL13" i="144"/>
  <c r="AL12" i="144"/>
  <c r="AL11" i="144"/>
  <c r="AL10" i="144"/>
  <c r="AL9" i="144"/>
  <c r="AL8" i="144"/>
  <c r="AL7" i="144"/>
  <c r="AK6" i="144"/>
  <c r="AL6" i="144" s="1"/>
  <c r="AJ6" i="144"/>
  <c r="AC39" i="138" s="1"/>
  <c r="AI6" i="144"/>
  <c r="AB39" i="138" s="1"/>
  <c r="AH6" i="144"/>
  <c r="AA39" i="138" s="1"/>
  <c r="AG6" i="144"/>
  <c r="Z39" i="138" s="1"/>
  <c r="AF6" i="144"/>
  <c r="Y39" i="138" s="1"/>
  <c r="AE6" i="144"/>
  <c r="X39" i="138" s="1"/>
  <c r="AD6" i="144"/>
  <c r="W39" i="138" s="1"/>
  <c r="AC6" i="144"/>
  <c r="AB6" i="144"/>
  <c r="U39" i="138" s="1"/>
  <c r="AA6" i="144"/>
  <c r="T39" i="138" s="1"/>
  <c r="Z6" i="144"/>
  <c r="S39" i="138" s="1"/>
  <c r="Y6" i="144"/>
  <c r="R39" i="138" s="1"/>
  <c r="X6" i="144"/>
  <c r="Q39" i="138" s="1"/>
  <c r="W6" i="144"/>
  <c r="P39" i="138" s="1"/>
  <c r="V6" i="144"/>
  <c r="O39" i="138" s="1"/>
  <c r="U6" i="144"/>
  <c r="T6" i="144"/>
  <c r="M39" i="138" s="1"/>
  <c r="S6" i="144"/>
  <c r="L39" i="138" s="1"/>
  <c r="R6" i="144"/>
  <c r="K39" i="138" s="1"/>
  <c r="Q6" i="144"/>
  <c r="J39" i="138" s="1"/>
  <c r="P6" i="144"/>
  <c r="I39" i="138" s="1"/>
  <c r="O6" i="144"/>
  <c r="H39" i="138" s="1"/>
  <c r="N6" i="144"/>
  <c r="G39" i="138" s="1"/>
  <c r="M6" i="144"/>
  <c r="L6" i="144"/>
  <c r="E39" i="138" s="1"/>
  <c r="K6" i="144"/>
  <c r="D39" i="138" s="1"/>
  <c r="J6" i="144"/>
  <c r="C39" i="138" s="1"/>
  <c r="AL45" i="143"/>
  <c r="AL43" i="143"/>
  <c r="AL42" i="143"/>
  <c r="AL41" i="143"/>
  <c r="AL40" i="143"/>
  <c r="AL39" i="143"/>
  <c r="AL38" i="143"/>
  <c r="AL36" i="143"/>
  <c r="AL35" i="143"/>
  <c r="AL34" i="143"/>
  <c r="AL33" i="143"/>
  <c r="AL32" i="143"/>
  <c r="AL31" i="143"/>
  <c r="AL30" i="143"/>
  <c r="AL29" i="143"/>
  <c r="AL28" i="143"/>
  <c r="AL27" i="143"/>
  <c r="AL26" i="143"/>
  <c r="AL25" i="143"/>
  <c r="AL24" i="143"/>
  <c r="AL23" i="143"/>
  <c r="AL22" i="143"/>
  <c r="AL21" i="143"/>
  <c r="AL20" i="143"/>
  <c r="AL19" i="143"/>
  <c r="AL18" i="143"/>
  <c r="AL17" i="143"/>
  <c r="AL16" i="143"/>
  <c r="AL15" i="143"/>
  <c r="AL14" i="143"/>
  <c r="AL13" i="143"/>
  <c r="AL12" i="143"/>
  <c r="AL11" i="143"/>
  <c r="AL10" i="143"/>
  <c r="AL9" i="143"/>
  <c r="AL8" i="143"/>
  <c r="AL7" i="143"/>
  <c r="AK6" i="143"/>
  <c r="AJ6" i="143"/>
  <c r="AI6" i="143"/>
  <c r="AH6" i="143"/>
  <c r="AG6" i="143"/>
  <c r="AF6" i="143"/>
  <c r="AE6" i="143"/>
  <c r="AD6" i="143"/>
  <c r="AC6" i="143"/>
  <c r="AB6" i="143"/>
  <c r="AA6" i="143"/>
  <c r="Z6" i="143"/>
  <c r="Y6" i="143"/>
  <c r="X6" i="143"/>
  <c r="W6" i="143"/>
  <c r="V6" i="143"/>
  <c r="U6" i="143"/>
  <c r="T6" i="143"/>
  <c r="S6" i="143"/>
  <c r="R6" i="143"/>
  <c r="Q6" i="143"/>
  <c r="P6" i="143"/>
  <c r="O6" i="143"/>
  <c r="N6" i="143"/>
  <c r="M6" i="143"/>
  <c r="L6" i="143"/>
  <c r="K6" i="143"/>
  <c r="J6" i="143"/>
  <c r="N49" i="71"/>
  <c r="M49" i="71"/>
  <c r="L49" i="71"/>
  <c r="K49" i="71"/>
  <c r="N46" i="71"/>
  <c r="M46" i="71"/>
  <c r="L46" i="71"/>
  <c r="K46" i="71"/>
  <c r="M44" i="71"/>
  <c r="L44" i="71"/>
  <c r="K44" i="71"/>
  <c r="O44" i="71" s="1"/>
  <c r="N43" i="71"/>
  <c r="M43" i="71"/>
  <c r="L43" i="71"/>
  <c r="K43" i="71"/>
  <c r="N42" i="71"/>
  <c r="M42" i="71"/>
  <c r="L42" i="71"/>
  <c r="K42" i="71"/>
  <c r="F42" i="71"/>
  <c r="N41" i="71"/>
  <c r="M41" i="71"/>
  <c r="L41" i="71"/>
  <c r="K41" i="71"/>
  <c r="F41" i="71"/>
  <c r="N40" i="71"/>
  <c r="M40" i="71"/>
  <c r="L40" i="71"/>
  <c r="K40" i="71"/>
  <c r="F40" i="71"/>
  <c r="N39" i="71"/>
  <c r="M39" i="71"/>
  <c r="L39" i="71"/>
  <c r="K39" i="71"/>
  <c r="F39" i="71"/>
  <c r="N38" i="71"/>
  <c r="M38" i="71"/>
  <c r="L38" i="71"/>
  <c r="N37" i="71"/>
  <c r="M37" i="71"/>
  <c r="L37" i="71"/>
  <c r="K37" i="71"/>
  <c r="O37" i="71" s="1"/>
  <c r="N36" i="71"/>
  <c r="M36" i="71"/>
  <c r="L36" i="71"/>
  <c r="K36" i="71"/>
  <c r="N35" i="71"/>
  <c r="M35" i="71"/>
  <c r="L35" i="71"/>
  <c r="K35" i="71"/>
  <c r="N34" i="71"/>
  <c r="M34" i="71"/>
  <c r="L34" i="71"/>
  <c r="K34" i="71"/>
  <c r="N33" i="71"/>
  <c r="M33" i="71"/>
  <c r="L33" i="71"/>
  <c r="K33" i="71"/>
  <c r="N32" i="71"/>
  <c r="M32" i="71"/>
  <c r="L32" i="71"/>
  <c r="K32" i="71"/>
  <c r="N31" i="71"/>
  <c r="M31" i="71"/>
  <c r="L31" i="71"/>
  <c r="K31" i="71"/>
  <c r="N30" i="71"/>
  <c r="M30" i="71"/>
  <c r="L30" i="71"/>
  <c r="K30" i="71"/>
  <c r="N29" i="71"/>
  <c r="M29" i="71"/>
  <c r="L29" i="71"/>
  <c r="K29" i="71"/>
  <c r="N28" i="71"/>
  <c r="M28" i="71"/>
  <c r="L28" i="71"/>
  <c r="K28" i="71"/>
  <c r="N27" i="71"/>
  <c r="M27" i="71"/>
  <c r="L27" i="71"/>
  <c r="K27" i="71"/>
  <c r="N26" i="71"/>
  <c r="M26" i="71"/>
  <c r="L26" i="71"/>
  <c r="K26" i="71"/>
  <c r="N25" i="71"/>
  <c r="M25" i="71"/>
  <c r="L25" i="71"/>
  <c r="K25" i="71"/>
  <c r="N24" i="71"/>
  <c r="M24" i="71"/>
  <c r="L24" i="71"/>
  <c r="K24" i="71"/>
  <c r="N23" i="71"/>
  <c r="M23" i="71"/>
  <c r="L23" i="71"/>
  <c r="K23" i="71"/>
  <c r="N22" i="71"/>
  <c r="M22" i="71"/>
  <c r="L22" i="71"/>
  <c r="K22" i="71"/>
  <c r="N21" i="71"/>
  <c r="M21" i="71"/>
  <c r="L21" i="71"/>
  <c r="K21" i="71"/>
  <c r="N20" i="71"/>
  <c r="M20" i="71"/>
  <c r="L20" i="71"/>
  <c r="K20" i="71"/>
  <c r="N19" i="71"/>
  <c r="M19" i="71"/>
  <c r="L19" i="71"/>
  <c r="K19" i="71"/>
  <c r="N18" i="71"/>
  <c r="M18" i="71"/>
  <c r="L18" i="71"/>
  <c r="K18" i="71"/>
  <c r="N17" i="71"/>
  <c r="M17" i="71"/>
  <c r="L17" i="71"/>
  <c r="K17" i="71"/>
  <c r="N16" i="71"/>
  <c r="M16" i="71"/>
  <c r="L16" i="71"/>
  <c r="K16" i="71"/>
  <c r="N15" i="71"/>
  <c r="M15" i="71"/>
  <c r="L15" i="71"/>
  <c r="K15" i="71"/>
  <c r="N14" i="71"/>
  <c r="M14" i="71"/>
  <c r="L14" i="71"/>
  <c r="K14" i="71"/>
  <c r="N13" i="71"/>
  <c r="M13" i="71"/>
  <c r="L13" i="71"/>
  <c r="K13" i="71"/>
  <c r="N12" i="71"/>
  <c r="M12" i="71"/>
  <c r="L12" i="71"/>
  <c r="K12" i="71"/>
  <c r="N11" i="71"/>
  <c r="M11" i="71"/>
  <c r="L11" i="71"/>
  <c r="K11" i="71"/>
  <c r="N10" i="71"/>
  <c r="M10" i="71"/>
  <c r="L10" i="71"/>
  <c r="K10" i="71"/>
  <c r="N9" i="71"/>
  <c r="M9" i="71"/>
  <c r="L9" i="71"/>
  <c r="K9" i="71"/>
  <c r="N8" i="71"/>
  <c r="L8" i="71"/>
  <c r="K8" i="71"/>
  <c r="N7" i="71"/>
  <c r="L7" i="71"/>
  <c r="K7" i="71"/>
  <c r="AW42" i="146" l="1"/>
  <c r="P35" i="142"/>
  <c r="N35" i="142"/>
  <c r="Q35" i="142"/>
  <c r="Y37" i="138"/>
  <c r="I37" i="138"/>
  <c r="X37" i="138"/>
  <c r="P37" i="138"/>
  <c r="H37" i="138"/>
  <c r="Q37" i="138"/>
  <c r="C37" i="138"/>
  <c r="W37" i="138"/>
  <c r="O37" i="138"/>
  <c r="G37" i="138"/>
  <c r="N37" i="138"/>
  <c r="AD37" i="138"/>
  <c r="V37" i="138"/>
  <c r="F37" i="138"/>
  <c r="AL6" i="143"/>
  <c r="AC37" i="138"/>
  <c r="U37" i="138"/>
  <c r="M37" i="138"/>
  <c r="E37" i="138"/>
  <c r="AE6" i="146"/>
  <c r="X40" i="138" s="1"/>
  <c r="AW45" i="146"/>
  <c r="AH6" i="146"/>
  <c r="AA40" i="138" s="1"/>
  <c r="C40" i="138"/>
  <c r="F40" i="138"/>
  <c r="R40" i="138"/>
  <c r="G40" i="138"/>
  <c r="L40" i="138"/>
  <c r="T40" i="138"/>
  <c r="AW41" i="146"/>
  <c r="I40" i="138"/>
  <c r="W40" i="138"/>
  <c r="H40" i="138"/>
  <c r="N40" i="138"/>
  <c r="V40" i="138"/>
  <c r="J40" i="138"/>
  <c r="U40" i="138"/>
  <c r="O40" i="138"/>
  <c r="AB40" i="138"/>
  <c r="K40" i="138"/>
  <c r="Y40" i="138"/>
  <c r="S40" i="138"/>
  <c r="P40" i="138"/>
  <c r="AC40" i="138"/>
  <c r="Z40" i="138"/>
  <c r="AW27" i="146"/>
  <c r="AK6" i="146"/>
  <c r="AW6" i="146" s="1"/>
  <c r="M40" i="138"/>
  <c r="D40" i="138"/>
  <c r="Q40" i="138"/>
  <c r="E40" i="138"/>
  <c r="P49" i="71"/>
  <c r="N50" i="71" s="1"/>
  <c r="F49" i="71" s="1"/>
  <c r="O9" i="71"/>
  <c r="O39" i="71"/>
  <c r="C39" i="71" s="1"/>
  <c r="O11" i="71"/>
  <c r="E11" i="71" s="1"/>
  <c r="O27" i="71"/>
  <c r="C27" i="71" s="1"/>
  <c r="O26" i="71"/>
  <c r="D26" i="71" s="1"/>
  <c r="O28" i="71"/>
  <c r="E28" i="71" s="1"/>
  <c r="AW38" i="146"/>
  <c r="K66" i="97"/>
  <c r="D37" i="71"/>
  <c r="F37" i="71"/>
  <c r="E37" i="71"/>
  <c r="O8" i="71"/>
  <c r="C8" i="71" s="1"/>
  <c r="O13" i="71"/>
  <c r="O24" i="71"/>
  <c r="F24" i="71" s="1"/>
  <c r="O15" i="71"/>
  <c r="D15" i="71" s="1"/>
  <c r="O14" i="71"/>
  <c r="D14" i="71" s="1"/>
  <c r="O10" i="71"/>
  <c r="F10" i="71" s="1"/>
  <c r="O12" i="71"/>
  <c r="E12" i="71" s="1"/>
  <c r="O16" i="71"/>
  <c r="C16" i="71" s="1"/>
  <c r="O17" i="71"/>
  <c r="E17" i="71" s="1"/>
  <c r="O19" i="71"/>
  <c r="F19" i="71" s="1"/>
  <c r="O21" i="71"/>
  <c r="F21" i="71" s="1"/>
  <c r="O23" i="71"/>
  <c r="E23" i="71" s="1"/>
  <c r="O33" i="71"/>
  <c r="E33" i="71" s="1"/>
  <c r="O46" i="71"/>
  <c r="D46" i="71" s="1"/>
  <c r="O42" i="71"/>
  <c r="C42" i="71" s="1"/>
  <c r="O40" i="71"/>
  <c r="D17" i="71"/>
  <c r="O36" i="71"/>
  <c r="F36" i="71" s="1"/>
  <c r="O18" i="71"/>
  <c r="F18" i="71" s="1"/>
  <c r="O30" i="71"/>
  <c r="F30" i="71" s="1"/>
  <c r="O32" i="71"/>
  <c r="F32" i="71" s="1"/>
  <c r="O34" i="71"/>
  <c r="F34" i="71" s="1"/>
  <c r="O41" i="71"/>
  <c r="E41" i="71" s="1"/>
  <c r="O43" i="71"/>
  <c r="F43" i="71" s="1"/>
  <c r="R6" i="149"/>
  <c r="K41" i="138" s="1"/>
  <c r="K6" i="149"/>
  <c r="D41" i="138" s="1"/>
  <c r="J6" i="149"/>
  <c r="C41" i="138" s="1"/>
  <c r="T6" i="149"/>
  <c r="M41" i="138" s="1"/>
  <c r="AI6" i="149"/>
  <c r="AB41" i="138" s="1"/>
  <c r="Y6" i="149"/>
  <c r="R41" i="138" s="1"/>
  <c r="N6" i="149"/>
  <c r="G41" i="138" s="1"/>
  <c r="W6" i="149"/>
  <c r="P41" i="138" s="1"/>
  <c r="Z6" i="149"/>
  <c r="S41" i="138" s="1"/>
  <c r="Q6" i="149"/>
  <c r="J41" i="138" s="1"/>
  <c r="P6" i="149"/>
  <c r="I41" i="138" s="1"/>
  <c r="X6" i="149"/>
  <c r="Q41" i="138" s="1"/>
  <c r="M6" i="149"/>
  <c r="F41" i="138" s="1"/>
  <c r="U6" i="149"/>
  <c r="N41" i="138" s="1"/>
  <c r="S6" i="149"/>
  <c r="L41" i="138" s="1"/>
  <c r="O6" i="149"/>
  <c r="H41" i="138" s="1"/>
  <c r="V6" i="149"/>
  <c r="O41" i="138" s="1"/>
  <c r="N66" i="97"/>
  <c r="E66" i="97"/>
  <c r="I66" i="97"/>
  <c r="AB7" i="149"/>
  <c r="AA6" i="149"/>
  <c r="T41" i="138" s="1"/>
  <c r="AJ6" i="149"/>
  <c r="E9" i="71"/>
  <c r="D30" i="71"/>
  <c r="D11" i="71"/>
  <c r="E27" i="71"/>
  <c r="D27" i="71"/>
  <c r="D9" i="71"/>
  <c r="F9" i="71"/>
  <c r="O29" i="71"/>
  <c r="C29" i="71" s="1"/>
  <c r="C9" i="71"/>
  <c r="C30" i="71"/>
  <c r="O31" i="71"/>
  <c r="D31" i="71" s="1"/>
  <c r="C10" i="71"/>
  <c r="O20" i="71"/>
  <c r="C20" i="71" s="1"/>
  <c r="C11" i="71"/>
  <c r="C19" i="71"/>
  <c r="O22" i="71"/>
  <c r="E22" i="71" s="1"/>
  <c r="O35" i="71"/>
  <c r="D35" i="71" s="1"/>
  <c r="C12" i="71"/>
  <c r="O25" i="71"/>
  <c r="D25" i="71" s="1"/>
  <c r="C37" i="71"/>
  <c r="D39" i="71" l="1"/>
  <c r="C21" i="71"/>
  <c r="C24" i="71"/>
  <c r="F11" i="71"/>
  <c r="C23" i="71"/>
  <c r="D28" i="71"/>
  <c r="L50" i="71"/>
  <c r="D49" i="71" s="1"/>
  <c r="F28" i="71"/>
  <c r="F16" i="71"/>
  <c r="D12" i="71"/>
  <c r="D19" i="71"/>
  <c r="E16" i="71"/>
  <c r="C28" i="71"/>
  <c r="C46" i="71"/>
  <c r="F12" i="71"/>
  <c r="E42" i="71"/>
  <c r="E46" i="71"/>
  <c r="E32" i="71"/>
  <c r="C15" i="71"/>
  <c r="C18" i="71"/>
  <c r="D10" i="71"/>
  <c r="E30" i="71"/>
  <c r="C26" i="71"/>
  <c r="D42" i="71"/>
  <c r="O50" i="71"/>
  <c r="P50" i="71"/>
  <c r="F26" i="71"/>
  <c r="M50" i="71"/>
  <c r="E49" i="71" s="1"/>
  <c r="E39" i="71"/>
  <c r="F46" i="71"/>
  <c r="D32" i="71"/>
  <c r="D16" i="71"/>
  <c r="K50" i="71"/>
  <c r="C49" i="71" s="1"/>
  <c r="M7" i="71"/>
  <c r="AD40" i="138"/>
  <c r="E10" i="71"/>
  <c r="E26" i="71"/>
  <c r="E43" i="71"/>
  <c r="C41" i="71"/>
  <c r="E18" i="71"/>
  <c r="D22" i="71"/>
  <c r="F33" i="71"/>
  <c r="C43" i="71"/>
  <c r="F14" i="71"/>
  <c r="F23" i="71"/>
  <c r="D43" i="71"/>
  <c r="D41" i="71"/>
  <c r="F27" i="71"/>
  <c r="D23" i="71"/>
  <c r="C22" i="71"/>
  <c r="F15" i="71"/>
  <c r="D8" i="71"/>
  <c r="E8" i="71"/>
  <c r="D13" i="71"/>
  <c r="E13" i="71"/>
  <c r="C13" i="71"/>
  <c r="F13" i="71"/>
  <c r="D33" i="71"/>
  <c r="F17" i="71"/>
  <c r="D21" i="71"/>
  <c r="F8" i="71"/>
  <c r="E14" i="71"/>
  <c r="D34" i="71"/>
  <c r="E15" i="71"/>
  <c r="E21" i="71"/>
  <c r="C36" i="71"/>
  <c r="C14" i="71"/>
  <c r="D20" i="71"/>
  <c r="E34" i="71"/>
  <c r="D24" i="71"/>
  <c r="E24" i="71"/>
  <c r="D36" i="71"/>
  <c r="E36" i="71"/>
  <c r="C34" i="71"/>
  <c r="C33" i="71"/>
  <c r="E19" i="71"/>
  <c r="C32" i="71"/>
  <c r="C17" i="71"/>
  <c r="C25" i="71"/>
  <c r="D18" i="71"/>
  <c r="AL6" i="149"/>
  <c r="AC41" i="138"/>
  <c r="AC7" i="149"/>
  <c r="AC6" i="149" s="1"/>
  <c r="V41" i="138" s="1"/>
  <c r="AB6" i="149"/>
  <c r="U41" i="138" s="1"/>
  <c r="C31" i="71"/>
  <c r="F29" i="71"/>
  <c r="E29" i="71"/>
  <c r="E31" i="71"/>
  <c r="C35" i="71"/>
  <c r="D29" i="71"/>
  <c r="O7" i="71" l="1"/>
  <c r="E7" i="71" s="1"/>
  <c r="F7" i="71" l="1"/>
  <c r="D7" i="71"/>
  <c r="C7" i="71"/>
  <c r="H14" i="97" l="1"/>
  <c r="R44" i="138" l="1"/>
  <c r="T44" i="138"/>
  <c r="U44" i="138"/>
  <c r="I44" i="138"/>
  <c r="K44" i="138"/>
  <c r="E44" i="138"/>
  <c r="F44" i="138"/>
  <c r="N44" i="138"/>
  <c r="W44" i="138"/>
  <c r="Q44" i="138"/>
  <c r="D44" i="138"/>
  <c r="G44" i="138"/>
  <c r="O44" i="138"/>
  <c r="X44" i="138"/>
  <c r="J44" i="138"/>
  <c r="S44" i="138"/>
  <c r="L44" i="138"/>
  <c r="M44" i="138"/>
  <c r="H44" i="138"/>
  <c r="P44" i="138"/>
  <c r="Y44" i="138"/>
  <c r="Z44" i="138" l="1"/>
  <c r="V44" i="138"/>
  <c r="AB44" i="138"/>
  <c r="AC44" i="138" l="1"/>
  <c r="AD44" i="138"/>
  <c r="AA44" i="138"/>
  <c r="M36" i="97"/>
  <c r="M35" i="97"/>
  <c r="M34" i="97"/>
  <c r="C66" i="142" l="1"/>
  <c r="I34" i="142"/>
  <c r="I67" i="142" s="1"/>
  <c r="D33" i="142"/>
  <c r="O34" i="142" l="1"/>
  <c r="M34" i="142"/>
  <c r="P34" i="142"/>
  <c r="N34" i="142"/>
  <c r="R34" i="142"/>
  <c r="D66" i="142"/>
  <c r="Q34" i="142"/>
  <c r="O36" i="97" l="1"/>
  <c r="L36" i="97"/>
  <c r="K36" i="97"/>
  <c r="J36" i="97"/>
  <c r="G36" i="97"/>
  <c r="F36" i="97"/>
  <c r="O35" i="97"/>
  <c r="N35" i="97"/>
  <c r="L35" i="97"/>
  <c r="J35" i="97"/>
  <c r="G35" i="97"/>
  <c r="F35" i="97"/>
  <c r="O34" i="97"/>
  <c r="N34" i="97"/>
  <c r="L34" i="97"/>
  <c r="K34" i="97"/>
  <c r="J34" i="97"/>
  <c r="I34" i="97"/>
  <c r="G34" i="97"/>
  <c r="F34" i="97"/>
  <c r="E34" i="97"/>
  <c r="M33" i="97"/>
  <c r="D33" i="97"/>
  <c r="M32" i="97"/>
  <c r="M31" i="97"/>
  <c r="M30" i="97"/>
  <c r="M29" i="97"/>
  <c r="P29" i="97" s="1"/>
  <c r="M28" i="97"/>
  <c r="M27" i="97"/>
  <c r="P27" i="97" s="1"/>
  <c r="M26" i="97"/>
  <c r="P26" i="97" s="1"/>
  <c r="M25" i="97"/>
  <c r="P24" i="97"/>
  <c r="P23" i="97"/>
  <c r="P22" i="97"/>
  <c r="P21" i="97"/>
  <c r="P20" i="97"/>
  <c r="P19" i="97"/>
  <c r="P18" i="97"/>
  <c r="P17" i="97"/>
  <c r="P16" i="97"/>
  <c r="P15" i="97"/>
  <c r="P14" i="97"/>
  <c r="P13" i="97"/>
  <c r="P12" i="97"/>
  <c r="P11" i="97"/>
  <c r="P10" i="97"/>
  <c r="P9" i="97"/>
  <c r="P8" i="97"/>
  <c r="P7" i="97"/>
  <c r="P6" i="97"/>
  <c r="P5" i="97"/>
  <c r="P35" i="97" l="1"/>
  <c r="P32" i="97"/>
  <c r="D34" i="97"/>
  <c r="P31" i="97"/>
  <c r="P30" i="97"/>
  <c r="P33" i="97"/>
  <c r="P28" i="97"/>
  <c r="P25" i="97"/>
  <c r="P34" i="97" l="1"/>
  <c r="C44" i="138" l="1"/>
  <c r="D37" i="97" l="1"/>
  <c r="P36" i="97" l="1"/>
  <c r="H66" i="142"/>
  <c r="H32" i="142"/>
  <c r="G66" i="142"/>
  <c r="F66" i="142"/>
  <c r="E33" i="142"/>
  <c r="E66" i="142" s="1"/>
  <c r="D66" i="97" l="1"/>
  <c r="P37" i="97"/>
  <c r="F65" i="142"/>
  <c r="H65" i="142"/>
  <c r="P66" i="97" l="1"/>
  <c r="I33" i="142"/>
  <c r="I66" i="142" l="1"/>
  <c r="N33" i="142"/>
  <c r="O33" i="142"/>
  <c r="M33" i="142"/>
  <c r="P33" i="142"/>
  <c r="Q33" i="142"/>
  <c r="R33" i="142"/>
  <c r="D70" i="142" l="1"/>
  <c r="E70" i="142"/>
  <c r="F70" i="142"/>
  <c r="G70" i="142"/>
  <c r="H70" i="142"/>
  <c r="C70" i="142"/>
  <c r="D68" i="142"/>
  <c r="E68" i="142"/>
  <c r="F68" i="142"/>
  <c r="G68" i="142"/>
  <c r="H68" i="142"/>
  <c r="E47" i="142"/>
  <c r="E48" i="142"/>
  <c r="E49" i="142"/>
  <c r="E50" i="142"/>
  <c r="E51" i="142"/>
  <c r="E52" i="142"/>
  <c r="E53" i="142"/>
  <c r="E54" i="142"/>
  <c r="E55" i="142"/>
  <c r="E56" i="142"/>
  <c r="E57" i="142"/>
  <c r="E60" i="142"/>
  <c r="E61" i="142"/>
  <c r="E62" i="142"/>
  <c r="E63" i="142"/>
  <c r="D47" i="142"/>
  <c r="D48" i="142"/>
  <c r="D49" i="142"/>
  <c r="D50" i="142"/>
  <c r="D51" i="142"/>
  <c r="D52" i="142"/>
  <c r="D53" i="142"/>
  <c r="D54" i="142"/>
  <c r="D55" i="142"/>
  <c r="D56" i="142"/>
  <c r="D57" i="142"/>
  <c r="D58" i="142"/>
  <c r="D59" i="142"/>
  <c r="D60" i="142"/>
  <c r="D61" i="142"/>
  <c r="D62" i="142"/>
  <c r="D63" i="142"/>
  <c r="C47" i="142"/>
  <c r="C48" i="142"/>
  <c r="C49" i="142"/>
  <c r="C50" i="142"/>
  <c r="C51" i="142"/>
  <c r="C52" i="142"/>
  <c r="C53" i="142"/>
  <c r="C54" i="142"/>
  <c r="C55" i="142"/>
  <c r="C56" i="142"/>
  <c r="C57" i="142"/>
  <c r="C58" i="142"/>
  <c r="C59" i="142"/>
  <c r="C60" i="142"/>
  <c r="C61" i="142"/>
  <c r="C62" i="142"/>
  <c r="C63" i="142"/>
  <c r="D46" i="142"/>
  <c r="E46" i="142"/>
  <c r="F46" i="142"/>
  <c r="G46" i="142"/>
  <c r="H46" i="142"/>
  <c r="C46" i="142"/>
  <c r="H56" i="142" l="1"/>
  <c r="H57" i="142"/>
  <c r="H58" i="142"/>
  <c r="H59" i="142"/>
  <c r="H60" i="142"/>
  <c r="H61" i="142"/>
  <c r="H62" i="142"/>
  <c r="H63" i="142"/>
  <c r="H64" i="142"/>
  <c r="G52" i="142"/>
  <c r="G53" i="142"/>
  <c r="G54" i="142"/>
  <c r="G55" i="142"/>
  <c r="G56" i="142"/>
  <c r="G57" i="142"/>
  <c r="G58" i="142"/>
  <c r="G59" i="142"/>
  <c r="G60" i="142"/>
  <c r="G61" i="142"/>
  <c r="G62" i="142"/>
  <c r="F52" i="142"/>
  <c r="F53" i="142"/>
  <c r="F54" i="142"/>
  <c r="F55" i="142"/>
  <c r="F56" i="142"/>
  <c r="F57" i="142"/>
  <c r="F58" i="142"/>
  <c r="F59" i="142"/>
  <c r="F60" i="142"/>
  <c r="F61" i="142"/>
  <c r="F62" i="142"/>
  <c r="F63" i="142"/>
  <c r="F64" i="142"/>
  <c r="E32" i="142" l="1"/>
  <c r="E65" i="142" l="1"/>
  <c r="E64" i="142"/>
  <c r="G63" i="142"/>
  <c r="D32" i="142"/>
  <c r="C32" i="142"/>
  <c r="G65" i="142" l="1"/>
  <c r="D65" i="142"/>
  <c r="D64" i="142"/>
  <c r="C65" i="142"/>
  <c r="C64" i="142"/>
  <c r="G64" i="142"/>
  <c r="I32" i="142"/>
  <c r="Q32" i="142" l="1"/>
  <c r="M32" i="142"/>
  <c r="O32" i="142"/>
  <c r="N32" i="142"/>
  <c r="P32" i="142"/>
  <c r="I65" i="142"/>
  <c r="R32" i="142"/>
  <c r="I31" i="142" l="1"/>
  <c r="I30" i="142"/>
  <c r="M30" i="142" l="1"/>
  <c r="O30" i="142"/>
  <c r="P30" i="142"/>
  <c r="N30" i="142"/>
  <c r="M31" i="142"/>
  <c r="O31" i="142"/>
  <c r="P31" i="142"/>
  <c r="N31" i="142"/>
  <c r="Q30" i="142"/>
  <c r="Q31" i="142"/>
  <c r="R31" i="142"/>
  <c r="I63" i="142"/>
  <c r="I64" i="142"/>
  <c r="R30" i="142"/>
  <c r="I29" i="142" l="1"/>
  <c r="I62" i="142" l="1"/>
  <c r="P29" i="142"/>
  <c r="N29" i="142"/>
  <c r="Q29" i="142"/>
  <c r="R29" i="142"/>
  <c r="O29" i="142"/>
  <c r="M29" i="142"/>
  <c r="E26" i="142" l="1"/>
  <c r="I27" i="142"/>
  <c r="E58" i="142" l="1"/>
  <c r="E59" i="142"/>
  <c r="Q27" i="142"/>
  <c r="M27" i="142"/>
  <c r="R27" i="142"/>
  <c r="O27" i="142"/>
  <c r="N27" i="142"/>
  <c r="P27" i="142"/>
  <c r="I28" i="142"/>
  <c r="I60" i="142" l="1"/>
  <c r="I61" i="142"/>
  <c r="P28" i="142"/>
  <c r="Q28" i="142"/>
  <c r="M28" i="142"/>
  <c r="R28" i="142"/>
  <c r="O28" i="142"/>
  <c r="N28" i="142"/>
  <c r="I26" i="142" l="1"/>
  <c r="I25" i="142"/>
  <c r="I58" i="142" l="1"/>
  <c r="I59" i="142"/>
  <c r="O25" i="142"/>
  <c r="N25" i="142"/>
  <c r="M25" i="142"/>
  <c r="M26" i="142"/>
  <c r="N26" i="142"/>
  <c r="O26" i="142"/>
  <c r="Q25" i="142"/>
  <c r="R25" i="142"/>
  <c r="P25" i="142"/>
  <c r="P26" i="142"/>
  <c r="Q26" i="142"/>
  <c r="R26" i="142"/>
  <c r="G69" i="142" l="1"/>
  <c r="F69" i="142"/>
  <c r="E69" i="142"/>
  <c r="D69" i="142"/>
  <c r="C69" i="142"/>
  <c r="H55" i="142"/>
  <c r="I23" i="142"/>
  <c r="M23" i="142" l="1"/>
  <c r="O23" i="142"/>
  <c r="N23" i="142"/>
  <c r="P23" i="142"/>
  <c r="Q23" i="142"/>
  <c r="R23" i="142"/>
  <c r="H54" i="142" l="1"/>
  <c r="I22" i="142"/>
  <c r="M22" i="142" l="1"/>
  <c r="O22" i="142"/>
  <c r="N22" i="142"/>
  <c r="P22" i="142"/>
  <c r="Q22" i="142"/>
  <c r="R22" i="142"/>
  <c r="I55" i="142"/>
  <c r="I21" i="142"/>
  <c r="I20" i="142"/>
  <c r="I19" i="142"/>
  <c r="I18" i="142"/>
  <c r="I17" i="142"/>
  <c r="I16" i="142"/>
  <c r="I15" i="142"/>
  <c r="I14" i="142"/>
  <c r="I13" i="142"/>
  <c r="I70" i="142" s="1"/>
  <c r="I12" i="142"/>
  <c r="I11" i="142"/>
  <c r="I10" i="142"/>
  <c r="I9" i="142"/>
  <c r="I24" i="142"/>
  <c r="I71" i="142" s="1"/>
  <c r="C68" i="142"/>
  <c r="H53" i="142"/>
  <c r="H52" i="142"/>
  <c r="H51" i="142"/>
  <c r="G51" i="142"/>
  <c r="F51" i="142"/>
  <c r="H50" i="142"/>
  <c r="G50" i="142"/>
  <c r="F50" i="142"/>
  <c r="H49" i="142"/>
  <c r="G49" i="142"/>
  <c r="F49" i="142"/>
  <c r="H48" i="142"/>
  <c r="G48" i="142"/>
  <c r="F48" i="142"/>
  <c r="H47" i="142"/>
  <c r="G47" i="142"/>
  <c r="F47" i="142"/>
  <c r="I46" i="142" l="1"/>
  <c r="I56" i="142"/>
  <c r="I57" i="142"/>
  <c r="M24" i="142"/>
  <c r="O24" i="142"/>
  <c r="N24" i="142"/>
  <c r="R24" i="142"/>
  <c r="P24" i="142"/>
  <c r="Q24" i="142"/>
  <c r="P14" i="142"/>
  <c r="M14" i="142"/>
  <c r="Q14" i="142"/>
  <c r="R14" i="142"/>
  <c r="N14" i="142"/>
  <c r="O14" i="142"/>
  <c r="O11" i="142"/>
  <c r="P11" i="142"/>
  <c r="M11" i="142"/>
  <c r="Q11" i="142"/>
  <c r="N11" i="142"/>
  <c r="R11" i="142"/>
  <c r="O15" i="142"/>
  <c r="P15" i="142"/>
  <c r="M15" i="142"/>
  <c r="Q15" i="142"/>
  <c r="R15" i="142"/>
  <c r="N15" i="142"/>
  <c r="O19" i="142"/>
  <c r="P19" i="142"/>
  <c r="M19" i="142"/>
  <c r="Q19" i="142"/>
  <c r="N19" i="142"/>
  <c r="R19" i="142"/>
  <c r="P10" i="142"/>
  <c r="M10" i="142"/>
  <c r="Q10" i="142"/>
  <c r="R10" i="142"/>
  <c r="O10" i="142"/>
  <c r="N10" i="142"/>
  <c r="P18" i="142"/>
  <c r="M18" i="142"/>
  <c r="Q18" i="142"/>
  <c r="R18" i="142"/>
  <c r="O18" i="142"/>
  <c r="N18" i="142"/>
  <c r="R12" i="142"/>
  <c r="N12" i="142"/>
  <c r="O12" i="142"/>
  <c r="P12" i="142"/>
  <c r="Q12" i="142"/>
  <c r="M12" i="142"/>
  <c r="R16" i="142"/>
  <c r="N16" i="142"/>
  <c r="O16" i="142"/>
  <c r="P16" i="142"/>
  <c r="M16" i="142"/>
  <c r="Q16" i="142"/>
  <c r="R20" i="142"/>
  <c r="N20" i="142"/>
  <c r="O20" i="142"/>
  <c r="P20" i="142"/>
  <c r="Q20" i="142"/>
  <c r="M20" i="142"/>
  <c r="Q9" i="142"/>
  <c r="N9" i="142"/>
  <c r="O9" i="142"/>
  <c r="R9" i="142"/>
  <c r="P9" i="142"/>
  <c r="M9" i="142"/>
  <c r="Q13" i="142"/>
  <c r="R13" i="142"/>
  <c r="N13" i="142"/>
  <c r="M13" i="142"/>
  <c r="O13" i="142"/>
  <c r="P13" i="142"/>
  <c r="Q17" i="142"/>
  <c r="R17" i="142"/>
  <c r="N17" i="142"/>
  <c r="P17" i="142"/>
  <c r="M17" i="142"/>
  <c r="O17" i="142"/>
  <c r="Q21" i="142"/>
  <c r="R21" i="142"/>
  <c r="N21" i="142"/>
  <c r="M21" i="142"/>
  <c r="P21" i="142"/>
  <c r="O21" i="142"/>
  <c r="I53" i="142"/>
  <c r="I54" i="142"/>
  <c r="I49" i="142"/>
  <c r="I47" i="142"/>
  <c r="I51" i="142"/>
  <c r="I48" i="142"/>
  <c r="I50" i="142"/>
  <c r="I52" i="142"/>
  <c r="H69" i="142" l="1"/>
  <c r="I8" i="142"/>
  <c r="I7" i="142"/>
  <c r="P7" i="142" s="1"/>
  <c r="M8" i="142" l="1"/>
  <c r="I68" i="142"/>
  <c r="R7" i="142"/>
  <c r="O7" i="142"/>
  <c r="R8" i="142"/>
  <c r="I69" i="142"/>
  <c r="Q8" i="142"/>
  <c r="O8" i="142"/>
  <c r="M7" i="142"/>
  <c r="N7" i="142"/>
  <c r="Q7" i="142"/>
  <c r="N8" i="142"/>
  <c r="P8" i="142"/>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678D6A6-9DCE-4DD6-B8C1-2970194D846A}" keepAlive="1" name="Query - UNECE  data_2024_04_02_11_42_27" description="Connection to the 'UNECE  data_2024_04_02_11_42_27' query in the workbook." type="5" refreshedVersion="0" background="1">
    <dbPr connection="Provider=Microsoft.Mashup.OleDb.1;Data Source=$Workbook$;Location=&quot;UNECE  data_2024_04_02_11_42_27&quot;;Extended Properties=&quot;&quot;" command="SELECT * FROM [UNECE  data_2024_04_02_11_42_27]"/>
  </connection>
</connections>
</file>

<file path=xl/sharedStrings.xml><?xml version="1.0" encoding="utf-8"?>
<sst xmlns="http://schemas.openxmlformats.org/spreadsheetml/2006/main" count="1469" uniqueCount="165">
  <si>
    <t>Tram &amp; Metro</t>
  </si>
  <si>
    <t>passenger-km in %</t>
  </si>
  <si>
    <t>Buses and Coaches</t>
  </si>
  <si>
    <t>MK</t>
  </si>
  <si>
    <t>Powered 2-wheelers</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</si>
  <si>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</si>
  <si>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</si>
  <si>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</si>
  <si>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</si>
  <si>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</si>
  <si>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</si>
  <si>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</si>
  <si>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</si>
  <si>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</si>
  <si>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</si>
  <si>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</si>
  <si>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</si>
  <si>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</si>
  <si>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</si>
  <si>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</si>
  <si>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</si>
  <si>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</si>
  <si>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</si>
  <si>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</si>
  <si>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</si>
  <si>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</si>
  <si>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</si>
  <si>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</si>
  <si>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</si>
  <si>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</si>
  <si>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</si>
  <si>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</si>
  <si>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</si>
  <si>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</si>
  <si>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</si>
  <si>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</si>
  <si>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</si>
  <si>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t>
  </si>
  <si>
    <t>-</t>
  </si>
  <si>
    <t>HR</t>
  </si>
  <si>
    <t>Passenger Cars</t>
  </si>
  <si>
    <t>Buses &amp; Coaches</t>
  </si>
  <si>
    <t>Railways</t>
  </si>
  <si>
    <t>Sea</t>
  </si>
  <si>
    <t>Air</t>
  </si>
  <si>
    <t>Total</t>
  </si>
  <si>
    <t>Share of high speed rail transport in total passenger-kilometres in rail transport</t>
  </si>
  <si>
    <t>EUROPEAN UNION</t>
  </si>
  <si>
    <t>European Commission</t>
  </si>
  <si>
    <r>
      <t xml:space="preserve">in co-operation with </t>
    </r>
    <r>
      <rPr>
        <b/>
        <sz val="10"/>
        <rFont val="Arial"/>
        <family val="2"/>
      </rPr>
      <t>Eurostat</t>
    </r>
  </si>
  <si>
    <t>Performance of Passenger Transport</t>
  </si>
  <si>
    <t>expressed in passenger-kilometres</t>
  </si>
  <si>
    <t>Passenger Cars *</t>
  </si>
  <si>
    <t>Motor- cycles</t>
  </si>
  <si>
    <t>Railway</t>
  </si>
  <si>
    <t>Bus</t>
  </si>
  <si>
    <t>Light and Commuter rail</t>
  </si>
  <si>
    <t>Average annual change</t>
  </si>
  <si>
    <t>% per year</t>
  </si>
  <si>
    <t>1990- 1995</t>
  </si>
  <si>
    <t>2.3.1</t>
  </si>
  <si>
    <r>
      <t>Source</t>
    </r>
    <r>
      <rPr>
        <sz val="8"/>
        <rFont val="Arial"/>
        <family val="2"/>
      </rPr>
      <t xml:space="preserve">: tables 2.3.4, 2.3.5, 2.3.6, 2.3.7, estimates </t>
    </r>
  </si>
  <si>
    <t>2.3.3</t>
  </si>
  <si>
    <t>2.3.2</t>
  </si>
  <si>
    <t>2.3.4</t>
  </si>
  <si>
    <t>2.3.5</t>
  </si>
  <si>
    <t>2.3.6</t>
  </si>
  <si>
    <t>2.3.7</t>
  </si>
  <si>
    <t>2.3.8</t>
  </si>
  <si>
    <t>2.3.9</t>
  </si>
  <si>
    <t>Directorate-General for Mobility and Transport</t>
  </si>
  <si>
    <t>TRANSPORT IN FIGURES</t>
  </si>
  <si>
    <t>Chapter 2.3  :</t>
  </si>
  <si>
    <t>Part 2 :  TRANSPORT</t>
  </si>
  <si>
    <r>
      <t>Source:</t>
    </r>
    <r>
      <rPr>
        <sz val="8"/>
        <rFont val="Arial"/>
        <family val="2"/>
      </rPr>
      <t xml:space="preserve"> tables 2.3.4, 2.3.5, 2.3.6, 2.3.7</t>
    </r>
  </si>
  <si>
    <r>
      <t>Source</t>
    </r>
    <r>
      <rPr>
        <sz val="8"/>
        <rFont val="Arial"/>
        <family val="2"/>
      </rPr>
      <t xml:space="preserve">: table 2.3.7. </t>
    </r>
  </si>
  <si>
    <t>ME</t>
  </si>
  <si>
    <t>RS</t>
  </si>
  <si>
    <t>billion pkm</t>
  </si>
  <si>
    <t>Billion pkm</t>
  </si>
  <si>
    <t>1995- 2000</t>
  </si>
  <si>
    <t>% under PSO (*)</t>
  </si>
  <si>
    <t>AL</t>
  </si>
  <si>
    <r>
      <rPr>
        <b/>
        <sz val="8"/>
        <rFont val="Arial"/>
        <family val="2"/>
      </rPr>
      <t xml:space="preserve">CH: </t>
    </r>
    <r>
      <rPr>
        <sz val="8"/>
        <rFont val="Arial"/>
        <family val="2"/>
      </rPr>
      <t>includes activity of foreign vehicles in the country.</t>
    </r>
  </si>
  <si>
    <r>
      <rPr>
        <b/>
        <sz val="8"/>
        <rFont val="Arial"/>
        <family val="2"/>
      </rPr>
      <t>TR:</t>
    </r>
    <r>
      <rPr>
        <sz val="8"/>
        <rFont val="Arial"/>
        <family val="2"/>
      </rPr>
      <t xml:space="preserve"> excludes urban traffic.</t>
    </r>
  </si>
  <si>
    <r>
      <rPr>
        <b/>
        <sz val="8"/>
        <rFont val="Arial"/>
        <family val="2"/>
      </rPr>
      <t xml:space="preserve">ES: </t>
    </r>
    <r>
      <rPr>
        <sz val="8"/>
        <rFont val="Arial"/>
        <family val="2"/>
      </rPr>
      <t>including metro of Malaga since 2014.</t>
    </r>
  </si>
  <si>
    <r>
      <t>PT:</t>
    </r>
    <r>
      <rPr>
        <sz val="8"/>
        <rFont val="Arial"/>
        <family val="2"/>
      </rPr>
      <t xml:space="preserve"> data refer to Lisbon, Porto and Sul do Tejo Metro systems (the latter as from 2014).</t>
    </r>
  </si>
  <si>
    <r>
      <rPr>
        <b/>
        <sz val="8"/>
        <rFont val="Arial"/>
        <family val="2"/>
      </rPr>
      <t xml:space="preserve">AT: </t>
    </r>
    <r>
      <rPr>
        <sz val="8"/>
        <rFont val="Arial"/>
        <family val="2"/>
      </rPr>
      <t>the times series includes an estimate for trolleybuses.</t>
    </r>
  </si>
  <si>
    <r>
      <t xml:space="preserve">AT: </t>
    </r>
    <r>
      <rPr>
        <sz val="8"/>
        <rFont val="Arial"/>
        <family val="2"/>
      </rPr>
      <t>it includes regional rail transport activity.</t>
    </r>
  </si>
  <si>
    <r>
      <rPr>
        <b/>
        <sz val="8"/>
        <rFont val="Arial"/>
        <family val="2"/>
      </rPr>
      <t>PL:</t>
    </r>
    <r>
      <rPr>
        <sz val="8"/>
        <rFont val="Arial"/>
        <family val="2"/>
      </rPr>
      <t xml:space="preserve"> includes long-distance transport and estimated data for urban transport.</t>
    </r>
  </si>
  <si>
    <r>
      <t xml:space="preserve">NL: </t>
    </r>
    <r>
      <rPr>
        <sz val="8"/>
        <rFont val="Arial"/>
        <family val="2"/>
      </rPr>
      <t>the time series from 2010 estimates the share of tram &amp; metro over the aggregate "bus/tram/metro" published in the OViN Travel Survey. Previous years' estimates have been retrofitted until 2010.</t>
    </r>
  </si>
  <si>
    <r>
      <t xml:space="preserve">CS: </t>
    </r>
    <r>
      <rPr>
        <sz val="8"/>
        <rFont val="Arial"/>
        <family val="2"/>
      </rPr>
      <t>1990: 43.4</t>
    </r>
  </si>
  <si>
    <r>
      <t xml:space="preserve">DK: </t>
    </r>
    <r>
      <rPr>
        <sz val="8"/>
        <rFont val="Arial"/>
        <family val="2"/>
      </rPr>
      <t>figures exclude activity of vans with a mass higher than 2 000 kg.</t>
    </r>
  </si>
  <si>
    <r>
      <t>Source</t>
    </r>
    <r>
      <rPr>
        <sz val="8"/>
        <rFont val="Arial"/>
        <family val="2"/>
      </rPr>
      <t>: U.S. Department of Transportation, Bureau of Transportation Statistics.</t>
    </r>
  </si>
  <si>
    <t>EU-27</t>
  </si>
  <si>
    <r>
      <t>Source</t>
    </r>
    <r>
      <rPr>
        <sz val="8"/>
        <rFont val="Arial"/>
        <family val="2"/>
      </rPr>
      <t>:</t>
    </r>
    <r>
      <rPr>
        <b/>
        <sz val="8"/>
        <rFont val="Arial"/>
        <family val="2"/>
      </rPr>
      <t xml:space="preserve"> </t>
    </r>
    <r>
      <rPr>
        <sz val="8"/>
        <rFont val="Arial"/>
        <family val="2"/>
      </rPr>
      <t xml:space="preserve">national statistics,  study for DG Energy and Transport, estimates </t>
    </r>
    <r>
      <rPr>
        <i/>
        <sz val="8"/>
        <rFont val="Arial"/>
        <family val="2"/>
      </rPr>
      <t>(in italics)</t>
    </r>
  </si>
  <si>
    <t>Performance by mode (graph)</t>
  </si>
  <si>
    <t xml:space="preserve">Performance by mode and year </t>
  </si>
  <si>
    <t>Modal split of land transport by country</t>
  </si>
  <si>
    <t>Passenger cars</t>
  </si>
  <si>
    <t>Buses and coaches</t>
  </si>
  <si>
    <t>Tram and metro</t>
  </si>
  <si>
    <t>Rail: High speed rail transport</t>
  </si>
  <si>
    <t>USA: Performance by mode of transport: passengers</t>
  </si>
  <si>
    <t>Modal split of passenger transport on land by country</t>
  </si>
  <si>
    <t>Tram &amp; metro</t>
  </si>
  <si>
    <t>Rail : High speed rail transport</t>
  </si>
  <si>
    <t>Performance by mode of transport : passengers</t>
  </si>
  <si>
    <t>Passenger cars *</t>
  </si>
  <si>
    <t>Light and commuter rail</t>
  </si>
  <si>
    <t>NB:</t>
  </si>
  <si>
    <r>
      <t>NB:</t>
    </r>
    <r>
      <rPr>
        <sz val="8"/>
        <rFont val="Arial"/>
        <family val="2"/>
      </rPr>
      <t xml:space="preserve"> </t>
    </r>
  </si>
  <si>
    <r>
      <t xml:space="preserve">NB: </t>
    </r>
    <r>
      <rPr>
        <sz val="8"/>
        <rFont val="Arial"/>
        <family val="2"/>
      </rPr>
      <t xml:space="preserve">In this table, high-speed rail transport covers all traffic with high-speed rolling stock (incl. tilting trains able to run 200 km/h). This does not necessarily require high-speed infrastructure as defined in table 2.5.4.   </t>
    </r>
  </si>
  <si>
    <t>United States</t>
  </si>
  <si>
    <r>
      <rPr>
        <b/>
        <sz val="8"/>
        <rFont val="Arial"/>
        <family val="2"/>
      </rPr>
      <t>BE</t>
    </r>
    <r>
      <rPr>
        <sz val="8"/>
        <rFont val="Arial"/>
        <family val="2"/>
      </rPr>
      <t xml:space="preserve">: Data used for the estimations were revised  as of 2018 due to change in the methodology; </t>
    </r>
  </si>
  <si>
    <r>
      <rPr>
        <b/>
        <sz val="8"/>
        <rFont val="Arial"/>
        <family val="2"/>
      </rPr>
      <t>NB:</t>
    </r>
    <r>
      <rPr>
        <sz val="8"/>
        <rFont val="Arial"/>
        <family val="2"/>
      </rPr>
      <t xml:space="preserve"> revision of bus data</t>
    </r>
  </si>
  <si>
    <t>Bus**</t>
  </si>
  <si>
    <t xml:space="preserve">* "Passenger cars" include light duty vehicles, short wheel base and long wheel base; </t>
  </si>
  <si>
    <t>** "Bus" includes highway busses and transit busses (motor bus, commuter bus, demand response;  and troleybus);</t>
  </si>
  <si>
    <t>2000- 2010</t>
  </si>
  <si>
    <t>p2w</t>
  </si>
  <si>
    <r>
      <t>Source</t>
    </r>
    <r>
      <rPr>
        <sz val="8"/>
        <rFont val="Arial"/>
        <family val="2"/>
      </rPr>
      <t>: National statistics, International Transport Forum, Eurostat [road_pa_mov], estimates</t>
    </r>
    <r>
      <rPr>
        <i/>
        <sz val="8"/>
        <rFont val="Arial"/>
        <family val="2"/>
      </rPr>
      <t xml:space="preserve"> (in italics)</t>
    </r>
  </si>
  <si>
    <r>
      <t>Source</t>
    </r>
    <r>
      <rPr>
        <sz val="8"/>
        <rFont val="Arial"/>
        <family val="2"/>
      </rPr>
      <t xml:space="preserve">: national statistics, International Transport Forum, Eurostat [road_pa_buscoa], study for DG Energy and Transport, estimates </t>
    </r>
    <r>
      <rPr>
        <i/>
        <sz val="8"/>
        <rFont val="Arial"/>
        <family val="2"/>
      </rPr>
      <t>(in italics)</t>
    </r>
  </si>
  <si>
    <r>
      <t xml:space="preserve">* Public Service Obligation (PSO) </t>
    </r>
    <r>
      <rPr>
        <sz val="8"/>
        <rFont val="Arial"/>
        <family val="2"/>
      </rPr>
      <t>means a requirement defined or  determined by a competent authority in order to ensure public passenger transport services in the general interest that an  operator, if it were considering its own commercial interests, would not assume or would not assume to the same extent or under the same conditions without reward.</t>
    </r>
  </si>
  <si>
    <t>BA</t>
  </si>
  <si>
    <t>MD</t>
  </si>
  <si>
    <t>UA</t>
  </si>
  <si>
    <t>..</t>
  </si>
  <si>
    <r>
      <t>FR:</t>
    </r>
    <r>
      <rPr>
        <sz val="8"/>
        <color theme="1"/>
        <rFont val="Arial"/>
        <family val="2"/>
      </rPr>
      <t xml:space="preserve"> passenger-km include transport activity on the territory of vehicles not registered in France. Includes foreign vans. </t>
    </r>
  </si>
  <si>
    <r>
      <rPr>
        <b/>
        <sz val="8"/>
        <rFont val="Arial"/>
        <family val="2"/>
      </rPr>
      <t xml:space="preserve">RO: </t>
    </r>
    <r>
      <rPr>
        <sz val="8"/>
        <rFont val="Arial"/>
        <family val="2"/>
      </rPr>
      <t>inlcudes interurban and international road transport, local public transport by buses and minibuses, and troleybuses (since 2015). Data for 2019 for busses and minibuses and troleybuses are provisional and don’t include pensioners residents  in Bucarest.</t>
    </r>
  </si>
  <si>
    <r>
      <t xml:space="preserve">FR: </t>
    </r>
    <r>
      <rPr>
        <sz val="8"/>
        <rFont val="Arial"/>
        <family val="2"/>
      </rPr>
      <t>include metro and tramways in Île-de-France (as of 2000) and metro in other French cities.</t>
    </r>
  </si>
  <si>
    <r>
      <t>NB:</t>
    </r>
    <r>
      <rPr>
        <sz val="8"/>
        <rFont val="Arial"/>
        <family val="2"/>
      </rPr>
      <t xml:space="preserve">  </t>
    </r>
    <r>
      <rPr>
        <b/>
        <sz val="8"/>
        <rFont val="Arial"/>
        <family val="2"/>
      </rPr>
      <t>UK</t>
    </r>
    <r>
      <rPr>
        <sz val="8"/>
        <rFont val="Arial"/>
        <family val="2"/>
      </rPr>
      <t xml:space="preserve"> share of PSO excludes Northern Ireland.</t>
    </r>
    <r>
      <rPr>
        <b/>
        <sz val="8"/>
        <rFont val="Arial"/>
        <family val="2"/>
      </rPr>
      <t xml:space="preserve"> </t>
    </r>
    <r>
      <rPr>
        <b/>
        <sz val="8"/>
        <color theme="1"/>
        <rFont val="Arial"/>
        <family val="2"/>
      </rPr>
      <t>FR:</t>
    </r>
    <r>
      <rPr>
        <sz val="8"/>
        <color theme="1"/>
        <rFont val="Arial"/>
        <family val="2"/>
      </rPr>
      <t xml:space="preserve"> includes RER trains exploted by RATP and Tramline 4; </t>
    </r>
  </si>
  <si>
    <r>
      <t xml:space="preserve">NL: </t>
    </r>
    <r>
      <rPr>
        <sz val="8"/>
        <rFont val="Arial"/>
        <family val="2"/>
      </rPr>
      <t xml:space="preserve">the time series from 2010 estimates the share of bus transport over the aggregate "bus/tram/metro" published in the OViN Travel Survey. Previous years' estimates have been retrofitted until 2010. </t>
    </r>
  </si>
  <si>
    <r>
      <t>UK:</t>
    </r>
    <r>
      <rPr>
        <sz val="8"/>
        <rFont val="Arial"/>
        <family val="2"/>
      </rPr>
      <t xml:space="preserve"> GB data + 1.5 bln pkm throughout to account for Northern Ireland; </t>
    </r>
  </si>
  <si>
    <r>
      <rPr>
        <b/>
        <sz val="8"/>
        <rFont val="Arial"/>
        <family val="2"/>
      </rPr>
      <t>FR:</t>
    </r>
    <r>
      <rPr>
        <sz val="8"/>
        <rFont val="Arial"/>
        <family val="2"/>
      </rPr>
      <t xml:space="preserve"> includes tram transport activity at province level, and tram transport in the ile de France until 2000. It also includes occasional bus transport in the territory of France performed by foreign buses.  </t>
    </r>
  </si>
  <si>
    <r>
      <rPr>
        <b/>
        <sz val="8"/>
        <rFont val="Arial"/>
        <family val="2"/>
      </rPr>
      <t>NO:</t>
    </r>
    <r>
      <rPr>
        <sz val="8"/>
        <rFont val="Arial"/>
        <family val="2"/>
      </rPr>
      <t xml:space="preserve"> includes scheduled bus transport;</t>
    </r>
  </si>
  <si>
    <r>
      <t>MD:</t>
    </r>
    <r>
      <rPr>
        <sz val="8"/>
        <rFont val="Arial"/>
        <family val="2"/>
      </rPr>
      <t xml:space="preserve"> includes activity of taxis only.</t>
    </r>
  </si>
  <si>
    <t>Passenger-km in %</t>
  </si>
  <si>
    <t>change 21/22</t>
  </si>
  <si>
    <r>
      <t xml:space="preserve">DE: </t>
    </r>
    <r>
      <rPr>
        <sz val="8"/>
        <rFont val="Arial"/>
        <family val="2"/>
      </rPr>
      <t xml:space="preserve">includes </t>
    </r>
    <r>
      <rPr>
        <b/>
        <sz val="8"/>
        <rFont val="Arial"/>
        <family val="2"/>
      </rPr>
      <t>DE-E:</t>
    </r>
    <r>
      <rPr>
        <sz val="8"/>
        <rFont val="Arial"/>
        <family val="2"/>
      </rPr>
      <t xml:space="preserve"> 1970=24.5, 1980=56.0, 1990=90.3. In 2021 revision of 2017 and 2018 data. 2020, 2021, 2022:  provisional data;</t>
    </r>
  </si>
  <si>
    <r>
      <t>Source</t>
    </r>
    <r>
      <rPr>
        <sz val="8"/>
        <rFont val="Arial"/>
        <family val="2"/>
      </rPr>
      <t>: Union Internationale des Chemins de Fer, national statistics (FR), provisional or estimates</t>
    </r>
    <r>
      <rPr>
        <i/>
        <sz val="8"/>
        <rFont val="Arial"/>
        <family val="2"/>
      </rPr>
      <t xml:space="preserve"> (in italics)</t>
    </r>
  </si>
  <si>
    <t>Billion pkm- 2022</t>
  </si>
  <si>
    <t>Data is not harmonised and therefore not fully comparable. 2022 data may be provisional. Data sometimes includes activity of foreign vehicles performed within the country, therefore  EU aggregates might be affected by double-counting. Generally vans are not considered in this table, but there may be exceptions.</t>
  </si>
  <si>
    <r>
      <t>UK:</t>
    </r>
    <r>
      <rPr>
        <sz val="8"/>
        <color theme="1"/>
        <rFont val="Arial"/>
        <family val="2"/>
      </rPr>
      <t xml:space="preserve"> data refer to Great Britain only; include pkm by vans;</t>
    </r>
    <r>
      <rPr>
        <b/>
        <sz val="8"/>
        <color theme="1"/>
        <rFont val="Arial"/>
        <family val="2"/>
      </rPr>
      <t xml:space="preserve"> </t>
    </r>
  </si>
  <si>
    <t xml:space="preserve">Data is not harmonised and therefore not fully comparable. 2022 data may be provisional. Data sometimes includes activity of foreign vehicles performed within the country, therefore  EU aggregates might be affected by double-counting. </t>
  </si>
  <si>
    <t>`</t>
  </si>
  <si>
    <t>Data are not harmonised and therefore not fully comparable across countries. Data for 2022 are mostly provisional.</t>
  </si>
  <si>
    <t>2011- 2022</t>
  </si>
  <si>
    <r>
      <t>Source</t>
    </r>
    <r>
      <rPr>
        <sz val="8"/>
        <rFont val="Arial"/>
        <family val="2"/>
      </rPr>
      <t>: Eurostat, International Transport Forum (PL, MD, AL, RS, UA), UNECE (UK, data refers to GB only), Union Internationale des Chemins de Fer, DG MOVE Rail Market Monitoring (</t>
    </r>
    <r>
      <rPr>
        <b/>
        <sz val="8"/>
        <rFont val="Arial"/>
        <family val="2"/>
      </rPr>
      <t>BE</t>
    </r>
    <r>
      <rPr>
        <sz val="8"/>
        <rFont val="Arial"/>
        <family val="2"/>
      </rPr>
      <t xml:space="preserve"> 2012, 2013) national statistics (FR, ME), estimates (</t>
    </r>
    <r>
      <rPr>
        <i/>
        <sz val="8"/>
        <rFont val="Arial"/>
        <family val="2"/>
      </rPr>
      <t>in italics</t>
    </r>
    <r>
      <rPr>
        <sz val="8"/>
        <rFont val="Arial"/>
        <family val="2"/>
      </rPr>
      <t>). Shares under PSO from Rail Market Monitoring (DG MOVE) and DG MOVE estimates, based on different volumes than Eurostat.</t>
    </r>
  </si>
  <si>
    <t>EU-27 Performance by mode</t>
  </si>
  <si>
    <t>Passenger transport</t>
  </si>
  <si>
    <t>Billion passenger-kilometres</t>
  </si>
  <si>
    <t>Pass -enger Cars</t>
  </si>
  <si>
    <t>P2W</t>
  </si>
  <si>
    <t>Bus &amp; Coach</t>
  </si>
  <si>
    <t>Rail -way</t>
  </si>
  <si>
    <t>1995 -2021</t>
  </si>
  <si>
    <t>per year</t>
  </si>
  <si>
    <t>Modal split</t>
  </si>
  <si>
    <r>
      <t>Source :</t>
    </r>
    <r>
      <rPr>
        <sz val="8"/>
        <rFont val="Arial"/>
        <family val="2"/>
      </rPr>
      <t xml:space="preserve"> tables 2.3.4, 2.3.5, 2.3.6, 2.3.7, estimates (</t>
    </r>
    <r>
      <rPr>
        <i/>
        <sz val="8"/>
        <rFont val="Arial"/>
        <family val="2"/>
      </rPr>
      <t>in italics</t>
    </r>
    <r>
      <rPr>
        <sz val="8"/>
        <rFont val="Arial"/>
        <family val="2"/>
      </rPr>
      <t>).</t>
    </r>
  </si>
  <si>
    <r>
      <t>P2W</t>
    </r>
    <r>
      <rPr>
        <sz val="8"/>
        <rFont val="Arial"/>
        <family val="2"/>
      </rPr>
      <t>: Powered two-wheelers.</t>
    </r>
  </si>
  <si>
    <t>2000 -2022</t>
  </si>
  <si>
    <t>2021- 2022</t>
  </si>
  <si>
    <r>
      <t xml:space="preserve">Air </t>
    </r>
    <r>
      <rPr>
        <sz val="8"/>
        <rFont val="Arial"/>
        <family val="2"/>
      </rPr>
      <t>and</t>
    </r>
    <r>
      <rPr>
        <b/>
        <sz val="8"/>
        <rFont val="Arial"/>
        <family val="2"/>
      </rPr>
      <t xml:space="preserve"> Sea</t>
    </r>
    <r>
      <rPr>
        <sz val="8"/>
        <rFont val="Arial"/>
        <family val="2"/>
      </rPr>
      <t>: only domestic and intra-EU-27 transport; estimates for air and for sea based on Eurostat data. The time series for maritime activity from 1995 to 2004 and for aviation activity from 1995 to 2007 have been recalibrated by DG MOVE in line with the new EU-27  figures to avoid break in series.</t>
    </r>
    <r>
      <rPr>
        <sz val="8"/>
        <color rgb="FFFF0000"/>
        <rFont val="Arial"/>
        <family val="2"/>
      </rPr>
      <t xml:space="preserve"> </t>
    </r>
  </si>
  <si>
    <t xml:space="preserve">If powered two-wheelers are included, they account for 2.2 % of the total in EU-27, while the share of the other modes becomes: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</si>
</sst>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164" formatCode="#,##0.0"/>
    <numFmt numFmtId="165" formatCode="0.0"/>
    <numFmt numFmtId="166" formatCode="0.0\ \ \ "/>
    <numFmt numFmtId="167" formatCode="0.0%"/>
    <numFmt numFmtId="168" formatCode="0.0\ "/>
    <numFmt numFmtId="169" formatCode="General_)"/>
    <numFmt numFmtId="170" formatCode="[&gt;0.5]#,##0;[&lt;-0.5]\-#,##0;\-"/>
    <numFmt numFmtId="171" formatCode="_-* #,##0.00\ [$€]_-;\-* #,##0.00\ [$€]_-;_-* &quot;-&quot;??\ [$€]_-;_-@_-"/>
    <numFmt numFmtId="172" formatCode="#\ ##0.0"/>
    <numFmt numFmtId="173" formatCode="_(* #,##0.00_);_(* \(#,##0.00\);_(* &quot;-&quot;??_);_(@_)"/>
    <numFmt numFmtId="174" formatCode="###0.00_)"/>
    <numFmt numFmtId="175" formatCode="#,##0_)"/>
    <numFmt numFmtId="176" formatCode="0.000"/>
    <numFmt numFmtId="177" formatCode="0.00000"/>
    <numFmt numFmtId="178" formatCode="_(&quot;$&quot;* #,##0.00_);_(&quot;$&quot;* \(#,##0.00\);_(&quot;$&quot;* &quot;-&quot;??_);_(@_)"/>
    <numFmt numFmtId="179" formatCode="&quot; &quot;General"/>
    <numFmt numFmtId="180" formatCode="_-* #,##0.00\ &quot;zł&quot;_-;\-* #,##0.00\ &quot;zł&quot;_-;_-* &quot;-&quot;??\ &quot;zł&quot;_-;_-@_-"/>
    <numFmt numFmtId="181" formatCode="_-* #,##0.00,&quot;DM&quot;_-;\-* #,##0.00,&quot;DM&quot;_-;_-* \-??&quot; DM&quot;_-;_-@_-"/>
    <numFmt numFmtId="182" formatCode="#,##0.000_);[Red]\(#,##0.000\);\-_)"/>
    <numFmt numFmtId="183" formatCode="#,##0.0%;[Red]\(#,##0.0%\);\-"/>
    <numFmt numFmtId="184" formatCode="_-* #.##0.00\ _€_-;\-* #.##0.00\ _€_-;_-* &quot;-&quot;??\ _€_-;_-@_-"/>
    <numFmt numFmtId="185" formatCode="_-* #,##0.00\ _€_-;\-* #,##0.00\ _€_-;_-* &quot;-&quot;??\ _€_-;_-@_-"/>
    <numFmt numFmtId="186" formatCode="#\ ##0"/>
    <numFmt numFmtId="187" formatCode="0.0%;\-0.0%"/>
  </numFmts>
  <fonts count="139">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0"/>
      <name val="Times"/>
      <family val="1"/>
    </font>
    <font>
      <b/>
      <sz val="18"/>
      <name val="Arial"/>
      <family val="2"/>
    </font>
    <font>
      <sz val="12"/>
      <name val="Arial"/>
      <family val="2"/>
    </font>
    <font>
      <b/>
      <sz val="10"/>
      <name val="Arial"/>
      <family val="2"/>
    </font>
    <font>
      <b/>
      <sz val="8"/>
      <name val="Times"/>
      <family val="1"/>
    </font>
    <font>
      <b/>
      <sz val="10"/>
      <name val="Times"/>
      <family val="1"/>
    </font>
    <font>
      <b/>
      <i/>
      <sz val="10"/>
      <name val="Times"/>
      <family val="1"/>
    </font>
    <font>
      <b/>
      <sz val="9"/>
      <name val="Arial"/>
      <family val="2"/>
    </font>
    <font>
      <sz val="8"/>
      <name val="Times"/>
      <family val="1"/>
    </font>
    <font>
      <i/>
      <sz val="8"/>
      <name val="Times"/>
      <family val="1"/>
    </font>
    <font>
      <sz val="9"/>
      <name val="Arial"/>
      <family val="2"/>
    </font>
    <font>
      <i/>
      <sz val="8"/>
      <name val="Arial"/>
      <family val="2"/>
    </font>
    <font>
      <b/>
      <i/>
      <sz val="8"/>
      <name val="Arial"/>
      <family val="2"/>
    </font>
    <font>
      <b/>
      <sz val="10"/>
      <color indexed="18"/>
      <name val="Arial"/>
      <family val="2"/>
    </font>
    <font>
      <b/>
      <sz val="10"/>
      <color indexed="8"/>
      <name val="Arial"/>
      <family val="2"/>
    </font>
    <font>
      <b/>
      <sz val="10"/>
      <name val="Arial"/>
      <family val="2"/>
    </font>
    <font>
      <sz val="10"/>
      <name val="Helvetica"/>
      <family val="2"/>
    </font>
    <font>
      <b/>
      <sz val="10"/>
      <name val="Times"/>
      <family val="1"/>
    </font>
    <font>
      <b/>
      <sz val="7"/>
      <name val="Arial"/>
      <family val="2"/>
    </font>
    <font>
      <i/>
      <sz val="8"/>
      <name val="Arial"/>
      <family val="2"/>
    </font>
    <font>
      <sz val="7"/>
      <name val="Arial"/>
      <family val="2"/>
    </font>
    <font>
      <sz val="8"/>
      <name val="Helv"/>
      <family val="2"/>
    </font>
    <font>
      <sz val="10"/>
      <color theme="1"/>
      <name val="Arial"/>
      <family val="2"/>
    </font>
    <font>
      <sz val="11"/>
      <name val="Arial"/>
      <family val="2"/>
    </font>
    <font>
      <sz val="10"/>
      <name val="Times New Roman"/>
      <family val="1"/>
    </font>
    <font>
      <sz val="16"/>
      <name val="Helvetica"/>
      <family val="2"/>
    </font>
    <font>
      <i/>
      <sz val="12"/>
      <name val="Times New Roman"/>
      <family val="1"/>
    </font>
    <font>
      <sz val="10"/>
      <name val="Arial"/>
      <family val="2"/>
    </font>
    <font>
      <sz val="9"/>
      <name val="Verdana"/>
      <family val="2"/>
    </font>
    <font>
      <i/>
      <sz val="9"/>
      <color indexed="60"/>
      <name val="Verdana"/>
      <family val="2"/>
    </font>
    <font>
      <b/>
      <sz val="9"/>
      <name val="Verdana"/>
      <family val="2"/>
    </font>
    <font>
      <sz val="10"/>
      <name val="Times New Roman"/>
      <family val="1"/>
    </font>
    <font>
      <u/>
      <sz val="10"/>
      <color indexed="12"/>
      <name val="Times New Roman"/>
      <family val="1"/>
    </font>
    <font>
      <sz val="11"/>
      <color rgb="FF000000"/>
      <name val="Calibri"/>
      <family val="2"/>
    </font>
    <font>
      <sz val="11"/>
      <name val="Arial"/>
      <family val="2"/>
    </font>
    <font>
      <sz val="12"/>
      <name val="Helv"/>
    </font>
    <font>
      <b/>
      <sz val="12"/>
      <name val="Helv"/>
    </font>
    <font>
      <sz val="10"/>
      <name val="Helv"/>
    </font>
    <font>
      <sz val="9"/>
      <name val="Helv"/>
    </font>
    <font>
      <vertAlign val="superscript"/>
      <sz val="12"/>
      <name val="Helv"/>
    </font>
    <font>
      <b/>
      <sz val="10"/>
      <name val="Helv"/>
    </font>
    <font>
      <b/>
      <sz val="9"/>
      <name val="Helv"/>
    </font>
    <font>
      <sz val="8.5"/>
      <name val="Helv"/>
    </font>
    <font>
      <sz val="8"/>
      <name val="Helv"/>
    </font>
    <font>
      <b/>
      <sz val="14"/>
      <name val="Helv"/>
    </font>
    <font>
      <b/>
      <sz val="10"/>
      <name val="Helv"/>
      <family val="2"/>
    </font>
    <font>
      <sz val="10"/>
      <name val="Helv"/>
      <family val="2"/>
    </font>
    <font>
      <vertAlign val="superscript"/>
      <sz val="12"/>
      <name val="Helv"/>
      <family val="2"/>
    </font>
    <font>
      <u/>
      <sz val="8"/>
      <color indexed="12"/>
      <name val="Arial"/>
      <family val="2"/>
    </font>
    <font>
      <u/>
      <sz val="10"/>
      <color indexed="36"/>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indexed="8"/>
      <name val="Calibri"/>
      <family val="2"/>
    </font>
    <font>
      <sz val="18"/>
      <name val="P-AVGARD"/>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u/>
      <sz val="10"/>
      <color indexed="12"/>
      <name val="Arial"/>
      <family val="2"/>
    </font>
    <font>
      <i/>
      <sz val="10"/>
      <name val="Arial"/>
      <family val="2"/>
    </font>
    <font>
      <sz val="10"/>
      <color rgb="FF000000"/>
      <name val="Times New Roman"/>
      <family val="1"/>
    </font>
    <font>
      <sz val="16"/>
      <color rgb="FF000000"/>
      <name val="Helvetica"/>
      <family val="2"/>
    </font>
    <font>
      <u/>
      <sz val="7"/>
      <color rgb="FF0000FF"/>
      <name val="Arial"/>
      <family val="2"/>
    </font>
    <font>
      <u/>
      <sz val="8"/>
      <color rgb="FF0000FF"/>
      <name val="Times New Roman"/>
      <family val="1"/>
    </font>
    <font>
      <sz val="10"/>
      <color rgb="FF000000"/>
      <name val="Arial"/>
      <family val="2"/>
    </font>
    <font>
      <sz val="8"/>
      <color rgb="FF000000"/>
      <name val="Arial"/>
      <family val="2"/>
    </font>
    <font>
      <i/>
      <sz val="12"/>
      <color rgb="FF000000"/>
      <name val="Times New Roman"/>
      <family val="1"/>
    </font>
    <font>
      <sz val="10"/>
      <name val="Arial"/>
      <family val="2"/>
    </font>
    <font>
      <sz val="11"/>
      <color rgb="FF000000"/>
      <name val="Calibri"/>
      <family val="2"/>
      <charset val="1"/>
    </font>
    <font>
      <u/>
      <sz val="11"/>
      <color rgb="FF0563C1"/>
      <name val="Calibri"/>
      <family val="2"/>
      <charset val="1"/>
    </font>
    <font>
      <sz val="10"/>
      <color indexed="24"/>
      <name val="Arial"/>
      <family val="2"/>
    </font>
    <font>
      <sz val="12"/>
      <color indexed="24"/>
      <name val="Arial"/>
      <family val="2"/>
    </font>
    <font>
      <sz val="11"/>
      <color theme="1"/>
      <name val="Czcionka tekstu podstawowego"/>
      <family val="2"/>
      <charset val="238"/>
    </font>
    <font>
      <b/>
      <sz val="13"/>
      <color theme="0"/>
      <name val="Calibri"/>
      <family val="2"/>
    </font>
    <font>
      <b/>
      <sz val="12"/>
      <name val="Calibri"/>
      <family val="2"/>
    </font>
    <font>
      <sz val="10"/>
      <name val="Calibri"/>
      <family val="2"/>
    </font>
    <font>
      <sz val="18"/>
      <color theme="3"/>
      <name val="Cambria"/>
      <family val="2"/>
      <scheme val="major"/>
    </font>
    <font>
      <u/>
      <sz val="11"/>
      <color theme="10"/>
      <name val="Calibri"/>
      <family val="2"/>
      <scheme val="minor"/>
    </font>
    <font>
      <b/>
      <sz val="12"/>
      <name val="Times New Roman"/>
      <family val="1"/>
    </font>
    <font>
      <sz val="10"/>
      <color indexed="56"/>
      <name val="Arial"/>
      <family val="2"/>
    </font>
    <font>
      <i/>
      <sz val="8"/>
      <color indexed="21"/>
      <name val="Arial"/>
      <family val="2"/>
    </font>
    <font>
      <b/>
      <sz val="7"/>
      <color theme="1"/>
      <name val="Arial"/>
      <family val="2"/>
    </font>
    <font>
      <u/>
      <sz val="10"/>
      <color theme="10"/>
      <name val="Arial"/>
      <family val="2"/>
    </font>
    <font>
      <b/>
      <sz val="8"/>
      <color theme="1"/>
      <name val="Arial"/>
      <family val="2"/>
    </font>
    <font>
      <sz val="8"/>
      <color theme="1"/>
      <name val="Arial"/>
      <family val="2"/>
    </font>
    <font>
      <i/>
      <sz val="8"/>
      <color theme="1"/>
      <name val="Arial"/>
      <family val="2"/>
    </font>
    <font>
      <sz val="8"/>
      <color rgb="FFC00000"/>
      <name val="Arial"/>
      <family val="2"/>
    </font>
    <font>
      <sz val="12"/>
      <color rgb="FF000000"/>
      <name val="Arial"/>
      <family val="2"/>
    </font>
    <font>
      <b/>
      <i/>
      <sz val="8"/>
      <color theme="1"/>
      <name val="Arial"/>
      <family val="2"/>
    </font>
    <font>
      <sz val="12"/>
      <color rgb="FF000000"/>
      <name val="Calibri"/>
      <family val="2"/>
    </font>
    <font>
      <sz val="8"/>
      <color rgb="FFFF0000"/>
      <name val="Arial"/>
      <family val="2"/>
    </font>
    <font>
      <sz val="8"/>
      <name val="Helvetica"/>
      <family val="2"/>
    </font>
  </fonts>
  <fills count="80">
    <fill>
      <patternFill patternType="none"/>
    </fill>
    <fill>
      <patternFill patternType="gray125"/>
    </fill>
    <fill>
      <patternFill patternType="lightGray">
        <fgColor indexed="9"/>
      </patternFill>
    </fill>
    <fill>
      <patternFill patternType="gray0625">
        <fgColor indexed="9"/>
      </patternFill>
    </fill>
    <fill>
      <patternFill patternType="solid">
        <fgColor indexed="42"/>
        <bgColor indexed="64"/>
      </patternFill>
    </fill>
    <fill>
      <patternFill patternType="solid">
        <fgColor indexed="41"/>
        <bgColor indexed="64"/>
      </patternFill>
    </fill>
    <fill>
      <patternFill patternType="solid">
        <fgColor indexed="9"/>
        <bgColor indexed="64"/>
      </patternFill>
    </fill>
    <fill>
      <patternFill patternType="mediumGray">
        <fgColor indexed="9"/>
        <bgColor indexed="31"/>
      </patternFill>
    </fill>
    <fill>
      <patternFill patternType="mediumGray">
        <fgColor indexed="9"/>
        <bgColor indexed="44"/>
      </patternFill>
    </fill>
    <fill>
      <patternFill patternType="solid">
        <fgColor indexed="57"/>
        <bgColor indexed="9"/>
      </patternFill>
    </fill>
    <fill>
      <patternFill patternType="mediumGray">
        <fgColor indexed="9"/>
        <bgColor indexed="29"/>
      </patternFill>
    </fill>
    <fill>
      <patternFill patternType="mediumGray">
        <fgColor indexed="22"/>
        <bgColor indexed="31"/>
      </patternFill>
    </fill>
    <fill>
      <patternFill patternType="mediumGray">
        <fgColor indexed="22"/>
        <bgColor indexed="44"/>
      </patternFill>
    </fill>
    <fill>
      <patternFill patternType="solid">
        <fgColor indexed="52"/>
        <bgColor indexed="64"/>
      </patternFill>
    </fill>
    <fill>
      <patternFill patternType="mediumGray">
        <fgColor indexed="9"/>
        <bgColor indexed="52"/>
      </patternFill>
    </fill>
    <fill>
      <patternFill patternType="solid">
        <fgColor indexed="47"/>
      </patternFill>
    </fill>
    <fill>
      <patternFill patternType="solid">
        <fgColor rgb="FFCCFFCC"/>
        <bgColor indexed="64"/>
      </patternFill>
    </fill>
    <fill>
      <patternFill patternType="solid">
        <fgColor rgb="FF00B0F0"/>
        <bgColor indexed="64"/>
      </patternFill>
    </fill>
    <fill>
      <patternFill patternType="solid">
        <fgColor indexed="22"/>
        <bgColor indexed="9"/>
      </patternFill>
    </fill>
    <fill>
      <patternFill patternType="solid">
        <fgColor indexed="22"/>
        <bgColor indexed="55"/>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57626E"/>
        <bgColor indexed="64"/>
      </patternFill>
    </fill>
    <fill>
      <patternFill patternType="solid">
        <fgColor rgb="FFA2A5AD"/>
        <bgColor indexed="64"/>
      </patternFill>
    </fill>
    <fill>
      <patternFill patternType="solid">
        <fgColor theme="0"/>
        <bgColor indexed="64"/>
      </patternFill>
    </fill>
    <fill>
      <patternFill patternType="solid">
        <fgColor indexed="49"/>
        <bgColor indexed="40"/>
      </patternFill>
    </fill>
    <fill>
      <patternFill patternType="solid">
        <fgColor rgb="FFFFFF00"/>
        <bgColor indexed="64"/>
      </patternFill>
    </fill>
    <fill>
      <patternFill patternType="solid">
        <fgColor theme="8" tint="0.59999389629810485"/>
        <bgColor indexed="64"/>
      </patternFill>
    </fill>
    <fill>
      <patternFill patternType="solid">
        <fgColor indexed="9"/>
        <bgColor indexed="32"/>
      </patternFill>
    </fill>
    <fill>
      <patternFill patternType="solid">
        <fgColor theme="4" tint="0.79998168889431442"/>
        <bgColor indexed="64"/>
      </patternFill>
    </fill>
  </fills>
  <borders count="73">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ck">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ck">
        <color indexed="64"/>
      </right>
      <top/>
      <bottom style="thin">
        <color indexed="64"/>
      </bottom>
      <diagonal/>
    </border>
    <border>
      <left style="thick">
        <color indexed="64"/>
      </left>
      <right/>
      <top/>
      <bottom/>
      <diagonal/>
    </border>
    <border>
      <left/>
      <right/>
      <top style="thick">
        <color indexed="64"/>
      </top>
      <bottom/>
      <diagonal/>
    </border>
    <border>
      <left style="thin">
        <color indexed="64"/>
      </left>
      <right/>
      <top style="thick">
        <color indexed="64"/>
      </top>
      <bottom/>
      <diagonal/>
    </border>
    <border>
      <left style="thin">
        <color indexed="8"/>
      </left>
      <right style="thin">
        <color indexed="8"/>
      </right>
      <top style="thin">
        <color indexed="8"/>
      </top>
      <bottom style="thin">
        <color indexed="8"/>
      </bottom>
      <diagonal/>
    </border>
    <border>
      <left style="thick">
        <color indexed="64"/>
      </left>
      <right/>
      <top/>
      <bottom style="thin">
        <color indexed="64"/>
      </bottom>
      <diagonal/>
    </border>
    <border>
      <left/>
      <right/>
      <top/>
      <bottom style="medium">
        <color indexed="64"/>
      </bottom>
      <diagonal/>
    </border>
    <border>
      <left style="thin">
        <color indexed="24"/>
      </left>
      <right style="thin">
        <color indexed="24"/>
      </right>
      <top style="thin">
        <color indexed="24"/>
      </top>
      <bottom style="thin">
        <color indexed="24"/>
      </bottom>
      <diagonal/>
    </border>
    <border>
      <left/>
      <right/>
      <top/>
      <bottom style="thin">
        <color indexed="22"/>
      </bottom>
      <diagonal/>
    </border>
    <border>
      <left/>
      <right/>
      <top/>
      <bottom style="hair">
        <color indexed="64"/>
      </bottom>
      <diagonal/>
    </border>
    <border>
      <left/>
      <right/>
      <top/>
      <bottom style="hair">
        <color indexed="8"/>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30"/>
      </left>
      <right style="thin">
        <color indexed="30"/>
      </right>
      <top style="thin">
        <color indexed="30"/>
      </top>
      <bottom style="thin">
        <color indexed="30"/>
      </bottom>
      <diagonal/>
    </border>
    <border>
      <left style="thin">
        <color indexed="56"/>
      </left>
      <right style="thin">
        <color indexed="56"/>
      </right>
      <top style="thin">
        <color indexed="56"/>
      </top>
      <bottom style="thin">
        <color indexed="56"/>
      </bottom>
      <diagonal/>
    </border>
    <border>
      <left/>
      <right/>
      <top/>
      <bottom style="thick">
        <color indexed="64"/>
      </bottom>
      <diagonal/>
    </border>
    <border>
      <left style="thin">
        <color indexed="64"/>
      </left>
      <right/>
      <top/>
      <bottom style="thick">
        <color indexed="64"/>
      </bottom>
      <diagonal/>
    </border>
    <border>
      <left/>
      <right/>
      <top/>
      <bottom style="thin">
        <color auto="1"/>
      </bottom>
      <diagonal/>
    </border>
    <border>
      <left/>
      <right style="thick">
        <color indexed="64"/>
      </right>
      <top style="thin">
        <color indexed="64"/>
      </top>
      <bottom style="thin">
        <color indexed="64"/>
      </bottom>
      <diagonal/>
    </border>
    <border>
      <left style="thick">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top style="thin">
        <color indexed="64"/>
      </top>
      <bottom style="thin">
        <color indexed="64"/>
      </bottom>
      <diagonal/>
    </border>
    <border>
      <left/>
      <right style="thick">
        <color indexed="64"/>
      </right>
      <top style="thin">
        <color auto="1"/>
      </top>
      <bottom/>
      <diagonal/>
    </border>
    <border>
      <left style="thick">
        <color indexed="64"/>
      </left>
      <right/>
      <top style="thin">
        <color indexed="64"/>
      </top>
      <bottom/>
      <diagonal/>
    </border>
    <border>
      <left/>
      <right style="thin">
        <color indexed="64"/>
      </right>
      <top/>
      <bottom style="thin">
        <color auto="1"/>
      </bottom>
      <diagonal/>
    </border>
    <border>
      <left/>
      <right style="thin">
        <color indexed="64"/>
      </right>
      <top style="thin">
        <color auto="1"/>
      </top>
      <bottom/>
      <diagonal/>
    </border>
    <border>
      <left style="thick">
        <color indexed="64"/>
      </left>
      <right style="thin">
        <color indexed="64"/>
      </right>
      <top/>
      <bottom/>
      <diagonal/>
    </border>
    <border>
      <left/>
      <right/>
      <top style="thin">
        <color indexed="64"/>
      </top>
      <bottom/>
      <diagonal/>
    </border>
    <border>
      <left/>
      <right style="thin">
        <color indexed="64"/>
      </right>
      <top style="thin">
        <color auto="1"/>
      </top>
      <bottom/>
      <diagonal/>
    </border>
    <border>
      <left/>
      <right/>
      <top/>
      <bottom style="thin">
        <color auto="1"/>
      </bottom>
      <diagonal/>
    </border>
    <border>
      <left style="thin">
        <color indexed="64"/>
      </left>
      <right style="thin">
        <color indexed="64"/>
      </right>
      <top/>
      <bottom style="thin">
        <color auto="1"/>
      </bottom>
      <diagonal/>
    </border>
    <border>
      <left/>
      <right style="thin">
        <color indexed="64"/>
      </right>
      <top/>
      <bottom style="thin">
        <color auto="1"/>
      </bottom>
      <diagonal/>
    </border>
    <border>
      <left style="thin">
        <color indexed="64"/>
      </left>
      <right/>
      <top/>
      <bottom style="thin">
        <color indexed="64"/>
      </bottom>
      <diagonal/>
    </border>
    <border>
      <left/>
      <right style="thin">
        <color indexed="64"/>
      </right>
      <top style="thick">
        <color indexed="64"/>
      </top>
      <bottom/>
      <diagonal/>
    </border>
    <border>
      <left/>
      <right/>
      <top/>
      <bottom style="thin">
        <color indexed="64"/>
      </bottom>
      <diagonal/>
    </border>
  </borders>
  <cellStyleXfs count="297">
    <xf numFmtId="0" fontId="0" fillId="0" borderId="0"/>
    <xf numFmtId="0" fontId="34" fillId="2" borderId="0" applyNumberFormat="0" applyBorder="0">
      <protection locked="0"/>
    </xf>
    <xf numFmtId="0" fontId="35" fillId="3" borderId="0" applyNumberFormat="0" applyBorder="0">
      <protection locked="0"/>
    </xf>
    <xf numFmtId="0" fontId="42" fillId="0" borderId="0">
      <alignment horizontal="left"/>
    </xf>
    <xf numFmtId="0" fontId="43" fillId="0" borderId="0"/>
    <xf numFmtId="0" fontId="44" fillId="0" borderId="0"/>
    <xf numFmtId="0" fontId="13" fillId="0" borderId="0"/>
    <xf numFmtId="0" fontId="12" fillId="0" borderId="0"/>
    <xf numFmtId="0" fontId="11" fillId="0" borderId="0"/>
    <xf numFmtId="169" fontId="45" fillId="0" borderId="0"/>
    <xf numFmtId="0" fontId="46" fillId="0" borderId="0">
      <alignment horizontal="left"/>
    </xf>
    <xf numFmtId="9" fontId="13" fillId="0" borderId="0" applyFont="0" applyFill="0" applyBorder="0" applyAlignment="0" applyProtection="0"/>
    <xf numFmtId="170" fontId="45" fillId="0" borderId="0" applyFill="0" applyBorder="0" applyAlignment="0" applyProtection="0"/>
    <xf numFmtId="0" fontId="13" fillId="0" borderId="0"/>
    <xf numFmtId="0" fontId="47" fillId="0" borderId="0"/>
    <xf numFmtId="0" fontId="48" fillId="15" borderId="0" applyNumberFormat="0" applyFont="0" applyBorder="0" applyAlignment="0" applyProtection="0"/>
    <xf numFmtId="0" fontId="52" fillId="0" borderId="0"/>
    <xf numFmtId="164" fontId="49" fillId="7" borderId="22">
      <alignment vertical="center"/>
    </xf>
    <xf numFmtId="167" fontId="50" fillId="7" borderId="22">
      <alignment vertical="center"/>
    </xf>
    <xf numFmtId="164" fontId="51" fillId="8" borderId="22">
      <alignment vertical="center"/>
    </xf>
    <xf numFmtId="0" fontId="13" fillId="9" borderId="1" applyBorder="0">
      <alignment horizontal="left" vertical="center"/>
    </xf>
    <xf numFmtId="49" fontId="13" fillId="10" borderId="5">
      <alignment vertical="center" wrapText="1"/>
    </xf>
    <xf numFmtId="0" fontId="13" fillId="11" borderId="10">
      <alignment horizontal="left" vertical="center" wrapText="1"/>
    </xf>
    <xf numFmtId="0" fontId="28" fillId="12" borderId="5">
      <alignment horizontal="left" vertical="center" wrapText="1"/>
    </xf>
    <xf numFmtId="0" fontId="13" fillId="13" borderId="5">
      <alignment horizontal="left" vertical="center" wrapText="1"/>
    </xf>
    <xf numFmtId="0" fontId="13" fillId="14" borderId="5">
      <alignment horizontal="left" vertical="center" wrapText="1"/>
    </xf>
    <xf numFmtId="171" fontId="52" fillId="0" borderId="0" applyFont="0" applyFill="0" applyBorder="0" applyAlignment="0" applyProtection="0"/>
    <xf numFmtId="0" fontId="53" fillId="0" borderId="0" applyNumberFormat="0" applyFill="0" applyBorder="0" applyAlignment="0" applyProtection="0">
      <alignment vertical="top"/>
      <protection locked="0"/>
    </xf>
    <xf numFmtId="9" fontId="52" fillId="0" borderId="0" applyFont="0" applyFill="0" applyBorder="0" applyAlignment="0" applyProtection="0"/>
    <xf numFmtId="0" fontId="10" fillId="0" borderId="0"/>
    <xf numFmtId="0" fontId="54" fillId="0" borderId="0" applyNumberFormat="0" applyBorder="0" applyAlignment="0"/>
    <xf numFmtId="0" fontId="13" fillId="0" borderId="0"/>
    <xf numFmtId="0" fontId="55" fillId="0" borderId="0"/>
    <xf numFmtId="0" fontId="9" fillId="0" borderId="0"/>
    <xf numFmtId="0" fontId="56" fillId="0" borderId="0">
      <alignment horizontal="center" vertical="center" wrapText="1"/>
    </xf>
    <xf numFmtId="0" fontId="57" fillId="0" borderId="0">
      <alignment horizontal="left" vertical="center" wrapText="1"/>
    </xf>
    <xf numFmtId="174" fontId="58" fillId="0" borderId="23" applyNumberFormat="0" applyFill="0">
      <alignment horizontal="right"/>
    </xf>
    <xf numFmtId="175" fontId="59" fillId="0" borderId="23">
      <alignment horizontal="right" vertical="center"/>
    </xf>
    <xf numFmtId="49" fontId="60" fillId="0" borderId="23">
      <alignment horizontal="left" vertical="center"/>
    </xf>
    <xf numFmtId="174" fontId="58" fillId="0" borderId="23" applyNumberFormat="0" applyFill="0">
      <alignment horizontal="right"/>
    </xf>
    <xf numFmtId="0" fontId="61" fillId="0" borderId="23">
      <alignment horizontal="left"/>
    </xf>
    <xf numFmtId="0" fontId="62" fillId="0" borderId="24">
      <alignment horizontal="right" vertical="center"/>
    </xf>
    <xf numFmtId="0" fontId="63" fillId="0" borderId="23">
      <alignment horizontal="left" vertical="center"/>
    </xf>
    <xf numFmtId="0" fontId="58" fillId="0" borderId="23">
      <alignment horizontal="left" vertical="center"/>
    </xf>
    <xf numFmtId="0" fontId="61" fillId="0" borderId="23">
      <alignment horizontal="left"/>
    </xf>
    <xf numFmtId="0" fontId="61" fillId="18" borderId="0">
      <alignment horizontal="centerContinuous" wrapText="1"/>
    </xf>
    <xf numFmtId="49" fontId="61" fillId="18" borderId="8">
      <alignment horizontal="left" vertical="center"/>
    </xf>
    <xf numFmtId="0" fontId="61" fillId="18" borderId="0">
      <alignment horizontal="centerContinuous" vertical="center" wrapText="1"/>
    </xf>
    <xf numFmtId="3" fontId="59" fillId="0" borderId="0">
      <alignment horizontal="left" vertical="center"/>
    </xf>
    <xf numFmtId="0" fontId="56" fillId="0" borderId="0">
      <alignment horizontal="left" vertical="center"/>
    </xf>
    <xf numFmtId="0" fontId="64" fillId="0" borderId="0">
      <alignment horizontal="right"/>
    </xf>
    <xf numFmtId="49" fontId="64" fillId="0" borderId="0">
      <alignment horizontal="center"/>
    </xf>
    <xf numFmtId="0" fontId="60" fillId="0" borderId="0">
      <alignment horizontal="right"/>
    </xf>
    <xf numFmtId="0" fontId="64" fillId="0" borderId="0">
      <alignment horizontal="left"/>
    </xf>
    <xf numFmtId="49" fontId="59" fillId="0" borderId="0">
      <alignment horizontal="left" vertical="center"/>
    </xf>
    <xf numFmtId="49" fontId="60" fillId="0" borderId="23">
      <alignment horizontal="left"/>
    </xf>
    <xf numFmtId="174" fontId="59" fillId="0" borderId="0" applyNumberFormat="0">
      <alignment horizontal="right"/>
    </xf>
    <xf numFmtId="0" fontId="62" fillId="19" borderId="0">
      <alignment horizontal="centerContinuous" vertical="center" wrapText="1"/>
    </xf>
    <xf numFmtId="0" fontId="62" fillId="0" borderId="25">
      <alignment horizontal="left" vertical="center"/>
    </xf>
    <xf numFmtId="0" fontId="65" fillId="0" borderId="0">
      <alignment horizontal="left" vertical="top"/>
    </xf>
    <xf numFmtId="0" fontId="61" fillId="0" borderId="0">
      <alignment horizontal="left"/>
    </xf>
    <xf numFmtId="0" fontId="57" fillId="0" borderId="0">
      <alignment horizontal="left"/>
    </xf>
    <xf numFmtId="0" fontId="58" fillId="0" borderId="0">
      <alignment horizontal="left"/>
    </xf>
    <xf numFmtId="0" fontId="65" fillId="0" borderId="0">
      <alignment horizontal="left" vertical="top"/>
    </xf>
    <xf numFmtId="0" fontId="57" fillId="0" borderId="0">
      <alignment horizontal="left"/>
    </xf>
    <xf numFmtId="0" fontId="58" fillId="0" borderId="0">
      <alignment horizontal="left"/>
    </xf>
    <xf numFmtId="49" fontId="59" fillId="0" borderId="23">
      <alignment horizontal="left"/>
    </xf>
    <xf numFmtId="0" fontId="62" fillId="0" borderId="24">
      <alignment horizontal="left"/>
    </xf>
    <xf numFmtId="0" fontId="61" fillId="0" borderId="0">
      <alignment horizontal="left" vertical="center"/>
    </xf>
    <xf numFmtId="49" fontId="64" fillId="0" borderId="23">
      <alignment horizontal="left"/>
    </xf>
    <xf numFmtId="0" fontId="66" fillId="0" borderId="23">
      <alignment horizontal="left"/>
    </xf>
    <xf numFmtId="174" fontId="67" fillId="0" borderId="23" applyNumberFormat="0" applyFill="0">
      <alignment horizontal="right"/>
    </xf>
    <xf numFmtId="0" fontId="68" fillId="0" borderId="0">
      <alignment horizontal="right"/>
    </xf>
    <xf numFmtId="0" fontId="8" fillId="0" borderId="0"/>
    <xf numFmtId="0" fontId="8" fillId="0" borderId="0"/>
    <xf numFmtId="173" fontId="8" fillId="0" borderId="0" applyFont="0" applyFill="0" applyBorder="0" applyAlignment="0" applyProtection="0"/>
    <xf numFmtId="9" fontId="16" fillId="0" borderId="0" applyFont="0" applyFill="0" applyBorder="0" applyAlignment="0" applyProtection="0"/>
    <xf numFmtId="0" fontId="16" fillId="0" borderId="0"/>
    <xf numFmtId="0" fontId="69" fillId="0" borderId="0" applyNumberFormat="0" applyFill="0" applyBorder="0" applyAlignment="0" applyProtection="0">
      <alignment vertical="top"/>
      <protection locked="0"/>
    </xf>
    <xf numFmtId="0" fontId="13" fillId="0" borderId="0"/>
    <xf numFmtId="0" fontId="70" fillId="0" borderId="0" applyNumberFormat="0" applyFill="0" applyBorder="0" applyAlignment="0" applyProtection="0">
      <alignment vertical="top"/>
      <protection locked="0"/>
    </xf>
    <xf numFmtId="9" fontId="13" fillId="0" borderId="0" applyFont="0" applyFill="0" applyBorder="0" applyAlignment="0" applyProtection="0"/>
    <xf numFmtId="0" fontId="16" fillId="0" borderId="0"/>
    <xf numFmtId="0" fontId="71" fillId="0" borderId="0" applyNumberFormat="0" applyFill="0" applyBorder="0" applyAlignment="0" applyProtection="0"/>
    <xf numFmtId="0" fontId="72" fillId="0" borderId="27" applyNumberFormat="0" applyFill="0" applyAlignment="0" applyProtection="0"/>
    <xf numFmtId="0" fontId="73" fillId="0" borderId="28" applyNumberFormat="0" applyFill="0" applyAlignment="0" applyProtection="0"/>
    <xf numFmtId="0" fontId="74" fillId="0" borderId="29" applyNumberFormat="0" applyFill="0" applyAlignment="0" applyProtection="0"/>
    <xf numFmtId="0" fontId="74" fillId="0" borderId="0" applyNumberFormat="0" applyFill="0" applyBorder="0" applyAlignment="0" applyProtection="0"/>
    <xf numFmtId="0" fontId="75" fillId="20" borderId="0" applyNumberFormat="0" applyBorder="0" applyAlignment="0" applyProtection="0"/>
    <xf numFmtId="0" fontId="76" fillId="21" borderId="0" applyNumberFormat="0" applyBorder="0" applyAlignment="0" applyProtection="0"/>
    <xf numFmtId="0" fontId="77" fillId="22" borderId="0" applyNumberFormat="0" applyBorder="0" applyAlignment="0" applyProtection="0"/>
    <xf numFmtId="0" fontId="78" fillId="23" borderId="30" applyNumberFormat="0" applyAlignment="0" applyProtection="0"/>
    <xf numFmtId="0" fontId="79" fillId="24" borderId="31" applyNumberFormat="0" applyAlignment="0" applyProtection="0"/>
    <xf numFmtId="0" fontId="80" fillId="24" borderId="30" applyNumberFormat="0" applyAlignment="0" applyProtection="0"/>
    <xf numFmtId="0" fontId="81" fillId="0" borderId="32" applyNumberFormat="0" applyFill="0" applyAlignment="0" applyProtection="0"/>
    <xf numFmtId="0" fontId="82" fillId="25" borderId="33" applyNumberFormat="0" applyAlignment="0" applyProtection="0"/>
    <xf numFmtId="0" fontId="83" fillId="0" borderId="0" applyNumberFormat="0" applyFill="0" applyBorder="0" applyAlignment="0" applyProtection="0"/>
    <xf numFmtId="0" fontId="84" fillId="0" borderId="0" applyNumberFormat="0" applyFill="0" applyBorder="0" applyAlignment="0" applyProtection="0"/>
    <xf numFmtId="0" fontId="85" fillId="0" borderId="35" applyNumberFormat="0" applyFill="0" applyAlignment="0" applyProtection="0"/>
    <xf numFmtId="0" fontId="86" fillId="27" borderId="0" applyNumberFormat="0" applyBorder="0" applyAlignment="0" applyProtection="0"/>
    <xf numFmtId="0" fontId="7" fillId="28" borderId="0" applyNumberFormat="0" applyBorder="0" applyAlignment="0" applyProtection="0"/>
    <xf numFmtId="0" fontId="7" fillId="29" borderId="0" applyNumberFormat="0" applyBorder="0" applyAlignment="0" applyProtection="0"/>
    <xf numFmtId="0" fontId="86" fillId="30" borderId="0" applyNumberFormat="0" applyBorder="0" applyAlignment="0" applyProtection="0"/>
    <xf numFmtId="0" fontId="86" fillId="31" borderId="0" applyNumberFormat="0" applyBorder="0" applyAlignment="0" applyProtection="0"/>
    <xf numFmtId="0" fontId="7" fillId="32" borderId="0" applyNumberFormat="0" applyBorder="0" applyAlignment="0" applyProtection="0"/>
    <xf numFmtId="0" fontId="7" fillId="33" borderId="0" applyNumberFormat="0" applyBorder="0" applyAlignment="0" applyProtection="0"/>
    <xf numFmtId="0" fontId="86" fillId="34" borderId="0" applyNumberFormat="0" applyBorder="0" applyAlignment="0" applyProtection="0"/>
    <xf numFmtId="0" fontId="86" fillId="35" borderId="0" applyNumberFormat="0" applyBorder="0" applyAlignment="0" applyProtection="0"/>
    <xf numFmtId="0" fontId="7" fillId="36" borderId="0" applyNumberFormat="0" applyBorder="0" applyAlignment="0" applyProtection="0"/>
    <xf numFmtId="0" fontId="7" fillId="37" borderId="0" applyNumberFormat="0" applyBorder="0" applyAlignment="0" applyProtection="0"/>
    <xf numFmtId="0" fontId="86" fillId="38" borderId="0" applyNumberFormat="0" applyBorder="0" applyAlignment="0" applyProtection="0"/>
    <xf numFmtId="0" fontId="86" fillId="39"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86" fillId="42" borderId="0" applyNumberFormat="0" applyBorder="0" applyAlignment="0" applyProtection="0"/>
    <xf numFmtId="0" fontId="86" fillId="43" borderId="0" applyNumberFormat="0" applyBorder="0" applyAlignment="0" applyProtection="0"/>
    <xf numFmtId="0" fontId="7" fillId="44" borderId="0" applyNumberFormat="0" applyBorder="0" applyAlignment="0" applyProtection="0"/>
    <xf numFmtId="0" fontId="7" fillId="45" borderId="0" applyNumberFormat="0" applyBorder="0" applyAlignment="0" applyProtection="0"/>
    <xf numFmtId="0" fontId="86" fillId="46" borderId="0" applyNumberFormat="0" applyBorder="0" applyAlignment="0" applyProtection="0"/>
    <xf numFmtId="0" fontId="86" fillId="47" borderId="0" applyNumberFormat="0" applyBorder="0" applyAlignment="0" applyProtection="0"/>
    <xf numFmtId="0" fontId="7" fillId="48" borderId="0" applyNumberFormat="0" applyBorder="0" applyAlignment="0" applyProtection="0"/>
    <xf numFmtId="0" fontId="7" fillId="49" borderId="0" applyNumberFormat="0" applyBorder="0" applyAlignment="0" applyProtection="0"/>
    <xf numFmtId="0" fontId="86" fillId="50" borderId="0" applyNumberFormat="0" applyBorder="0" applyAlignment="0" applyProtection="0"/>
    <xf numFmtId="174" fontId="58" fillId="0" borderId="36" applyNumberFormat="0" applyFill="0">
      <alignment horizontal="right"/>
    </xf>
    <xf numFmtId="175" fontId="59" fillId="0" borderId="36">
      <alignment horizontal="right" vertical="center"/>
    </xf>
    <xf numFmtId="49" fontId="60" fillId="0" borderId="36">
      <alignment horizontal="left" vertical="center"/>
    </xf>
    <xf numFmtId="0" fontId="61" fillId="0" borderId="36">
      <alignment horizontal="left"/>
    </xf>
    <xf numFmtId="0" fontId="63" fillId="0" borderId="36">
      <alignment horizontal="left" vertical="center"/>
    </xf>
    <xf numFmtId="0" fontId="58" fillId="0" borderId="36">
      <alignment horizontal="left" vertical="center"/>
    </xf>
    <xf numFmtId="49" fontId="61" fillId="18" borderId="26">
      <alignment horizontal="left" vertical="center"/>
    </xf>
    <xf numFmtId="49" fontId="60" fillId="0" borderId="36">
      <alignment horizontal="left"/>
    </xf>
    <xf numFmtId="49" fontId="59" fillId="0" borderId="36">
      <alignment horizontal="left"/>
    </xf>
    <xf numFmtId="0" fontId="66" fillId="0" borderId="36">
      <alignment horizontal="left"/>
    </xf>
    <xf numFmtId="174" fontId="67" fillId="0" borderId="36" applyNumberFormat="0" applyFill="0">
      <alignment horizontal="right"/>
    </xf>
    <xf numFmtId="0" fontId="7" fillId="0" borderId="0"/>
    <xf numFmtId="0" fontId="7" fillId="0" borderId="0"/>
    <xf numFmtId="173" fontId="7" fillId="0" borderId="0" applyFont="0" applyFill="0" applyBorder="0" applyAlignment="0" applyProtection="0"/>
    <xf numFmtId="173" fontId="13" fillId="0" borderId="0" applyFont="0" applyFill="0" applyBorder="0" applyAlignment="0" applyProtection="0"/>
    <xf numFmtId="173" fontId="8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9" fontId="13" fillId="0" borderId="0" applyFont="0" applyFill="0" applyBorder="0" applyAlignment="0" applyProtection="0"/>
    <xf numFmtId="0" fontId="7" fillId="0" borderId="0"/>
    <xf numFmtId="173" fontId="7" fillId="0" borderId="0" applyFont="0" applyFill="0" applyBorder="0" applyAlignment="0" applyProtection="0"/>
    <xf numFmtId="173" fontId="13" fillId="0" borderId="0" applyFont="0" applyFill="0" applyBorder="0" applyAlignment="0" applyProtection="0"/>
    <xf numFmtId="173" fontId="7" fillId="0" borderId="0" applyFont="0" applyFill="0" applyBorder="0" applyAlignment="0" applyProtection="0"/>
    <xf numFmtId="178" fontId="7" fillId="0" borderId="0" applyFont="0" applyFill="0" applyBorder="0" applyAlignment="0" applyProtection="0"/>
    <xf numFmtId="0" fontId="88" fillId="0" borderId="0"/>
    <xf numFmtId="0" fontId="7" fillId="0" borderId="0"/>
    <xf numFmtId="0" fontId="7" fillId="0" borderId="0"/>
    <xf numFmtId="0" fontId="13" fillId="0" borderId="0"/>
    <xf numFmtId="0" fontId="13" fillId="0" borderId="0"/>
    <xf numFmtId="9" fontId="7" fillId="0" borderId="0" applyFont="0" applyFill="0" applyBorder="0" applyAlignment="0" applyProtection="0"/>
    <xf numFmtId="9" fontId="7" fillId="0" borderId="0" applyFont="0" applyFill="0" applyBorder="0" applyAlignment="0" applyProtection="0"/>
    <xf numFmtId="178" fontId="7" fillId="0" borderId="0" applyFont="0" applyFill="0" applyBorder="0" applyAlignment="0" applyProtection="0"/>
    <xf numFmtId="0" fontId="7" fillId="26" borderId="34" applyNumberFormat="0" applyFont="0" applyAlignment="0" applyProtection="0"/>
    <xf numFmtId="0" fontId="87" fillId="51" borderId="0" applyNumberFormat="0" applyBorder="0" applyAlignment="0" applyProtection="0"/>
    <xf numFmtId="0" fontId="87" fillId="52" borderId="0" applyNumberFormat="0" applyBorder="0" applyAlignment="0" applyProtection="0"/>
    <xf numFmtId="0" fontId="87" fillId="53" borderId="0" applyNumberFormat="0" applyBorder="0" applyAlignment="0" applyProtection="0"/>
    <xf numFmtId="0" fontId="87" fillId="54" borderId="0" applyNumberFormat="0" applyBorder="0" applyAlignment="0" applyProtection="0"/>
    <xf numFmtId="0" fontId="87" fillId="55" borderId="0" applyNumberFormat="0" applyBorder="0" applyAlignment="0" applyProtection="0"/>
    <xf numFmtId="0" fontId="87" fillId="15" borderId="0" applyNumberFormat="0" applyBorder="0" applyAlignment="0" applyProtection="0"/>
    <xf numFmtId="0" fontId="87" fillId="56" borderId="0" applyNumberFormat="0" applyBorder="0" applyAlignment="0" applyProtection="0"/>
    <xf numFmtId="0" fontId="87" fillId="57" borderId="0" applyNumberFormat="0" applyBorder="0" applyAlignment="0" applyProtection="0"/>
    <xf numFmtId="0" fontId="87" fillId="58" borderId="0" applyNumberFormat="0" applyBorder="0" applyAlignment="0" applyProtection="0"/>
    <xf numFmtId="0" fontId="87" fillId="54" borderId="0" applyNumberFormat="0" applyBorder="0" applyAlignment="0" applyProtection="0"/>
    <xf numFmtId="0" fontId="87" fillId="56" borderId="0" applyNumberFormat="0" applyBorder="0" applyAlignment="0" applyProtection="0"/>
    <xf numFmtId="0" fontId="87" fillId="59" borderId="0" applyNumberFormat="0" applyBorder="0" applyAlignment="0" applyProtection="0"/>
    <xf numFmtId="0" fontId="89" fillId="60" borderId="0" applyNumberFormat="0" applyBorder="0" applyAlignment="0" applyProtection="0"/>
    <xf numFmtId="0" fontId="89" fillId="57" borderId="0" applyNumberFormat="0" applyBorder="0" applyAlignment="0" applyProtection="0"/>
    <xf numFmtId="0" fontId="89" fillId="58" borderId="0" applyNumberFormat="0" applyBorder="0" applyAlignment="0" applyProtection="0"/>
    <xf numFmtId="0" fontId="89" fillId="61" borderId="0" applyNumberFormat="0" applyBorder="0" applyAlignment="0" applyProtection="0"/>
    <xf numFmtId="0" fontId="89" fillId="62" borderId="0" applyNumberFormat="0" applyBorder="0" applyAlignment="0" applyProtection="0"/>
    <xf numFmtId="0" fontId="89" fillId="63" borderId="0" applyNumberFormat="0" applyBorder="0" applyAlignment="0" applyProtection="0"/>
    <xf numFmtId="0" fontId="89" fillId="64" borderId="0" applyNumberFormat="0" applyBorder="0" applyAlignment="0" applyProtection="0"/>
    <xf numFmtId="0" fontId="89" fillId="65" borderId="0" applyNumberFormat="0" applyBorder="0" applyAlignment="0" applyProtection="0"/>
    <xf numFmtId="0" fontId="89" fillId="66" borderId="0" applyNumberFormat="0" applyBorder="0" applyAlignment="0" applyProtection="0"/>
    <xf numFmtId="0" fontId="89" fillId="61" borderId="0" applyNumberFormat="0" applyBorder="0" applyAlignment="0" applyProtection="0"/>
    <xf numFmtId="0" fontId="89" fillId="62" borderId="0" applyNumberFormat="0" applyBorder="0" applyAlignment="0" applyProtection="0"/>
    <xf numFmtId="0" fontId="89" fillId="67" borderId="0" applyNumberFormat="0" applyBorder="0" applyAlignment="0" applyProtection="0"/>
    <xf numFmtId="0" fontId="90" fillId="52" borderId="0" applyNumberFormat="0" applyBorder="0" applyAlignment="0" applyProtection="0"/>
    <xf numFmtId="0" fontId="91" fillId="68" borderId="37" applyNumberFormat="0" applyAlignment="0" applyProtection="0"/>
    <xf numFmtId="0" fontId="92" fillId="69" borderId="38" applyNumberFormat="0" applyAlignment="0" applyProtection="0"/>
    <xf numFmtId="178" fontId="13" fillId="0" borderId="0" applyFont="0" applyFill="0" applyBorder="0" applyAlignment="0" applyProtection="0"/>
    <xf numFmtId="0" fontId="93" fillId="0" borderId="0" applyNumberFormat="0" applyFill="0" applyBorder="0" applyAlignment="0" applyProtection="0"/>
    <xf numFmtId="0" fontId="94" fillId="53" borderId="0" applyNumberFormat="0" applyBorder="0" applyAlignment="0" applyProtection="0"/>
    <xf numFmtId="0" fontId="95" fillId="0" borderId="39" applyNumberFormat="0" applyFill="0" applyAlignment="0" applyProtection="0"/>
    <xf numFmtId="0" fontId="96" fillId="0" borderId="40" applyNumberFormat="0" applyFill="0" applyAlignment="0" applyProtection="0"/>
    <xf numFmtId="0" fontId="97" fillId="0" borderId="41" applyNumberFormat="0" applyFill="0" applyAlignment="0" applyProtection="0"/>
    <xf numFmtId="0" fontId="97" fillId="0" borderId="0" applyNumberFormat="0" applyFill="0" applyBorder="0" applyAlignment="0" applyProtection="0"/>
    <xf numFmtId="0" fontId="98" fillId="15" borderId="37" applyNumberFormat="0" applyAlignment="0" applyProtection="0"/>
    <xf numFmtId="0" fontId="99" fillId="0" borderId="42" applyNumberFormat="0" applyFill="0" applyAlignment="0" applyProtection="0"/>
    <xf numFmtId="0" fontId="100" fillId="70" borderId="0" applyNumberFormat="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 fillId="0" borderId="0"/>
    <xf numFmtId="0" fontId="13" fillId="71" borderId="43" applyNumberFormat="0" applyFont="0" applyAlignment="0" applyProtection="0"/>
    <xf numFmtId="0" fontId="101" fillId="68" borderId="44" applyNumberFormat="0" applyAlignment="0" applyProtection="0"/>
    <xf numFmtId="9" fontId="13" fillId="0" borderId="0" applyFont="0" applyFill="0" applyBorder="0" applyAlignment="0" applyProtection="0"/>
    <xf numFmtId="0" fontId="102" fillId="0" borderId="0" applyNumberFormat="0" applyFill="0" applyBorder="0" applyAlignment="0" applyProtection="0"/>
    <xf numFmtId="0" fontId="103" fillId="0" borderId="45" applyNumberFormat="0" applyFill="0" applyAlignment="0" applyProtection="0"/>
    <xf numFmtId="0" fontId="104" fillId="0" borderId="0" applyNumberFormat="0" applyFill="0" applyBorder="0" applyAlignment="0" applyProtection="0"/>
    <xf numFmtId="0" fontId="105" fillId="0" borderId="0" applyNumberFormat="0" applyFill="0" applyBorder="0" applyAlignment="0" applyProtection="0">
      <alignment vertical="top"/>
      <protection locked="0"/>
    </xf>
    <xf numFmtId="0" fontId="7" fillId="0" borderId="0"/>
    <xf numFmtId="173" fontId="7" fillId="0" borderId="0" applyFont="0" applyFill="0" applyBorder="0" applyAlignment="0" applyProtection="0"/>
    <xf numFmtId="179" fontId="107" fillId="0" borderId="0"/>
    <xf numFmtId="9" fontId="107" fillId="0" borderId="0" applyFont="0" applyFill="0" applyBorder="0" applyAlignment="0" applyProtection="0"/>
    <xf numFmtId="0" fontId="108" fillId="0" borderId="0" applyBorder="0" applyProtection="0">
      <alignment horizontal="left"/>
    </xf>
    <xf numFmtId="0" fontId="109" fillId="0" borderId="0" applyFill="0" applyBorder="0" applyAlignment="0" applyProtection="0"/>
    <xf numFmtId="0" fontId="110" fillId="0" borderId="0" applyFill="0" applyBorder="0" applyAlignment="0" applyProtection="0"/>
    <xf numFmtId="0" fontId="112" fillId="0" borderId="0" applyBorder="0" applyProtection="0"/>
    <xf numFmtId="0" fontId="112" fillId="0" borderId="0" applyBorder="0" applyProtection="0"/>
    <xf numFmtId="0" fontId="111" fillId="0" borderId="0" applyBorder="0" applyProtection="0"/>
    <xf numFmtId="0" fontId="111" fillId="0" borderId="0" applyBorder="0" applyProtection="0"/>
    <xf numFmtId="0" fontId="113" fillId="0" borderId="0" applyBorder="0" applyProtection="0"/>
    <xf numFmtId="0" fontId="115" fillId="0" borderId="0"/>
    <xf numFmtId="0" fontId="116" fillId="0" borderId="0" applyBorder="0" applyProtection="0"/>
    <xf numFmtId="181" fontId="115" fillId="0" borderId="0" applyBorder="0" applyProtection="0"/>
    <xf numFmtId="0" fontId="13" fillId="0" borderId="0"/>
    <xf numFmtId="2" fontId="118" fillId="0" borderId="0" applyFill="0" applyBorder="0" applyAlignment="0" applyProtection="0"/>
    <xf numFmtId="0" fontId="117" fillId="0" borderId="0"/>
    <xf numFmtId="0" fontId="13" fillId="0" borderId="0"/>
    <xf numFmtId="180" fontId="115" fillId="0" borderId="0" applyFont="0" applyFill="0" applyBorder="0" applyAlignment="0" applyProtection="0"/>
    <xf numFmtId="0" fontId="13" fillId="0" borderId="0"/>
    <xf numFmtId="0" fontId="114" fillId="0" borderId="0"/>
    <xf numFmtId="0" fontId="13" fillId="0" borderId="0"/>
    <xf numFmtId="0" fontId="13" fillId="0" borderId="0"/>
    <xf numFmtId="0" fontId="119" fillId="0" borderId="0"/>
    <xf numFmtId="0" fontId="6" fillId="0" borderId="0"/>
    <xf numFmtId="0" fontId="6" fillId="0" borderId="0"/>
    <xf numFmtId="0" fontId="13" fillId="0" borderId="0"/>
    <xf numFmtId="0" fontId="13" fillId="0" borderId="0">
      <alignment wrapText="1"/>
    </xf>
    <xf numFmtId="0" fontId="13" fillId="0" borderId="0"/>
    <xf numFmtId="0" fontId="13" fillId="0" borderId="0"/>
    <xf numFmtId="0" fontId="5" fillId="0" borderId="0"/>
    <xf numFmtId="9" fontId="5" fillId="0" borderId="0" applyFont="0" applyFill="0" applyBorder="0" applyAlignment="0" applyProtection="0"/>
    <xf numFmtId="0" fontId="120" fillId="72" borderId="0" applyProtection="0">
      <alignment vertical="center"/>
    </xf>
    <xf numFmtId="0" fontId="121" fillId="73" borderId="0" applyProtection="0">
      <alignment vertical="center"/>
    </xf>
    <xf numFmtId="182" fontId="122" fillId="0" borderId="0">
      <alignment vertical="center"/>
    </xf>
    <xf numFmtId="183" fontId="122" fillId="0" borderId="0">
      <alignment horizontal="right" vertical="center"/>
    </xf>
    <xf numFmtId="0" fontId="13" fillId="0" borderId="0">
      <alignment vertical="top" wrapText="1"/>
    </xf>
    <xf numFmtId="0" fontId="123" fillId="0" borderId="0" applyNumberFormat="0" applyFill="0" applyBorder="0" applyAlignment="0" applyProtection="0"/>
    <xf numFmtId="0" fontId="4" fillId="26" borderId="34" applyNumberFormat="0" applyFont="0" applyAlignment="0" applyProtection="0"/>
    <xf numFmtId="0" fontId="4" fillId="28" borderId="0" applyNumberFormat="0" applyBorder="0" applyAlignment="0" applyProtection="0"/>
    <xf numFmtId="0" fontId="4" fillId="29"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40" borderId="0" applyNumberFormat="0" applyBorder="0" applyAlignment="0" applyProtection="0"/>
    <xf numFmtId="0" fontId="4" fillId="41"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8" borderId="0" applyNumberFormat="0" applyBorder="0" applyAlignment="0" applyProtection="0"/>
    <xf numFmtId="0" fontId="4" fillId="49" borderId="0" applyNumberFormat="0" applyBorder="0" applyAlignment="0" applyProtection="0"/>
    <xf numFmtId="0" fontId="3" fillId="0" borderId="0"/>
    <xf numFmtId="0" fontId="2" fillId="0" borderId="0"/>
    <xf numFmtId="9" fontId="2" fillId="0" borderId="0" applyFont="0" applyFill="0" applyBorder="0" applyAlignment="0" applyProtection="0"/>
    <xf numFmtId="0" fontId="124" fillId="0" borderId="0" applyNumberFormat="0" applyFill="0" applyBorder="0" applyAlignment="0" applyProtection="0"/>
    <xf numFmtId="0" fontId="125" fillId="0" borderId="0"/>
    <xf numFmtId="4" fontId="126" fillId="0" borderId="50"/>
    <xf numFmtId="0" fontId="127" fillId="0" borderId="0">
      <alignment vertical="top" wrapText="1"/>
    </xf>
    <xf numFmtId="49" fontId="13" fillId="0" borderId="0">
      <alignment vertical="top" wrapText="1"/>
    </xf>
    <xf numFmtId="0" fontId="24" fillId="75" borderId="19">
      <alignment horizontal="center" vertical="top" wrapText="1"/>
    </xf>
    <xf numFmtId="3" fontId="126" fillId="0" borderId="49">
      <alignment horizontal="right" vertical="top"/>
    </xf>
    <xf numFmtId="164" fontId="126" fillId="0" borderId="50"/>
    <xf numFmtId="0" fontId="129" fillId="0" borderId="0" applyNumberFormat="0" applyFill="0" applyBorder="0" applyAlignment="0" applyProtection="0"/>
    <xf numFmtId="184" fontId="13" fillId="0" borderId="0" applyFont="0" applyFill="0" applyBorder="0" applyAlignment="0" applyProtection="0"/>
    <xf numFmtId="0" fontId="1" fillId="0" borderId="0"/>
    <xf numFmtId="9" fontId="1" fillId="0" borderId="0" applyFont="0" applyFill="0" applyBorder="0" applyAlignment="0" applyProtection="0"/>
    <xf numFmtId="185" fontId="13" fillId="0" borderId="0" applyFont="0" applyFill="0" applyBorder="0" applyAlignment="0" applyProtection="0"/>
    <xf numFmtId="0" fontId="1" fillId="0" borderId="0"/>
    <xf numFmtId="0" fontId="1" fillId="0" borderId="0"/>
  </cellStyleXfs>
  <cellXfs count="631">
    <xf numFmtId="0" fontId="0" fillId="0" borderId="0" xfId="0"/>
    <xf numFmtId="0" fontId="0" fillId="0" borderId="0" xfId="0" applyBorder="1"/>
    <xf numFmtId="0" fontId="16" fillId="0" borderId="0" xfId="0" applyFont="1"/>
    <xf numFmtId="0" fontId="21" fillId="0" borderId="0" xfId="0" applyFont="1"/>
    <xf numFmtId="0" fontId="25" fillId="0" borderId="0" xfId="0" applyFont="1" applyAlignment="1">
      <alignment horizontal="center"/>
    </xf>
    <xf numFmtId="0" fontId="26" fillId="0" borderId="0" xfId="0" applyFont="1" applyAlignment="1">
      <alignment horizontal="center"/>
    </xf>
    <xf numFmtId="0" fontId="27" fillId="0" borderId="0" xfId="0" applyFont="1" applyAlignment="1">
      <alignment horizontal="left"/>
    </xf>
    <xf numFmtId="0" fontId="25" fillId="0" borderId="0" xfId="0" applyFont="1"/>
    <xf numFmtId="0" fontId="29" fillId="0" borderId="0" xfId="0" applyFont="1" applyAlignment="1">
      <alignment horizontal="left" vertical="center"/>
    </xf>
    <xf numFmtId="0" fontId="30" fillId="0" borderId="0" xfId="0" applyFont="1"/>
    <xf numFmtId="0" fontId="0" fillId="0" borderId="0" xfId="0" applyAlignment="1">
      <alignment horizontal="center"/>
    </xf>
    <xf numFmtId="0" fontId="19" fillId="0" borderId="0" xfId="0" quotePrefix="1" applyFont="1" applyAlignment="1">
      <alignment horizontal="right" vertical="top"/>
    </xf>
    <xf numFmtId="0" fontId="0" fillId="0" borderId="0" xfId="0" applyAlignment="1">
      <alignment vertical="top"/>
    </xf>
    <xf numFmtId="0" fontId="36" fillId="0" borderId="0" xfId="0" applyFont="1" applyAlignment="1">
      <alignment horizontal="center"/>
    </xf>
    <xf numFmtId="0" fontId="0" fillId="0" borderId="0" xfId="0" applyAlignment="1"/>
    <xf numFmtId="0" fontId="0" fillId="0" borderId="0" xfId="0" applyAlignment="1">
      <alignment vertical="center"/>
    </xf>
    <xf numFmtId="0" fontId="0" fillId="0" borderId="0" xfId="0" applyBorder="1" applyAlignment="1">
      <alignment vertical="center"/>
    </xf>
    <xf numFmtId="0" fontId="37" fillId="0" borderId="0" xfId="0" applyFont="1" applyAlignment="1">
      <alignment vertical="center"/>
    </xf>
    <xf numFmtId="0" fontId="20" fillId="0" borderId="0" xfId="0" applyFont="1" applyFill="1" applyBorder="1" applyAlignment="1">
      <alignment horizontal="center"/>
    </xf>
    <xf numFmtId="0" fontId="19" fillId="0" borderId="0" xfId="0" applyFont="1" applyAlignment="1">
      <alignment horizontal="center"/>
    </xf>
    <xf numFmtId="0" fontId="19" fillId="0" borderId="0" xfId="0" applyFont="1" applyBorder="1" applyAlignment="1">
      <alignment horizontal="right"/>
    </xf>
    <xf numFmtId="0" fontId="36" fillId="0" borderId="0" xfId="0" applyFont="1" applyBorder="1" applyAlignment="1">
      <alignment horizontal="center"/>
    </xf>
    <xf numFmtId="0" fontId="0" fillId="0" borderId="0" xfId="0" applyBorder="1" applyAlignment="1"/>
    <xf numFmtId="0" fontId="37" fillId="0" borderId="0" xfId="0" applyFont="1" applyBorder="1" applyAlignment="1">
      <alignment vertical="center"/>
    </xf>
    <xf numFmtId="0" fontId="17" fillId="0" borderId="0" xfId="0" applyFont="1" applyBorder="1"/>
    <xf numFmtId="0" fontId="17" fillId="0" borderId="0" xfId="0" applyFont="1"/>
    <xf numFmtId="0" fontId="20" fillId="0" borderId="0" xfId="0" applyFont="1" applyFill="1" applyBorder="1" applyAlignment="1">
      <alignment horizontal="left"/>
    </xf>
    <xf numFmtId="0" fontId="14" fillId="0" borderId="0" xfId="0" applyFont="1" applyBorder="1" applyAlignment="1">
      <alignment horizontal="center" vertical="center"/>
    </xf>
    <xf numFmtId="17" fontId="15" fillId="0" borderId="0" xfId="0" quotePrefix="1" applyNumberFormat="1" applyFont="1" applyBorder="1" applyAlignment="1">
      <alignment horizontal="center" vertical="center" wrapText="1"/>
    </xf>
    <xf numFmtId="49" fontId="14" fillId="0" borderId="0" xfId="0" applyNumberFormat="1" applyFont="1" applyAlignment="1">
      <alignment horizontal="left" vertical="center"/>
    </xf>
    <xf numFmtId="166" fontId="14" fillId="0" borderId="0" xfId="0" quotePrefix="1" applyNumberFormat="1" applyFont="1" applyAlignment="1">
      <alignment horizontal="left" vertical="center"/>
    </xf>
    <xf numFmtId="0" fontId="38" fillId="0" borderId="0" xfId="0" applyFont="1" applyAlignment="1">
      <alignment horizontal="left" vertical="center"/>
    </xf>
    <xf numFmtId="0" fontId="14" fillId="0" borderId="0" xfId="0" applyFont="1" applyAlignment="1">
      <alignment horizontal="left" vertical="center"/>
    </xf>
    <xf numFmtId="0" fontId="19" fillId="0" borderId="0" xfId="0" quotePrefix="1" applyFont="1" applyBorder="1" applyAlignment="1">
      <alignment horizontal="right" vertical="top"/>
    </xf>
    <xf numFmtId="165" fontId="18" fillId="0" borderId="6" xfId="0" applyNumberFormat="1" applyFont="1" applyFill="1" applyBorder="1" applyAlignment="1">
      <alignment horizontal="center" vertical="center"/>
    </xf>
    <xf numFmtId="165" fontId="18" fillId="0" borderId="0" xfId="0" applyNumberFormat="1" applyFont="1" applyFill="1" applyBorder="1" applyAlignment="1">
      <alignment horizontal="center" vertical="center"/>
    </xf>
    <xf numFmtId="165" fontId="18" fillId="0" borderId="4" xfId="0" applyNumberFormat="1" applyFont="1" applyFill="1" applyBorder="1" applyAlignment="1">
      <alignment horizontal="center" vertical="center"/>
    </xf>
    <xf numFmtId="165" fontId="20" fillId="0" borderId="4" xfId="0" applyNumberFormat="1" applyFont="1" applyFill="1" applyBorder="1" applyAlignment="1">
      <alignment horizontal="center" vertical="center"/>
    </xf>
    <xf numFmtId="0" fontId="38" fillId="0" borderId="0" xfId="0" applyFont="1"/>
    <xf numFmtId="0" fontId="23" fillId="0" borderId="0" xfId="0" applyFont="1" applyBorder="1" applyAlignment="1">
      <alignment vertical="center"/>
    </xf>
    <xf numFmtId="0" fontId="23" fillId="0" borderId="0" xfId="0" applyFont="1" applyBorder="1"/>
    <xf numFmtId="0" fontId="39" fillId="4" borderId="1" xfId="0" applyFont="1" applyFill="1" applyBorder="1" applyAlignment="1">
      <alignment horizontal="center" vertical="center"/>
    </xf>
    <xf numFmtId="0" fontId="20" fillId="0" borderId="0" xfId="0" applyFont="1" applyFill="1" applyBorder="1" applyAlignment="1">
      <alignment horizontal="center" vertical="center" textRotation="90"/>
    </xf>
    <xf numFmtId="0" fontId="39" fillId="4" borderId="2" xfId="0" applyFont="1" applyFill="1" applyBorder="1" applyAlignment="1">
      <alignment horizontal="center" vertical="center"/>
    </xf>
    <xf numFmtId="0" fontId="39" fillId="4" borderId="6" xfId="0" applyFont="1" applyFill="1" applyBorder="1" applyAlignment="1">
      <alignment horizontal="center" vertical="center"/>
    </xf>
    <xf numFmtId="0" fontId="20" fillId="0" borderId="0" xfId="0" applyFont="1" applyFill="1" applyBorder="1"/>
    <xf numFmtId="0" fontId="18" fillId="0" borderId="0" xfId="0" applyFont="1" applyFill="1" applyBorder="1"/>
    <xf numFmtId="0" fontId="40" fillId="0" borderId="0" xfId="0" applyFont="1" applyFill="1" applyBorder="1"/>
    <xf numFmtId="0" fontId="17" fillId="0" borderId="0" xfId="0" applyFont="1" applyFill="1" applyBorder="1"/>
    <xf numFmtId="0" fontId="41" fillId="0" borderId="0" xfId="0" applyFont="1"/>
    <xf numFmtId="0" fontId="0" fillId="0" borderId="0" xfId="0" applyFill="1" applyBorder="1" applyAlignment="1">
      <alignment vertical="center"/>
    </xf>
    <xf numFmtId="0" fontId="0" fillId="0" borderId="0" xfId="0" applyFill="1" applyBorder="1" applyAlignment="1"/>
    <xf numFmtId="0" fontId="17" fillId="4" borderId="2" xfId="0" applyFont="1" applyFill="1" applyBorder="1" applyAlignment="1">
      <alignment horizontal="center" vertical="center"/>
    </xf>
    <xf numFmtId="168" fontId="18" fillId="0" borderId="6" xfId="0" applyNumberFormat="1" applyFont="1" applyFill="1" applyBorder="1" applyAlignment="1">
      <alignment horizontal="center" vertical="center"/>
    </xf>
    <xf numFmtId="168" fontId="18" fillId="0" borderId="0" xfId="0" applyNumberFormat="1" applyFont="1" applyFill="1" applyBorder="1" applyAlignment="1">
      <alignment horizontal="center" vertical="center"/>
    </xf>
    <xf numFmtId="168" fontId="18" fillId="0" borderId="4" xfId="0" applyNumberFormat="1" applyFont="1" applyFill="1" applyBorder="1" applyAlignment="1">
      <alignment horizontal="center" vertical="center"/>
    </xf>
    <xf numFmtId="165" fontId="16" fillId="0" borderId="0" xfId="0" applyNumberFormat="1" applyFont="1" applyAlignment="1">
      <alignment horizontal="center" vertical="center"/>
    </xf>
    <xf numFmtId="165" fontId="16" fillId="0" borderId="4" xfId="0" applyNumberFormat="1" applyFont="1" applyBorder="1" applyAlignment="1">
      <alignment horizontal="center" vertical="center"/>
    </xf>
    <xf numFmtId="165" fontId="16" fillId="0" borderId="2" xfId="0" applyNumberFormat="1" applyFont="1" applyBorder="1" applyAlignment="1">
      <alignment horizontal="center" vertical="center"/>
    </xf>
    <xf numFmtId="165" fontId="0" fillId="0" borderId="0" xfId="0" applyNumberFormat="1"/>
    <xf numFmtId="0" fontId="17" fillId="4" borderId="5" xfId="0" applyFont="1" applyFill="1" applyBorder="1" applyAlignment="1">
      <alignment horizontal="center"/>
    </xf>
    <xf numFmtId="168" fontId="18" fillId="0" borderId="14" xfId="0" applyNumberFormat="1" applyFont="1" applyFill="1" applyBorder="1" applyAlignment="1">
      <alignment horizontal="center" vertical="center"/>
    </xf>
    <xf numFmtId="168" fontId="18" fillId="0" borderId="7" xfId="0" applyNumberFormat="1" applyFont="1" applyFill="1" applyBorder="1" applyAlignment="1">
      <alignment horizontal="center" vertical="center"/>
    </xf>
    <xf numFmtId="168" fontId="18" fillId="0" borderId="9" xfId="0" applyNumberFormat="1" applyFont="1" applyFill="1" applyBorder="1" applyAlignment="1">
      <alignment horizontal="center" vertical="center"/>
    </xf>
    <xf numFmtId="165" fontId="20" fillId="0" borderId="2" xfId="0" applyNumberFormat="1" applyFont="1" applyFill="1" applyBorder="1" applyAlignment="1">
      <alignment horizontal="center" vertical="center"/>
    </xf>
    <xf numFmtId="165" fontId="32" fillId="0" borderId="4" xfId="0" applyNumberFormat="1" applyFont="1" applyBorder="1" applyAlignment="1">
      <alignment horizontal="center" vertical="center"/>
    </xf>
    <xf numFmtId="165" fontId="32" fillId="0" borderId="2" xfId="0" applyNumberFormat="1" applyFont="1" applyBorder="1" applyAlignment="1">
      <alignment horizontal="center" vertical="center"/>
    </xf>
    <xf numFmtId="0" fontId="17" fillId="16" borderId="2" xfId="0" applyFont="1" applyFill="1" applyBorder="1" applyAlignment="1">
      <alignment horizontal="center" vertical="center"/>
    </xf>
    <xf numFmtId="0" fontId="17" fillId="5" borderId="5" xfId="0" applyFont="1" applyFill="1" applyBorder="1" applyAlignment="1">
      <alignment horizontal="center" vertical="center"/>
    </xf>
    <xf numFmtId="0" fontId="13" fillId="0" borderId="0" xfId="31"/>
    <xf numFmtId="0" fontId="16" fillId="0" borderId="0" xfId="31" applyFont="1"/>
    <xf numFmtId="9" fontId="16" fillId="0" borderId="0" xfId="31" applyNumberFormat="1" applyFont="1" applyAlignment="1">
      <alignment horizontal="center"/>
    </xf>
    <xf numFmtId="0" fontId="17" fillId="0" borderId="0" xfId="31" applyFont="1" applyAlignment="1">
      <alignment vertical="top"/>
    </xf>
    <xf numFmtId="0" fontId="16" fillId="0" borderId="0" xfId="31" applyFont="1" applyAlignment="1">
      <alignment vertical="top"/>
    </xf>
    <xf numFmtId="0" fontId="16" fillId="0" borderId="0" xfId="31" applyFont="1" applyAlignment="1">
      <alignment vertical="center"/>
    </xf>
    <xf numFmtId="0" fontId="17" fillId="0" borderId="0" xfId="31" applyFont="1" applyAlignment="1">
      <alignment horizontal="left"/>
    </xf>
    <xf numFmtId="0" fontId="16" fillId="0" borderId="0" xfId="31" applyFont="1" applyAlignment="1">
      <alignment horizontal="center"/>
    </xf>
    <xf numFmtId="165" fontId="16" fillId="0" borderId="0" xfId="31" applyNumberFormat="1" applyFont="1"/>
    <xf numFmtId="165" fontId="16" fillId="16" borderId="20" xfId="31" applyNumberFormat="1" applyFont="1" applyFill="1" applyBorder="1" applyAlignment="1">
      <alignment horizontal="right" vertical="center"/>
    </xf>
    <xf numFmtId="0" fontId="17" fillId="16" borderId="2" xfId="31" applyFont="1" applyFill="1" applyBorder="1" applyAlignment="1">
      <alignment horizontal="center" vertical="center"/>
    </xf>
    <xf numFmtId="2" fontId="16" fillId="16" borderId="2" xfId="31" applyNumberFormat="1" applyFont="1" applyFill="1" applyBorder="1" applyAlignment="1">
      <alignment horizontal="right" vertical="center"/>
    </xf>
    <xf numFmtId="165" fontId="16" fillId="16" borderId="2" xfId="31" applyNumberFormat="1" applyFont="1" applyFill="1" applyBorder="1" applyAlignment="1">
      <alignment horizontal="right" vertical="center"/>
    </xf>
    <xf numFmtId="165" fontId="16" fillId="16" borderId="15" xfId="31" applyNumberFormat="1" applyFont="1" applyFill="1" applyBorder="1" applyAlignment="1">
      <alignment horizontal="right" vertical="center"/>
    </xf>
    <xf numFmtId="2" fontId="32" fillId="16" borderId="2" xfId="31" applyNumberFormat="1" applyFont="1" applyFill="1" applyBorder="1" applyAlignment="1">
      <alignment horizontal="right" vertical="center"/>
    </xf>
    <xf numFmtId="0" fontId="17" fillId="0" borderId="0" xfId="31" applyFont="1"/>
    <xf numFmtId="165" fontId="16" fillId="16" borderId="16" xfId="31" applyNumberFormat="1" applyFont="1" applyFill="1" applyBorder="1" applyAlignment="1">
      <alignment horizontal="right" vertical="center"/>
    </xf>
    <xf numFmtId="165" fontId="16" fillId="16" borderId="11" xfId="31" applyNumberFormat="1" applyFont="1" applyFill="1" applyBorder="1" applyAlignment="1">
      <alignment horizontal="right" vertical="center"/>
    </xf>
    <xf numFmtId="165" fontId="16" fillId="16" borderId="6" xfId="31" applyNumberFormat="1" applyFont="1" applyFill="1" applyBorder="1" applyAlignment="1">
      <alignment horizontal="right" vertical="center"/>
    </xf>
    <xf numFmtId="0" fontId="17" fillId="4" borderId="2" xfId="31" applyFont="1" applyFill="1" applyBorder="1" applyAlignment="1">
      <alignment horizontal="center" vertical="center"/>
    </xf>
    <xf numFmtId="165" fontId="16" fillId="4" borderId="2" xfId="31" applyNumberFormat="1" applyFont="1" applyFill="1" applyBorder="1" applyAlignment="1">
      <alignment horizontal="right" vertical="center"/>
    </xf>
    <xf numFmtId="2" fontId="16" fillId="4" borderId="2" xfId="31" applyNumberFormat="1" applyFont="1" applyFill="1" applyBorder="1" applyAlignment="1">
      <alignment horizontal="right" vertical="center"/>
    </xf>
    <xf numFmtId="165" fontId="16" fillId="0" borderId="2" xfId="31" applyNumberFormat="1" applyFont="1" applyBorder="1" applyAlignment="1">
      <alignment horizontal="right" vertical="center"/>
    </xf>
    <xf numFmtId="2" fontId="16" fillId="0" borderId="2" xfId="31" applyNumberFormat="1" applyFont="1" applyBorder="1" applyAlignment="1">
      <alignment horizontal="right" vertical="center"/>
    </xf>
    <xf numFmtId="2" fontId="32" fillId="4" borderId="2" xfId="31" applyNumberFormat="1" applyFont="1" applyFill="1" applyBorder="1" applyAlignment="1">
      <alignment horizontal="right" vertical="center"/>
    </xf>
    <xf numFmtId="2" fontId="32" fillId="0" borderId="2" xfId="31" applyNumberFormat="1" applyFont="1" applyBorder="1"/>
    <xf numFmtId="165" fontId="16" fillId="6" borderId="2" xfId="31" applyNumberFormat="1" applyFont="1" applyFill="1" applyBorder="1" applyAlignment="1">
      <alignment horizontal="right" vertical="center"/>
    </xf>
    <xf numFmtId="165" fontId="16" fillId="6" borderId="16" xfId="31" applyNumberFormat="1" applyFont="1" applyFill="1" applyBorder="1" applyAlignment="1">
      <alignment horizontal="right" vertical="center"/>
    </xf>
    <xf numFmtId="0" fontId="24" fillId="0" borderId="0" xfId="31" applyFont="1"/>
    <xf numFmtId="9" fontId="16" fillId="0" borderId="0" xfId="31" applyNumberFormat="1" applyFont="1" applyAlignment="1">
      <alignment horizontal="center" vertical="top"/>
    </xf>
    <xf numFmtId="0" fontId="19" fillId="0" borderId="0" xfId="31" quotePrefix="1" applyFont="1" applyBorder="1" applyAlignment="1">
      <alignment horizontal="right" vertical="top"/>
    </xf>
    <xf numFmtId="0" fontId="13" fillId="0" borderId="0" xfId="31" applyAlignment="1">
      <alignment horizontal="left" vertical="top" wrapText="1"/>
    </xf>
    <xf numFmtId="0" fontId="24" fillId="0" borderId="0" xfId="31" applyFont="1" applyAlignment="1">
      <alignment horizontal="left" vertical="top" wrapText="1"/>
    </xf>
    <xf numFmtId="49" fontId="16" fillId="0" borderId="0" xfId="31" applyNumberFormat="1" applyFont="1" applyAlignment="1">
      <alignment vertical="top"/>
    </xf>
    <xf numFmtId="49" fontId="17" fillId="0" borderId="0" xfId="31" applyNumberFormat="1" applyFont="1" applyAlignment="1">
      <alignment vertical="top"/>
    </xf>
    <xf numFmtId="165" fontId="32" fillId="16" borderId="16" xfId="31" applyNumberFormat="1" applyFont="1" applyFill="1" applyBorder="1" applyAlignment="1">
      <alignment horizontal="right" vertical="center"/>
    </xf>
    <xf numFmtId="0" fontId="16" fillId="16" borderId="0" xfId="31" applyFont="1" applyFill="1" applyAlignment="1">
      <alignment horizontal="center"/>
    </xf>
    <xf numFmtId="165" fontId="32" fillId="0" borderId="16" xfId="31" applyNumberFormat="1" applyFont="1" applyBorder="1" applyAlignment="1">
      <alignment horizontal="right" vertical="center"/>
    </xf>
    <xf numFmtId="2" fontId="16" fillId="6" borderId="11" xfId="31" applyNumberFormat="1" applyFont="1" applyFill="1" applyBorder="1" applyAlignment="1">
      <alignment horizontal="right" vertical="center"/>
    </xf>
    <xf numFmtId="2" fontId="16" fillId="6" borderId="2" xfId="31" applyNumberFormat="1" applyFont="1" applyFill="1" applyBorder="1" applyAlignment="1">
      <alignment horizontal="right" vertical="center"/>
    </xf>
    <xf numFmtId="165" fontId="16" fillId="6" borderId="11" xfId="31" applyNumberFormat="1" applyFont="1" applyFill="1" applyBorder="1" applyAlignment="1">
      <alignment horizontal="right" vertical="center"/>
    </xf>
    <xf numFmtId="2" fontId="16" fillId="6" borderId="2" xfId="31" quotePrefix="1" applyNumberFormat="1" applyFont="1" applyFill="1" applyBorder="1" applyAlignment="1">
      <alignment horizontal="right" vertical="center"/>
    </xf>
    <xf numFmtId="1" fontId="17" fillId="5" borderId="2" xfId="31" applyNumberFormat="1" applyFont="1" applyFill="1" applyBorder="1" applyAlignment="1">
      <alignment horizontal="center" vertical="center"/>
    </xf>
    <xf numFmtId="0" fontId="16" fillId="0" borderId="0" xfId="31" applyFont="1" applyAlignment="1">
      <alignment horizontal="left" vertical="top" wrapText="1"/>
    </xf>
    <xf numFmtId="165" fontId="16" fillId="16" borderId="2" xfId="31" applyNumberFormat="1" applyFont="1" applyFill="1" applyBorder="1" applyAlignment="1">
      <alignment horizontal="center" vertical="center"/>
    </xf>
    <xf numFmtId="165" fontId="32" fillId="16" borderId="11" xfId="31" applyNumberFormat="1" applyFont="1" applyFill="1" applyBorder="1" applyAlignment="1">
      <alignment horizontal="right" vertical="center"/>
    </xf>
    <xf numFmtId="165" fontId="16" fillId="4" borderId="16" xfId="31" applyNumberFormat="1" applyFont="1" applyFill="1" applyBorder="1" applyAlignment="1">
      <alignment horizontal="right" vertical="center"/>
    </xf>
    <xf numFmtId="2" fontId="16" fillId="4" borderId="6" xfId="31" applyNumberFormat="1" applyFont="1" applyFill="1" applyBorder="1" applyAlignment="1">
      <alignment horizontal="right" vertical="center"/>
    </xf>
    <xf numFmtId="2" fontId="32" fillId="6" borderId="2" xfId="31" applyNumberFormat="1" applyFont="1" applyFill="1" applyBorder="1" applyAlignment="1">
      <alignment horizontal="right" vertical="center"/>
    </xf>
    <xf numFmtId="165" fontId="16" fillId="4" borderId="11" xfId="31" applyNumberFormat="1" applyFont="1" applyFill="1" applyBorder="1" applyAlignment="1">
      <alignment horizontal="right" vertical="center"/>
    </xf>
    <xf numFmtId="0" fontId="16" fillId="0" borderId="0" xfId="31" applyFont="1" applyAlignment="1">
      <alignment horizontal="center" vertical="top"/>
    </xf>
    <xf numFmtId="165" fontId="16" fillId="17" borderId="4" xfId="31" applyNumberFormat="1" applyFont="1" applyFill="1" applyBorder="1" applyAlignment="1">
      <alignment horizontal="center" vertical="center"/>
    </xf>
    <xf numFmtId="165" fontId="16" fillId="17" borderId="0" xfId="31" applyNumberFormat="1" applyFont="1" applyFill="1" applyBorder="1" applyAlignment="1">
      <alignment horizontal="center" vertical="center"/>
    </xf>
    <xf numFmtId="0" fontId="23" fillId="0" borderId="0" xfId="31" applyFont="1"/>
    <xf numFmtId="172" fontId="18" fillId="0" borderId="14" xfId="0" applyNumberFormat="1" applyFont="1" applyFill="1" applyBorder="1" applyAlignment="1">
      <alignment horizontal="center" vertical="center"/>
    </xf>
    <xf numFmtId="172" fontId="18" fillId="0" borderId="7" xfId="0" applyNumberFormat="1" applyFont="1" applyFill="1" applyBorder="1" applyAlignment="1">
      <alignment horizontal="center" vertical="center"/>
    </xf>
    <xf numFmtId="172" fontId="20" fillId="0" borderId="1" xfId="0" applyNumberFormat="1" applyFont="1" applyFill="1" applyBorder="1" applyAlignment="1">
      <alignment horizontal="center" vertical="center"/>
    </xf>
    <xf numFmtId="172" fontId="18" fillId="0" borderId="6" xfId="0" applyNumberFormat="1" applyFont="1" applyFill="1" applyBorder="1" applyAlignment="1">
      <alignment horizontal="center" vertical="center"/>
    </xf>
    <xf numFmtId="172" fontId="18" fillId="0" borderId="0" xfId="0" applyNumberFormat="1" applyFont="1" applyFill="1" applyBorder="1" applyAlignment="1">
      <alignment horizontal="center" vertical="center"/>
    </xf>
    <xf numFmtId="172" fontId="20" fillId="0" borderId="2" xfId="0" applyNumberFormat="1" applyFont="1" applyFill="1" applyBorder="1" applyAlignment="1">
      <alignment horizontal="center" vertical="center"/>
    </xf>
    <xf numFmtId="172" fontId="18" fillId="0" borderId="18" xfId="0" applyNumberFormat="1" applyFont="1" applyFill="1" applyBorder="1" applyAlignment="1">
      <alignment horizontal="center" vertical="center"/>
    </xf>
    <xf numFmtId="172" fontId="18" fillId="0" borderId="17" xfId="0" applyNumberFormat="1" applyFont="1" applyFill="1" applyBorder="1" applyAlignment="1">
      <alignment horizontal="center" vertical="center"/>
    </xf>
    <xf numFmtId="176" fontId="16" fillId="0" borderId="0" xfId="31" applyNumberFormat="1" applyFont="1" applyAlignment="1">
      <alignment vertical="top"/>
    </xf>
    <xf numFmtId="177" fontId="16" fillId="0" borderId="0" xfId="31" applyNumberFormat="1" applyFont="1"/>
    <xf numFmtId="2" fontId="16" fillId="0" borderId="0" xfId="31" applyNumberFormat="1" applyFont="1"/>
    <xf numFmtId="165" fontId="16" fillId="0" borderId="16" xfId="31" applyNumberFormat="1" applyFont="1" applyBorder="1" applyAlignment="1">
      <alignment horizontal="right" vertical="center"/>
    </xf>
    <xf numFmtId="1" fontId="17" fillId="17" borderId="0" xfId="31" applyNumberFormat="1" applyFont="1" applyFill="1" applyBorder="1" applyAlignment="1">
      <alignment horizontal="center" wrapText="1"/>
    </xf>
    <xf numFmtId="165" fontId="16" fillId="17" borderId="16" xfId="31" applyNumberFormat="1" applyFont="1" applyFill="1" applyBorder="1" applyAlignment="1">
      <alignment horizontal="center" vertical="center"/>
    </xf>
    <xf numFmtId="172" fontId="16" fillId="0" borderId="0" xfId="0" applyNumberFormat="1" applyFont="1" applyFill="1" applyBorder="1" applyAlignment="1">
      <alignment horizontal="center" vertical="center"/>
    </xf>
    <xf numFmtId="0" fontId="106" fillId="0" borderId="0" xfId="0" applyFont="1"/>
    <xf numFmtId="165" fontId="32" fillId="0" borderId="4" xfId="31" applyNumberFormat="1" applyFont="1" applyBorder="1" applyAlignment="1">
      <alignment horizontal="right" vertical="center"/>
    </xf>
    <xf numFmtId="177" fontId="16" fillId="0" borderId="0" xfId="31" applyNumberFormat="1" applyFont="1" applyAlignment="1">
      <alignment horizontal="left" vertical="top" wrapText="1"/>
    </xf>
    <xf numFmtId="0" fontId="17" fillId="4" borderId="5" xfId="31" applyFont="1" applyFill="1" applyBorder="1" applyAlignment="1">
      <alignment horizontal="center" vertical="center"/>
    </xf>
    <xf numFmtId="165" fontId="17" fillId="4" borderId="5" xfId="31" applyNumberFormat="1" applyFont="1" applyFill="1" applyBorder="1" applyAlignment="1">
      <alignment horizontal="right" vertical="center"/>
    </xf>
    <xf numFmtId="165" fontId="16" fillId="16" borderId="46" xfId="31" applyNumberFormat="1" applyFont="1" applyFill="1" applyBorder="1" applyAlignment="1">
      <alignment horizontal="right" vertical="center"/>
    </xf>
    <xf numFmtId="165" fontId="16" fillId="16" borderId="2" xfId="31" quotePrefix="1" applyNumberFormat="1" applyFont="1" applyFill="1" applyBorder="1" applyAlignment="1">
      <alignment horizontal="right" vertical="center"/>
    </xf>
    <xf numFmtId="165" fontId="16" fillId="0" borderId="16" xfId="31" applyNumberFormat="1" applyFont="1" applyBorder="1"/>
    <xf numFmtId="172" fontId="33" fillId="4" borderId="10" xfId="31" applyNumberFormat="1" applyFont="1" applyFill="1" applyBorder="1" applyAlignment="1">
      <alignment vertical="center"/>
    </xf>
    <xf numFmtId="0" fontId="17" fillId="0" borderId="0" xfId="0" applyFont="1" applyFill="1" applyBorder="1" applyAlignment="1">
      <alignment horizontal="left"/>
    </xf>
    <xf numFmtId="172" fontId="17" fillId="0" borderId="2" xfId="0" applyNumberFormat="1" applyFont="1" applyFill="1" applyBorder="1" applyAlignment="1">
      <alignment horizontal="center" vertical="center"/>
    </xf>
    <xf numFmtId="0" fontId="17" fillId="16" borderId="46" xfId="0" applyFont="1" applyFill="1" applyBorder="1" applyAlignment="1">
      <alignment horizontal="center" vertical="center"/>
    </xf>
    <xf numFmtId="0" fontId="17" fillId="16" borderId="46" xfId="31" applyFont="1" applyFill="1" applyBorder="1" applyAlignment="1">
      <alignment horizontal="center" vertical="center"/>
    </xf>
    <xf numFmtId="0" fontId="23" fillId="0" borderId="0" xfId="0" applyFont="1" applyAlignment="1">
      <alignment vertical="top"/>
    </xf>
    <xf numFmtId="0" fontId="23" fillId="0" borderId="0" xfId="0" applyFont="1"/>
    <xf numFmtId="0" fontId="17" fillId="5" borderId="10" xfId="0" applyFont="1" applyFill="1" applyBorder="1" applyAlignment="1">
      <alignment horizontal="center" vertical="center" wrapText="1"/>
    </xf>
    <xf numFmtId="0" fontId="17" fillId="5" borderId="13" xfId="0" applyFont="1" applyFill="1" applyBorder="1" applyAlignment="1">
      <alignment horizontal="center" vertical="center" wrapText="1"/>
    </xf>
    <xf numFmtId="0" fontId="17" fillId="0" borderId="0" xfId="0" applyFont="1" applyAlignment="1">
      <alignment horizontal="left"/>
    </xf>
    <xf numFmtId="0" fontId="17" fillId="0" borderId="0" xfId="0" applyFont="1" applyAlignment="1">
      <alignment horizontal="left" vertical="center"/>
    </xf>
    <xf numFmtId="172" fontId="18" fillId="0" borderId="52" xfId="0" applyNumberFormat="1" applyFont="1" applyFill="1" applyBorder="1" applyAlignment="1">
      <alignment horizontal="center" vertical="center"/>
    </xf>
    <xf numFmtId="172" fontId="18" fillId="0" borderId="51" xfId="0" applyNumberFormat="1" applyFont="1" applyFill="1" applyBorder="1" applyAlignment="1">
      <alignment horizontal="center" vertical="center"/>
    </xf>
    <xf numFmtId="165" fontId="18" fillId="0" borderId="10" xfId="0" applyNumberFormat="1" applyFont="1" applyFill="1" applyBorder="1" applyAlignment="1">
      <alignment horizontal="center" vertical="center"/>
    </xf>
    <xf numFmtId="165" fontId="18" fillId="0" borderId="13" xfId="0" applyNumberFormat="1" applyFont="1" applyFill="1" applyBorder="1" applyAlignment="1">
      <alignment horizontal="center" vertical="center"/>
    </xf>
    <xf numFmtId="168" fontId="0" fillId="0" borderId="0" xfId="0" applyNumberFormat="1"/>
    <xf numFmtId="0" fontId="39" fillId="4" borderId="46" xfId="0" applyFont="1" applyFill="1" applyBorder="1" applyAlignment="1">
      <alignment horizontal="center" vertical="center"/>
    </xf>
    <xf numFmtId="165" fontId="16" fillId="0" borderId="11" xfId="31" applyNumberFormat="1" applyFont="1" applyBorder="1" applyAlignment="1">
      <alignment horizontal="right" vertical="center"/>
    </xf>
    <xf numFmtId="0" fontId="0" fillId="0" borderId="6" xfId="0" applyBorder="1"/>
    <xf numFmtId="0" fontId="16" fillId="0" borderId="4" xfId="31" applyFont="1" applyBorder="1"/>
    <xf numFmtId="165" fontId="17" fillId="4" borderId="5" xfId="31" applyNumberFormat="1" applyFont="1" applyFill="1" applyBorder="1" applyAlignment="1">
      <alignment horizontal="center" vertical="center"/>
    </xf>
    <xf numFmtId="165" fontId="17" fillId="4" borderId="2" xfId="31" applyNumberFormat="1" applyFont="1" applyFill="1" applyBorder="1" applyAlignment="1">
      <alignment horizontal="center" vertical="center"/>
    </xf>
    <xf numFmtId="165" fontId="24" fillId="0" borderId="0" xfId="31" applyNumberFormat="1" applyFont="1"/>
    <xf numFmtId="165" fontId="16" fillId="0" borderId="0" xfId="31" applyNumberFormat="1" applyFont="1" applyAlignment="1">
      <alignment horizontal="left" vertical="top" wrapText="1"/>
    </xf>
    <xf numFmtId="165" fontId="17" fillId="5" borderId="4" xfId="31" applyNumberFormat="1" applyFont="1" applyFill="1" applyBorder="1" applyAlignment="1">
      <alignment horizontal="center" vertical="top"/>
    </xf>
    <xf numFmtId="165" fontId="16" fillId="0" borderId="0" xfId="31" applyNumberFormat="1" applyFont="1" applyAlignment="1">
      <alignment vertical="top"/>
    </xf>
    <xf numFmtId="165" fontId="17" fillId="0" borderId="0" xfId="31" applyNumberFormat="1" applyFont="1" applyAlignment="1">
      <alignment vertical="top" wrapText="1"/>
    </xf>
    <xf numFmtId="0" fontId="17" fillId="4" borderId="13" xfId="31" applyFont="1" applyFill="1" applyBorder="1" applyAlignment="1">
      <alignment horizontal="center" vertical="center"/>
    </xf>
    <xf numFmtId="0" fontId="16" fillId="0" borderId="4" xfId="31" applyFont="1" applyBorder="1" applyAlignment="1">
      <alignment horizontal="center"/>
    </xf>
    <xf numFmtId="165" fontId="17" fillId="5" borderId="2" xfId="31" applyNumberFormat="1" applyFont="1" applyFill="1" applyBorder="1" applyAlignment="1">
      <alignment horizontal="center" vertical="center"/>
    </xf>
    <xf numFmtId="165" fontId="16" fillId="0" borderId="0" xfId="31" applyNumberFormat="1" applyFont="1" applyAlignment="1">
      <alignment horizontal="center" vertical="center"/>
    </xf>
    <xf numFmtId="165" fontId="24" fillId="0" borderId="0" xfId="31" applyNumberFormat="1" applyFont="1" applyAlignment="1">
      <alignment horizontal="center" vertical="center"/>
    </xf>
    <xf numFmtId="0" fontId="20" fillId="0" borderId="47" xfId="0" applyFont="1" applyFill="1" applyBorder="1" applyAlignment="1">
      <alignment horizontal="center"/>
    </xf>
    <xf numFmtId="0" fontId="17" fillId="5" borderId="5" xfId="0" applyFont="1" applyFill="1" applyBorder="1" applyAlignment="1">
      <alignment horizontal="center" vertical="center" wrapText="1"/>
    </xf>
    <xf numFmtId="0" fontId="0" fillId="0" borderId="4" xfId="0" applyBorder="1"/>
    <xf numFmtId="165" fontId="32" fillId="0" borderId="0" xfId="0" applyNumberFormat="1" applyFont="1" applyAlignment="1">
      <alignment horizontal="center" vertical="center"/>
    </xf>
    <xf numFmtId="165" fontId="16" fillId="0" borderId="21" xfId="0" applyNumberFormat="1" applyFont="1" applyBorder="1" applyAlignment="1">
      <alignment horizontal="center" vertical="center"/>
    </xf>
    <xf numFmtId="168" fontId="0" fillId="0" borderId="0" xfId="0" applyNumberFormat="1" applyBorder="1"/>
    <xf numFmtId="1" fontId="17" fillId="5" borderId="4" xfId="31" applyNumberFormat="1" applyFont="1" applyFill="1" applyBorder="1" applyAlignment="1">
      <alignment vertical="center"/>
    </xf>
    <xf numFmtId="165" fontId="32" fillId="4" borderId="4" xfId="31" applyNumberFormat="1" applyFont="1" applyFill="1" applyBorder="1"/>
    <xf numFmtId="165" fontId="32" fillId="4" borderId="4" xfId="31" applyNumberFormat="1" applyFont="1" applyFill="1" applyBorder="1" applyAlignment="1">
      <alignment horizontal="right"/>
    </xf>
    <xf numFmtId="0" fontId="13" fillId="0" borderId="0" xfId="0" applyFont="1" applyAlignment="1">
      <alignment horizontal="left" vertical="center" wrapText="1"/>
    </xf>
    <xf numFmtId="0" fontId="13" fillId="0" borderId="0" xfId="0" applyFont="1" applyAlignment="1">
      <alignment horizontal="left" vertical="center"/>
    </xf>
    <xf numFmtId="165" fontId="18" fillId="74" borderId="0" xfId="0" applyNumberFormat="1" applyFont="1" applyFill="1" applyBorder="1" applyAlignment="1">
      <alignment horizontal="right" vertical="center"/>
    </xf>
    <xf numFmtId="165" fontId="18" fillId="74" borderId="0" xfId="0" applyNumberFormat="1" applyFont="1" applyFill="1" applyBorder="1" applyAlignment="1">
      <alignment vertical="center"/>
    </xf>
    <xf numFmtId="0" fontId="24" fillId="74" borderId="0" xfId="0" applyFont="1" applyFill="1" applyAlignment="1">
      <alignment horizontal="center" vertical="center"/>
    </xf>
    <xf numFmtId="0" fontId="18" fillId="74" borderId="1" xfId="0" applyFont="1" applyFill="1" applyBorder="1" applyAlignment="1">
      <alignment horizontal="left" vertical="center" wrapText="1"/>
    </xf>
    <xf numFmtId="0" fontId="18" fillId="74" borderId="2" xfId="0" applyFont="1" applyFill="1" applyBorder="1" applyAlignment="1">
      <alignment horizontal="left" vertical="center" wrapText="1"/>
    </xf>
    <xf numFmtId="0" fontId="13" fillId="0" borderId="0" xfId="0" applyFont="1"/>
    <xf numFmtId="2" fontId="16" fillId="16" borderId="4" xfId="31" applyNumberFormat="1" applyFont="1" applyFill="1" applyBorder="1" applyAlignment="1">
      <alignment horizontal="right" vertical="center"/>
    </xf>
    <xf numFmtId="165" fontId="17" fillId="16" borderId="2" xfId="31" applyNumberFormat="1" applyFont="1" applyFill="1" applyBorder="1" applyAlignment="1">
      <alignment horizontal="center" vertical="center"/>
    </xf>
    <xf numFmtId="0" fontId="16" fillId="76" borderId="0" xfId="31" applyFont="1" applyFill="1"/>
    <xf numFmtId="0" fontId="129" fillId="0" borderId="0" xfId="290"/>
    <xf numFmtId="0" fontId="24" fillId="0" borderId="0" xfId="0" applyFont="1" applyFill="1" applyBorder="1" applyAlignment="1">
      <alignment horizontal="center" vertical="center"/>
    </xf>
    <xf numFmtId="0" fontId="28" fillId="0" borderId="0" xfId="0" applyFont="1" applyFill="1" applyBorder="1" applyAlignment="1">
      <alignment horizontal="center" vertical="center"/>
    </xf>
    <xf numFmtId="0" fontId="16" fillId="0" borderId="4" xfId="0" applyFont="1" applyBorder="1"/>
    <xf numFmtId="0" fontId="0" fillId="0" borderId="0" xfId="0" applyAlignment="1">
      <alignment horizontal="right" wrapText="1"/>
    </xf>
    <xf numFmtId="0" fontId="32" fillId="0" borderId="0" xfId="31" applyFont="1"/>
    <xf numFmtId="0" fontId="16" fillId="77" borderId="0" xfId="31" applyFont="1" applyFill="1"/>
    <xf numFmtId="0" fontId="16" fillId="0" borderId="0" xfId="31" applyFont="1" applyAlignment="1">
      <alignment wrapText="1"/>
    </xf>
    <xf numFmtId="0" fontId="16" fillId="0" borderId="56" xfId="31" applyFont="1" applyBorder="1"/>
    <xf numFmtId="2" fontId="16" fillId="0" borderId="56" xfId="31" applyNumberFormat="1" applyFont="1" applyBorder="1"/>
    <xf numFmtId="2" fontId="16" fillId="0" borderId="56" xfId="31" applyNumberFormat="1" applyFont="1" applyBorder="1" applyAlignment="1">
      <alignment vertical="center"/>
    </xf>
    <xf numFmtId="0" fontId="28" fillId="4" borderId="2" xfId="31" applyFont="1" applyFill="1" applyBorder="1" applyAlignment="1">
      <alignment horizontal="center" vertical="center"/>
    </xf>
    <xf numFmtId="0" fontId="0" fillId="0" borderId="56" xfId="0" applyBorder="1"/>
    <xf numFmtId="165" fontId="20" fillId="0" borderId="5" xfId="0" applyNumberFormat="1" applyFont="1" applyFill="1" applyBorder="1" applyAlignment="1">
      <alignment horizontal="center" vertical="center"/>
    </xf>
    <xf numFmtId="165" fontId="18" fillId="0" borderId="14" xfId="0" applyNumberFormat="1" applyFont="1" applyFill="1" applyBorder="1" applyAlignment="1">
      <alignment horizontal="center" vertical="center"/>
    </xf>
    <xf numFmtId="165" fontId="18" fillId="0" borderId="7" xfId="0" applyNumberFormat="1" applyFont="1" applyFill="1" applyBorder="1" applyAlignment="1">
      <alignment horizontal="center" vertical="center"/>
    </xf>
    <xf numFmtId="165" fontId="18" fillId="0" borderId="9" xfId="0" applyNumberFormat="1" applyFont="1" applyFill="1" applyBorder="1" applyAlignment="1">
      <alignment horizontal="center" vertical="center"/>
    </xf>
    <xf numFmtId="165" fontId="18" fillId="0" borderId="57" xfId="0" applyNumberFormat="1" applyFont="1" applyFill="1" applyBorder="1" applyAlignment="1">
      <alignment horizontal="center" vertical="center"/>
    </xf>
    <xf numFmtId="0" fontId="17" fillId="16" borderId="57" xfId="0" applyFont="1" applyFill="1" applyBorder="1" applyAlignment="1">
      <alignment horizontal="center" vertical="center"/>
    </xf>
    <xf numFmtId="165" fontId="32" fillId="0" borderId="0" xfId="31" applyNumberFormat="1" applyFont="1"/>
    <xf numFmtId="165" fontId="17" fillId="16" borderId="46" xfId="31" applyNumberFormat="1" applyFont="1" applyFill="1" applyBorder="1" applyAlignment="1">
      <alignment horizontal="center" vertical="center"/>
    </xf>
    <xf numFmtId="165" fontId="16" fillId="16" borderId="56" xfId="31" applyNumberFormat="1" applyFont="1" applyFill="1" applyBorder="1" applyAlignment="1">
      <alignment horizontal="right" vertical="center"/>
    </xf>
    <xf numFmtId="49" fontId="20" fillId="74" borderId="10" xfId="0" applyNumberFormat="1" applyFont="1" applyFill="1" applyBorder="1" applyAlignment="1">
      <alignment horizontal="center" vertical="center"/>
    </xf>
    <xf numFmtId="49" fontId="20" fillId="74" borderId="12" xfId="0" applyNumberFormat="1" applyFont="1" applyFill="1" applyBorder="1" applyAlignment="1">
      <alignment horizontal="center" vertical="center"/>
    </xf>
    <xf numFmtId="49" fontId="17" fillId="74" borderId="12" xfId="0" applyNumberFormat="1" applyFont="1" applyFill="1" applyBorder="1" applyAlignment="1">
      <alignment horizontal="center" vertical="center"/>
    </xf>
    <xf numFmtId="0" fontId="20" fillId="74" borderId="10" xfId="0" applyFont="1" applyFill="1" applyBorder="1" applyAlignment="1">
      <alignment horizontal="center" vertical="center"/>
    </xf>
    <xf numFmtId="165" fontId="16" fillId="74" borderId="59" xfId="0" applyNumberFormat="1" applyFont="1" applyFill="1" applyBorder="1" applyAlignment="1">
      <alignment vertical="center"/>
    </xf>
    <xf numFmtId="0" fontId="131" fillId="0" borderId="0" xfId="31" applyFont="1"/>
    <xf numFmtId="172" fontId="33" fillId="4" borderId="59" xfId="31" applyNumberFormat="1" applyFont="1" applyFill="1" applyBorder="1" applyAlignment="1">
      <alignment vertical="center"/>
    </xf>
    <xf numFmtId="165" fontId="16" fillId="17" borderId="58" xfId="31" applyNumberFormat="1" applyFont="1" applyFill="1" applyBorder="1" applyAlignment="1">
      <alignment horizontal="center" vertical="center"/>
    </xf>
    <xf numFmtId="165" fontId="16" fillId="17" borderId="56" xfId="31" applyNumberFormat="1" applyFont="1" applyFill="1" applyBorder="1" applyAlignment="1">
      <alignment horizontal="center" vertical="center"/>
    </xf>
    <xf numFmtId="165" fontId="16" fillId="17" borderId="56" xfId="31" applyNumberFormat="1" applyFont="1" applyFill="1" applyBorder="1" applyAlignment="1">
      <alignment horizontal="right" vertical="center"/>
    </xf>
    <xf numFmtId="172" fontId="33" fillId="4" borderId="59" xfId="31" applyNumberFormat="1" applyFont="1" applyFill="1" applyBorder="1" applyAlignment="1">
      <alignment horizontal="right"/>
    </xf>
    <xf numFmtId="165" fontId="33" fillId="4" borderId="59" xfId="31" applyNumberFormat="1" applyFont="1" applyFill="1" applyBorder="1" applyAlignment="1">
      <alignment horizontal="right"/>
    </xf>
    <xf numFmtId="165" fontId="17" fillId="4" borderId="59" xfId="31" applyNumberFormat="1" applyFont="1" applyFill="1" applyBorder="1" applyAlignment="1">
      <alignment horizontal="right" vertical="center"/>
    </xf>
    <xf numFmtId="165" fontId="33" fillId="17" borderId="59" xfId="31" applyNumberFormat="1" applyFont="1" applyFill="1" applyBorder="1" applyAlignment="1">
      <alignment horizontal="center" vertical="center"/>
    </xf>
    <xf numFmtId="165" fontId="33" fillId="4" borderId="59" xfId="31" applyNumberFormat="1" applyFont="1" applyFill="1" applyBorder="1" applyAlignment="1">
      <alignment horizontal="right" vertical="center"/>
    </xf>
    <xf numFmtId="1" fontId="17" fillId="5" borderId="57" xfId="31" applyNumberFormat="1" applyFont="1" applyFill="1" applyBorder="1" applyAlignment="1">
      <alignment horizontal="center"/>
    </xf>
    <xf numFmtId="1" fontId="17" fillId="5" borderId="58" xfId="31" applyNumberFormat="1" applyFont="1" applyFill="1" applyBorder="1" applyAlignment="1">
      <alignment horizontal="center"/>
    </xf>
    <xf numFmtId="1" fontId="17" fillId="5" borderId="46" xfId="31" applyNumberFormat="1" applyFont="1" applyFill="1" applyBorder="1" applyAlignment="1">
      <alignment horizontal="center" vertical="center"/>
    </xf>
    <xf numFmtId="1" fontId="17" fillId="5" borderId="56" xfId="31" applyNumberFormat="1" applyFont="1" applyFill="1" applyBorder="1" applyAlignment="1">
      <alignment horizontal="center" vertical="center"/>
    </xf>
    <xf numFmtId="0" fontId="17" fillId="5" borderId="46" xfId="31" applyFont="1" applyFill="1" applyBorder="1" applyAlignment="1">
      <alignment horizontal="center" vertical="top"/>
    </xf>
    <xf numFmtId="2" fontId="16" fillId="16" borderId="57" xfId="31" applyNumberFormat="1" applyFont="1" applyFill="1" applyBorder="1" applyAlignment="1">
      <alignment horizontal="right" vertical="center"/>
    </xf>
    <xf numFmtId="165" fontId="16" fillId="16" borderId="58" xfId="31" applyNumberFormat="1" applyFont="1" applyFill="1" applyBorder="1" applyAlignment="1">
      <alignment horizontal="right" vertical="center"/>
    </xf>
    <xf numFmtId="2" fontId="16" fillId="16" borderId="46" xfId="31" applyNumberFormat="1" applyFont="1" applyFill="1" applyBorder="1" applyAlignment="1">
      <alignment horizontal="right" vertical="center"/>
    </xf>
    <xf numFmtId="0" fontId="17" fillId="0" borderId="58" xfId="31" applyFont="1" applyBorder="1" applyAlignment="1">
      <alignment horizontal="left" wrapText="1"/>
    </xf>
    <xf numFmtId="165" fontId="39" fillId="5" borderId="57" xfId="31" applyNumberFormat="1" applyFont="1" applyFill="1" applyBorder="1" applyAlignment="1">
      <alignment horizontal="center" wrapText="1"/>
    </xf>
    <xf numFmtId="165" fontId="17" fillId="4" borderId="59" xfId="31" applyNumberFormat="1" applyFont="1" applyFill="1" applyBorder="1" applyAlignment="1">
      <alignment horizontal="right"/>
    </xf>
    <xf numFmtId="49" fontId="17" fillId="0" borderId="58" xfId="31" applyNumberFormat="1" applyFont="1" applyBorder="1" applyAlignment="1">
      <alignment horizontal="left"/>
    </xf>
    <xf numFmtId="165" fontId="17" fillId="0" borderId="58" xfId="31" applyNumberFormat="1" applyFont="1" applyBorder="1" applyAlignment="1">
      <alignment horizontal="left"/>
    </xf>
    <xf numFmtId="0" fontId="16" fillId="76" borderId="4" xfId="31" applyFont="1" applyFill="1" applyBorder="1"/>
    <xf numFmtId="0" fontId="16" fillId="0" borderId="0" xfId="0" applyFont="1" applyBorder="1"/>
    <xf numFmtId="165" fontId="24" fillId="0" borderId="56" xfId="31" applyNumberFormat="1" applyFont="1" applyBorder="1"/>
    <xf numFmtId="165" fontId="32" fillId="0" borderId="60" xfId="31" applyNumberFormat="1" applyFont="1" applyBorder="1" applyAlignment="1">
      <alignment horizontal="right" vertical="center"/>
    </xf>
    <xf numFmtId="165" fontId="132" fillId="16" borderId="4" xfId="31" applyNumberFormat="1" applyFont="1" applyFill="1" applyBorder="1" applyAlignment="1">
      <alignment horizontal="right" vertical="center"/>
    </xf>
    <xf numFmtId="49" fontId="17" fillId="74" borderId="59" xfId="0" applyNumberFormat="1" applyFont="1" applyFill="1" applyBorder="1" applyAlignment="1">
      <alignment horizontal="center" vertical="center"/>
    </xf>
    <xf numFmtId="3" fontId="36" fillId="0" borderId="0" xfId="0" applyNumberFormat="1" applyFont="1" applyAlignment="1">
      <alignment horizontal="center"/>
    </xf>
    <xf numFmtId="0" fontId="16" fillId="0" borderId="0" xfId="31" applyFont="1" applyAlignment="1">
      <alignment horizontal="left"/>
    </xf>
    <xf numFmtId="0" fontId="13" fillId="0" borderId="4" xfId="31" applyBorder="1"/>
    <xf numFmtId="1" fontId="17" fillId="5" borderId="0" xfId="31" applyNumberFormat="1" applyFont="1" applyFill="1" applyAlignment="1">
      <alignment horizontal="center" vertical="center"/>
    </xf>
    <xf numFmtId="0" fontId="17" fillId="0" borderId="2" xfId="31" applyFont="1" applyBorder="1" applyAlignment="1">
      <alignment horizontal="center" vertical="center"/>
    </xf>
    <xf numFmtId="165" fontId="16" fillId="4" borderId="0" xfId="31" applyNumberFormat="1" applyFont="1" applyFill="1" applyAlignment="1">
      <alignment horizontal="right" vertical="center"/>
    </xf>
    <xf numFmtId="165" fontId="32" fillId="4" borderId="0" xfId="31" applyNumberFormat="1" applyFont="1" applyFill="1" applyAlignment="1">
      <alignment horizontal="right" vertical="center"/>
    </xf>
    <xf numFmtId="2" fontId="16" fillId="0" borderId="2" xfId="31" quotePrefix="1" applyNumberFormat="1" applyFont="1" applyBorder="1" applyAlignment="1">
      <alignment horizontal="right" vertical="center"/>
    </xf>
    <xf numFmtId="165" fontId="16" fillId="0" borderId="0" xfId="31" quotePrefix="1" applyNumberFormat="1" applyFont="1" applyAlignment="1">
      <alignment horizontal="right" vertical="center"/>
    </xf>
    <xf numFmtId="165" fontId="16" fillId="0" borderId="0" xfId="31" applyNumberFormat="1" applyFont="1" applyAlignment="1">
      <alignment horizontal="right" vertical="center"/>
    </xf>
    <xf numFmtId="165" fontId="32" fillId="0" borderId="0" xfId="31" applyNumberFormat="1" applyFont="1" applyAlignment="1">
      <alignment horizontal="right" vertical="center"/>
    </xf>
    <xf numFmtId="165" fontId="16" fillId="6" borderId="0" xfId="31" applyNumberFormat="1" applyFont="1" applyFill="1" applyAlignment="1">
      <alignment horizontal="right" vertical="center"/>
    </xf>
    <xf numFmtId="165" fontId="16" fillId="4" borderId="0" xfId="31" applyNumberFormat="1" applyFont="1" applyFill="1"/>
    <xf numFmtId="165" fontId="32" fillId="16" borderId="0" xfId="31" applyNumberFormat="1" applyFont="1" applyFill="1" applyAlignment="1">
      <alignment horizontal="right" vertical="center"/>
    </xf>
    <xf numFmtId="165" fontId="16" fillId="16" borderId="0" xfId="31" applyNumberFormat="1" applyFont="1" applyFill="1" applyAlignment="1">
      <alignment horizontal="right" vertical="center"/>
    </xf>
    <xf numFmtId="165" fontId="32" fillId="16" borderId="0" xfId="31" applyNumberFormat="1" applyFont="1" applyFill="1"/>
    <xf numFmtId="2" fontId="16" fillId="0" borderId="11" xfId="31" applyNumberFormat="1" applyFont="1" applyBorder="1" applyAlignment="1">
      <alignment horizontal="right" vertical="center"/>
    </xf>
    <xf numFmtId="2" fontId="32" fillId="0" borderId="2" xfId="31" applyNumberFormat="1" applyFont="1" applyBorder="1" applyAlignment="1">
      <alignment horizontal="right" vertical="center"/>
    </xf>
    <xf numFmtId="165" fontId="16" fillId="16" borderId="0" xfId="31" applyNumberFormat="1" applyFont="1" applyFill="1"/>
    <xf numFmtId="0" fontId="17" fillId="0" borderId="46" xfId="31" applyFont="1" applyBorder="1" applyAlignment="1">
      <alignment horizontal="center" vertical="center"/>
    </xf>
    <xf numFmtId="2" fontId="16" fillId="0" borderId="46" xfId="31" applyNumberFormat="1" applyFont="1" applyBorder="1" applyAlignment="1">
      <alignment horizontal="right" vertical="center"/>
    </xf>
    <xf numFmtId="2" fontId="16" fillId="0" borderId="15" xfId="31" applyNumberFormat="1" applyFont="1" applyBorder="1" applyAlignment="1">
      <alignment horizontal="right" vertical="center"/>
    </xf>
    <xf numFmtId="165" fontId="16" fillId="0" borderId="56" xfId="31" applyNumberFormat="1" applyFont="1" applyBorder="1" applyAlignment="1">
      <alignment horizontal="right" vertical="center"/>
    </xf>
    <xf numFmtId="165" fontId="16" fillId="0" borderId="20" xfId="31" applyNumberFormat="1" applyFont="1" applyBorder="1" applyAlignment="1">
      <alignment horizontal="right" vertical="center"/>
    </xf>
    <xf numFmtId="165" fontId="16" fillId="6" borderId="0" xfId="31" quotePrefix="1" applyNumberFormat="1" applyFont="1" applyFill="1" applyAlignment="1">
      <alignment horizontal="right" vertical="center"/>
    </xf>
    <xf numFmtId="165" fontId="32" fillId="0" borderId="16" xfId="31" applyNumberFormat="1" applyFont="1" applyBorder="1"/>
    <xf numFmtId="165" fontId="32" fillId="0" borderId="11" xfId="31" applyNumberFormat="1" applyFont="1" applyBorder="1" applyAlignment="1">
      <alignment horizontal="right" vertical="center"/>
    </xf>
    <xf numFmtId="165" fontId="16" fillId="0" borderId="15" xfId="31" applyNumberFormat="1" applyFont="1" applyBorder="1" applyAlignment="1">
      <alignment horizontal="right" vertical="center"/>
    </xf>
    <xf numFmtId="165" fontId="16" fillId="0" borderId="61" xfId="31" applyNumberFormat="1" applyFont="1" applyBorder="1" applyAlignment="1">
      <alignment horizontal="right" vertical="center"/>
    </xf>
    <xf numFmtId="165" fontId="16" fillId="0" borderId="58" xfId="31" applyNumberFormat="1" applyFont="1" applyBorder="1" applyAlignment="1">
      <alignment horizontal="right" vertical="center"/>
    </xf>
    <xf numFmtId="0" fontId="16" fillId="16" borderId="2" xfId="31" applyFont="1" applyFill="1" applyBorder="1" applyAlignment="1">
      <alignment horizontal="center" vertical="center"/>
    </xf>
    <xf numFmtId="1" fontId="17" fillId="0" borderId="0" xfId="31" applyNumberFormat="1" applyFont="1" applyAlignment="1">
      <alignment horizontal="center" vertical="center"/>
    </xf>
    <xf numFmtId="165" fontId="17" fillId="0" borderId="2" xfId="31" applyNumberFormat="1" applyFont="1" applyBorder="1" applyAlignment="1">
      <alignment horizontal="center" vertical="center"/>
    </xf>
    <xf numFmtId="165" fontId="39" fillId="5" borderId="57" xfId="31" applyNumberFormat="1" applyFont="1" applyFill="1" applyBorder="1" applyAlignment="1">
      <alignment horizontal="center" vertical="center" wrapText="1"/>
    </xf>
    <xf numFmtId="165" fontId="17" fillId="16" borderId="57" xfId="31" applyNumberFormat="1" applyFont="1" applyFill="1" applyBorder="1" applyAlignment="1">
      <alignment horizontal="center" vertical="center"/>
    </xf>
    <xf numFmtId="0" fontId="17" fillId="16" borderId="57" xfId="31" applyFont="1" applyFill="1" applyBorder="1" applyAlignment="1">
      <alignment horizontal="center" vertical="center"/>
    </xf>
    <xf numFmtId="0" fontId="133" fillId="0" borderId="0" xfId="31" applyFont="1" applyAlignment="1">
      <alignment horizontal="center"/>
    </xf>
    <xf numFmtId="0" fontId="133" fillId="0" borderId="0" xfId="31" applyFont="1"/>
    <xf numFmtId="0" fontId="130" fillId="0" borderId="2" xfId="31" applyFont="1" applyBorder="1" applyAlignment="1">
      <alignment horizontal="center" vertical="center"/>
    </xf>
    <xf numFmtId="2" fontId="131" fillId="0" borderId="2" xfId="31" applyNumberFormat="1" applyFont="1" applyBorder="1" applyAlignment="1">
      <alignment horizontal="right" vertical="center"/>
    </xf>
    <xf numFmtId="165" fontId="131" fillId="0" borderId="6" xfId="31" applyNumberFormat="1" applyFont="1" applyBorder="1" applyAlignment="1">
      <alignment horizontal="right" vertical="center"/>
    </xf>
    <xf numFmtId="165" fontId="131" fillId="0" borderId="0" xfId="31" applyNumberFormat="1" applyFont="1" applyAlignment="1">
      <alignment horizontal="right" vertical="center"/>
    </xf>
    <xf numFmtId="165" fontId="132" fillId="0" borderId="0" xfId="31" applyNumberFormat="1" applyFont="1" applyAlignment="1">
      <alignment horizontal="right" vertical="center"/>
    </xf>
    <xf numFmtId="165" fontId="131" fillId="74" borderId="0" xfId="31" applyNumberFormat="1" applyFont="1" applyFill="1" applyAlignment="1">
      <alignment horizontal="right" vertical="center"/>
    </xf>
    <xf numFmtId="0" fontId="19" fillId="0" borderId="0" xfId="0" quotePrefix="1" applyFont="1" applyAlignment="1">
      <alignment horizontal="left" vertical="top"/>
    </xf>
    <xf numFmtId="0" fontId="17" fillId="0" borderId="47" xfId="0" applyFont="1" applyBorder="1" applyAlignment="1">
      <alignment horizontal="left" vertical="center"/>
    </xf>
    <xf numFmtId="1" fontId="17" fillId="4" borderId="2" xfId="0" applyNumberFormat="1" applyFont="1" applyFill="1" applyBorder="1" applyAlignment="1">
      <alignment horizontal="center" vertical="center"/>
    </xf>
    <xf numFmtId="2" fontId="16" fillId="0" borderId="14" xfId="0" quotePrefix="1" applyNumberFormat="1" applyFont="1" applyBorder="1" applyAlignment="1">
      <alignment horizontal="right" vertical="center"/>
    </xf>
    <xf numFmtId="2" fontId="16" fillId="0" borderId="58" xfId="0" quotePrefix="1" applyNumberFormat="1" applyFont="1" applyBorder="1" applyAlignment="1">
      <alignment horizontal="right" vertical="center"/>
    </xf>
    <xf numFmtId="2" fontId="16" fillId="0" borderId="58" xfId="0" applyNumberFormat="1" applyFont="1" applyBorder="1" applyAlignment="1">
      <alignment horizontal="right" vertical="center"/>
    </xf>
    <xf numFmtId="165" fontId="33" fillId="0" borderId="2" xfId="0" applyNumberFormat="1" applyFont="1" applyBorder="1" applyAlignment="1">
      <alignment horizontal="right" vertical="center"/>
    </xf>
    <xf numFmtId="2" fontId="16" fillId="0" borderId="6" xfId="0" quotePrefix="1" applyNumberFormat="1" applyFont="1" applyBorder="1" applyAlignment="1">
      <alignment horizontal="right" vertical="center"/>
    </xf>
    <xf numFmtId="2" fontId="16" fillId="0" borderId="0" xfId="0" quotePrefix="1" applyNumberFormat="1" applyFont="1" applyAlignment="1">
      <alignment horizontal="right" vertical="center"/>
    </xf>
    <xf numFmtId="2" fontId="16" fillId="0" borderId="0" xfId="0" applyNumberFormat="1" applyFont="1" applyAlignment="1">
      <alignment horizontal="right" vertical="center"/>
    </xf>
    <xf numFmtId="2" fontId="16" fillId="0" borderId="51" xfId="0" applyNumberFormat="1" applyFont="1" applyBorder="1" applyAlignment="1">
      <alignment horizontal="right" vertical="center"/>
    </xf>
    <xf numFmtId="2" fontId="16" fillId="0" borderId="6" xfId="0" applyNumberFormat="1" applyFont="1" applyBorder="1" applyAlignment="1">
      <alignment horizontal="right" vertical="center"/>
    </xf>
    <xf numFmtId="2" fontId="32" fillId="0" borderId="0" xfId="0" applyNumberFormat="1" applyFont="1" applyAlignment="1">
      <alignment horizontal="right" vertical="center"/>
    </xf>
    <xf numFmtId="2" fontId="16" fillId="0" borderId="17" xfId="0" applyNumberFormat="1" applyFont="1" applyBorder="1" applyAlignment="1">
      <alignment horizontal="right" vertical="center"/>
    </xf>
    <xf numFmtId="2" fontId="32" fillId="0" borderId="6" xfId="0" applyNumberFormat="1" applyFont="1" applyBorder="1" applyAlignment="1">
      <alignment horizontal="right" vertical="center"/>
    </xf>
    <xf numFmtId="1" fontId="17" fillId="4" borderId="6" xfId="0" applyNumberFormat="1" applyFont="1" applyFill="1" applyBorder="1" applyAlignment="1">
      <alignment horizontal="center" vertical="center"/>
    </xf>
    <xf numFmtId="165" fontId="17" fillId="0" borderId="2" xfId="0" applyNumberFormat="1" applyFont="1" applyBorder="1" applyAlignment="1">
      <alignment horizontal="right" vertical="center"/>
    </xf>
    <xf numFmtId="0" fontId="17" fillId="0" borderId="0" xfId="0" applyFont="1" applyAlignment="1">
      <alignment horizontal="left" wrapText="1"/>
    </xf>
    <xf numFmtId="1" fontId="17" fillId="0" borderId="0" xfId="0" applyNumberFormat="1" applyFont="1" applyAlignment="1">
      <alignment horizontal="center" vertical="center"/>
    </xf>
    <xf numFmtId="0" fontId="16" fillId="0" borderId="0" xfId="0" applyFont="1" applyAlignment="1">
      <alignment horizontal="center" vertical="center"/>
    </xf>
    <xf numFmtId="0" fontId="32" fillId="0" borderId="0" xfId="0" applyFont="1" applyAlignment="1">
      <alignment horizontal="center" vertical="center"/>
    </xf>
    <xf numFmtId="0" fontId="33" fillId="0" borderId="0" xfId="0" applyFont="1" applyAlignment="1">
      <alignment horizontal="center" vertical="center"/>
    </xf>
    <xf numFmtId="1" fontId="17" fillId="4" borderId="57" xfId="0" applyNumberFormat="1" applyFont="1" applyFill="1" applyBorder="1" applyAlignment="1">
      <alignment horizontal="center" vertical="center"/>
    </xf>
    <xf numFmtId="165" fontId="16" fillId="0" borderId="57" xfId="0" applyNumberFormat="1" applyFont="1" applyBorder="1" applyAlignment="1">
      <alignment horizontal="center" vertical="center"/>
    </xf>
    <xf numFmtId="2" fontId="32" fillId="0" borderId="0" xfId="0" applyNumberFormat="1" applyFont="1" applyBorder="1" applyAlignment="1">
      <alignment horizontal="right" vertical="center"/>
    </xf>
    <xf numFmtId="2" fontId="16" fillId="0" borderId="0" xfId="0" applyNumberFormat="1" applyFont="1" applyBorder="1" applyAlignment="1">
      <alignment horizontal="right" vertical="center"/>
    </xf>
    <xf numFmtId="0" fontId="39" fillId="16" borderId="57" xfId="31" applyFont="1" applyFill="1" applyBorder="1" applyAlignment="1">
      <alignment horizontal="center" wrapText="1"/>
    </xf>
    <xf numFmtId="165" fontId="32" fillId="16" borderId="56" xfId="31" applyNumberFormat="1" applyFont="1" applyFill="1" applyBorder="1" applyAlignment="1">
      <alignment horizontal="right" vertical="center"/>
    </xf>
    <xf numFmtId="165" fontId="32" fillId="0" borderId="58" xfId="31" applyNumberFormat="1" applyFont="1" applyBorder="1" applyAlignment="1">
      <alignment horizontal="right" vertical="center"/>
    </xf>
    <xf numFmtId="0" fontId="17" fillId="4" borderId="4" xfId="31" applyFont="1" applyFill="1" applyBorder="1" applyAlignment="1">
      <alignment horizontal="center" vertical="center"/>
    </xf>
    <xf numFmtId="0" fontId="17" fillId="16" borderId="4" xfId="31" applyFont="1" applyFill="1" applyBorder="1" applyAlignment="1">
      <alignment horizontal="center" vertical="center"/>
    </xf>
    <xf numFmtId="165" fontId="17" fillId="5" borderId="57" xfId="31" applyNumberFormat="1" applyFont="1" applyFill="1" applyBorder="1" applyAlignment="1">
      <alignment horizontal="center" vertical="top"/>
    </xf>
    <xf numFmtId="165" fontId="28" fillId="4" borderId="2" xfId="31" applyNumberFormat="1" applyFont="1" applyFill="1" applyBorder="1" applyAlignment="1">
      <alignment horizontal="center" vertical="center"/>
    </xf>
    <xf numFmtId="165" fontId="130" fillId="4" borderId="2" xfId="31" applyNumberFormat="1" applyFont="1" applyFill="1" applyBorder="1" applyAlignment="1">
      <alignment horizontal="center" vertical="center"/>
    </xf>
    <xf numFmtId="0" fontId="130" fillId="4" borderId="2" xfId="31" applyFont="1" applyFill="1" applyBorder="1" applyAlignment="1">
      <alignment horizontal="center" vertical="center"/>
    </xf>
    <xf numFmtId="0" fontId="17" fillId="16" borderId="10" xfId="0" applyFont="1" applyFill="1" applyBorder="1" applyAlignment="1">
      <alignment horizontal="center" vertical="center"/>
    </xf>
    <xf numFmtId="165" fontId="132" fillId="0" borderId="0" xfId="31" applyNumberFormat="1" applyFont="1"/>
    <xf numFmtId="165" fontId="131" fillId="16" borderId="56" xfId="31" applyNumberFormat="1" applyFont="1" applyFill="1" applyBorder="1" applyAlignment="1">
      <alignment horizontal="right" vertical="center"/>
    </xf>
    <xf numFmtId="165" fontId="132" fillId="16" borderId="58" xfId="31" applyNumberFormat="1" applyFont="1" applyFill="1" applyBorder="1" applyAlignment="1">
      <alignment horizontal="right" vertical="center"/>
    </xf>
    <xf numFmtId="165" fontId="18" fillId="0" borderId="53" xfId="0" applyNumberFormat="1" applyFont="1" applyFill="1" applyBorder="1" applyAlignment="1">
      <alignment horizontal="center" vertical="center"/>
    </xf>
    <xf numFmtId="0" fontId="39" fillId="4" borderId="48" xfId="0" applyFont="1" applyFill="1" applyBorder="1" applyAlignment="1">
      <alignment horizontal="center" vertical="center"/>
    </xf>
    <xf numFmtId="165" fontId="18" fillId="0" borderId="59" xfId="0" applyNumberFormat="1" applyFont="1" applyFill="1" applyBorder="1" applyAlignment="1">
      <alignment horizontal="center" vertical="center"/>
    </xf>
    <xf numFmtId="0" fontId="39" fillId="4" borderId="5" xfId="0" applyFont="1" applyFill="1" applyBorder="1" applyAlignment="1">
      <alignment horizontal="center" vertical="center" wrapText="1"/>
    </xf>
    <xf numFmtId="0" fontId="128" fillId="4" borderId="46" xfId="0" applyFont="1" applyFill="1" applyBorder="1" applyAlignment="1">
      <alignment horizontal="center" vertical="center" wrapText="1"/>
    </xf>
    <xf numFmtId="165" fontId="32" fillId="16" borderId="48" xfId="31" applyNumberFormat="1" applyFont="1" applyFill="1" applyBorder="1" applyAlignment="1">
      <alignment horizontal="right" vertical="center"/>
    </xf>
    <xf numFmtId="0" fontId="17" fillId="16" borderId="5" xfId="0" applyFont="1" applyFill="1" applyBorder="1" applyAlignment="1">
      <alignment horizontal="center" vertical="center"/>
    </xf>
    <xf numFmtId="165" fontId="16" fillId="4" borderId="56" xfId="31" applyNumberFormat="1" applyFont="1" applyFill="1" applyBorder="1" applyAlignment="1">
      <alignment horizontal="right" vertical="center"/>
    </xf>
    <xf numFmtId="165" fontId="16" fillId="0" borderId="0" xfId="0" applyNumberFormat="1" applyFont="1" applyFill="1" applyAlignment="1">
      <alignment horizontal="center" vertical="center"/>
    </xf>
    <xf numFmtId="0" fontId="0" fillId="0" borderId="53" xfId="0" applyBorder="1"/>
    <xf numFmtId="165" fontId="18" fillId="74" borderId="4" xfId="0" applyNumberFormat="1" applyFont="1" applyFill="1" applyBorder="1" applyAlignment="1">
      <alignment horizontal="right" vertical="center"/>
    </xf>
    <xf numFmtId="165" fontId="16" fillId="74" borderId="13" xfId="0" applyNumberFormat="1" applyFont="1" applyFill="1" applyBorder="1" applyAlignment="1">
      <alignment vertical="center"/>
    </xf>
    <xf numFmtId="165" fontId="17" fillId="0" borderId="2" xfId="0" applyNumberFormat="1" applyFont="1" applyFill="1" applyBorder="1" applyAlignment="1">
      <alignment horizontal="right" vertical="center"/>
    </xf>
    <xf numFmtId="165" fontId="16" fillId="17" borderId="62" xfId="31" applyNumberFormat="1" applyFont="1" applyFill="1" applyBorder="1" applyAlignment="1">
      <alignment horizontal="center" vertical="center"/>
    </xf>
    <xf numFmtId="168" fontId="0" fillId="0" borderId="6" xfId="0" applyNumberFormat="1" applyBorder="1"/>
    <xf numFmtId="165" fontId="16" fillId="0" borderId="0" xfId="0" applyNumberFormat="1" applyFont="1" applyAlignment="1">
      <alignment horizontal="right" vertical="center"/>
    </xf>
    <xf numFmtId="0" fontId="17" fillId="0" borderId="5" xfId="31" applyFont="1" applyBorder="1" applyAlignment="1">
      <alignment horizontal="center" vertical="center"/>
    </xf>
    <xf numFmtId="0" fontId="16" fillId="0" borderId="21" xfId="31" applyFont="1" applyBorder="1"/>
    <xf numFmtId="1" fontId="16" fillId="0" borderId="0" xfId="31" applyNumberFormat="1" applyFont="1"/>
    <xf numFmtId="0" fontId="24" fillId="0" borderId="0" xfId="0" applyFont="1" applyAlignment="1">
      <alignment horizontal="center"/>
    </xf>
    <xf numFmtId="165" fontId="16" fillId="0" borderId="0" xfId="0" applyNumberFormat="1" applyFont="1"/>
    <xf numFmtId="0" fontId="16" fillId="0" borderId="62" xfId="31" applyFont="1" applyBorder="1" applyAlignment="1">
      <alignment wrapText="1"/>
    </xf>
    <xf numFmtId="0" fontId="16" fillId="0" borderId="62" xfId="31" applyFont="1" applyBorder="1"/>
    <xf numFmtId="2" fontId="16" fillId="0" borderId="4" xfId="0" applyNumberFormat="1" applyFont="1" applyBorder="1" applyAlignment="1">
      <alignment horizontal="right" vertical="center"/>
    </xf>
    <xf numFmtId="0" fontId="17" fillId="0" borderId="0" xfId="0" applyFont="1" applyBorder="1" applyAlignment="1">
      <alignment horizontal="left" wrapText="1"/>
    </xf>
    <xf numFmtId="0" fontId="16" fillId="78" borderId="0" xfId="0" applyFont="1" applyFill="1"/>
    <xf numFmtId="165" fontId="17" fillId="0" borderId="46" xfId="31" applyNumberFormat="1" applyFont="1" applyBorder="1" applyAlignment="1">
      <alignment horizontal="center" vertical="center"/>
    </xf>
    <xf numFmtId="0" fontId="16" fillId="0" borderId="0" xfId="31" applyFont="1" applyAlignment="1">
      <alignment horizontal="center" wrapText="1"/>
    </xf>
    <xf numFmtId="49" fontId="17" fillId="0" borderId="0" xfId="31" applyNumberFormat="1" applyFont="1" applyAlignment="1">
      <alignment vertical="top" wrapText="1"/>
    </xf>
    <xf numFmtId="49" fontId="17" fillId="0" borderId="58" xfId="31" applyNumberFormat="1" applyFont="1" applyBorder="1" applyAlignment="1">
      <alignment horizontal="left" wrapText="1"/>
    </xf>
    <xf numFmtId="165" fontId="131" fillId="16" borderId="4" xfId="31" applyNumberFormat="1" applyFont="1" applyFill="1" applyBorder="1" applyAlignment="1">
      <alignment horizontal="right" vertical="center"/>
    </xf>
    <xf numFmtId="1" fontId="134" fillId="0" borderId="0" xfId="0" applyNumberFormat="1" applyFont="1"/>
    <xf numFmtId="0" fontId="17" fillId="0" borderId="0" xfId="31" applyFont="1" applyAlignment="1">
      <alignment horizontal="center" vertical="top"/>
    </xf>
    <xf numFmtId="0" fontId="16" fillId="79" borderId="0" xfId="31" applyFont="1" applyFill="1"/>
    <xf numFmtId="0" fontId="16" fillId="0" borderId="0" xfId="0" applyFont="1" applyAlignment="1">
      <alignment vertical="center"/>
    </xf>
    <xf numFmtId="0" fontId="17" fillId="5" borderId="59" xfId="0" applyFont="1" applyFill="1" applyBorder="1" applyAlignment="1">
      <alignment horizontal="center" vertical="center" wrapText="1"/>
    </xf>
    <xf numFmtId="0" fontId="17" fillId="0" borderId="0" xfId="0" applyFont="1" applyAlignment="1">
      <alignment horizontal="center" vertical="center" wrapText="1"/>
    </xf>
    <xf numFmtId="165" fontId="33" fillId="4" borderId="59" xfId="0" applyNumberFormat="1" applyFont="1" applyFill="1" applyBorder="1" applyAlignment="1">
      <alignment horizontal="right"/>
    </xf>
    <xf numFmtId="0" fontId="17" fillId="0" borderId="2" xfId="0" applyFont="1" applyBorder="1" applyAlignment="1">
      <alignment horizontal="center" vertical="center"/>
    </xf>
    <xf numFmtId="165" fontId="32" fillId="4" borderId="0" xfId="31" applyNumberFormat="1" applyFont="1" applyFill="1"/>
    <xf numFmtId="165" fontId="32" fillId="0" borderId="0" xfId="31" quotePrefix="1" applyNumberFormat="1" applyFont="1" applyAlignment="1">
      <alignment horizontal="right" vertical="center"/>
    </xf>
    <xf numFmtId="165" fontId="32" fillId="0" borderId="4" xfId="31" quotePrefix="1" applyNumberFormat="1" applyFont="1" applyBorder="1" applyAlignment="1">
      <alignment horizontal="right" vertical="center"/>
    </xf>
    <xf numFmtId="165" fontId="32" fillId="4" borderId="0" xfId="31" applyNumberFormat="1" applyFont="1" applyFill="1" applyAlignment="1">
      <alignment horizontal="right"/>
    </xf>
    <xf numFmtId="0" fontId="17" fillId="0" borderId="46" xfId="0" applyFont="1" applyBorder="1" applyAlignment="1">
      <alignment horizontal="center" vertical="center"/>
    </xf>
    <xf numFmtId="165" fontId="32" fillId="0" borderId="48" xfId="31" applyNumberFormat="1" applyFont="1" applyBorder="1" applyAlignment="1">
      <alignment horizontal="right" vertical="center"/>
    </xf>
    <xf numFmtId="165" fontId="32" fillId="0" borderId="56" xfId="31" applyNumberFormat="1" applyFont="1" applyBorder="1" applyAlignment="1">
      <alignment horizontal="right" vertical="center"/>
    </xf>
    <xf numFmtId="165" fontId="32" fillId="0" borderId="62" xfId="31" applyNumberFormat="1" applyFont="1" applyBorder="1" applyAlignment="1">
      <alignment horizontal="right" vertical="center"/>
    </xf>
    <xf numFmtId="165" fontId="32" fillId="16" borderId="62" xfId="31" applyNumberFormat="1" applyFont="1" applyFill="1" applyBorder="1" applyAlignment="1">
      <alignment horizontal="right" vertical="center"/>
    </xf>
    <xf numFmtId="165" fontId="16" fillId="16" borderId="0" xfId="0" applyNumberFormat="1" applyFont="1" applyFill="1" applyAlignment="1">
      <alignment horizontal="right" vertical="center"/>
    </xf>
    <xf numFmtId="2" fontId="16" fillId="0" borderId="0" xfId="0" applyNumberFormat="1" applyFont="1" applyAlignment="1">
      <alignment vertical="center"/>
    </xf>
    <xf numFmtId="165" fontId="33" fillId="4" borderId="59" xfId="0" applyNumberFormat="1" applyFont="1" applyFill="1" applyBorder="1" applyAlignment="1">
      <alignment horizontal="center"/>
    </xf>
    <xf numFmtId="0" fontId="23" fillId="0" borderId="0" xfId="31" applyFont="1" applyAlignment="1">
      <alignment vertical="top"/>
    </xf>
    <xf numFmtId="0" fontId="23" fillId="0" borderId="0" xfId="31" quotePrefix="1" applyFont="1" applyAlignment="1">
      <alignment horizontal="right"/>
    </xf>
    <xf numFmtId="0" fontId="19" fillId="0" borderId="0" xfId="31" quotePrefix="1" applyFont="1" applyAlignment="1">
      <alignment horizontal="right"/>
    </xf>
    <xf numFmtId="0" fontId="19" fillId="0" borderId="0" xfId="31" quotePrefix="1" applyFont="1" applyAlignment="1">
      <alignment horizontal="right" vertical="top"/>
    </xf>
    <xf numFmtId="0" fontId="16" fillId="0" borderId="0" xfId="31" applyFont="1" applyAlignment="1">
      <alignment horizontal="right" vertical="center"/>
    </xf>
    <xf numFmtId="176" fontId="16" fillId="0" borderId="0" xfId="31" applyNumberFormat="1" applyFont="1" applyAlignment="1">
      <alignment horizontal="right" vertical="center"/>
    </xf>
    <xf numFmtId="0" fontId="13" fillId="0" borderId="62" xfId="31" applyBorder="1"/>
    <xf numFmtId="165" fontId="132" fillId="4" borderId="0" xfId="31" applyNumberFormat="1" applyFont="1" applyFill="1" applyAlignment="1">
      <alignment horizontal="right" vertical="center"/>
    </xf>
    <xf numFmtId="165" fontId="131" fillId="6" borderId="0" xfId="31" applyNumberFormat="1" applyFont="1" applyFill="1" applyAlignment="1">
      <alignment horizontal="right" vertical="center"/>
    </xf>
    <xf numFmtId="165" fontId="131" fillId="4" borderId="0" xfId="31" applyNumberFormat="1" applyFont="1" applyFill="1"/>
    <xf numFmtId="165" fontId="131" fillId="4" borderId="0" xfId="31" applyNumberFormat="1" applyFont="1" applyFill="1" applyAlignment="1">
      <alignment horizontal="right" vertical="center"/>
    </xf>
    <xf numFmtId="165" fontId="130" fillId="0" borderId="2" xfId="31" applyNumberFormat="1" applyFont="1" applyBorder="1" applyAlignment="1">
      <alignment horizontal="center" vertical="center"/>
    </xf>
    <xf numFmtId="165" fontId="131" fillId="16" borderId="0" xfId="31" applyNumberFormat="1" applyFont="1" applyFill="1" applyAlignment="1">
      <alignment horizontal="right" vertical="center"/>
    </xf>
    <xf numFmtId="165" fontId="132" fillId="16" borderId="0" xfId="31" applyNumberFormat="1" applyFont="1" applyFill="1" applyAlignment="1">
      <alignment horizontal="right" vertical="center"/>
    </xf>
    <xf numFmtId="2" fontId="16" fillId="0" borderId="4" xfId="31" applyNumberFormat="1" applyFont="1" applyBorder="1" applyAlignment="1">
      <alignment horizontal="right" vertical="center"/>
    </xf>
    <xf numFmtId="165" fontId="131" fillId="0" borderId="4" xfId="31" applyNumberFormat="1" applyFont="1" applyBorder="1" applyAlignment="1">
      <alignment horizontal="right" vertical="center"/>
    </xf>
    <xf numFmtId="165" fontId="132" fillId="0" borderId="4" xfId="31" applyNumberFormat="1" applyFont="1" applyBorder="1" applyAlignment="1">
      <alignment horizontal="right" vertical="center"/>
    </xf>
    <xf numFmtId="2" fontId="16" fillId="0" borderId="5" xfId="31" applyNumberFormat="1" applyFont="1" applyBorder="1" applyAlignment="1">
      <alignment horizontal="right" vertical="center"/>
    </xf>
    <xf numFmtId="165" fontId="16" fillId="0" borderId="59" xfId="31" applyNumberFormat="1" applyFont="1" applyBorder="1" applyAlignment="1">
      <alignment horizontal="right" vertical="center"/>
    </xf>
    <xf numFmtId="165" fontId="16" fillId="0" borderId="55" xfId="31" applyNumberFormat="1" applyFont="1" applyBorder="1" applyAlignment="1">
      <alignment horizontal="right" vertical="center"/>
    </xf>
    <xf numFmtId="165" fontId="16" fillId="0" borderId="54" xfId="31" applyNumberFormat="1" applyFont="1" applyBorder="1" applyAlignment="1">
      <alignment horizontal="right" vertical="center"/>
    </xf>
    <xf numFmtId="165" fontId="131" fillId="0" borderId="56" xfId="31" applyNumberFormat="1" applyFont="1" applyBorder="1" applyAlignment="1">
      <alignment horizontal="right" vertical="center"/>
    </xf>
    <xf numFmtId="0" fontId="17" fillId="0" borderId="0" xfId="31" applyFont="1" applyAlignment="1">
      <alignment horizontal="left" wrapText="1"/>
    </xf>
    <xf numFmtId="0" fontId="16" fillId="0" borderId="0" xfId="31" quotePrefix="1" applyFont="1" applyAlignment="1">
      <alignment horizontal="left" vertical="center"/>
    </xf>
    <xf numFmtId="0" fontId="16" fillId="0" borderId="0" xfId="31" applyFont="1" applyAlignment="1">
      <alignment horizontal="left" vertical="center"/>
    </xf>
    <xf numFmtId="0" fontId="28" fillId="0" borderId="0" xfId="31" applyFont="1" applyAlignment="1">
      <alignment horizontal="left" vertical="center"/>
    </xf>
    <xf numFmtId="165" fontId="28" fillId="0" borderId="0" xfId="31" applyNumberFormat="1" applyFont="1" applyAlignment="1">
      <alignment horizontal="left" vertical="center"/>
    </xf>
    <xf numFmtId="0" fontId="130" fillId="0" borderId="0" xfId="31" applyFont="1" applyAlignment="1">
      <alignment vertical="top"/>
    </xf>
    <xf numFmtId="165" fontId="135" fillId="4" borderId="59" xfId="31" applyNumberFormat="1" applyFont="1" applyFill="1" applyBorder="1" applyAlignment="1">
      <alignment horizontal="right"/>
    </xf>
    <xf numFmtId="0" fontId="17" fillId="0" borderId="4" xfId="31" applyFont="1" applyBorder="1" applyAlignment="1">
      <alignment horizontal="center" vertical="center"/>
    </xf>
    <xf numFmtId="0" fontId="17" fillId="0" borderId="62" xfId="31" applyFont="1" applyBorder="1" applyAlignment="1">
      <alignment horizontal="center" vertical="center"/>
    </xf>
    <xf numFmtId="0" fontId="17" fillId="16" borderId="62" xfId="31" applyFont="1" applyFill="1" applyBorder="1" applyAlignment="1">
      <alignment horizontal="center" vertical="center"/>
    </xf>
    <xf numFmtId="165" fontId="132" fillId="0" borderId="58" xfId="31" applyNumberFormat="1" applyFont="1" applyBorder="1" applyAlignment="1">
      <alignment horizontal="right" vertical="center"/>
    </xf>
    <xf numFmtId="2" fontId="16" fillId="16" borderId="2" xfId="31" quotePrefix="1" applyNumberFormat="1" applyFont="1" applyFill="1" applyBorder="1" applyAlignment="1">
      <alignment horizontal="right" vertical="center"/>
    </xf>
    <xf numFmtId="165" fontId="16" fillId="16" borderId="0" xfId="31" quotePrefix="1" applyNumberFormat="1" applyFont="1" applyFill="1" applyAlignment="1">
      <alignment horizontal="right" vertical="center"/>
    </xf>
    <xf numFmtId="165" fontId="32" fillId="0" borderId="0" xfId="31" applyNumberFormat="1" applyFont="1" applyAlignment="1">
      <alignment vertical="top"/>
    </xf>
    <xf numFmtId="1" fontId="16" fillId="16" borderId="0" xfId="31" applyNumberFormat="1" applyFont="1" applyFill="1"/>
    <xf numFmtId="165" fontId="132" fillId="16" borderId="56" xfId="31" applyNumberFormat="1" applyFont="1" applyFill="1" applyBorder="1" applyAlignment="1">
      <alignment horizontal="right" vertical="center"/>
    </xf>
    <xf numFmtId="2" fontId="32" fillId="0" borderId="5" xfId="31" applyNumberFormat="1" applyFont="1" applyBorder="1" applyAlignment="1">
      <alignment horizontal="right" vertical="center"/>
    </xf>
    <xf numFmtId="165" fontId="32" fillId="0" borderId="59" xfId="31" applyNumberFormat="1" applyFont="1" applyBorder="1" applyAlignment="1">
      <alignment horizontal="right" vertical="center"/>
    </xf>
    <xf numFmtId="165" fontId="32" fillId="0" borderId="54" xfId="31" applyNumberFormat="1" applyFont="1" applyBorder="1" applyAlignment="1">
      <alignment horizontal="right" vertical="center"/>
    </xf>
    <xf numFmtId="0" fontId="17" fillId="0" borderId="0" xfId="31" quotePrefix="1" applyFont="1" applyAlignment="1">
      <alignment horizontal="left" vertical="center"/>
    </xf>
    <xf numFmtId="0" fontId="32" fillId="0" borderId="0" xfId="31" applyFont="1" applyAlignment="1">
      <alignment horizontal="left" vertical="center"/>
    </xf>
    <xf numFmtId="1" fontId="17" fillId="5" borderId="58" xfId="31" applyNumberFormat="1" applyFont="1" applyFill="1" applyBorder="1"/>
    <xf numFmtId="1" fontId="17" fillId="5" borderId="63" xfId="31" applyNumberFormat="1" applyFont="1" applyFill="1" applyBorder="1"/>
    <xf numFmtId="165" fontId="39" fillId="5" borderId="63" xfId="31" applyNumberFormat="1" applyFont="1" applyFill="1" applyBorder="1" applyAlignment="1">
      <alignment horizontal="center" wrapText="1"/>
    </xf>
    <xf numFmtId="1" fontId="17" fillId="5" borderId="0" xfId="31" applyNumberFormat="1" applyFont="1" applyFill="1" applyAlignment="1">
      <alignment vertical="center"/>
    </xf>
    <xf numFmtId="165" fontId="131" fillId="4" borderId="4" xfId="31" applyNumberFormat="1" applyFont="1" applyFill="1" applyBorder="1" applyAlignment="1">
      <alignment horizontal="right" vertical="center"/>
    </xf>
    <xf numFmtId="165" fontId="131" fillId="6" borderId="4" xfId="31" applyNumberFormat="1" applyFont="1" applyFill="1" applyBorder="1" applyAlignment="1">
      <alignment horizontal="right" vertical="center"/>
    </xf>
    <xf numFmtId="165" fontId="32" fillId="6" borderId="0" xfId="31" applyNumberFormat="1" applyFont="1" applyFill="1" applyAlignment="1">
      <alignment horizontal="right" vertical="center"/>
    </xf>
    <xf numFmtId="165" fontId="132" fillId="4" borderId="4" xfId="31" applyNumberFormat="1" applyFont="1" applyFill="1" applyBorder="1" applyAlignment="1">
      <alignment horizontal="right" vertical="center"/>
    </xf>
    <xf numFmtId="2" fontId="16" fillId="0" borderId="6" xfId="31" applyNumberFormat="1" applyFont="1" applyBorder="1" applyAlignment="1">
      <alignment horizontal="right" vertical="center"/>
    </xf>
    <xf numFmtId="165" fontId="16" fillId="0" borderId="6" xfId="31" applyNumberFormat="1" applyFont="1" applyBorder="1" applyAlignment="1">
      <alignment horizontal="right" vertical="center"/>
    </xf>
    <xf numFmtId="165" fontId="17" fillId="0" borderId="4" xfId="31" applyNumberFormat="1" applyFont="1" applyBorder="1" applyAlignment="1">
      <alignment horizontal="center" vertical="center"/>
    </xf>
    <xf numFmtId="165" fontId="17" fillId="16" borderId="4" xfId="31" applyNumberFormat="1" applyFont="1" applyFill="1" applyBorder="1" applyAlignment="1">
      <alignment horizontal="center" vertical="center"/>
    </xf>
    <xf numFmtId="165" fontId="131" fillId="0" borderId="62" xfId="31" applyNumberFormat="1" applyFont="1" applyBorder="1" applyAlignment="1">
      <alignment horizontal="right" vertical="center"/>
    </xf>
    <xf numFmtId="165" fontId="17" fillId="0" borderId="62" xfId="31" applyNumberFormat="1" applyFont="1" applyBorder="1" applyAlignment="1">
      <alignment horizontal="center" vertical="center"/>
    </xf>
    <xf numFmtId="165" fontId="131" fillId="16" borderId="63" xfId="31" applyNumberFormat="1" applyFont="1" applyFill="1" applyBorder="1" applyAlignment="1">
      <alignment horizontal="right" vertical="center"/>
    </xf>
    <xf numFmtId="165" fontId="17" fillId="16" borderId="62" xfId="31" applyNumberFormat="1" applyFont="1" applyFill="1" applyBorder="1" applyAlignment="1">
      <alignment horizontal="center" vertical="center"/>
    </xf>
    <xf numFmtId="0" fontId="17" fillId="0" borderId="57" xfId="31" applyFont="1" applyBorder="1" applyAlignment="1">
      <alignment horizontal="center" vertical="center"/>
    </xf>
    <xf numFmtId="2" fontId="16" fillId="0" borderId="57" xfId="31" applyNumberFormat="1" applyFont="1" applyBorder="1" applyAlignment="1">
      <alignment horizontal="right" vertical="center"/>
    </xf>
    <xf numFmtId="165" fontId="132" fillId="0" borderId="63" xfId="31" applyNumberFormat="1" applyFont="1" applyBorder="1" applyAlignment="1">
      <alignment horizontal="right" vertical="center"/>
    </xf>
    <xf numFmtId="165" fontId="17" fillId="0" borderId="63" xfId="31" applyNumberFormat="1" applyFont="1" applyBorder="1" applyAlignment="1">
      <alignment horizontal="center" vertical="center"/>
    </xf>
    <xf numFmtId="165" fontId="131" fillId="16" borderId="62" xfId="31" applyNumberFormat="1" applyFont="1" applyFill="1" applyBorder="1" applyAlignment="1">
      <alignment horizontal="right" vertical="center"/>
    </xf>
    <xf numFmtId="165" fontId="16" fillId="0" borderId="59" xfId="31" applyNumberFormat="1" applyFont="1" applyBorder="1" applyAlignment="1">
      <alignment horizontal="right" vertical="center" wrapText="1"/>
    </xf>
    <xf numFmtId="165" fontId="132" fillId="0" borderId="59" xfId="31" applyNumberFormat="1" applyFont="1" applyBorder="1" applyAlignment="1">
      <alignment horizontal="right" vertical="center" wrapText="1"/>
    </xf>
    <xf numFmtId="165" fontId="17" fillId="0" borderId="5" xfId="31" applyNumberFormat="1" applyFont="1" applyBorder="1" applyAlignment="1">
      <alignment horizontal="center" vertical="center"/>
    </xf>
    <xf numFmtId="0" fontId="17" fillId="0" borderId="0" xfId="31" applyFont="1" applyAlignment="1">
      <alignment horizontal="center"/>
    </xf>
    <xf numFmtId="0" fontId="17" fillId="0" borderId="0" xfId="31" applyFont="1" applyAlignment="1">
      <alignment horizontal="left" vertical="top"/>
    </xf>
    <xf numFmtId="165" fontId="17" fillId="0" borderId="0" xfId="31" applyNumberFormat="1" applyFont="1" applyAlignment="1">
      <alignment horizontal="left" vertical="top"/>
    </xf>
    <xf numFmtId="165" fontId="17" fillId="0" borderId="0" xfId="31" applyNumberFormat="1" applyFont="1" applyAlignment="1">
      <alignment horizontal="center" vertical="top"/>
    </xf>
    <xf numFmtId="0" fontId="136" fillId="0" borderId="0" xfId="0" applyFont="1"/>
    <xf numFmtId="1" fontId="17" fillId="17" borderId="63" xfId="31" applyNumberFormat="1" applyFont="1" applyFill="1" applyBorder="1" applyAlignment="1">
      <alignment horizontal="center" vertical="center" wrapText="1"/>
    </xf>
    <xf numFmtId="1" fontId="17" fillId="17" borderId="56" xfId="31" applyNumberFormat="1" applyFont="1" applyFill="1" applyBorder="1" applyAlignment="1">
      <alignment horizontal="center" wrapText="1"/>
    </xf>
    <xf numFmtId="1" fontId="17" fillId="17" borderId="0" xfId="31" applyNumberFormat="1" applyFont="1" applyFill="1" applyAlignment="1">
      <alignment horizontal="center" wrapText="1"/>
    </xf>
    <xf numFmtId="165" fontId="16" fillId="17" borderId="0" xfId="31" applyNumberFormat="1" applyFont="1" applyFill="1" applyAlignment="1">
      <alignment horizontal="center" vertical="center"/>
    </xf>
    <xf numFmtId="165" fontId="32" fillId="17" borderId="0" xfId="31" applyNumberFormat="1" applyFont="1" applyFill="1" applyAlignment="1">
      <alignment horizontal="center" vertical="center"/>
    </xf>
    <xf numFmtId="165" fontId="16" fillId="0" borderId="2" xfId="31" applyNumberFormat="1" applyFont="1" applyBorder="1" applyAlignment="1">
      <alignment horizontal="center" vertical="center"/>
    </xf>
    <xf numFmtId="165" fontId="16" fillId="16" borderId="0" xfId="31" applyNumberFormat="1" applyFont="1" applyFill="1" applyAlignment="1">
      <alignment horizontal="center" vertical="center"/>
    </xf>
    <xf numFmtId="165" fontId="16" fillId="0" borderId="46" xfId="31" applyNumberFormat="1" applyFont="1" applyBorder="1" applyAlignment="1">
      <alignment horizontal="right" vertical="center"/>
    </xf>
    <xf numFmtId="165" fontId="16" fillId="16" borderId="57" xfId="31" applyNumberFormat="1" applyFont="1" applyFill="1" applyBorder="1" applyAlignment="1">
      <alignment horizontal="center" vertical="center"/>
    </xf>
    <xf numFmtId="165" fontId="16" fillId="16" borderId="58" xfId="31" applyNumberFormat="1" applyFont="1" applyFill="1" applyBorder="1" applyAlignment="1">
      <alignment horizontal="center" vertical="center"/>
    </xf>
    <xf numFmtId="165" fontId="16" fillId="17" borderId="0" xfId="31" applyNumberFormat="1" applyFont="1" applyFill="1" applyAlignment="1">
      <alignment horizontal="right" vertical="center"/>
    </xf>
    <xf numFmtId="165" fontId="16" fillId="0" borderId="48" xfId="31" applyNumberFormat="1" applyFont="1" applyBorder="1" applyAlignment="1">
      <alignment horizontal="right" vertical="center"/>
    </xf>
    <xf numFmtId="172" fontId="18" fillId="0" borderId="4" xfId="0" applyNumberFormat="1" applyFont="1" applyFill="1" applyBorder="1" applyAlignment="1">
      <alignment horizontal="center" vertical="center"/>
    </xf>
    <xf numFmtId="172" fontId="18" fillId="0" borderId="56" xfId="0" applyNumberFormat="1" applyFont="1" applyFill="1" applyBorder="1" applyAlignment="1">
      <alignment horizontal="center" vertical="center"/>
    </xf>
    <xf numFmtId="49" fontId="17" fillId="74" borderId="66" xfId="0" applyNumberFormat="1" applyFont="1" applyFill="1" applyBorder="1" applyAlignment="1">
      <alignment horizontal="center" vertical="center"/>
    </xf>
    <xf numFmtId="165" fontId="18" fillId="74" borderId="66" xfId="0" applyNumberFormat="1" applyFont="1" applyFill="1" applyBorder="1" applyAlignment="1">
      <alignment vertical="center"/>
    </xf>
    <xf numFmtId="0" fontId="0" fillId="0" borderId="65" xfId="0" applyBorder="1"/>
    <xf numFmtId="0" fontId="16" fillId="0" borderId="56" xfId="31" applyFont="1" applyBorder="1" applyAlignment="1">
      <alignment vertical="center"/>
    </xf>
    <xf numFmtId="1" fontId="17" fillId="17" borderId="65" xfId="31" applyNumberFormat="1" applyFont="1" applyFill="1" applyBorder="1" applyAlignment="1">
      <alignment horizontal="center" vertical="center" wrapText="1"/>
    </xf>
    <xf numFmtId="165" fontId="16" fillId="17" borderId="67" xfId="31" applyNumberFormat="1" applyFont="1" applyFill="1" applyBorder="1" applyAlignment="1">
      <alignment horizontal="center" vertical="center"/>
    </xf>
    <xf numFmtId="2" fontId="16" fillId="0" borderId="0" xfId="0" applyNumberFormat="1" applyFont="1" applyFill="1" applyBorder="1" applyAlignment="1">
      <alignment horizontal="right" vertical="center"/>
    </xf>
    <xf numFmtId="2" fontId="16" fillId="0" borderId="56" xfId="0" applyNumberFormat="1" applyFont="1" applyFill="1" applyBorder="1" applyAlignment="1">
      <alignment horizontal="right" vertical="center"/>
    </xf>
    <xf numFmtId="165" fontId="33" fillId="0" borderId="2" xfId="0" applyNumberFormat="1" applyFont="1" applyFill="1" applyBorder="1" applyAlignment="1">
      <alignment horizontal="right" vertical="center"/>
    </xf>
    <xf numFmtId="165" fontId="16" fillId="0" borderId="4" xfId="0" applyNumberFormat="1" applyFont="1" applyFill="1" applyBorder="1" applyAlignment="1">
      <alignment horizontal="center" vertical="center"/>
    </xf>
    <xf numFmtId="1" fontId="17" fillId="4" borderId="68" xfId="0" applyNumberFormat="1" applyFont="1" applyFill="1" applyBorder="1" applyAlignment="1">
      <alignment horizontal="center" vertical="center"/>
    </xf>
    <xf numFmtId="165" fontId="16" fillId="0" borderId="69" xfId="0" applyNumberFormat="1" applyFont="1" applyBorder="1" applyAlignment="1">
      <alignment horizontal="center" vertical="center"/>
    </xf>
    <xf numFmtId="165" fontId="16" fillId="0" borderId="68" xfId="0" applyNumberFormat="1" applyFont="1" applyFill="1" applyBorder="1" applyAlignment="1">
      <alignment horizontal="center" vertical="center"/>
    </xf>
    <xf numFmtId="0" fontId="17" fillId="0" borderId="65" xfId="0" applyFont="1" applyBorder="1" applyAlignment="1">
      <alignment horizontal="left" wrapText="1"/>
    </xf>
    <xf numFmtId="165" fontId="18" fillId="0" borderId="70" xfId="0" applyNumberFormat="1" applyFont="1" applyFill="1" applyBorder="1" applyAlignment="1">
      <alignment horizontal="center" vertical="center"/>
    </xf>
    <xf numFmtId="165" fontId="18" fillId="0" borderId="67" xfId="0" applyNumberFormat="1" applyFont="1" applyFill="1" applyBorder="1" applyAlignment="1">
      <alignment horizontal="center" vertical="center"/>
    </xf>
    <xf numFmtId="165" fontId="18" fillId="0" borderId="69" xfId="0" applyNumberFormat="1" applyFont="1" applyFill="1" applyBorder="1" applyAlignment="1">
      <alignment horizontal="center" vertical="center"/>
    </xf>
    <xf numFmtId="165" fontId="18" fillId="0" borderId="68" xfId="0" applyNumberFormat="1" applyFont="1" applyFill="1" applyBorder="1" applyAlignment="1">
      <alignment horizontal="center" vertical="center"/>
    </xf>
    <xf numFmtId="165" fontId="18" fillId="0" borderId="2" xfId="0" applyNumberFormat="1" applyFont="1" applyFill="1" applyBorder="1" applyAlignment="1">
      <alignment horizontal="center" vertical="center"/>
    </xf>
    <xf numFmtId="165" fontId="20" fillId="0" borderId="68" xfId="0" applyNumberFormat="1" applyFont="1" applyFill="1" applyBorder="1" applyAlignment="1">
      <alignment horizontal="center" vertical="center"/>
    </xf>
    <xf numFmtId="168" fontId="18" fillId="0" borderId="70" xfId="0" applyNumberFormat="1" applyFont="1" applyFill="1" applyBorder="1" applyAlignment="1">
      <alignment horizontal="center" vertical="center"/>
    </xf>
    <xf numFmtId="168" fontId="18" fillId="0" borderId="67" xfId="0" applyNumberFormat="1" applyFont="1" applyFill="1" applyBorder="1" applyAlignment="1">
      <alignment horizontal="center" vertical="center"/>
    </xf>
    <xf numFmtId="168" fontId="18" fillId="0" borderId="69" xfId="0" applyNumberFormat="1" applyFont="1" applyFill="1" applyBorder="1" applyAlignment="1">
      <alignment horizontal="center" vertical="center"/>
    </xf>
    <xf numFmtId="165" fontId="16" fillId="0" borderId="65" xfId="31" applyNumberFormat="1" applyFont="1" applyBorder="1" applyAlignment="1">
      <alignment horizontal="right" vertical="center"/>
    </xf>
    <xf numFmtId="165" fontId="131" fillId="16" borderId="64" xfId="31" applyNumberFormat="1" applyFont="1" applyFill="1" applyBorder="1" applyAlignment="1">
      <alignment horizontal="right" vertical="center"/>
    </xf>
    <xf numFmtId="2" fontId="32" fillId="0" borderId="56" xfId="0" applyNumberFormat="1" applyFont="1" applyFill="1" applyBorder="1" applyAlignment="1">
      <alignment horizontal="right" vertical="center"/>
    </xf>
    <xf numFmtId="1" fontId="17" fillId="4" borderId="46" xfId="0" applyNumberFormat="1" applyFont="1" applyFill="1" applyBorder="1" applyAlignment="1">
      <alignment horizontal="center" vertical="center"/>
    </xf>
    <xf numFmtId="0" fontId="17" fillId="0" borderId="0" xfId="0" applyFont="1" applyAlignment="1">
      <alignment horizontal="center"/>
    </xf>
    <xf numFmtId="0" fontId="24" fillId="0" borderId="6" xfId="0" applyFont="1" applyBorder="1" applyAlignment="1">
      <alignment horizontal="center"/>
    </xf>
    <xf numFmtId="0" fontId="17" fillId="4" borderId="57" xfId="0" applyFont="1" applyFill="1" applyBorder="1" applyAlignment="1">
      <alignment horizontal="center" vertical="center"/>
    </xf>
    <xf numFmtId="165" fontId="32" fillId="0" borderId="0" xfId="0" applyNumberFormat="1" applyFont="1"/>
    <xf numFmtId="165" fontId="16" fillId="0" borderId="66" xfId="0" applyNumberFormat="1" applyFont="1" applyBorder="1"/>
    <xf numFmtId="186" fontId="33" fillId="0" borderId="0" xfId="0" applyNumberFormat="1" applyFont="1" applyAlignment="1">
      <alignment horizontal="right" vertical="center"/>
    </xf>
    <xf numFmtId="165" fontId="16" fillId="0" borderId="4" xfId="0" applyNumberFormat="1" applyFont="1" applyBorder="1"/>
    <xf numFmtId="0" fontId="0" fillId="0" borderId="6" xfId="0" applyBorder="1" applyAlignment="1">
      <alignment vertical="center"/>
    </xf>
    <xf numFmtId="0" fontId="17" fillId="4" borderId="68" xfId="0" applyFont="1" applyFill="1" applyBorder="1" applyAlignment="1">
      <alignment horizontal="center" vertical="center"/>
    </xf>
    <xf numFmtId="165" fontId="32" fillId="0" borderId="67" xfId="0" applyNumberFormat="1" applyFont="1" applyBorder="1"/>
    <xf numFmtId="165" fontId="16" fillId="0" borderId="67" xfId="0" applyNumberFormat="1" applyFont="1" applyBorder="1"/>
    <xf numFmtId="0" fontId="17" fillId="4" borderId="2" xfId="0" applyFont="1" applyFill="1" applyBorder="1" applyAlignment="1">
      <alignment horizontal="center" vertical="center" wrapText="1"/>
    </xf>
    <xf numFmtId="187" fontId="138" fillId="0" borderId="0" xfId="0" applyNumberFormat="1" applyFont="1" applyAlignment="1">
      <alignment horizontal="right" vertical="center"/>
    </xf>
    <xf numFmtId="187" fontId="138" fillId="0" borderId="66" xfId="0" applyNumberFormat="1" applyFont="1" applyBorder="1" applyAlignment="1">
      <alignment horizontal="right" vertical="center"/>
    </xf>
    <xf numFmtId="187" fontId="138" fillId="0" borderId="4" xfId="0" applyNumberFormat="1" applyFont="1" applyBorder="1" applyAlignment="1">
      <alignment horizontal="right" vertical="center"/>
    </xf>
    <xf numFmtId="0" fontId="17" fillId="4" borderId="57" xfId="0" applyFont="1" applyFill="1" applyBorder="1" applyAlignment="1">
      <alignment horizontal="center" vertical="center" wrapText="1"/>
    </xf>
    <xf numFmtId="187" fontId="138" fillId="0" borderId="65" xfId="0" applyNumberFormat="1" applyFont="1" applyBorder="1" applyAlignment="1">
      <alignment horizontal="right" vertical="center"/>
    </xf>
    <xf numFmtId="0" fontId="17" fillId="4" borderId="5" xfId="0" applyFont="1" applyFill="1" applyBorder="1" applyAlignment="1">
      <alignment horizontal="center" vertical="center" wrapText="1"/>
    </xf>
    <xf numFmtId="187" fontId="138" fillId="0" borderId="59" xfId="0" applyNumberFormat="1" applyFont="1" applyBorder="1" applyAlignment="1">
      <alignment horizontal="right" vertical="center"/>
    </xf>
    <xf numFmtId="187" fontId="138" fillId="0" borderId="13" xfId="0" applyNumberFormat="1" applyFont="1" applyBorder="1" applyAlignment="1">
      <alignment horizontal="right" vertical="center"/>
    </xf>
    <xf numFmtId="0" fontId="17" fillId="0" borderId="69" xfId="0" applyFont="1" applyBorder="1" applyAlignment="1">
      <alignment horizontal="center"/>
    </xf>
    <xf numFmtId="165" fontId="24" fillId="0" borderId="0" xfId="0" applyNumberFormat="1" applyFont="1" applyAlignment="1">
      <alignment horizontal="center"/>
    </xf>
    <xf numFmtId="165" fontId="32" fillId="0" borderId="4" xfId="0" applyNumberFormat="1" applyFont="1" applyBorder="1"/>
    <xf numFmtId="0" fontId="17" fillId="0" borderId="0" xfId="0" applyFont="1" applyAlignment="1" applyProtection="1">
      <alignment horizontal="left" vertical="center"/>
      <protection locked="0"/>
    </xf>
    <xf numFmtId="165" fontId="17" fillId="0" borderId="0" xfId="0" applyNumberFormat="1" applyFont="1" applyAlignment="1" applyProtection="1">
      <alignment horizontal="left" vertical="center"/>
      <protection locked="0"/>
    </xf>
    <xf numFmtId="164" fontId="32" fillId="0" borderId="0" xfId="0" applyNumberFormat="1" applyFont="1" applyAlignment="1">
      <alignment horizontal="center" vertical="center"/>
    </xf>
    <xf numFmtId="0" fontId="17" fillId="0" borderId="0" xfId="0" applyFont="1" applyAlignment="1" applyProtection="1">
      <alignment horizontal="left"/>
      <protection locked="0"/>
    </xf>
    <xf numFmtId="0" fontId="17" fillId="0" borderId="0" xfId="0" applyFont="1" applyAlignment="1">
      <alignment vertical="top"/>
    </xf>
    <xf numFmtId="165" fontId="16" fillId="0" borderId="71" xfId="0" applyNumberFormat="1" applyFont="1" applyBorder="1"/>
    <xf numFmtId="165" fontId="16" fillId="0" borderId="17" xfId="0" applyNumberFormat="1" applyFont="1" applyBorder="1"/>
    <xf numFmtId="165" fontId="16" fillId="0" borderId="69" xfId="0" applyNumberFormat="1" applyFont="1" applyBorder="1"/>
    <xf numFmtId="186" fontId="33" fillId="0" borderId="69" xfId="0" applyNumberFormat="1" applyFont="1" applyBorder="1" applyAlignment="1">
      <alignment horizontal="right" vertical="center"/>
    </xf>
    <xf numFmtId="0" fontId="24" fillId="0" borderId="4" xfId="0" applyFont="1" applyBorder="1" applyAlignment="1">
      <alignment horizontal="center"/>
    </xf>
    <xf numFmtId="0" fontId="0" fillId="0" borderId="4" xfId="0" applyBorder="1" applyAlignment="1">
      <alignment vertical="center"/>
    </xf>
    <xf numFmtId="0" fontId="37" fillId="0" borderId="4" xfId="0" applyFont="1" applyBorder="1" applyAlignment="1">
      <alignment vertical="center"/>
    </xf>
    <xf numFmtId="0" fontId="17" fillId="0" borderId="4" xfId="0" applyFont="1" applyBorder="1"/>
    <xf numFmtId="165" fontId="32" fillId="0" borderId="70" xfId="0" applyNumberFormat="1" applyFont="1" applyBorder="1"/>
    <xf numFmtId="165" fontId="32" fillId="0" borderId="69" xfId="0" applyNumberFormat="1" applyFont="1" applyBorder="1"/>
    <xf numFmtId="165" fontId="32" fillId="0" borderId="66" xfId="0" applyNumberFormat="1" applyFont="1" applyBorder="1"/>
    <xf numFmtId="165" fontId="32" fillId="0" borderId="69" xfId="31" applyNumberFormat="1" applyFont="1" applyBorder="1" applyAlignment="1">
      <alignment horizontal="right" vertical="center"/>
    </xf>
    <xf numFmtId="165" fontId="32" fillId="16" borderId="4" xfId="31" applyNumberFormat="1" applyFont="1" applyFill="1" applyBorder="1" applyAlignment="1">
      <alignment horizontal="right" vertical="center"/>
    </xf>
    <xf numFmtId="165" fontId="32" fillId="16" borderId="69" xfId="31" applyNumberFormat="1" applyFont="1" applyFill="1" applyBorder="1" applyAlignment="1">
      <alignment horizontal="right" vertical="center"/>
    </xf>
    <xf numFmtId="165" fontId="16" fillId="0" borderId="4" xfId="0" applyNumberFormat="1" applyFont="1" applyBorder="1" applyAlignment="1">
      <alignment horizontal="right" vertical="center"/>
    </xf>
    <xf numFmtId="165" fontId="16" fillId="16" borderId="4" xfId="0" applyNumberFormat="1" applyFont="1" applyFill="1" applyBorder="1" applyAlignment="1">
      <alignment horizontal="right" vertical="center"/>
    </xf>
    <xf numFmtId="165" fontId="33" fillId="0" borderId="0" xfId="31" applyNumberFormat="1" applyFont="1" applyAlignment="1">
      <alignment horizontal="right" vertical="center"/>
    </xf>
    <xf numFmtId="165" fontId="33" fillId="4" borderId="0" xfId="31" applyNumberFormat="1" applyFont="1" applyFill="1"/>
    <xf numFmtId="165" fontId="33" fillId="0" borderId="67" xfId="31" applyNumberFormat="1" applyFont="1" applyBorder="1" applyAlignment="1">
      <alignment horizontal="right" vertical="center"/>
    </xf>
    <xf numFmtId="165" fontId="33" fillId="16" borderId="0" xfId="31" applyNumberFormat="1" applyFont="1" applyFill="1" applyAlignment="1">
      <alignment horizontal="right" vertical="center"/>
    </xf>
    <xf numFmtId="165" fontId="33" fillId="16" borderId="67" xfId="31" applyNumberFormat="1" applyFont="1" applyFill="1" applyBorder="1" applyAlignment="1">
      <alignment horizontal="right" vertical="center"/>
    </xf>
    <xf numFmtId="165" fontId="33" fillId="16" borderId="48" xfId="31" applyNumberFormat="1" applyFont="1" applyFill="1" applyBorder="1" applyAlignment="1">
      <alignment horizontal="right" vertical="center"/>
    </xf>
    <xf numFmtId="165" fontId="16" fillId="0" borderId="48" xfId="0" applyNumberFormat="1" applyFont="1" applyFill="1" applyBorder="1" applyAlignment="1">
      <alignment horizontal="center" vertical="center"/>
    </xf>
    <xf numFmtId="172" fontId="16" fillId="0" borderId="56" xfId="0" applyNumberFormat="1" applyFont="1" applyFill="1" applyBorder="1" applyAlignment="1">
      <alignment horizontal="center" vertical="center"/>
    </xf>
    <xf numFmtId="0" fontId="128" fillId="16" borderId="46" xfId="0" applyFont="1" applyFill="1" applyBorder="1" applyAlignment="1">
      <alignment horizontal="center" vertical="center" wrapText="1"/>
    </xf>
    <xf numFmtId="0" fontId="39" fillId="4" borderId="68" xfId="0" applyFont="1" applyFill="1" applyBorder="1" applyAlignment="1">
      <alignment horizontal="center" vertical="center" wrapText="1"/>
    </xf>
    <xf numFmtId="0" fontId="39" fillId="4" borderId="70" xfId="0" applyFont="1" applyFill="1" applyBorder="1" applyAlignment="1">
      <alignment horizontal="center" vertical="center"/>
    </xf>
    <xf numFmtId="172" fontId="17" fillId="0" borderId="68" xfId="0" applyNumberFormat="1" applyFont="1" applyFill="1" applyBorder="1" applyAlignment="1">
      <alignment horizontal="center" vertical="center"/>
    </xf>
    <xf numFmtId="165" fontId="16" fillId="0" borderId="72" xfId="0" applyNumberFormat="1" applyFont="1" applyBorder="1" applyAlignment="1">
      <alignment horizontal="right" vertical="center"/>
    </xf>
    <xf numFmtId="165" fontId="16" fillId="0" borderId="46" xfId="0" applyNumberFormat="1" applyFont="1" applyBorder="1" applyAlignment="1">
      <alignment horizontal="right" vertical="center"/>
    </xf>
    <xf numFmtId="165" fontId="16" fillId="0" borderId="10" xfId="0" applyNumberFormat="1" applyFont="1" applyBorder="1" applyAlignment="1">
      <alignment horizontal="right" vertical="center"/>
    </xf>
    <xf numFmtId="165" fontId="16" fillId="0" borderId="59" xfId="0" applyNumberFormat="1" applyFont="1" applyBorder="1" applyAlignment="1">
      <alignment horizontal="right" vertical="center"/>
    </xf>
    <xf numFmtId="165" fontId="16" fillId="0" borderId="13" xfId="0" applyNumberFormat="1" applyFont="1" applyBorder="1" applyAlignment="1">
      <alignment horizontal="right" vertical="center"/>
    </xf>
    <xf numFmtId="165" fontId="16" fillId="0" borderId="5" xfId="0" applyNumberFormat="1" applyFont="1" applyBorder="1" applyAlignment="1">
      <alignment horizontal="right" vertical="center"/>
    </xf>
    <xf numFmtId="0" fontId="13" fillId="0" borderId="5" xfId="0" applyFont="1" applyBorder="1" applyAlignment="1">
      <alignment horizontal="center" vertical="center"/>
    </xf>
    <xf numFmtId="0" fontId="15" fillId="0" borderId="0" xfId="0" applyFont="1" applyBorder="1" applyAlignment="1">
      <alignment horizontal="center" vertical="center"/>
    </xf>
    <xf numFmtId="0" fontId="19" fillId="0" borderId="0" xfId="0" applyFont="1" applyBorder="1" applyAlignment="1">
      <alignment horizontal="center" vertical="center"/>
    </xf>
    <xf numFmtId="0" fontId="19" fillId="0" borderId="0" xfId="0" applyFont="1" applyBorder="1" applyAlignment="1">
      <alignment horizontal="center" vertical="center" wrapText="1"/>
    </xf>
    <xf numFmtId="0" fontId="14" fillId="0" borderId="0" xfId="0" applyFont="1" applyBorder="1" applyAlignment="1">
      <alignment horizontal="center" vertical="center"/>
    </xf>
    <xf numFmtId="0" fontId="22" fillId="0" borderId="0" xfId="0" applyFont="1" applyAlignment="1">
      <alignment horizontal="center" vertical="center" wrapText="1"/>
    </xf>
    <xf numFmtId="0" fontId="15" fillId="0" borderId="0" xfId="0" applyFont="1" applyAlignment="1">
      <alignment horizontal="center" vertical="top" wrapText="1"/>
    </xf>
    <xf numFmtId="0" fontId="15" fillId="0" borderId="0" xfId="0" applyNumberFormat="1" applyFont="1" applyBorder="1" applyAlignment="1">
      <alignment horizontal="center" vertical="center" wrapText="1"/>
    </xf>
    <xf numFmtId="0" fontId="15" fillId="0" borderId="0" xfId="0" quotePrefix="1" applyNumberFormat="1" applyFont="1" applyBorder="1" applyAlignment="1">
      <alignment horizontal="center" vertical="center" wrapText="1"/>
    </xf>
    <xf numFmtId="0" fontId="0" fillId="0" borderId="0" xfId="0" applyAlignment="1">
      <alignment horizontal="center"/>
    </xf>
    <xf numFmtId="0" fontId="17" fillId="0" borderId="0" xfId="0" applyFont="1" applyAlignment="1" applyProtection="1">
      <alignment horizontal="left" vertical="top" wrapText="1"/>
      <protection locked="0"/>
    </xf>
    <xf numFmtId="0" fontId="17" fillId="4" borderId="57" xfId="0" applyFont="1" applyFill="1" applyBorder="1" applyAlignment="1">
      <alignment horizontal="center" vertical="center" wrapText="1"/>
    </xf>
    <xf numFmtId="0" fontId="17" fillId="4" borderId="70" xfId="0" applyFont="1" applyFill="1" applyBorder="1" applyAlignment="1">
      <alignment horizontal="center" vertical="center" wrapText="1"/>
    </xf>
    <xf numFmtId="0" fontId="19" fillId="0" borderId="0" xfId="0" applyFont="1" applyAlignment="1">
      <alignment horizontal="center" vertical="center" wrapText="1"/>
    </xf>
    <xf numFmtId="0" fontId="28" fillId="0" borderId="0" xfId="0" applyFont="1" applyAlignment="1">
      <alignment horizontal="center" vertical="center" wrapText="1"/>
    </xf>
    <xf numFmtId="0" fontId="17" fillId="4" borderId="68" xfId="0" applyFont="1" applyFill="1" applyBorder="1" applyAlignment="1">
      <alignment horizontal="center" vertical="center" wrapText="1"/>
    </xf>
    <xf numFmtId="0" fontId="31" fillId="0" borderId="0" xfId="0" applyFont="1" applyAlignment="1">
      <alignment horizontal="center" vertical="center"/>
    </xf>
    <xf numFmtId="0" fontId="17" fillId="4" borderId="66" xfId="0" applyFont="1" applyFill="1" applyBorder="1" applyAlignment="1">
      <alignment horizontal="center" vertical="center" wrapText="1"/>
    </xf>
    <xf numFmtId="0" fontId="17" fillId="4" borderId="69" xfId="0" applyFont="1" applyFill="1" applyBorder="1" applyAlignment="1">
      <alignment horizontal="center" vertical="center" wrapText="1"/>
    </xf>
    <xf numFmtId="0" fontId="24" fillId="0" borderId="0" xfId="0" applyFont="1" applyAlignment="1">
      <alignment horizontal="center" vertical="center"/>
    </xf>
    <xf numFmtId="0" fontId="43" fillId="0" borderId="0" xfId="0" applyFont="1" applyAlignment="1">
      <alignment horizontal="center" vertical="center"/>
    </xf>
    <xf numFmtId="0" fontId="16" fillId="0" borderId="56" xfId="0" applyFont="1" applyBorder="1" applyAlignment="1">
      <alignment horizontal="center" vertical="center"/>
    </xf>
    <xf numFmtId="0" fontId="16" fillId="0" borderId="56" xfId="0" applyFont="1" applyBorder="1" applyAlignment="1">
      <alignment vertical="top" wrapText="1"/>
    </xf>
    <xf numFmtId="0" fontId="19" fillId="0" borderId="0" xfId="31" applyFont="1" applyAlignment="1">
      <alignment horizontal="center" vertical="top"/>
    </xf>
    <xf numFmtId="0" fontId="16" fillId="0" borderId="0" xfId="31" applyFont="1" applyAlignment="1">
      <alignment horizontal="center" wrapText="1"/>
    </xf>
    <xf numFmtId="0" fontId="16" fillId="0" borderId="0" xfId="31" applyFont="1" applyAlignment="1">
      <alignment horizontal="center" vertical="center" wrapText="1"/>
    </xf>
    <xf numFmtId="0" fontId="16" fillId="0" borderId="56" xfId="31" applyFont="1" applyBorder="1" applyAlignment="1">
      <alignment horizontal="center" wrapText="1"/>
    </xf>
    <xf numFmtId="49" fontId="17" fillId="0" borderId="0" xfId="31" applyNumberFormat="1" applyFont="1" applyAlignment="1">
      <alignment vertical="top" wrapText="1"/>
    </xf>
    <xf numFmtId="0" fontId="16" fillId="0" borderId="56" xfId="31" applyFont="1" applyBorder="1" applyAlignment="1">
      <alignment horizontal="right" vertical="center"/>
    </xf>
    <xf numFmtId="49" fontId="17" fillId="0" borderId="58" xfId="31" applyNumberFormat="1" applyFont="1" applyBorder="1" applyAlignment="1">
      <alignment horizontal="left" wrapText="1"/>
    </xf>
    <xf numFmtId="0" fontId="17" fillId="0" borderId="0" xfId="31" applyFont="1" applyAlignment="1">
      <alignment horizontal="left" vertical="top" wrapText="1"/>
    </xf>
    <xf numFmtId="1" fontId="17" fillId="17" borderId="58" xfId="31" applyNumberFormat="1" applyFont="1" applyFill="1" applyBorder="1" applyAlignment="1">
      <alignment horizontal="right" vertical="center"/>
    </xf>
    <xf numFmtId="49" fontId="17" fillId="0" borderId="58" xfId="31" applyNumberFormat="1" applyFont="1" applyBorder="1" applyAlignment="1">
      <alignment horizontal="left" vertical="top" wrapText="1"/>
    </xf>
    <xf numFmtId="0" fontId="17" fillId="0" borderId="58" xfId="0" applyFont="1" applyBorder="1" applyAlignment="1">
      <alignment horizontal="left" wrapText="1"/>
    </xf>
    <xf numFmtId="1" fontId="24" fillId="0" borderId="0" xfId="0" applyNumberFormat="1" applyFont="1" applyAlignment="1">
      <alignment horizontal="center" vertical="top" wrapText="1"/>
    </xf>
    <xf numFmtId="1" fontId="24" fillId="0" borderId="0" xfId="0" quotePrefix="1" applyNumberFormat="1" applyFont="1" applyAlignment="1">
      <alignment horizontal="center" vertical="center" wrapText="1"/>
    </xf>
    <xf numFmtId="0" fontId="19" fillId="0" borderId="0" xfId="0" quotePrefix="1" applyFont="1" applyAlignment="1">
      <alignment horizontal="left" vertical="top"/>
    </xf>
    <xf numFmtId="0" fontId="19" fillId="0" borderId="0" xfId="0" applyFont="1" applyAlignment="1">
      <alignment horizontal="center" vertical="top"/>
    </xf>
    <xf numFmtId="0" fontId="16" fillId="0" borderId="0" xfId="0" applyFont="1" applyAlignment="1">
      <alignment horizontal="center"/>
    </xf>
    <xf numFmtId="0" fontId="17" fillId="0" borderId="0" xfId="0" applyFont="1" applyAlignment="1">
      <alignment wrapText="1"/>
    </xf>
    <xf numFmtId="0" fontId="0" fillId="0" borderId="0" xfId="0" applyAlignment="1">
      <alignment wrapText="1"/>
    </xf>
    <xf numFmtId="0" fontId="19" fillId="0" borderId="0" xfId="0" applyFont="1" applyFill="1" applyAlignment="1">
      <alignment horizontal="center" vertical="top" wrapText="1"/>
    </xf>
    <xf numFmtId="0" fontId="24" fillId="0" borderId="0" xfId="0" applyFont="1" applyFill="1" applyAlignment="1">
      <alignment horizontal="center" vertical="center" wrapText="1"/>
    </xf>
    <xf numFmtId="0" fontId="16"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20" fillId="5" borderId="1" xfId="0" applyFont="1" applyFill="1" applyBorder="1" applyAlignment="1">
      <alignment horizontal="center" vertical="center" wrapText="1"/>
    </xf>
    <xf numFmtId="0" fontId="20" fillId="5" borderId="3" xfId="0" applyFont="1" applyFill="1" applyBorder="1" applyAlignment="1">
      <alignment horizontal="center" vertical="center" wrapText="1"/>
    </xf>
    <xf numFmtId="0" fontId="20" fillId="5" borderId="1" xfId="0" applyFont="1" applyFill="1" applyBorder="1" applyAlignment="1">
      <alignment horizontal="center" vertical="center"/>
    </xf>
    <xf numFmtId="0" fontId="20" fillId="5" borderId="3" xfId="0" applyFont="1" applyFill="1" applyBorder="1" applyAlignment="1">
      <alignment horizontal="center" vertical="center"/>
    </xf>
    <xf numFmtId="0" fontId="17" fillId="5" borderId="1" xfId="0" applyFont="1" applyFill="1" applyBorder="1" applyAlignment="1">
      <alignment horizontal="center" vertical="center"/>
    </xf>
    <xf numFmtId="0" fontId="20" fillId="0" borderId="0" xfId="0" applyFont="1" applyFill="1" applyBorder="1" applyAlignment="1">
      <alignment horizontal="center" vertical="center" textRotation="90"/>
    </xf>
    <xf numFmtId="0" fontId="13" fillId="0" borderId="0" xfId="0" applyFont="1" applyAlignment="1">
      <alignment horizontal="center" vertical="center"/>
    </xf>
    <xf numFmtId="0" fontId="0" fillId="0" borderId="0" xfId="0" applyAlignment="1">
      <alignment horizontal="center" vertical="center"/>
    </xf>
    <xf numFmtId="0" fontId="0" fillId="0" borderId="56" xfId="0" applyBorder="1" applyAlignment="1">
      <alignment horizontal="center" vertical="center"/>
    </xf>
    <xf numFmtId="0" fontId="16" fillId="0" borderId="0" xfId="0" applyFont="1" applyFill="1" applyBorder="1" applyAlignment="1">
      <alignment horizontal="left" vertical="top" wrapText="1"/>
    </xf>
    <xf numFmtId="0" fontId="17" fillId="0" borderId="0" xfId="0" applyFont="1" applyFill="1" applyBorder="1" applyAlignment="1">
      <alignment horizontal="left" vertical="top" wrapText="1"/>
    </xf>
    <xf numFmtId="0" fontId="17" fillId="5" borderId="14" xfId="0" applyFont="1" applyFill="1" applyBorder="1" applyAlignment="1">
      <alignment horizontal="center" vertical="center" wrapText="1"/>
    </xf>
    <xf numFmtId="0" fontId="20" fillId="5" borderId="48" xfId="0" applyFont="1" applyFill="1" applyBorder="1" applyAlignment="1">
      <alignment horizontal="center" vertical="center" wrapText="1"/>
    </xf>
    <xf numFmtId="0" fontId="16" fillId="0" borderId="0" xfId="0" applyFont="1" applyFill="1" applyBorder="1" applyAlignment="1">
      <alignment vertical="top" wrapText="1"/>
    </xf>
    <xf numFmtId="0" fontId="18" fillId="0" borderId="0" xfId="0" applyFont="1" applyFill="1" applyBorder="1" applyAlignment="1">
      <alignment vertical="top" wrapText="1"/>
    </xf>
    <xf numFmtId="0" fontId="20" fillId="0" borderId="0" xfId="0" applyFont="1" applyFill="1" applyBorder="1" applyAlignment="1">
      <alignment vertical="top" wrapText="1"/>
    </xf>
    <xf numFmtId="0" fontId="24" fillId="0" borderId="0" xfId="0" applyFont="1" applyFill="1" applyBorder="1" applyAlignment="1">
      <alignment horizontal="center" vertical="center"/>
    </xf>
    <xf numFmtId="0" fontId="20" fillId="5" borderId="7" xfId="0" applyFont="1" applyFill="1" applyBorder="1" applyAlignment="1">
      <alignment horizontal="center" vertical="center" wrapText="1"/>
    </xf>
    <xf numFmtId="0" fontId="20" fillId="5" borderId="56" xfId="0" applyFont="1" applyFill="1" applyBorder="1" applyAlignment="1">
      <alignment horizontal="center" vertical="center" wrapText="1"/>
    </xf>
    <xf numFmtId="0" fontId="20" fillId="5" borderId="7" xfId="0" applyFont="1" applyFill="1" applyBorder="1" applyAlignment="1">
      <alignment horizontal="center" vertical="center"/>
    </xf>
    <xf numFmtId="0" fontId="20" fillId="5" borderId="56" xfId="0" applyFont="1" applyFill="1" applyBorder="1" applyAlignment="1">
      <alignment horizontal="center" vertical="center"/>
    </xf>
    <xf numFmtId="0" fontId="17" fillId="5" borderId="9" xfId="0" applyFont="1" applyFill="1" applyBorder="1" applyAlignment="1">
      <alignment horizontal="center" vertical="center" wrapText="1"/>
    </xf>
    <xf numFmtId="0" fontId="20" fillId="5" borderId="47" xfId="0" applyFont="1" applyFill="1" applyBorder="1" applyAlignment="1">
      <alignment horizontal="center" vertical="center" wrapText="1"/>
    </xf>
  </cellXfs>
  <cellStyles count="297">
    <cellStyle name="€ : (passage a l'EURO)" xfId="15" xr:uid="{00000000-0005-0000-0000-000000000000}"/>
    <cellStyle name="20% - Accent1" xfId="100" builtinId="30" customBuiltin="1"/>
    <cellStyle name="20% - Accent1 2" xfId="157" xr:uid="{00000000-0005-0000-0000-000002000000}"/>
    <cellStyle name="20% - Accent1 3" xfId="267" xr:uid="{00000000-0005-0000-0000-000003000000}"/>
    <cellStyle name="20% - Accent2" xfId="104" builtinId="34" customBuiltin="1"/>
    <cellStyle name="20% - Accent2 2" xfId="158" xr:uid="{00000000-0005-0000-0000-000005000000}"/>
    <cellStyle name="20% - Accent2 3" xfId="269" xr:uid="{00000000-0005-0000-0000-000006000000}"/>
    <cellStyle name="20% - Accent3" xfId="108" builtinId="38" customBuiltin="1"/>
    <cellStyle name="20% - Accent3 2" xfId="159" xr:uid="{00000000-0005-0000-0000-000008000000}"/>
    <cellStyle name="20% - Accent3 3" xfId="271" xr:uid="{00000000-0005-0000-0000-000009000000}"/>
    <cellStyle name="20% - Accent4" xfId="112" builtinId="42" customBuiltin="1"/>
    <cellStyle name="20% - Accent4 2" xfId="160" xr:uid="{00000000-0005-0000-0000-00000B000000}"/>
    <cellStyle name="20% - Accent4 3" xfId="273" xr:uid="{00000000-0005-0000-0000-00000C000000}"/>
    <cellStyle name="20% - Accent5" xfId="116" builtinId="46" customBuiltin="1"/>
    <cellStyle name="20% - Accent5 2" xfId="161" xr:uid="{00000000-0005-0000-0000-00000E000000}"/>
    <cellStyle name="20% - Accent5 3" xfId="275" xr:uid="{00000000-0005-0000-0000-00000F000000}"/>
    <cellStyle name="20% - Accent6" xfId="120" builtinId="50" customBuiltin="1"/>
    <cellStyle name="20% - Accent6 2" xfId="162" xr:uid="{00000000-0005-0000-0000-000011000000}"/>
    <cellStyle name="20% - Accent6 3" xfId="277" xr:uid="{00000000-0005-0000-0000-000012000000}"/>
    <cellStyle name="40% - Accent1" xfId="101" builtinId="31" customBuiltin="1"/>
    <cellStyle name="40% - Accent1 2" xfId="163" xr:uid="{00000000-0005-0000-0000-000014000000}"/>
    <cellStyle name="40% - Accent1 3" xfId="268" xr:uid="{00000000-0005-0000-0000-000015000000}"/>
    <cellStyle name="40% - Accent2" xfId="105" builtinId="35" customBuiltin="1"/>
    <cellStyle name="40% - Accent2 2" xfId="164" xr:uid="{00000000-0005-0000-0000-000017000000}"/>
    <cellStyle name="40% - Accent2 3" xfId="270" xr:uid="{00000000-0005-0000-0000-000018000000}"/>
    <cellStyle name="40% - Accent3" xfId="109" builtinId="39" customBuiltin="1"/>
    <cellStyle name="40% - Accent3 2" xfId="165" xr:uid="{00000000-0005-0000-0000-00001A000000}"/>
    <cellStyle name="40% - Accent3 3" xfId="272" xr:uid="{00000000-0005-0000-0000-00001B000000}"/>
    <cellStyle name="40% - Accent4" xfId="113" builtinId="43" customBuiltin="1"/>
    <cellStyle name="40% - Accent4 2" xfId="166" xr:uid="{00000000-0005-0000-0000-00001D000000}"/>
    <cellStyle name="40% - Accent4 3" xfId="274" xr:uid="{00000000-0005-0000-0000-00001E000000}"/>
    <cellStyle name="40% - Accent5" xfId="117" builtinId="47" customBuiltin="1"/>
    <cellStyle name="40% - Accent5 2" xfId="167" xr:uid="{00000000-0005-0000-0000-000020000000}"/>
    <cellStyle name="40% - Accent5 3" xfId="276" xr:uid="{00000000-0005-0000-0000-000021000000}"/>
    <cellStyle name="40% - Accent6" xfId="121" builtinId="51" customBuiltin="1"/>
    <cellStyle name="40% - Accent6 2" xfId="168" xr:uid="{00000000-0005-0000-0000-000023000000}"/>
    <cellStyle name="40% - Accent6 3" xfId="278" xr:uid="{00000000-0005-0000-0000-000024000000}"/>
    <cellStyle name="60% - Accent1" xfId="102" builtinId="32" customBuiltin="1"/>
    <cellStyle name="60% - Accent1 2" xfId="169" xr:uid="{00000000-0005-0000-0000-000026000000}"/>
    <cellStyle name="60% - Accent2" xfId="106" builtinId="36" customBuiltin="1"/>
    <cellStyle name="60% - Accent2 2" xfId="170" xr:uid="{00000000-0005-0000-0000-000028000000}"/>
    <cellStyle name="60% - Accent3" xfId="110" builtinId="40" customBuiltin="1"/>
    <cellStyle name="60% - Accent3 2" xfId="171" xr:uid="{00000000-0005-0000-0000-00002A000000}"/>
    <cellStyle name="60% - Accent4" xfId="114" builtinId="44" customBuiltin="1"/>
    <cellStyle name="60% - Accent4 2" xfId="172" xr:uid="{00000000-0005-0000-0000-00002C000000}"/>
    <cellStyle name="60% - Accent5" xfId="118" builtinId="48" customBuiltin="1"/>
    <cellStyle name="60% - Accent5 2" xfId="173" xr:uid="{00000000-0005-0000-0000-00002E000000}"/>
    <cellStyle name="60% - Accent6" xfId="122" builtinId="52" customBuiltin="1"/>
    <cellStyle name="60% - Accent6 2" xfId="174" xr:uid="{00000000-0005-0000-0000-000030000000}"/>
    <cellStyle name="A2.Heading1" xfId="260" xr:uid="{00000000-0005-0000-0000-000031000000}"/>
    <cellStyle name="A2.Heading2" xfId="261" xr:uid="{00000000-0005-0000-0000-000032000000}"/>
    <cellStyle name="Accent1" xfId="99" builtinId="29" customBuiltin="1"/>
    <cellStyle name="Accent1 2" xfId="175" xr:uid="{00000000-0005-0000-0000-000034000000}"/>
    <cellStyle name="Accent2" xfId="103" builtinId="33" customBuiltin="1"/>
    <cellStyle name="Accent2 2" xfId="176" xr:uid="{00000000-0005-0000-0000-000036000000}"/>
    <cellStyle name="Accent3" xfId="107" builtinId="37" customBuiltin="1"/>
    <cellStyle name="Accent3 2" xfId="177" xr:uid="{00000000-0005-0000-0000-000038000000}"/>
    <cellStyle name="Accent4" xfId="111" builtinId="41" customBuiltin="1"/>
    <cellStyle name="Accent4 2" xfId="178" xr:uid="{00000000-0005-0000-0000-00003A000000}"/>
    <cellStyle name="Accent5" xfId="115" builtinId="45" customBuiltin="1"/>
    <cellStyle name="Accent5 2" xfId="179" xr:uid="{00000000-0005-0000-0000-00003C000000}"/>
    <cellStyle name="Accent6" xfId="119" builtinId="49" customBuiltin="1"/>
    <cellStyle name="Accent6 2" xfId="180" xr:uid="{00000000-0005-0000-0000-00003E000000}"/>
    <cellStyle name="Bad" xfId="89" builtinId="27" customBuiltin="1"/>
    <cellStyle name="Bad 2" xfId="181" xr:uid="{00000000-0005-0000-0000-000040000000}"/>
    <cellStyle name="C1.general" xfId="262" xr:uid="{00000000-0005-0000-0000-000041000000}"/>
    <cellStyle name="C1.percentage" xfId="263" xr:uid="{00000000-0005-0000-0000-000042000000}"/>
    <cellStyle name="Calculation" xfId="93" builtinId="22" customBuiltin="1"/>
    <cellStyle name="Calculation 2" xfId="182" xr:uid="{00000000-0005-0000-0000-000044000000}"/>
    <cellStyle name="Check Cell" xfId="95" builtinId="23" customBuiltin="1"/>
    <cellStyle name="Check Cell 2" xfId="183" xr:uid="{00000000-0005-0000-0000-000046000000}"/>
    <cellStyle name="Column heading" xfId="34" xr:uid="{00000000-0005-0000-0000-000047000000}"/>
    <cellStyle name="Comma 2" xfId="137" xr:uid="{00000000-0005-0000-0000-000049000000}"/>
    <cellStyle name="Comma 2 2" xfId="144" xr:uid="{00000000-0005-0000-0000-00004A000000}"/>
    <cellStyle name="Comma 3" xfId="138" xr:uid="{00000000-0005-0000-0000-00004B000000}"/>
    <cellStyle name="Comma 4" xfId="145" xr:uid="{00000000-0005-0000-0000-00004C000000}"/>
    <cellStyle name="Comma 5" xfId="146" xr:uid="{00000000-0005-0000-0000-00004D000000}"/>
    <cellStyle name="Comma 6" xfId="75" xr:uid="{00000000-0005-0000-0000-00004E000000}"/>
    <cellStyle name="Comma 6 2" xfId="136" xr:uid="{00000000-0005-0000-0000-00004F000000}"/>
    <cellStyle name="Comma 7" xfId="228" xr:uid="{00000000-0005-0000-0000-000050000000}"/>
    <cellStyle name="contenu_unite" xfId="286" xr:uid="{00000000-0005-0000-0000-000051000000}"/>
    <cellStyle name="Corner heading" xfId="35" xr:uid="{00000000-0005-0000-0000-000052000000}"/>
    <cellStyle name="Currency 2" xfId="147" xr:uid="{00000000-0005-0000-0000-000053000000}"/>
    <cellStyle name="Currency 3" xfId="155" xr:uid="{00000000-0005-0000-0000-000054000000}"/>
    <cellStyle name="Currency 3 2" xfId="184" xr:uid="{00000000-0005-0000-0000-000055000000}"/>
    <cellStyle name="Currency 4" xfId="246" xr:uid="{00000000-0005-0000-0000-000056000000}"/>
    <cellStyle name="Data" xfId="36" xr:uid="{00000000-0005-0000-0000-000057000000}"/>
    <cellStyle name="Data 2" xfId="71" xr:uid="{00000000-0005-0000-0000-000058000000}"/>
    <cellStyle name="Data 2 2" xfId="133" xr:uid="{00000000-0005-0000-0000-000059000000}"/>
    <cellStyle name="Data 3" xfId="123" xr:uid="{00000000-0005-0000-0000-00005A000000}"/>
    <cellStyle name="Data no deci" xfId="37" xr:uid="{00000000-0005-0000-0000-00005B000000}"/>
    <cellStyle name="Data no deci 2" xfId="124" xr:uid="{00000000-0005-0000-0000-00005C000000}"/>
    <cellStyle name="Data Superscript" xfId="38" xr:uid="{00000000-0005-0000-0000-00005D000000}"/>
    <cellStyle name="Data Superscript 2" xfId="125" xr:uid="{00000000-0005-0000-0000-00005E000000}"/>
    <cellStyle name="Data_1-1A-Regular" xfId="39" xr:uid="{00000000-0005-0000-0000-00005F000000}"/>
    <cellStyle name="donn_normal" xfId="288" xr:uid="{00000000-0005-0000-0000-000060000000}"/>
    <cellStyle name="donnnormal1" xfId="289" xr:uid="{00000000-0005-0000-0000-000061000000}"/>
    <cellStyle name="donnnormal2" xfId="284" xr:uid="{00000000-0005-0000-0000-000062000000}"/>
    <cellStyle name="ent_col_ser" xfId="287" xr:uid="{00000000-0005-0000-0000-000063000000}"/>
    <cellStyle name="entete_source" xfId="285" xr:uid="{00000000-0005-0000-0000-000065000000}"/>
    <cellStyle name="Euro" xfId="26" xr:uid="{00000000-0005-0000-0000-000066000000}"/>
    <cellStyle name="Explanatory Text" xfId="97" builtinId="53" customBuiltin="1"/>
    <cellStyle name="Explanatory Text 2" xfId="185" xr:uid="{00000000-0005-0000-0000-000068000000}"/>
    <cellStyle name="Explanatory Text 3" xfId="241" xr:uid="{00000000-0005-0000-0000-000069000000}"/>
    <cellStyle name="FEST" xfId="243" xr:uid="{00000000-0005-0000-0000-00006A000000}"/>
    <cellStyle name="Följde hyperlänken" xfId="80" xr:uid="{00000000-0005-0000-0000-00006B000000}"/>
    <cellStyle name="Good" xfId="88" builtinId="26" customBuiltin="1"/>
    <cellStyle name="Good 2" xfId="186" xr:uid="{00000000-0005-0000-0000-00006D000000}"/>
    <cellStyle name="Heading" xfId="10" xr:uid="{00000000-0005-0000-0000-00006E000000}"/>
    <cellStyle name="Heading 1" xfId="84" builtinId="16" customBuiltin="1"/>
    <cellStyle name="Heading 1 2" xfId="187" xr:uid="{00000000-0005-0000-0000-000070000000}"/>
    <cellStyle name="Heading 2" xfId="85" builtinId="17" customBuiltin="1"/>
    <cellStyle name="Heading 2 2" xfId="188" xr:uid="{00000000-0005-0000-0000-000072000000}"/>
    <cellStyle name="Heading 3" xfId="86" builtinId="18" customBuiltin="1"/>
    <cellStyle name="Heading 3 2" xfId="189" xr:uid="{00000000-0005-0000-0000-000074000000}"/>
    <cellStyle name="Heading 4" xfId="87" builtinId="19" customBuiltin="1"/>
    <cellStyle name="Heading 4 2" xfId="190" xr:uid="{00000000-0005-0000-0000-000076000000}"/>
    <cellStyle name="Heading 5" xfId="231" xr:uid="{00000000-0005-0000-0000-000077000000}"/>
    <cellStyle name="Hed Side" xfId="40" xr:uid="{00000000-0005-0000-0000-000078000000}"/>
    <cellStyle name="Hed Side 2" xfId="70" xr:uid="{00000000-0005-0000-0000-000079000000}"/>
    <cellStyle name="Hed Side 2 2" xfId="132" xr:uid="{00000000-0005-0000-0000-00007A000000}"/>
    <cellStyle name="Hed Side 3" xfId="126" xr:uid="{00000000-0005-0000-0000-00007B000000}"/>
    <cellStyle name="Hed Side bold" xfId="41" xr:uid="{00000000-0005-0000-0000-00007C000000}"/>
    <cellStyle name="Hed Side Indent" xfId="42" xr:uid="{00000000-0005-0000-0000-00007D000000}"/>
    <cellStyle name="Hed Side Indent 2" xfId="127" xr:uid="{00000000-0005-0000-0000-00007E000000}"/>
    <cellStyle name="Hed Side Regular" xfId="43" xr:uid="{00000000-0005-0000-0000-00007F000000}"/>
    <cellStyle name="Hed Side Regular 2" xfId="128" xr:uid="{00000000-0005-0000-0000-000080000000}"/>
    <cellStyle name="Hed Side_1-1A-Regular" xfId="44" xr:uid="{00000000-0005-0000-0000-000081000000}"/>
    <cellStyle name="Hed Top" xfId="45" xr:uid="{00000000-0005-0000-0000-000082000000}"/>
    <cellStyle name="Hed Top - SECTION" xfId="46" xr:uid="{00000000-0005-0000-0000-000083000000}"/>
    <cellStyle name="Hed Top - SECTION 2" xfId="129" xr:uid="{00000000-0005-0000-0000-000084000000}"/>
    <cellStyle name="Hed Top_3-new4" xfId="47" xr:uid="{00000000-0005-0000-0000-000085000000}"/>
    <cellStyle name="Hyperlänk 2" xfId="78" xr:uid="{00000000-0005-0000-0000-000086000000}"/>
    <cellStyle name="Hyperlink" xfId="290" builtinId="8"/>
    <cellStyle name="Hyperlink 2" xfId="27" xr:uid="{00000000-0005-0000-0000-000088000000}"/>
    <cellStyle name="Hyperlink 2 2" xfId="226" xr:uid="{00000000-0005-0000-0000-000089000000}"/>
    <cellStyle name="Hyperlink 2 3" xfId="233" xr:uid="{00000000-0005-0000-0000-00008A000000}"/>
    <cellStyle name="Hyperlink 3" xfId="232" xr:uid="{00000000-0005-0000-0000-00008B000000}"/>
    <cellStyle name="Hyperlink 4" xfId="240" xr:uid="{00000000-0005-0000-0000-00008C000000}"/>
    <cellStyle name="Hyperlink 5" xfId="282" xr:uid="{00000000-0005-0000-0000-00008D000000}"/>
    <cellStyle name="Input" xfId="91" builtinId="20" customBuiltin="1"/>
    <cellStyle name="Input 2" xfId="191" xr:uid="{00000000-0005-0000-0000-00008F000000}"/>
    <cellStyle name="ligne_titre_0" xfId="283" xr:uid="{00000000-0005-0000-0000-000090000000}"/>
    <cellStyle name="Linked Cell" xfId="94" builtinId="24" customBuiltin="1"/>
    <cellStyle name="Linked Cell 2" xfId="192" xr:uid="{00000000-0005-0000-0000-000092000000}"/>
    <cellStyle name="Milliers 2" xfId="291" xr:uid="{00000000-0005-0000-0000-000093000000}"/>
    <cellStyle name="Milliers 2 2" xfId="294" xr:uid="{00000000-0005-0000-0000-000094000000}"/>
    <cellStyle name="Neutral" xfId="90" builtinId="28" customBuiltin="1"/>
    <cellStyle name="Neutral 2" xfId="193" xr:uid="{00000000-0005-0000-0000-000096000000}"/>
    <cellStyle name="Normal" xfId="0" builtinId="0"/>
    <cellStyle name="Normal 10" xfId="30" xr:uid="{00000000-0005-0000-0000-000098000000}"/>
    <cellStyle name="Normal 11" xfId="32" xr:uid="{00000000-0005-0000-0000-000099000000}"/>
    <cellStyle name="Normal 11 2" xfId="227" xr:uid="{00000000-0005-0000-0000-00009A000000}"/>
    <cellStyle name="Normal 12" xfId="229" xr:uid="{00000000-0005-0000-0000-00009B000000}"/>
    <cellStyle name="Normal 13" xfId="239" xr:uid="{00000000-0005-0000-0000-00009C000000}"/>
    <cellStyle name="Normal 14" xfId="251" xr:uid="{00000000-0005-0000-0000-00009D000000}"/>
    <cellStyle name="Normal 15" xfId="252" xr:uid="{00000000-0005-0000-0000-00009E000000}"/>
    <cellStyle name="Normal 16" xfId="258" xr:uid="{00000000-0005-0000-0000-00009F000000}"/>
    <cellStyle name="Normal 17" xfId="279" xr:uid="{00000000-0005-0000-0000-0000A0000000}"/>
    <cellStyle name="Normal 18" xfId="280" xr:uid="{00000000-0005-0000-0000-0000A1000000}"/>
    <cellStyle name="Normal 19" xfId="292" xr:uid="{00000000-0005-0000-0000-0000A2000000}"/>
    <cellStyle name="Normal 2" xfId="4" xr:uid="{00000000-0005-0000-0000-0000A3000000}"/>
    <cellStyle name="Normal 2 2" xfId="31" xr:uid="{00000000-0005-0000-0000-0000A4000000}"/>
    <cellStyle name="Normal 2 3" xfId="77" xr:uid="{00000000-0005-0000-0000-0000A5000000}"/>
    <cellStyle name="Normal 2 3 2" xfId="148" xr:uid="{00000000-0005-0000-0000-0000A6000000}"/>
    <cellStyle name="Normal 2 4" xfId="234" xr:uid="{00000000-0005-0000-0000-0000A7000000}"/>
    <cellStyle name="Normal 2 5" xfId="264" xr:uid="{00000000-0005-0000-0000-0000A8000000}"/>
    <cellStyle name="Normal 3" xfId="5" xr:uid="{00000000-0005-0000-0000-0000A9000000}"/>
    <cellStyle name="Normal 3 2" xfId="79" xr:uid="{00000000-0005-0000-0000-0000AA000000}"/>
    <cellStyle name="Normal 3 2 2" xfId="194" xr:uid="{00000000-0005-0000-0000-0000AB000000}"/>
    <cellStyle name="Normal 3 2 2 2" xfId="195" xr:uid="{00000000-0005-0000-0000-0000AC000000}"/>
    <cellStyle name="Normal 3 2 3" xfId="196" xr:uid="{00000000-0005-0000-0000-0000AD000000}"/>
    <cellStyle name="Normal 3 3" xfId="197" xr:uid="{00000000-0005-0000-0000-0000AE000000}"/>
    <cellStyle name="Normal 3 3 2" xfId="198" xr:uid="{00000000-0005-0000-0000-0000AF000000}"/>
    <cellStyle name="Normal 3 3 2 2" xfId="199" xr:uid="{00000000-0005-0000-0000-0000B0000000}"/>
    <cellStyle name="Normal 3 3 3" xfId="200" xr:uid="{00000000-0005-0000-0000-0000B1000000}"/>
    <cellStyle name="Normal 3 4" xfId="201" xr:uid="{00000000-0005-0000-0000-0000B2000000}"/>
    <cellStyle name="Normal 3 4 2" xfId="202" xr:uid="{00000000-0005-0000-0000-0000B3000000}"/>
    <cellStyle name="Normal 3 5" xfId="203" xr:uid="{00000000-0005-0000-0000-0000B4000000}"/>
    <cellStyle name="Normal 3 6" xfId="204" xr:uid="{00000000-0005-0000-0000-0000B5000000}"/>
    <cellStyle name="Normal 3 7" xfId="205" xr:uid="{00000000-0005-0000-0000-0000B6000000}"/>
    <cellStyle name="Normal 3 8" xfId="235" xr:uid="{00000000-0005-0000-0000-0000B7000000}"/>
    <cellStyle name="Normal 3 9" xfId="296" xr:uid="{00000000-0005-0000-0000-0000B8000000}"/>
    <cellStyle name="Normal 4" xfId="6" xr:uid="{00000000-0005-0000-0000-0000B9000000}"/>
    <cellStyle name="Normal 4 2" xfId="82" xr:uid="{00000000-0005-0000-0000-0000BA000000}"/>
    <cellStyle name="Normal 4 2 2" xfId="206" xr:uid="{00000000-0005-0000-0000-0000BB000000}"/>
    <cellStyle name="Normal 4 2 2 2" xfId="207" xr:uid="{00000000-0005-0000-0000-0000BC000000}"/>
    <cellStyle name="Normal 4 2 3" xfId="208" xr:uid="{00000000-0005-0000-0000-0000BD000000}"/>
    <cellStyle name="Normal 4 2 4" xfId="149" xr:uid="{00000000-0005-0000-0000-0000BE000000}"/>
    <cellStyle name="Normal 4 3" xfId="209" xr:uid="{00000000-0005-0000-0000-0000BF000000}"/>
    <cellStyle name="Normal 4 3 2" xfId="210" xr:uid="{00000000-0005-0000-0000-0000C0000000}"/>
    <cellStyle name="Normal 4 3 2 2" xfId="211" xr:uid="{00000000-0005-0000-0000-0000C1000000}"/>
    <cellStyle name="Normal 4 3 3" xfId="212" xr:uid="{00000000-0005-0000-0000-0000C2000000}"/>
    <cellStyle name="Normal 4 4" xfId="213" xr:uid="{00000000-0005-0000-0000-0000C3000000}"/>
    <cellStyle name="Normal 4 4 2" xfId="214" xr:uid="{00000000-0005-0000-0000-0000C4000000}"/>
    <cellStyle name="Normal 4 5" xfId="215" xr:uid="{00000000-0005-0000-0000-0000C5000000}"/>
    <cellStyle name="Normal 4 6" xfId="216" xr:uid="{00000000-0005-0000-0000-0000C6000000}"/>
    <cellStyle name="Normal 4 7" xfId="217" xr:uid="{00000000-0005-0000-0000-0000C7000000}"/>
    <cellStyle name="Normal 4 8" xfId="139" xr:uid="{00000000-0005-0000-0000-0000C8000000}"/>
    <cellStyle name="Normal 4 9" xfId="253" xr:uid="{00000000-0005-0000-0000-0000C9000000}"/>
    <cellStyle name="Normal 5" xfId="7" xr:uid="{00000000-0005-0000-0000-0000CA000000}"/>
    <cellStyle name="Normal 5 2" xfId="33" xr:uid="{00000000-0005-0000-0000-0000CB000000}"/>
    <cellStyle name="Normal 5 2 2" xfId="150" xr:uid="{00000000-0005-0000-0000-0000CC000000}"/>
    <cellStyle name="Normal 5 3" xfId="218" xr:uid="{00000000-0005-0000-0000-0000CD000000}"/>
    <cellStyle name="Normal 5 4" xfId="140" xr:uid="{00000000-0005-0000-0000-0000CE000000}"/>
    <cellStyle name="Normal 5 5" xfId="254" xr:uid="{00000000-0005-0000-0000-0000CF000000}"/>
    <cellStyle name="Normal 6" xfId="8" xr:uid="{00000000-0005-0000-0000-0000D0000000}"/>
    <cellStyle name="Normal 6 2" xfId="219" xr:uid="{00000000-0005-0000-0000-0000D1000000}"/>
    <cellStyle name="Normal 6 3" xfId="151" xr:uid="{00000000-0005-0000-0000-0000D2000000}"/>
    <cellStyle name="Normal 6 4" xfId="255" xr:uid="{00000000-0005-0000-0000-0000D3000000}"/>
    <cellStyle name="Normal 7" xfId="9" xr:uid="{00000000-0005-0000-0000-0000D4000000}"/>
    <cellStyle name="Normal 7 2" xfId="73" xr:uid="{00000000-0005-0000-0000-0000D5000000}"/>
    <cellStyle name="Normal 7 2 2" xfId="143" xr:uid="{00000000-0005-0000-0000-0000D6000000}"/>
    <cellStyle name="Normal 7 3" xfId="134" xr:uid="{00000000-0005-0000-0000-0000D7000000}"/>
    <cellStyle name="Normal 7 4" xfId="256" xr:uid="{00000000-0005-0000-0000-0000D8000000}"/>
    <cellStyle name="Normal 8" xfId="16" xr:uid="{00000000-0005-0000-0000-0000D9000000}"/>
    <cellStyle name="Normal 8 2" xfId="74" xr:uid="{00000000-0005-0000-0000-0000DA000000}"/>
    <cellStyle name="Normal 8 3" xfId="135" xr:uid="{00000000-0005-0000-0000-0000DB000000}"/>
    <cellStyle name="Normal 8 4" xfId="257" xr:uid="{00000000-0005-0000-0000-0000DC000000}"/>
    <cellStyle name="Normal 9" xfId="29" xr:uid="{00000000-0005-0000-0000-0000DD000000}"/>
    <cellStyle name="Normal 9 2" xfId="152" xr:uid="{00000000-0005-0000-0000-0000DE000000}"/>
    <cellStyle name="Normalny 2" xfId="245" xr:uid="{00000000-0005-0000-0000-0000E1000000}"/>
    <cellStyle name="Normalny 3" xfId="248" xr:uid="{00000000-0005-0000-0000-0000E2000000}"/>
    <cellStyle name="Note 2" xfId="156" xr:uid="{00000000-0005-0000-0000-0000E3000000}"/>
    <cellStyle name="Note 2 2" xfId="220" xr:uid="{00000000-0005-0000-0000-0000E4000000}"/>
    <cellStyle name="Note 3" xfId="266" xr:uid="{00000000-0005-0000-0000-0000E5000000}"/>
    <cellStyle name="Output" xfId="92" builtinId="21" customBuiltin="1"/>
    <cellStyle name="Output 2" xfId="221" xr:uid="{00000000-0005-0000-0000-0000E7000000}"/>
    <cellStyle name="Percent 2" xfId="11" xr:uid="{00000000-0005-0000-0000-0000E9000000}"/>
    <cellStyle name="Percent 2 2" xfId="153" xr:uid="{00000000-0005-0000-0000-0000EA000000}"/>
    <cellStyle name="Percent 2 3" xfId="141" xr:uid="{00000000-0005-0000-0000-0000EB000000}"/>
    <cellStyle name="Percent 3" xfId="28" xr:uid="{00000000-0005-0000-0000-0000EC000000}"/>
    <cellStyle name="Percent 3 2" xfId="222" xr:uid="{00000000-0005-0000-0000-0000ED000000}"/>
    <cellStyle name="Percent 3 3" xfId="142" xr:uid="{00000000-0005-0000-0000-0000EE000000}"/>
    <cellStyle name="Percent 4" xfId="154" xr:uid="{00000000-0005-0000-0000-0000EF000000}"/>
    <cellStyle name="Percent 5" xfId="230" xr:uid="{00000000-0005-0000-0000-0000F0000000}"/>
    <cellStyle name="Percent 6" xfId="259" xr:uid="{00000000-0005-0000-0000-0000F1000000}"/>
    <cellStyle name="Percent 7" xfId="281" xr:uid="{00000000-0005-0000-0000-0000F2000000}"/>
    <cellStyle name="Percent 8" xfId="293" xr:uid="{00000000-0005-0000-0000-0000F3000000}"/>
    <cellStyle name="Procent 2" xfId="76" xr:uid="{00000000-0005-0000-0000-0000F4000000}"/>
    <cellStyle name="Procent 3" xfId="81" xr:uid="{00000000-0005-0000-0000-0000F5000000}"/>
    <cellStyle name="Publication_style" xfId="12" xr:uid="{00000000-0005-0000-0000-0000F6000000}"/>
    <cellStyle name="Refdb standard" xfId="13" xr:uid="{00000000-0005-0000-0000-0000F7000000}"/>
    <cellStyle name="Refdb standard 2" xfId="236" xr:uid="{00000000-0005-0000-0000-0000F8000000}"/>
    <cellStyle name="Reference" xfId="48" xr:uid="{00000000-0005-0000-0000-0000F9000000}"/>
    <cellStyle name="Row heading" xfId="49" xr:uid="{00000000-0005-0000-0000-0000FA000000}"/>
    <cellStyle name="Row_Headings" xfId="237" xr:uid="{00000000-0005-0000-0000-0000FB000000}"/>
    <cellStyle name="Source" xfId="14" xr:uid="{00000000-0005-0000-0000-0000FC000000}"/>
    <cellStyle name="Source 2" xfId="238" xr:uid="{00000000-0005-0000-0000-0000FD000000}"/>
    <cellStyle name="Source Hed" xfId="50" xr:uid="{00000000-0005-0000-0000-0000FE000000}"/>
    <cellStyle name="Source Letter" xfId="51" xr:uid="{00000000-0005-0000-0000-0000FF000000}"/>
    <cellStyle name="Source Superscript" xfId="52" xr:uid="{00000000-0005-0000-0000-000000010000}"/>
    <cellStyle name="Source Superscript 2" xfId="72" xr:uid="{00000000-0005-0000-0000-000001010000}"/>
    <cellStyle name="Source Text" xfId="53" xr:uid="{00000000-0005-0000-0000-000002010000}"/>
    <cellStyle name="Source Text 2" xfId="3" xr:uid="{00000000-0005-0000-0000-000003010000}"/>
    <cellStyle name="Standard 2" xfId="242" xr:uid="{00000000-0005-0000-0000-000004010000}"/>
    <cellStyle name="Standard 2 2" xfId="249" xr:uid="{00000000-0005-0000-0000-000005010000}"/>
    <cellStyle name="Standard 3" xfId="247" xr:uid="{00000000-0005-0000-0000-000006010000}"/>
    <cellStyle name="Standard 3 2" xfId="295" xr:uid="{00000000-0005-0000-0000-000007010000}"/>
    <cellStyle name="Standard 5" xfId="250" xr:uid="{00000000-0005-0000-0000-000008010000}"/>
    <cellStyle name="Standard_02" xfId="244" xr:uid="{00000000-0005-0000-0000-000009010000}"/>
    <cellStyle name="State" xfId="54" xr:uid="{00000000-0005-0000-0000-00000A010000}"/>
    <cellStyle name="Superscript" xfId="55" xr:uid="{00000000-0005-0000-0000-00000B010000}"/>
    <cellStyle name="Superscript 2" xfId="130" xr:uid="{00000000-0005-0000-0000-00000C010000}"/>
    <cellStyle name="Table Data" xfId="56" xr:uid="{00000000-0005-0000-0000-00000D010000}"/>
    <cellStyle name="Table Head Top" xfId="57" xr:uid="{00000000-0005-0000-0000-00000E010000}"/>
    <cellStyle name="Table Hed Side" xfId="58" xr:uid="{00000000-0005-0000-0000-00000F010000}"/>
    <cellStyle name="Table Title" xfId="59" xr:uid="{00000000-0005-0000-0000-000010010000}"/>
    <cellStyle name="tableau | cellule | normal | decimal 1" xfId="17" xr:uid="{00000000-0005-0000-0000-000011010000}"/>
    <cellStyle name="tableau | cellule | normal | pourcentage | decimal 1" xfId="18" xr:uid="{00000000-0005-0000-0000-000012010000}"/>
    <cellStyle name="tableau | cellule | total | decimal 1" xfId="19" xr:uid="{00000000-0005-0000-0000-000013010000}"/>
    <cellStyle name="tableau | coin superieur gauche" xfId="20" xr:uid="{00000000-0005-0000-0000-000014010000}"/>
    <cellStyle name="tableau | entete-colonne | series" xfId="21" xr:uid="{00000000-0005-0000-0000-000015010000}"/>
    <cellStyle name="tableau | entete-ligne | normal" xfId="22" xr:uid="{00000000-0005-0000-0000-000016010000}"/>
    <cellStyle name="tableau | entete-ligne | total" xfId="23" xr:uid="{00000000-0005-0000-0000-000017010000}"/>
    <cellStyle name="tableau | ligne-titre | niveau1" xfId="24" xr:uid="{00000000-0005-0000-0000-000018010000}"/>
    <cellStyle name="tableau | ligne-titre | niveau2" xfId="25" xr:uid="{00000000-0005-0000-0000-000019010000}"/>
    <cellStyle name="Title" xfId="83" builtinId="15" customBuiltin="1"/>
    <cellStyle name="Title 2" xfId="223" xr:uid="{00000000-0005-0000-0000-00001B010000}"/>
    <cellStyle name="Title 3" xfId="265" xr:uid="{00000000-0005-0000-0000-00001C010000}"/>
    <cellStyle name="Title Text" xfId="60" xr:uid="{00000000-0005-0000-0000-00001D010000}"/>
    <cellStyle name="Title Text 1" xfId="61" xr:uid="{00000000-0005-0000-0000-00001E010000}"/>
    <cellStyle name="Title Text 2" xfId="62" xr:uid="{00000000-0005-0000-0000-00001F010000}"/>
    <cellStyle name="Title-1" xfId="63" xr:uid="{00000000-0005-0000-0000-000020010000}"/>
    <cellStyle name="Title-2" xfId="64" xr:uid="{00000000-0005-0000-0000-000021010000}"/>
    <cellStyle name="Title-3" xfId="65" xr:uid="{00000000-0005-0000-0000-000022010000}"/>
    <cellStyle name="Titre ligne" xfId="1" xr:uid="{00000000-0005-0000-0000-000023010000}"/>
    <cellStyle name="Total" xfId="98" builtinId="25" customBuiltin="1"/>
    <cellStyle name="Total 2" xfId="224" xr:uid="{00000000-0005-0000-0000-000025010000}"/>
    <cellStyle name="Total intermediaire" xfId="2" xr:uid="{00000000-0005-0000-0000-000026010000}"/>
    <cellStyle name="Warning Text" xfId="96" builtinId="11" customBuiltin="1"/>
    <cellStyle name="Warning Text 2" xfId="225" xr:uid="{00000000-0005-0000-0000-000028010000}"/>
    <cellStyle name="Wrap" xfId="66" xr:uid="{00000000-0005-0000-0000-000029010000}"/>
    <cellStyle name="Wrap 2" xfId="131" xr:uid="{00000000-0005-0000-0000-00002A010000}"/>
    <cellStyle name="Wrap Bold" xfId="67" xr:uid="{00000000-0005-0000-0000-00002B010000}"/>
    <cellStyle name="Wrap Title" xfId="68" xr:uid="{00000000-0005-0000-0000-00002C010000}"/>
    <cellStyle name="Wrap_NTS99-~11" xfId="69" xr:uid="{00000000-0005-0000-0000-00002D01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Arial"/>
                <a:ea typeface="Arial"/>
                <a:cs typeface="Arial"/>
              </a:defRPr>
            </a:pPr>
            <a:r>
              <a:rPr lang="en-GB" sz="1200" b="1" i="0" u="none" strike="noStrike" baseline="0">
                <a:solidFill>
                  <a:srgbClr val="000000"/>
                </a:solidFill>
                <a:latin typeface="Arial"/>
                <a:cs typeface="Arial"/>
              </a:rPr>
              <a:t>EU-27 Performance by mode for passenger transport</a:t>
            </a:r>
            <a:endParaRPr lang="en-GB" sz="1000" b="1" i="0" u="none" strike="noStrike" baseline="0">
              <a:solidFill>
                <a:srgbClr val="000000"/>
              </a:solidFill>
              <a:latin typeface="Arial"/>
              <a:cs typeface="Arial"/>
            </a:endParaRPr>
          </a:p>
          <a:p>
            <a:pPr>
              <a:defRPr sz="1000" b="0" i="0" u="none" strike="noStrike" baseline="0">
                <a:solidFill>
                  <a:srgbClr val="000000"/>
                </a:solidFill>
                <a:latin typeface="Arial"/>
                <a:ea typeface="Arial"/>
                <a:cs typeface="Arial"/>
              </a:defRPr>
            </a:pPr>
            <a:r>
              <a:rPr lang="en-GB" sz="1000" b="1" i="0" u="none" strike="noStrike" baseline="0">
                <a:solidFill>
                  <a:srgbClr val="000000"/>
                </a:solidFill>
                <a:latin typeface="Arial"/>
                <a:cs typeface="Arial"/>
              </a:rPr>
              <a:t>1995 - 2022</a:t>
            </a:r>
          </a:p>
          <a:p>
            <a:pPr>
              <a:defRPr sz="1000" b="0" i="0" u="none" strike="noStrike" baseline="0">
                <a:solidFill>
                  <a:srgbClr val="000000"/>
                </a:solidFill>
                <a:latin typeface="Arial"/>
                <a:ea typeface="Arial"/>
                <a:cs typeface="Arial"/>
              </a:defRPr>
            </a:pPr>
            <a:endParaRPr lang="en-GB" sz="1000" b="1" i="0" u="none" strike="noStrike" baseline="0">
              <a:solidFill>
                <a:srgbClr val="000000"/>
              </a:solidFill>
              <a:latin typeface="Arial"/>
              <a:cs typeface="Arial"/>
            </a:endParaRPr>
          </a:p>
          <a:p>
            <a:pPr>
              <a:defRPr sz="10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 billion passenger-kilometres</a:t>
            </a:r>
            <a:endParaRPr lang="en-GB"/>
          </a:p>
        </c:rich>
      </c:tx>
      <c:layout>
        <c:manualLayout>
          <c:xMode val="edge"/>
          <c:yMode val="edge"/>
          <c:x val="0.16640016797900262"/>
          <c:y val="9.9206349206349201E-3"/>
        </c:manualLayout>
      </c:layout>
      <c:overlay val="0"/>
      <c:spPr>
        <a:noFill/>
        <a:ln w="25400">
          <a:noFill/>
        </a:ln>
      </c:spPr>
    </c:title>
    <c:autoTitleDeleted val="0"/>
    <c:plotArea>
      <c:layout>
        <c:manualLayout>
          <c:layoutTarget val="inner"/>
          <c:xMode val="edge"/>
          <c:yMode val="edge"/>
          <c:x val="9.2605030146356196E-2"/>
          <c:y val="0.14880971090918563"/>
          <c:w val="0.8256006450005039"/>
          <c:h val="0.70436644416241201"/>
        </c:manualLayout>
      </c:layout>
      <c:lineChart>
        <c:grouping val="standard"/>
        <c:varyColors val="0"/>
        <c:ser>
          <c:idx val="1"/>
          <c:order val="0"/>
          <c:tx>
            <c:strRef>
              <c:f>passeng_graph!$B$37</c:f>
              <c:strCache>
                <c:ptCount val="1"/>
                <c:pt idx="0">
                  <c:v>Passenger Cars</c:v>
                </c:pt>
              </c:strCache>
            </c:strRef>
          </c:tx>
          <c:spPr>
            <a:ln w="25400">
              <a:solidFill>
                <a:srgbClr val="993300"/>
              </a:solidFill>
              <a:prstDash val="solid"/>
            </a:ln>
          </c:spPr>
          <c:marker>
            <c:symbol val="square"/>
            <c:size val="6"/>
            <c:spPr>
              <a:noFill/>
              <a:ln>
                <a:solidFill>
                  <a:srgbClr val="993300"/>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passeng_graph!$C$37:$AD$37</c:f>
              <c:numCache>
                <c:formatCode>0.0</c:formatCode>
                <c:ptCount val="28"/>
                <c:pt idx="0">
                  <c:v>3283.7635352382986</c:v>
                </c:pt>
                <c:pt idx="1">
                  <c:v>3343.4005296782343</c:v>
                </c:pt>
                <c:pt idx="2">
                  <c:v>3412.1993932868522</c:v>
                </c:pt>
                <c:pt idx="3">
                  <c:v>3507.1338683711424</c:v>
                </c:pt>
                <c:pt idx="4">
                  <c:v>3610.5575238836655</c:v>
                </c:pt>
                <c:pt idx="5">
                  <c:v>3660.3550623140204</c:v>
                </c:pt>
                <c:pt idx="6">
                  <c:v>3734.2157647230588</c:v>
                </c:pt>
                <c:pt idx="7">
                  <c:v>3789.3050249260709</c:v>
                </c:pt>
                <c:pt idx="8">
                  <c:v>3826.1956189610128</c:v>
                </c:pt>
                <c:pt idx="9">
                  <c:v>3878.1627438382161</c:v>
                </c:pt>
                <c:pt idx="10">
                  <c:v>3839.1794808863438</c:v>
                </c:pt>
                <c:pt idx="11">
                  <c:v>3875.2614469870077</c:v>
                </c:pt>
                <c:pt idx="12">
                  <c:v>3921.2560941458078</c:v>
                </c:pt>
                <c:pt idx="13">
                  <c:v>3931.6239841889396</c:v>
                </c:pt>
                <c:pt idx="14">
                  <c:v>4009.2120907480175</c:v>
                </c:pt>
                <c:pt idx="15">
                  <c:v>3975.8509514257871</c:v>
                </c:pt>
                <c:pt idx="16">
                  <c:v>3943.6434280371873</c:v>
                </c:pt>
                <c:pt idx="17">
                  <c:v>3904.5431623219174</c:v>
                </c:pt>
                <c:pt idx="18">
                  <c:v>3964.794984671576</c:v>
                </c:pt>
                <c:pt idx="19">
                  <c:v>4020.2617494762826</c:v>
                </c:pt>
                <c:pt idx="20">
                  <c:v>4110.5450140439361</c:v>
                </c:pt>
                <c:pt idx="21">
                  <c:v>4196.3094899484604</c:v>
                </c:pt>
                <c:pt idx="22">
                  <c:v>4241.3906708796221</c:v>
                </c:pt>
                <c:pt idx="23">
                  <c:v>4261.3048415568574</c:v>
                </c:pt>
                <c:pt idx="24">
                  <c:v>4298.8288425831834</c:v>
                </c:pt>
                <c:pt idx="25">
                  <c:v>3488.2937156764365</c:v>
                </c:pt>
                <c:pt idx="26">
                  <c:v>3869.2630868714714</c:v>
                </c:pt>
                <c:pt idx="27">
                  <c:v>4099.554984962293</c:v>
                </c:pt>
              </c:numCache>
            </c:numRef>
          </c:val>
          <c:smooth val="0"/>
          <c:extLst>
            <c:ext xmlns:c16="http://schemas.microsoft.com/office/drawing/2014/chart" uri="{C3380CC4-5D6E-409C-BE32-E72D297353CC}">
              <c16:uniqueId val="{00000000-9BF9-481A-A762-17AF87CB0DD8}"/>
            </c:ext>
          </c:extLst>
        </c:ser>
        <c:dLbls>
          <c:showLegendKey val="0"/>
          <c:showVal val="0"/>
          <c:showCatName val="0"/>
          <c:showSerName val="0"/>
          <c:showPercent val="0"/>
          <c:showBubbleSize val="0"/>
        </c:dLbls>
        <c:marker val="1"/>
        <c:smooth val="0"/>
        <c:axId val="132297856"/>
        <c:axId val="132299776"/>
      </c:lineChart>
      <c:lineChart>
        <c:grouping val="standard"/>
        <c:varyColors val="0"/>
        <c:ser>
          <c:idx val="0"/>
          <c:order val="1"/>
          <c:tx>
            <c:strRef>
              <c:f>passeng_graph!$B$38</c:f>
              <c:strCache>
                <c:ptCount val="1"/>
                <c:pt idx="0">
                  <c:v>Powered 2-wheelers</c:v>
                </c:pt>
              </c:strCache>
            </c:strRef>
          </c:tx>
          <c:spPr>
            <a:ln w="25400">
              <a:solidFill>
                <a:srgbClr val="000000"/>
              </a:solidFill>
              <a:prstDash val="solid"/>
            </a:ln>
          </c:spPr>
          <c:marker>
            <c:symbol val="circle"/>
            <c:size val="7"/>
            <c:spPr>
              <a:solidFill>
                <a:srgbClr val="000000"/>
              </a:solidFill>
              <a:ln>
                <a:solidFill>
                  <a:srgbClr val="000000"/>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passeng_graph!$C$38:$AD$38</c:f>
              <c:numCache>
                <c:formatCode>0.0</c:formatCode>
                <c:ptCount val="28"/>
                <c:pt idx="0">
                  <c:v>109.05864204651601</c:v>
                </c:pt>
                <c:pt idx="1">
                  <c:v>110.71645442035309</c:v>
                </c:pt>
                <c:pt idx="2">
                  <c:v>114.74160322568427</c:v>
                </c:pt>
                <c:pt idx="3">
                  <c:v>118.82442899876349</c:v>
                </c:pt>
                <c:pt idx="4">
                  <c:v>122.35581835836099</c:v>
                </c:pt>
                <c:pt idx="5">
                  <c:v>100.1107644784759</c:v>
                </c:pt>
                <c:pt idx="6">
                  <c:v>104.095166931233</c:v>
                </c:pt>
                <c:pt idx="7">
                  <c:v>105.42903763888484</c:v>
                </c:pt>
                <c:pt idx="8">
                  <c:v>108.48550683239696</c:v>
                </c:pt>
                <c:pt idx="9">
                  <c:v>111.98941961706767</c:v>
                </c:pt>
                <c:pt idx="10">
                  <c:v>115.50055192138571</c:v>
                </c:pt>
                <c:pt idx="11">
                  <c:v>114.43172120818586</c:v>
                </c:pt>
                <c:pt idx="12">
                  <c:v>110.5043427472234</c:v>
                </c:pt>
                <c:pt idx="13">
                  <c:v>115.38831573516899</c:v>
                </c:pt>
                <c:pt idx="14">
                  <c:v>112.8627662447775</c:v>
                </c:pt>
                <c:pt idx="15">
                  <c:v>114.72601922034366</c:v>
                </c:pt>
                <c:pt idx="16">
                  <c:v>117.74993670400279</c:v>
                </c:pt>
                <c:pt idx="17">
                  <c:v>115.14821585220363</c:v>
                </c:pt>
                <c:pt idx="18">
                  <c:v>114.70387523401597</c:v>
                </c:pt>
                <c:pt idx="19">
                  <c:v>117.44779065898926</c:v>
                </c:pt>
                <c:pt idx="20">
                  <c:v>117.37810544539416</c:v>
                </c:pt>
                <c:pt idx="21">
                  <c:v>118.6691150624878</c:v>
                </c:pt>
                <c:pt idx="22">
                  <c:v>112.18867926539227</c:v>
                </c:pt>
                <c:pt idx="23">
                  <c:v>106.7909468730537</c:v>
                </c:pt>
                <c:pt idx="24">
                  <c:v>115.56451211465715</c:v>
                </c:pt>
                <c:pt idx="25">
                  <c:v>101.6238032645898</c:v>
                </c:pt>
                <c:pt idx="26">
                  <c:v>107.33787398014688</c:v>
                </c:pt>
                <c:pt idx="27">
                  <c:v>109.57065390436578</c:v>
                </c:pt>
              </c:numCache>
            </c:numRef>
          </c:val>
          <c:smooth val="0"/>
          <c:extLst>
            <c:ext xmlns:c16="http://schemas.microsoft.com/office/drawing/2014/chart" uri="{C3380CC4-5D6E-409C-BE32-E72D297353CC}">
              <c16:uniqueId val="{00000001-9BF9-481A-A762-17AF87CB0DD8}"/>
            </c:ext>
          </c:extLst>
        </c:ser>
        <c:ser>
          <c:idx val="3"/>
          <c:order val="2"/>
          <c:tx>
            <c:strRef>
              <c:f>passeng_graph!$B$39</c:f>
              <c:strCache>
                <c:ptCount val="1"/>
                <c:pt idx="0">
                  <c:v>Buses &amp; Coaches</c:v>
                </c:pt>
              </c:strCache>
            </c:strRef>
          </c:tx>
          <c:spPr>
            <a:ln w="25400">
              <a:solidFill>
                <a:srgbClr val="FF0000"/>
              </a:solidFill>
              <a:prstDash val="solid"/>
            </a:ln>
          </c:spPr>
          <c:marker>
            <c:symbol val="x"/>
            <c:size val="3"/>
            <c:spPr>
              <a:solidFill>
                <a:srgbClr val="FF0000"/>
              </a:solidFill>
              <a:ln>
                <a:solidFill>
                  <a:srgbClr val="FF0000"/>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passeng_graph!$C$39:$AD$39</c:f>
              <c:numCache>
                <c:formatCode>0.0</c:formatCode>
                <c:ptCount val="28"/>
                <c:pt idx="0">
                  <c:v>468.02840644355865</c:v>
                </c:pt>
                <c:pt idx="1">
                  <c:v>472.88897060546248</c:v>
                </c:pt>
                <c:pt idx="2">
                  <c:v>475.72177987370736</c:v>
                </c:pt>
                <c:pt idx="3">
                  <c:v>478.18777007612073</c:v>
                </c:pt>
                <c:pt idx="4">
                  <c:v>479.38473191406047</c:v>
                </c:pt>
                <c:pt idx="5">
                  <c:v>496.48139003044628</c:v>
                </c:pt>
                <c:pt idx="6">
                  <c:v>495.60918925294652</c:v>
                </c:pt>
                <c:pt idx="7">
                  <c:v>492.83103847060499</c:v>
                </c:pt>
                <c:pt idx="8">
                  <c:v>495.563921249874</c:v>
                </c:pt>
                <c:pt idx="9">
                  <c:v>500.16555335428939</c:v>
                </c:pt>
                <c:pt idx="10">
                  <c:v>497.75498053181019</c:v>
                </c:pt>
                <c:pt idx="11">
                  <c:v>497.84108408877461</c:v>
                </c:pt>
                <c:pt idx="12">
                  <c:v>507.88301482328666</c:v>
                </c:pt>
                <c:pt idx="13">
                  <c:v>514.13332772491583</c:v>
                </c:pt>
                <c:pt idx="14">
                  <c:v>489.74837464226323</c:v>
                </c:pt>
                <c:pt idx="15">
                  <c:v>482.18637837321461</c:v>
                </c:pt>
                <c:pt idx="16">
                  <c:v>485.63643998143766</c:v>
                </c:pt>
                <c:pt idx="17">
                  <c:v>482.175814406337</c:v>
                </c:pt>
                <c:pt idx="18">
                  <c:v>480.75543431704494</c:v>
                </c:pt>
                <c:pt idx="19">
                  <c:v>476.04717730949386</c:v>
                </c:pt>
                <c:pt idx="20">
                  <c:v>491.83314131807919</c:v>
                </c:pt>
                <c:pt idx="21">
                  <c:v>495.97994091711865</c:v>
                </c:pt>
                <c:pt idx="22">
                  <c:v>477.11721647611023</c:v>
                </c:pt>
                <c:pt idx="23">
                  <c:v>480.68314183210219</c:v>
                </c:pt>
                <c:pt idx="24">
                  <c:v>486.16980595307314</c:v>
                </c:pt>
                <c:pt idx="25">
                  <c:v>291.978593413873</c:v>
                </c:pt>
                <c:pt idx="26">
                  <c:v>330.77405474657286</c:v>
                </c:pt>
                <c:pt idx="27">
                  <c:v>406.21076687050976</c:v>
                </c:pt>
              </c:numCache>
            </c:numRef>
          </c:val>
          <c:smooth val="0"/>
          <c:extLst>
            <c:ext xmlns:c16="http://schemas.microsoft.com/office/drawing/2014/chart" uri="{C3380CC4-5D6E-409C-BE32-E72D297353CC}">
              <c16:uniqueId val="{00000002-9BF9-481A-A762-17AF87CB0DD8}"/>
            </c:ext>
          </c:extLst>
        </c:ser>
        <c:ser>
          <c:idx val="5"/>
          <c:order val="3"/>
          <c:tx>
            <c:strRef>
              <c:f>passeng_graph!$B$40</c:f>
              <c:strCache>
                <c:ptCount val="1"/>
                <c:pt idx="0">
                  <c:v>Railways</c:v>
                </c:pt>
              </c:strCache>
            </c:strRef>
          </c:tx>
          <c:spPr>
            <a:ln w="25400">
              <a:solidFill>
                <a:srgbClr val="339966"/>
              </a:solidFill>
              <a:prstDash val="solid"/>
            </a:ln>
          </c:spPr>
          <c:marker>
            <c:symbol val="triangle"/>
            <c:size val="7"/>
            <c:spPr>
              <a:solidFill>
                <a:srgbClr val="339966"/>
              </a:solidFill>
              <a:ln>
                <a:solidFill>
                  <a:srgbClr val="339966"/>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passeng_graph!$C$40:$AD$40</c:f>
              <c:numCache>
                <c:formatCode>0.0</c:formatCode>
                <c:ptCount val="28"/>
                <c:pt idx="0">
                  <c:v>312.65000000000009</c:v>
                </c:pt>
                <c:pt idx="1">
                  <c:v>315.47100000000012</c:v>
                </c:pt>
                <c:pt idx="2">
                  <c:v>313.14999999999992</c:v>
                </c:pt>
                <c:pt idx="3">
                  <c:v>311.64800000000008</c:v>
                </c:pt>
                <c:pt idx="4">
                  <c:v>316.50700000000001</c:v>
                </c:pt>
                <c:pt idx="5">
                  <c:v>338.5492942433919</c:v>
                </c:pt>
                <c:pt idx="6">
                  <c:v>339.85423003620963</c:v>
                </c:pt>
                <c:pt idx="7">
                  <c:v>331.87130258876675</c:v>
                </c:pt>
                <c:pt idx="8">
                  <c:v>326.78981919138573</c:v>
                </c:pt>
                <c:pt idx="9">
                  <c:v>331.96472419578271</c:v>
                </c:pt>
                <c:pt idx="10">
                  <c:v>339.86117761653077</c:v>
                </c:pt>
                <c:pt idx="11">
                  <c:v>349.36454643728189</c:v>
                </c:pt>
                <c:pt idx="12">
                  <c:v>353.306658274612</c:v>
                </c:pt>
                <c:pt idx="13">
                  <c:v>366.58763470008745</c:v>
                </c:pt>
                <c:pt idx="14">
                  <c:v>359.20293199360975</c:v>
                </c:pt>
                <c:pt idx="15">
                  <c:v>358.18149044346626</c:v>
                </c:pt>
                <c:pt idx="16">
                  <c:v>364.01529480885858</c:v>
                </c:pt>
                <c:pt idx="17">
                  <c:v>367.34201354598179</c:v>
                </c:pt>
                <c:pt idx="18">
                  <c:v>371.81891998741401</c:v>
                </c:pt>
                <c:pt idx="19">
                  <c:v>376.26055450514656</c:v>
                </c:pt>
                <c:pt idx="20">
                  <c:v>381.70938029315397</c:v>
                </c:pt>
                <c:pt idx="21">
                  <c:v>386.5098593638204</c:v>
                </c:pt>
                <c:pt idx="22">
                  <c:v>400.76366037000008</c:v>
                </c:pt>
                <c:pt idx="23">
                  <c:v>408.33592323400001</c:v>
                </c:pt>
                <c:pt idx="24">
                  <c:v>421.82972433000003</c:v>
                </c:pt>
                <c:pt idx="25">
                  <c:v>227.716228075</c:v>
                </c:pt>
                <c:pt idx="26">
                  <c:v>265.95270534299999</c:v>
                </c:pt>
                <c:pt idx="27">
                  <c:v>402.23847362000009</c:v>
                </c:pt>
              </c:numCache>
            </c:numRef>
          </c:val>
          <c:smooth val="0"/>
          <c:extLst>
            <c:ext xmlns:c16="http://schemas.microsoft.com/office/drawing/2014/chart" uri="{C3380CC4-5D6E-409C-BE32-E72D297353CC}">
              <c16:uniqueId val="{00000003-9BF9-481A-A762-17AF87CB0DD8}"/>
            </c:ext>
          </c:extLst>
        </c:ser>
        <c:ser>
          <c:idx val="6"/>
          <c:order val="4"/>
          <c:tx>
            <c:strRef>
              <c:f>passeng_graph!$B$41</c:f>
              <c:strCache>
                <c:ptCount val="1"/>
                <c:pt idx="0">
                  <c:v>Tram &amp; Metro</c:v>
                </c:pt>
              </c:strCache>
            </c:strRef>
          </c:tx>
          <c:spPr>
            <a:ln w="25400">
              <a:solidFill>
                <a:srgbClr val="FF9900"/>
              </a:solidFill>
              <a:prstDash val="solid"/>
            </a:ln>
          </c:spPr>
          <c:marker>
            <c:symbol val="star"/>
            <c:size val="7"/>
            <c:spPr>
              <a:noFill/>
              <a:ln>
                <a:solidFill>
                  <a:srgbClr val="FF9900"/>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passeng_graph!$C$41:$AD$41</c:f>
              <c:numCache>
                <c:formatCode>0.0</c:formatCode>
                <c:ptCount val="28"/>
                <c:pt idx="0">
                  <c:v>63.801627306091206</c:v>
                </c:pt>
                <c:pt idx="1">
                  <c:v>64.910128525276747</c:v>
                </c:pt>
                <c:pt idx="2">
                  <c:v>65.322641438807437</c:v>
                </c:pt>
                <c:pt idx="3">
                  <c:v>66.047922130725382</c:v>
                </c:pt>
                <c:pt idx="4">
                  <c:v>67.010399918778532</c:v>
                </c:pt>
                <c:pt idx="5">
                  <c:v>67.843840564744099</c:v>
                </c:pt>
                <c:pt idx="6">
                  <c:v>68.539656573900217</c:v>
                </c:pt>
                <c:pt idx="7">
                  <c:v>69.374812774150158</c:v>
                </c:pt>
                <c:pt idx="8">
                  <c:v>70.18336190555614</c:v>
                </c:pt>
                <c:pt idx="9">
                  <c:v>72.445632887244102</c:v>
                </c:pt>
                <c:pt idx="10">
                  <c:v>73.154697458878715</c:v>
                </c:pt>
                <c:pt idx="11">
                  <c:v>74.583334218657839</c:v>
                </c:pt>
                <c:pt idx="12">
                  <c:v>76.350815575898523</c:v>
                </c:pt>
                <c:pt idx="13">
                  <c:v>79.124684832482046</c:v>
                </c:pt>
                <c:pt idx="14">
                  <c:v>78.491058768954531</c:v>
                </c:pt>
                <c:pt idx="15">
                  <c:v>80.818824573023448</c:v>
                </c:pt>
                <c:pt idx="16">
                  <c:v>81.212759154899217</c:v>
                </c:pt>
                <c:pt idx="17">
                  <c:v>82.300482448189484</c:v>
                </c:pt>
                <c:pt idx="18">
                  <c:v>82.489193949141509</c:v>
                </c:pt>
                <c:pt idx="19">
                  <c:v>82.772681334256603</c:v>
                </c:pt>
                <c:pt idx="20">
                  <c:v>80.793703886067945</c:v>
                </c:pt>
                <c:pt idx="21">
                  <c:v>83.25790903425947</c:v>
                </c:pt>
                <c:pt idx="22">
                  <c:v>85.063391371363309</c:v>
                </c:pt>
                <c:pt idx="23">
                  <c:v>87.046447035955296</c:v>
                </c:pt>
                <c:pt idx="24">
                  <c:v>87.094829635050871</c:v>
                </c:pt>
                <c:pt idx="25">
                  <c:v>51.418459168238556</c:v>
                </c:pt>
                <c:pt idx="26">
                  <c:v>54.444374823752028</c:v>
                </c:pt>
                <c:pt idx="27">
                  <c:v>69.154563193651299</c:v>
                </c:pt>
              </c:numCache>
            </c:numRef>
          </c:val>
          <c:smooth val="0"/>
          <c:extLst>
            <c:ext xmlns:c16="http://schemas.microsoft.com/office/drawing/2014/chart" uri="{C3380CC4-5D6E-409C-BE32-E72D297353CC}">
              <c16:uniqueId val="{00000004-9BF9-481A-A762-17AF87CB0DD8}"/>
            </c:ext>
          </c:extLst>
        </c:ser>
        <c:ser>
          <c:idx val="2"/>
          <c:order val="5"/>
          <c:tx>
            <c:strRef>
              <c:f>passeng_graph!$B$42</c:f>
              <c:strCache>
                <c:ptCount val="1"/>
                <c:pt idx="0">
                  <c:v>Air</c:v>
                </c:pt>
              </c:strCache>
            </c:strRef>
          </c:tx>
          <c:spPr>
            <a:ln w="25400">
              <a:solidFill>
                <a:srgbClr val="00FF00"/>
              </a:solidFill>
              <a:prstDash val="solid"/>
            </a:ln>
          </c:spPr>
          <c:marker>
            <c:symbol val="diamond"/>
            <c:size val="7"/>
            <c:spPr>
              <a:solidFill>
                <a:srgbClr val="00FF00"/>
              </a:solidFill>
              <a:ln>
                <a:solidFill>
                  <a:srgbClr val="00FF00"/>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passeng_graph!$C$42:$AD$42</c:f>
              <c:numCache>
                <c:formatCode>0.0</c:formatCode>
                <c:ptCount val="28"/>
                <c:pt idx="0">
                  <c:v>237.23260425819345</c:v>
                </c:pt>
                <c:pt idx="1">
                  <c:v>250.94547155635493</c:v>
                </c:pt>
                <c:pt idx="2">
                  <c:v>267.40091231414868</c:v>
                </c:pt>
                <c:pt idx="3">
                  <c:v>280.42813624740205</c:v>
                </c:pt>
                <c:pt idx="4">
                  <c:v>291.39843008593124</c:v>
                </c:pt>
                <c:pt idx="5">
                  <c:v>313.33901776298956</c:v>
                </c:pt>
                <c:pt idx="6">
                  <c:v>310.59644430335726</c:v>
                </c:pt>
                <c:pt idx="7">
                  <c:v>305.11129738409272</c:v>
                </c:pt>
                <c:pt idx="8">
                  <c:v>317.45287795243803</c:v>
                </c:pt>
                <c:pt idx="9">
                  <c:v>338.02217889968028</c:v>
                </c:pt>
                <c:pt idx="10">
                  <c:v>361.33405330655478</c:v>
                </c:pt>
                <c:pt idx="11">
                  <c:v>376.41820733453238</c:v>
                </c:pt>
                <c:pt idx="12">
                  <c:v>392.1880047274181</c:v>
                </c:pt>
                <c:pt idx="13">
                  <c:v>376.11453095466538</c:v>
                </c:pt>
                <c:pt idx="14">
                  <c:v>354.92825427682993</c:v>
                </c:pt>
                <c:pt idx="15">
                  <c:v>370.75208126731411</c:v>
                </c:pt>
                <c:pt idx="16">
                  <c:v>401.77841770077725</c:v>
                </c:pt>
                <c:pt idx="17">
                  <c:v>396.26947982884872</c:v>
                </c:pt>
                <c:pt idx="18">
                  <c:v>397.73569581365069</c:v>
                </c:pt>
                <c:pt idx="19">
                  <c:v>419.0239161035671</c:v>
                </c:pt>
                <c:pt idx="20">
                  <c:v>445.01431747278014</c:v>
                </c:pt>
                <c:pt idx="21">
                  <c:v>485.00003747621184</c:v>
                </c:pt>
                <c:pt idx="22">
                  <c:v>529.25685144457611</c:v>
                </c:pt>
                <c:pt idx="23">
                  <c:v>562.20153599553566</c:v>
                </c:pt>
                <c:pt idx="24">
                  <c:v>575.376876197191</c:v>
                </c:pt>
                <c:pt idx="25">
                  <c:v>175.83677942627764</c:v>
                </c:pt>
                <c:pt idx="26">
                  <c:v>270.0212636199816</c:v>
                </c:pt>
                <c:pt idx="27">
                  <c:v>512.32871343132967</c:v>
                </c:pt>
              </c:numCache>
            </c:numRef>
          </c:val>
          <c:smooth val="0"/>
          <c:extLst>
            <c:ext xmlns:c16="http://schemas.microsoft.com/office/drawing/2014/chart" uri="{C3380CC4-5D6E-409C-BE32-E72D297353CC}">
              <c16:uniqueId val="{00000005-9BF9-481A-A762-17AF87CB0DD8}"/>
            </c:ext>
          </c:extLst>
        </c:ser>
        <c:ser>
          <c:idx val="4"/>
          <c:order val="6"/>
          <c:tx>
            <c:strRef>
              <c:f>passeng_graph!$B$43</c:f>
              <c:strCache>
                <c:ptCount val="1"/>
                <c:pt idx="0">
                  <c:v>Sea</c:v>
                </c:pt>
              </c:strCache>
            </c:strRef>
          </c:tx>
          <c:spPr>
            <a:ln w="25400">
              <a:solidFill>
                <a:srgbClr val="0000FF"/>
              </a:solidFill>
              <a:prstDash val="solid"/>
            </a:ln>
          </c:spPr>
          <c:marker>
            <c:symbol val="triangle"/>
            <c:size val="3"/>
            <c:spPr>
              <a:solidFill>
                <a:srgbClr val="0000FF"/>
              </a:solidFill>
              <a:ln>
                <a:solidFill>
                  <a:srgbClr val="0000FF"/>
                </a:solidFill>
                <a:prstDash val="solid"/>
              </a:ln>
            </c:spPr>
          </c:marker>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passeng_graph!$C$43:$AD$43</c:f>
              <c:numCache>
                <c:formatCode>0.0</c:formatCode>
                <c:ptCount val="28"/>
                <c:pt idx="0">
                  <c:v>22.75660718736945</c:v>
                </c:pt>
                <c:pt idx="1">
                  <c:v>22.551592708203962</c:v>
                </c:pt>
                <c:pt idx="2">
                  <c:v>22.346578229038471</c:v>
                </c:pt>
                <c:pt idx="3">
                  <c:v>22.090310130081608</c:v>
                </c:pt>
                <c:pt idx="4">
                  <c:v>21.834042031124746</c:v>
                </c:pt>
                <c:pt idx="5">
                  <c:v>21.372759453002395</c:v>
                </c:pt>
                <c:pt idx="6">
                  <c:v>21.526520312376515</c:v>
                </c:pt>
                <c:pt idx="7">
                  <c:v>22.200008505158266</c:v>
                </c:pt>
                <c:pt idx="8">
                  <c:v>22.097527288736458</c:v>
                </c:pt>
                <c:pt idx="9">
                  <c:v>21.838080383682794</c:v>
                </c:pt>
                <c:pt idx="10">
                  <c:v>21.301470549563206</c:v>
                </c:pt>
                <c:pt idx="11">
                  <c:v>21.376279934270865</c:v>
                </c:pt>
                <c:pt idx="12">
                  <c:v>21.335411366439864</c:v>
                </c:pt>
                <c:pt idx="13">
                  <c:v>21.870651616757328</c:v>
                </c:pt>
                <c:pt idx="14">
                  <c:v>22.447108828233201</c:v>
                </c:pt>
                <c:pt idx="15">
                  <c:v>22.489290677301</c:v>
                </c:pt>
                <c:pt idx="16">
                  <c:v>20.009872719529735</c:v>
                </c:pt>
                <c:pt idx="17">
                  <c:v>18.524148504413564</c:v>
                </c:pt>
                <c:pt idx="18">
                  <c:v>19.265155534676669</c:v>
                </c:pt>
                <c:pt idx="19">
                  <c:v>19.44140478978127</c:v>
                </c:pt>
                <c:pt idx="20">
                  <c:v>19.380846533397605</c:v>
                </c:pt>
                <c:pt idx="21">
                  <c:v>18.440519044155</c:v>
                </c:pt>
                <c:pt idx="22">
                  <c:v>19.680805983345934</c:v>
                </c:pt>
                <c:pt idx="23">
                  <c:v>20.807631828738664</c:v>
                </c:pt>
                <c:pt idx="24">
                  <c:v>21.133986957134791</c:v>
                </c:pt>
                <c:pt idx="25">
                  <c:v>10.627334083312785</c:v>
                </c:pt>
                <c:pt idx="26">
                  <c:v>13.785553851124805</c:v>
                </c:pt>
                <c:pt idx="27">
                  <c:v>17.685432185702691</c:v>
                </c:pt>
              </c:numCache>
            </c:numRef>
          </c:val>
          <c:smooth val="0"/>
          <c:extLst>
            <c:ext xmlns:c16="http://schemas.microsoft.com/office/drawing/2014/chart" uri="{C3380CC4-5D6E-409C-BE32-E72D297353CC}">
              <c16:uniqueId val="{00000006-9BF9-481A-A762-17AF87CB0DD8}"/>
            </c:ext>
          </c:extLst>
        </c:ser>
        <c:ser>
          <c:idx val="7"/>
          <c:order val="7"/>
          <c:tx>
            <c:strRef>
              <c:f>passeng_graph!$B$44</c:f>
              <c:strCache>
                <c:ptCount val="1"/>
                <c:pt idx="0">
                  <c:v>Total</c:v>
                </c:pt>
              </c:strCache>
            </c:strRef>
          </c:tx>
          <c:cat>
            <c:numRef>
              <c:f>passeng_graph!$C$36:$AD$36</c:f>
              <c:numCache>
                <c:formatCode>@</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passeng_graph!$C$44:$Z$44</c:f>
              <c:numCache>
                <c:formatCode>0.0</c:formatCode>
                <c:ptCount val="24"/>
                <c:pt idx="0">
                  <c:v>4497.2914224800279</c:v>
                </c:pt>
                <c:pt idx="1">
                  <c:v>4580.8841474938854</c:v>
                </c:pt>
                <c:pt idx="2">
                  <c:v>4670.8829083682385</c:v>
                </c:pt>
                <c:pt idx="3">
                  <c:v>4784.360435954236</c:v>
                </c:pt>
                <c:pt idx="4">
                  <c:v>4909.0479461919213</c:v>
                </c:pt>
                <c:pt idx="5">
                  <c:v>4998.0521288470718</c:v>
                </c:pt>
                <c:pt idx="6">
                  <c:v>5074.4369721330813</c:v>
                </c:pt>
                <c:pt idx="7">
                  <c:v>5116.1225222877283</c:v>
                </c:pt>
                <c:pt idx="8">
                  <c:v>5166.768633381399</c:v>
                </c:pt>
                <c:pt idx="9">
                  <c:v>5254.5883331759633</c:v>
                </c:pt>
                <c:pt idx="10">
                  <c:v>5248.0864122710673</c:v>
                </c:pt>
                <c:pt idx="11">
                  <c:v>5309.2766202087123</c:v>
                </c:pt>
                <c:pt idx="12">
                  <c:v>5382.8243416606865</c:v>
                </c:pt>
                <c:pt idx="13">
                  <c:v>5404.8431297530169</c:v>
                </c:pt>
                <c:pt idx="14">
                  <c:v>5426.8925855026855</c:v>
                </c:pt>
                <c:pt idx="15">
                  <c:v>5405.0050359804491</c:v>
                </c:pt>
                <c:pt idx="16">
                  <c:v>5414.0461491066926</c:v>
                </c:pt>
                <c:pt idx="17">
                  <c:v>5366.3033169078917</c:v>
                </c:pt>
                <c:pt idx="18">
                  <c:v>5431.5632595075194</c:v>
                </c:pt>
                <c:pt idx="19">
                  <c:v>5511.255274177518</c:v>
                </c:pt>
                <c:pt idx="20">
                  <c:v>5646.6545089928095</c:v>
                </c:pt>
                <c:pt idx="21">
                  <c:v>5784.1668708465131</c:v>
                </c:pt>
                <c:pt idx="22">
                  <c:v>5865.4612757904106</c:v>
                </c:pt>
                <c:pt idx="23">
                  <c:v>5927.1704683562439</c:v>
                </c:pt>
              </c:numCache>
            </c:numRef>
          </c:val>
          <c:smooth val="0"/>
          <c:extLst>
            <c:ext xmlns:c16="http://schemas.microsoft.com/office/drawing/2014/chart" uri="{C3380CC4-5D6E-409C-BE32-E72D297353CC}">
              <c16:uniqueId val="{00000000-4DDB-49C0-8D77-BADB7A83C6B0}"/>
            </c:ext>
          </c:extLst>
        </c:ser>
        <c:dLbls>
          <c:showLegendKey val="0"/>
          <c:showVal val="0"/>
          <c:showCatName val="0"/>
          <c:showSerName val="0"/>
          <c:showPercent val="0"/>
          <c:showBubbleSize val="0"/>
        </c:dLbls>
        <c:marker val="1"/>
        <c:smooth val="0"/>
        <c:axId val="134677632"/>
        <c:axId val="134679168"/>
      </c:lineChart>
      <c:catAx>
        <c:axId val="132297856"/>
        <c:scaling>
          <c:orientation val="minMax"/>
        </c:scaling>
        <c:delete val="0"/>
        <c:axPos val="b"/>
        <c:numFmt formatCode="@" sourceLinked="1"/>
        <c:majorTickMark val="cross"/>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32299776"/>
        <c:crosses val="autoZero"/>
        <c:auto val="1"/>
        <c:lblAlgn val="ctr"/>
        <c:lblOffset val="100"/>
        <c:tickLblSkip val="1"/>
        <c:tickMarkSkip val="1"/>
        <c:noMultiLvlLbl val="0"/>
      </c:catAx>
      <c:valAx>
        <c:axId val="132299776"/>
        <c:scaling>
          <c:orientation val="minMax"/>
          <c:max val="5500"/>
          <c:min val="0"/>
        </c:scaling>
        <c:delete val="0"/>
        <c:axPos val="l"/>
        <c:title>
          <c:tx>
            <c:rich>
              <a:bodyPr/>
              <a:lstStyle/>
              <a:p>
                <a:pPr>
                  <a:defRPr sz="800" b="1" i="0" u="none" strike="noStrike" baseline="0">
                    <a:solidFill>
                      <a:srgbClr val="000000"/>
                    </a:solidFill>
                    <a:latin typeface="Arial"/>
                    <a:ea typeface="Arial"/>
                    <a:cs typeface="Arial"/>
                  </a:defRPr>
                </a:pPr>
                <a:r>
                  <a:rPr lang="en-GB"/>
                  <a:t>Passenger Cars scale</a:t>
                </a:r>
              </a:p>
            </c:rich>
          </c:tx>
          <c:layout>
            <c:manualLayout>
              <c:xMode val="edge"/>
              <c:yMode val="edge"/>
              <c:x val="8.0000000000000002E-3"/>
              <c:y val="0.37896908719743361"/>
            </c:manualLayout>
          </c:layout>
          <c:overlay val="0"/>
          <c:spPr>
            <a:noFill/>
            <a:ln w="25400">
              <a:noFill/>
            </a:ln>
          </c:spPr>
        </c:title>
        <c:numFmt formatCode="0" sourceLinked="0"/>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2297856"/>
        <c:crosses val="autoZero"/>
        <c:crossBetween val="midCat"/>
        <c:majorUnit val="500"/>
      </c:valAx>
      <c:catAx>
        <c:axId val="134677632"/>
        <c:scaling>
          <c:orientation val="minMax"/>
        </c:scaling>
        <c:delete val="1"/>
        <c:axPos val="b"/>
        <c:numFmt formatCode="@" sourceLinked="1"/>
        <c:majorTickMark val="out"/>
        <c:minorTickMark val="none"/>
        <c:tickLblPos val="nextTo"/>
        <c:crossAx val="134679168"/>
        <c:crosses val="autoZero"/>
        <c:auto val="0"/>
        <c:lblAlgn val="ctr"/>
        <c:lblOffset val="100"/>
        <c:noMultiLvlLbl val="0"/>
      </c:catAx>
      <c:valAx>
        <c:axId val="134679168"/>
        <c:scaling>
          <c:orientation val="minMax"/>
          <c:max val="1000"/>
        </c:scaling>
        <c:delete val="0"/>
        <c:axPos val="r"/>
        <c:title>
          <c:tx>
            <c:rich>
              <a:bodyPr/>
              <a:lstStyle/>
              <a:p>
                <a:pPr>
                  <a:defRPr sz="800" b="1" i="0" u="none" strike="noStrike" baseline="0">
                    <a:solidFill>
                      <a:srgbClr val="000000"/>
                    </a:solidFill>
                    <a:latin typeface="Arial"/>
                    <a:ea typeface="Arial"/>
                    <a:cs typeface="Arial"/>
                  </a:defRPr>
                </a:pPr>
                <a:r>
                  <a:rPr lang="en-GB"/>
                  <a:t>Scale for other modes</a:t>
                </a:r>
              </a:p>
            </c:rich>
          </c:tx>
          <c:layout>
            <c:manualLayout>
              <c:xMode val="edge"/>
              <c:yMode val="edge"/>
              <c:x val="0.95840067191601042"/>
              <c:y val="0.37103237095363079"/>
            </c:manualLayout>
          </c:layout>
          <c:overlay val="0"/>
          <c:spPr>
            <a:noFill/>
            <a:ln w="25400">
              <a:noFill/>
            </a:ln>
          </c:spPr>
        </c:title>
        <c:numFmt formatCode="0" sourceLinked="0"/>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4677632"/>
        <c:crosses val="max"/>
        <c:crossBetween val="midCat"/>
      </c:valAx>
      <c:spPr>
        <a:solidFill>
          <a:srgbClr val="FFFFFF"/>
        </a:solidFill>
        <a:ln w="12700">
          <a:solidFill>
            <a:srgbClr val="808080"/>
          </a:solidFill>
          <a:prstDash val="solid"/>
        </a:ln>
      </c:spPr>
    </c:plotArea>
    <c:legend>
      <c:legendPos val="b"/>
      <c:legendEntry>
        <c:idx val="7"/>
        <c:delete val="1"/>
      </c:legendEntry>
      <c:layout>
        <c:manualLayout>
          <c:xMode val="edge"/>
          <c:yMode val="edge"/>
          <c:x val="0.11793487847581044"/>
          <c:y val="0.90648177611361236"/>
          <c:w val="0.77679000524934383"/>
          <c:h val="7.0808232304295296E-2"/>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CCFFCC"/>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oddHeader>&amp;A</c:oddHeader>
      <c:oddFooter>Page &amp;P</c:oddFooter>
    </c:headerFooter>
    <c:pageMargins b="0.98425196850393704" l="0.74803149606299213" r="0.74803149606299213" t="0.98425196850393704" header="0.51181102362204722" footer="0.51181102362204722"/>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19050</xdr:colOff>
      <xdr:row>1</xdr:row>
      <xdr:rowOff>19050</xdr:rowOff>
    </xdr:from>
    <xdr:to>
      <xdr:col>18</xdr:col>
      <xdr:colOff>381000</xdr:colOff>
      <xdr:row>30</xdr:row>
      <xdr:rowOff>114300</xdr:rowOff>
    </xdr:to>
    <xdr:graphicFrame macro="">
      <xdr:nvGraphicFramePr>
        <xdr:cNvPr id="6160" name="Chart 1">
          <a:extLst>
            <a:ext uri="{FF2B5EF4-FFF2-40B4-BE49-F238E27FC236}">
              <a16:creationId xmlns:a16="http://schemas.microsoft.com/office/drawing/2014/main" id="{00000000-0008-0000-0100-000010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U:\02.%20Economic%20assessment\4.%20Statistics\02%20Pocket%20book\Pocketbook%202024%20work%20files\2.3\pkm_2022.xlsx" TargetMode="External"/><Relationship Id="rId1" Type="http://schemas.openxmlformats.org/officeDocument/2006/relationships/externalLinkPath" Target="/02.%20Economic%20assessment/4.%20Statistics/02%20Pocket%20book/Pocketbook%202024%20work%20files/2.3/data/pkm_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2.3"/>
      <sheetName val="split_mode_pkm"/>
      <sheetName val="cars"/>
      <sheetName val="bus_coach"/>
      <sheetName val="tram and metro"/>
      <sheetName val="rail_pkm"/>
    </sheetNames>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transports.public.lu/fr/contexte/situation-actuelle/chiffres-cles.html,%20nb%20of%20psg%20*3%20km" TargetMode="External"/><Relationship Id="rId1" Type="http://schemas.openxmlformats.org/officeDocument/2006/relationships/hyperlink" Target="https://transports.public.lu/fr/contexte/situation-actuelle/chiffres-cles.html,%20nb%20of%20psg%20*3%20km"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41"/>
  <dimension ref="B1:E59"/>
  <sheetViews>
    <sheetView tabSelected="1" workbookViewId="0">
      <selection activeCell="O12" sqref="O12"/>
    </sheetView>
  </sheetViews>
  <sheetFormatPr defaultRowHeight="12.75"/>
  <cols>
    <col min="1" max="1" width="0.85546875" style="3" customWidth="1"/>
    <col min="2" max="2" width="7.7109375" style="5" customWidth="1"/>
    <col min="3" max="3" width="2" style="7" customWidth="1"/>
    <col min="4" max="4" width="51.5703125" style="3" customWidth="1"/>
    <col min="5" max="5" width="12.140625" style="3" customWidth="1"/>
    <col min="6" max="16384" width="9.140625" style="3"/>
  </cols>
  <sheetData>
    <row r="1" spans="2:5" ht="20.100000000000001" customHeight="1">
      <c r="B1" s="564" t="s">
        <v>47</v>
      </c>
      <c r="C1" s="564"/>
      <c r="D1" s="564"/>
      <c r="E1" s="564"/>
    </row>
    <row r="2" spans="2:5" ht="20.100000000000001" customHeight="1">
      <c r="B2" s="565" t="s">
        <v>48</v>
      </c>
      <c r="C2" s="565"/>
      <c r="D2" s="565"/>
      <c r="E2" s="565"/>
    </row>
    <row r="3" spans="2:5" ht="20.100000000000001" customHeight="1">
      <c r="B3" s="566" t="s">
        <v>70</v>
      </c>
      <c r="C3" s="566"/>
      <c r="D3" s="566"/>
      <c r="E3" s="566"/>
    </row>
    <row r="4" spans="2:5" ht="20.100000000000001" customHeight="1">
      <c r="B4" s="567" t="s">
        <v>49</v>
      </c>
      <c r="C4" s="567"/>
      <c r="D4" s="567"/>
      <c r="E4" s="567"/>
    </row>
    <row r="5" spans="2:5" ht="20.100000000000001" customHeight="1">
      <c r="B5" s="27"/>
      <c r="C5" s="27"/>
      <c r="D5" s="27"/>
      <c r="E5" s="27"/>
    </row>
    <row r="6" spans="2:5" ht="20.100000000000001" customHeight="1"/>
    <row r="7" spans="2:5" ht="20.100000000000001" customHeight="1">
      <c r="B7" s="564" t="s">
        <v>71</v>
      </c>
      <c r="C7" s="564"/>
      <c r="D7" s="564"/>
      <c r="E7" s="564"/>
    </row>
    <row r="8" spans="2:5" ht="20.100000000000001" customHeight="1">
      <c r="B8" s="570">
        <v>2024</v>
      </c>
      <c r="C8" s="571"/>
      <c r="D8" s="571"/>
      <c r="E8" s="571"/>
    </row>
    <row r="9" spans="2:5" ht="20.100000000000001" customHeight="1">
      <c r="B9" s="28"/>
      <c r="C9" s="28"/>
      <c r="D9" s="28"/>
      <c r="E9" s="28"/>
    </row>
    <row r="10" spans="2:5" ht="20.100000000000001" customHeight="1">
      <c r="B10" s="568" t="s">
        <v>73</v>
      </c>
      <c r="C10" s="568"/>
      <c r="D10" s="568"/>
      <c r="E10" s="568"/>
    </row>
    <row r="11" spans="2:5" ht="20.100000000000001" customHeight="1">
      <c r="B11" s="4"/>
      <c r="E11" s="4"/>
    </row>
    <row r="12" spans="2:5" ht="20.100000000000001" customHeight="1">
      <c r="B12" s="569" t="s">
        <v>72</v>
      </c>
      <c r="C12" s="569"/>
      <c r="D12" s="569"/>
      <c r="E12" s="569"/>
    </row>
    <row r="13" spans="2:5" customFormat="1" ht="20.100000000000001" customHeight="1">
      <c r="B13" s="569" t="s">
        <v>50</v>
      </c>
      <c r="C13" s="569"/>
      <c r="D13" s="569"/>
      <c r="E13" s="569"/>
    </row>
    <row r="14" spans="2:5" customFormat="1" ht="20.100000000000001" customHeight="1">
      <c r="B14" s="569" t="s">
        <v>51</v>
      </c>
      <c r="C14" s="569"/>
      <c r="D14" s="569"/>
      <c r="E14" s="569"/>
    </row>
    <row r="15" spans="2:5" ht="20.100000000000001" customHeight="1">
      <c r="B15" s="4"/>
      <c r="D15"/>
      <c r="E15" s="4"/>
    </row>
    <row r="16" spans="2:5" ht="20.100000000000001" customHeight="1">
      <c r="B16" s="4"/>
      <c r="E16" s="4"/>
    </row>
    <row r="17" spans="2:5" customFormat="1" ht="15" customHeight="1">
      <c r="B17" s="29" t="s">
        <v>60</v>
      </c>
      <c r="C17" s="30"/>
      <c r="D17" s="187" t="s">
        <v>96</v>
      </c>
      <c r="E17" s="4"/>
    </row>
    <row r="18" spans="2:5" customFormat="1" ht="15" customHeight="1">
      <c r="B18" s="29" t="s">
        <v>63</v>
      </c>
      <c r="C18" s="30"/>
      <c r="D18" s="187" t="s">
        <v>97</v>
      </c>
      <c r="E18" s="4"/>
    </row>
    <row r="19" spans="2:5" customFormat="1" ht="15" customHeight="1">
      <c r="B19" s="29" t="s">
        <v>62</v>
      </c>
      <c r="C19" s="30"/>
      <c r="D19" s="187" t="s">
        <v>98</v>
      </c>
      <c r="E19" s="4"/>
    </row>
    <row r="20" spans="2:5" ht="15" customHeight="1">
      <c r="B20" s="29" t="s">
        <v>64</v>
      </c>
      <c r="C20" s="30"/>
      <c r="D20" s="188" t="s">
        <v>99</v>
      </c>
      <c r="E20" s="4"/>
    </row>
    <row r="21" spans="2:5" ht="15" customHeight="1">
      <c r="B21" s="29" t="s">
        <v>65</v>
      </c>
      <c r="C21" s="30"/>
      <c r="D21" s="188" t="s">
        <v>100</v>
      </c>
      <c r="E21" s="4"/>
    </row>
    <row r="22" spans="2:5" customFormat="1" ht="15" customHeight="1">
      <c r="B22" s="29" t="s">
        <v>66</v>
      </c>
      <c r="C22" s="31"/>
      <c r="D22" s="188" t="s">
        <v>101</v>
      </c>
    </row>
    <row r="23" spans="2:5" ht="15" customHeight="1">
      <c r="B23" s="29" t="s">
        <v>67</v>
      </c>
      <c r="C23" s="31"/>
      <c r="D23" s="32" t="s">
        <v>42</v>
      </c>
      <c r="E23"/>
    </row>
    <row r="24" spans="2:5" ht="15" customHeight="1">
      <c r="B24" s="29" t="s">
        <v>68</v>
      </c>
      <c r="C24" s="31"/>
      <c r="D24" s="187" t="s">
        <v>102</v>
      </c>
      <c r="E24" s="4"/>
    </row>
    <row r="25" spans="2:5" ht="15" customHeight="1">
      <c r="B25" s="29" t="s">
        <v>69</v>
      </c>
      <c r="C25" s="38"/>
      <c r="D25" s="187" t="s">
        <v>103</v>
      </c>
      <c r="E25" s="4"/>
    </row>
    <row r="26" spans="2:5">
      <c r="B26" s="4"/>
      <c r="E26" s="4"/>
    </row>
    <row r="27" spans="2:5">
      <c r="B27" s="4"/>
      <c r="E27" s="4"/>
    </row>
    <row r="28" spans="2:5">
      <c r="C28"/>
    </row>
    <row r="29" spans="2:5">
      <c r="B29"/>
      <c r="C29"/>
      <c r="D29"/>
      <c r="E29"/>
    </row>
    <row r="30" spans="2:5" ht="13.5">
      <c r="B30" s="6"/>
      <c r="E30"/>
    </row>
    <row r="31" spans="2:5">
      <c r="B31" s="4"/>
      <c r="E31" s="4"/>
    </row>
    <row r="32" spans="2:5">
      <c r="B32" s="4"/>
      <c r="E32" s="4"/>
    </row>
    <row r="33" spans="2:5">
      <c r="B33" s="4"/>
      <c r="E33" s="4"/>
    </row>
    <row r="34" spans="2:5">
      <c r="B34" s="4"/>
      <c r="E34" s="4"/>
    </row>
    <row r="35" spans="2:5">
      <c r="B35" s="4"/>
      <c r="E35" s="4"/>
    </row>
    <row r="36" spans="2:5">
      <c r="B36" s="4"/>
      <c r="E36" s="4"/>
    </row>
    <row r="37" spans="2:5">
      <c r="B37" s="4"/>
      <c r="E37" s="4"/>
    </row>
    <row r="39" spans="2:5" ht="13.5">
      <c r="B39" s="6"/>
      <c r="E39"/>
    </row>
    <row r="40" spans="2:5">
      <c r="B40" s="4"/>
      <c r="E40" s="4"/>
    </row>
    <row r="41" spans="2:5">
      <c r="B41" s="4"/>
      <c r="E41" s="4"/>
    </row>
    <row r="42" spans="2:5">
      <c r="B42" s="4"/>
      <c r="E42" s="4"/>
    </row>
    <row r="49" spans="3:5">
      <c r="C49" s="8"/>
      <c r="D49" s="9"/>
    </row>
    <row r="56" spans="3:5" customFormat="1"/>
    <row r="59" spans="3:5">
      <c r="C59"/>
      <c r="D59"/>
      <c r="E59"/>
    </row>
  </sheetData>
  <mergeCells count="10">
    <mergeCell ref="B10:E10"/>
    <mergeCell ref="B12:E12"/>
    <mergeCell ref="B13:E13"/>
    <mergeCell ref="B14:E14"/>
    <mergeCell ref="B8:E8"/>
    <mergeCell ref="B1:E1"/>
    <mergeCell ref="B2:E2"/>
    <mergeCell ref="B3:E3"/>
    <mergeCell ref="B4:E4"/>
    <mergeCell ref="B7:E7"/>
  </mergeCells>
  <phoneticPr fontId="16"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91"/>
  <dimension ref="B1:AE45"/>
  <sheetViews>
    <sheetView zoomScale="85" zoomScaleNormal="85" workbookViewId="0">
      <selection activeCell="F59" sqref="F59"/>
    </sheetView>
  </sheetViews>
  <sheetFormatPr defaultRowHeight="12.75"/>
  <cols>
    <col min="1" max="1" width="1" customWidth="1"/>
    <col min="2" max="2" width="9.140625" customWidth="1"/>
    <col min="3" max="16" width="6.7109375" customWidth="1"/>
  </cols>
  <sheetData>
    <row r="1" spans="2:14" ht="14.25" customHeight="1">
      <c r="B1" s="12"/>
      <c r="N1" s="11" t="s">
        <v>60</v>
      </c>
    </row>
    <row r="2" spans="2:14" ht="12.75" customHeight="1">
      <c r="C2" s="19"/>
      <c r="D2" s="19"/>
      <c r="E2" s="19"/>
      <c r="I2" s="10"/>
    </row>
    <row r="3" spans="2:14" ht="12.75" customHeight="1">
      <c r="C3" s="10"/>
      <c r="D3" s="10"/>
      <c r="E3" s="10"/>
    </row>
    <row r="4" spans="2:14" ht="12.75" customHeight="1">
      <c r="C4" s="1"/>
      <c r="D4" s="1"/>
      <c r="E4" s="1"/>
      <c r="F4" s="1"/>
      <c r="G4" s="20"/>
    </row>
    <row r="5" spans="2:14" ht="12.75" customHeight="1">
      <c r="C5" s="1"/>
      <c r="D5" s="1"/>
      <c r="E5" s="1"/>
      <c r="F5" s="1"/>
      <c r="G5" s="1"/>
    </row>
    <row r="6" spans="2:14" ht="12.75" customHeight="1">
      <c r="C6" s="1"/>
      <c r="D6" s="1"/>
      <c r="E6" s="1"/>
      <c r="F6" s="1"/>
      <c r="G6" s="1"/>
    </row>
    <row r="7" spans="2:14" ht="12.75" customHeight="1">
      <c r="C7" s="1"/>
      <c r="D7" s="1"/>
      <c r="E7" s="1"/>
      <c r="F7" s="1"/>
      <c r="G7" s="1"/>
      <c r="I7" s="14"/>
    </row>
    <row r="8" spans="2:14" s="13" customFormat="1" ht="12.75" customHeight="1">
      <c r="C8" s="21"/>
      <c r="D8" s="1"/>
      <c r="E8" s="1"/>
      <c r="F8" s="1"/>
      <c r="G8" s="1"/>
    </row>
    <row r="9" spans="2:14" s="13" customFormat="1" ht="12.75" customHeight="1">
      <c r="C9" s="21"/>
      <c r="D9" s="1"/>
      <c r="E9" s="1"/>
      <c r="F9" s="1"/>
      <c r="G9" s="1"/>
    </row>
    <row r="10" spans="2:14" s="14" customFormat="1" ht="12.75" customHeight="1">
      <c r="C10" s="22"/>
      <c r="D10" s="1"/>
      <c r="E10" s="1"/>
      <c r="F10" s="1"/>
      <c r="G10" s="1"/>
    </row>
    <row r="11" spans="2:14" s="14" customFormat="1" ht="12.75" customHeight="1">
      <c r="C11" s="22"/>
      <c r="D11" s="1"/>
      <c r="E11" s="1"/>
      <c r="F11" s="1"/>
      <c r="G11" s="1"/>
    </row>
    <row r="12" spans="2:14" s="14" customFormat="1" ht="12.75" customHeight="1">
      <c r="C12" s="22"/>
      <c r="D12" s="1"/>
      <c r="E12" s="1"/>
      <c r="F12" s="1"/>
      <c r="G12" s="1"/>
    </row>
    <row r="13" spans="2:14" s="14" customFormat="1" ht="12.75" customHeight="1">
      <c r="C13" s="22"/>
      <c r="D13" s="1"/>
      <c r="E13" s="1"/>
      <c r="F13" s="1"/>
      <c r="G13" s="1"/>
    </row>
    <row r="14" spans="2:14" s="14" customFormat="1" ht="12.75" customHeight="1">
      <c r="C14" s="22"/>
      <c r="D14" s="1"/>
      <c r="E14" s="1"/>
      <c r="F14" s="1"/>
      <c r="G14" s="1"/>
    </row>
    <row r="15" spans="2:14" s="14" customFormat="1" ht="12.75" customHeight="1">
      <c r="C15" s="22"/>
      <c r="D15" s="1"/>
      <c r="E15" s="1"/>
      <c r="F15" s="1"/>
      <c r="G15" s="1"/>
    </row>
    <row r="16" spans="2:14" s="15" customFormat="1" ht="12.75" customHeight="1">
      <c r="C16" s="16"/>
      <c r="D16" s="1"/>
      <c r="E16" s="1"/>
      <c r="F16" s="1"/>
      <c r="G16" s="1"/>
    </row>
    <row r="17" spans="2:31" s="17" customFormat="1" ht="12.75" customHeight="1">
      <c r="C17" s="23"/>
      <c r="D17" s="1"/>
      <c r="E17" s="1"/>
      <c r="F17" s="1"/>
      <c r="G17" s="1"/>
      <c r="W17" s="23"/>
    </row>
    <row r="18" spans="2:31" ht="12.75" customHeight="1">
      <c r="C18" s="1"/>
      <c r="D18" s="1"/>
      <c r="E18" s="1"/>
      <c r="F18" s="1"/>
      <c r="G18" s="1"/>
    </row>
    <row r="19" spans="2:31" s="25" customFormat="1" ht="12.75" customHeight="1">
      <c r="C19" s="24"/>
      <c r="D19" s="1"/>
      <c r="E19" s="1"/>
      <c r="F19" s="1"/>
      <c r="G19" s="1"/>
    </row>
    <row r="20" spans="2:31" s="25" customFormat="1" ht="12.75" customHeight="1">
      <c r="C20" s="24"/>
      <c r="D20" s="1"/>
      <c r="E20" s="1"/>
      <c r="F20" s="1"/>
      <c r="G20" s="1"/>
    </row>
    <row r="21" spans="2:31" s="25" customFormat="1" ht="12.75" customHeight="1">
      <c r="C21" s="24"/>
      <c r="D21" s="1"/>
      <c r="E21" s="1"/>
      <c r="F21" s="1"/>
      <c r="G21" s="1"/>
      <c r="Z21" s="24"/>
    </row>
    <row r="22" spans="2:31" ht="12.75" customHeight="1">
      <c r="C22" s="1"/>
      <c r="D22" s="1"/>
      <c r="E22" s="1"/>
      <c r="F22" s="1"/>
      <c r="G22" s="1"/>
    </row>
    <row r="23" spans="2:31" ht="12.75" customHeight="1">
      <c r="C23" s="1"/>
      <c r="D23" s="1"/>
      <c r="E23" s="1"/>
      <c r="F23" s="1"/>
      <c r="G23" s="1"/>
    </row>
    <row r="24" spans="2:31" ht="12.75" customHeight="1">
      <c r="C24" s="1"/>
      <c r="D24" s="1"/>
      <c r="E24" s="1"/>
      <c r="F24" s="1"/>
      <c r="G24" s="1"/>
    </row>
    <row r="25" spans="2:31" s="13" customFormat="1" ht="12.75" customHeight="1">
      <c r="C25" s="21"/>
      <c r="D25" s="1"/>
      <c r="E25" s="1"/>
      <c r="F25" s="1"/>
      <c r="G25" s="1"/>
    </row>
    <row r="26" spans="2:31" s="13" customFormat="1" ht="12.75" customHeight="1">
      <c r="C26" s="21"/>
      <c r="D26" s="1"/>
      <c r="E26" s="1"/>
      <c r="F26" s="1"/>
      <c r="G26" s="1"/>
      <c r="AA26" s="254"/>
    </row>
    <row r="27" spans="2:31" s="15" customFormat="1" ht="12.75" customHeight="1">
      <c r="C27" s="16"/>
      <c r="D27" s="1"/>
      <c r="E27" s="1"/>
      <c r="F27" s="1"/>
      <c r="G27" s="1"/>
    </row>
    <row r="28" spans="2:31" s="14" customFormat="1" ht="12.75" customHeight="1">
      <c r="C28" s="22"/>
      <c r="D28" s="1"/>
      <c r="E28" s="1"/>
      <c r="F28" s="1"/>
      <c r="G28" s="1"/>
      <c r="Z28" s="22"/>
    </row>
    <row r="29" spans="2:31" s="14" customFormat="1" ht="12.75" customHeight="1">
      <c r="C29" s="22"/>
      <c r="D29" s="1"/>
      <c r="E29" s="1"/>
      <c r="F29" s="1"/>
      <c r="G29" s="1"/>
    </row>
    <row r="30" spans="2:31" s="14" customFormat="1" ht="12.75" customHeight="1">
      <c r="C30" s="22"/>
      <c r="D30" s="1"/>
      <c r="E30" s="1"/>
      <c r="F30" s="1"/>
      <c r="G30" s="1"/>
    </row>
    <row r="31" spans="2:31" s="14" customFormat="1" ht="12.75" customHeight="1">
      <c r="C31" s="22"/>
      <c r="D31" s="1"/>
      <c r="E31" s="1"/>
      <c r="F31" s="1"/>
      <c r="G31" s="1"/>
      <c r="R31" s="22"/>
      <c r="AA31" s="22"/>
    </row>
    <row r="32" spans="2:31" ht="15" customHeight="1">
      <c r="B32" s="26" t="s">
        <v>61</v>
      </c>
      <c r="AE32" s="1"/>
    </row>
    <row r="33" spans="2:31">
      <c r="AD33" s="1"/>
    </row>
    <row r="34" spans="2:31">
      <c r="Z34" s="572"/>
      <c r="AA34" s="572"/>
      <c r="AB34" s="572"/>
      <c r="AE34" s="1"/>
    </row>
    <row r="35" spans="2:31" ht="19.5" customHeight="1">
      <c r="C35" s="194"/>
      <c r="AA35" s="210"/>
      <c r="AB35" s="346"/>
      <c r="AC35" s="346"/>
    </row>
    <row r="36" spans="2:31" ht="21.95" customHeight="1">
      <c r="B36" s="191" t="s">
        <v>94</v>
      </c>
      <c r="C36" s="220">
        <v>1995</v>
      </c>
      <c r="D36" s="221">
        <v>1996</v>
      </c>
      <c r="E36" s="221">
        <v>1997</v>
      </c>
      <c r="F36" s="221">
        <v>1998</v>
      </c>
      <c r="G36" s="221">
        <v>1999</v>
      </c>
      <c r="H36" s="221">
        <v>2000</v>
      </c>
      <c r="I36" s="221">
        <v>2001</v>
      </c>
      <c r="J36" s="221">
        <v>2002</v>
      </c>
      <c r="K36" s="221">
        <v>2003</v>
      </c>
      <c r="L36" s="221">
        <v>2004</v>
      </c>
      <c r="M36" s="221">
        <v>2005</v>
      </c>
      <c r="N36" s="221">
        <v>2006</v>
      </c>
      <c r="O36" s="221">
        <v>2007</v>
      </c>
      <c r="P36" s="221">
        <v>2008</v>
      </c>
      <c r="Q36" s="221">
        <v>2009</v>
      </c>
      <c r="R36" s="221">
        <v>2010</v>
      </c>
      <c r="S36" s="222">
        <v>2011</v>
      </c>
      <c r="T36" s="222">
        <v>2012</v>
      </c>
      <c r="U36" s="222">
        <v>2013</v>
      </c>
      <c r="V36" s="222">
        <v>2014</v>
      </c>
      <c r="W36" s="222">
        <v>2015</v>
      </c>
      <c r="X36" s="222">
        <v>2016</v>
      </c>
      <c r="Y36" s="222">
        <v>2017</v>
      </c>
      <c r="Z36" s="222">
        <v>2018</v>
      </c>
      <c r="AA36" s="253">
        <v>2019</v>
      </c>
      <c r="AB36" s="253">
        <v>2020</v>
      </c>
      <c r="AC36" s="253">
        <v>2021</v>
      </c>
      <c r="AD36" s="474">
        <v>2022</v>
      </c>
    </row>
    <row r="37" spans="2:31" ht="21.95" customHeight="1">
      <c r="B37" s="192" t="s">
        <v>40</v>
      </c>
      <c r="C37" s="190">
        <f>cars!J6</f>
        <v>3283.7635352382986</v>
      </c>
      <c r="D37" s="190">
        <f>cars!K6</f>
        <v>3343.4005296782343</v>
      </c>
      <c r="E37" s="190">
        <f>cars!L6</f>
        <v>3412.1993932868522</v>
      </c>
      <c r="F37" s="190">
        <f>cars!M6</f>
        <v>3507.1338683711424</v>
      </c>
      <c r="G37" s="190">
        <f>cars!N6</f>
        <v>3610.5575238836655</v>
      </c>
      <c r="H37" s="190">
        <f>cars!O6</f>
        <v>3660.3550623140204</v>
      </c>
      <c r="I37" s="190">
        <f>cars!P6</f>
        <v>3734.2157647230588</v>
      </c>
      <c r="J37" s="190">
        <f>cars!Q6</f>
        <v>3789.3050249260709</v>
      </c>
      <c r="K37" s="190">
        <f>cars!R6</f>
        <v>3826.1956189610128</v>
      </c>
      <c r="L37" s="190">
        <f>cars!S6</f>
        <v>3878.1627438382161</v>
      </c>
      <c r="M37" s="190">
        <f>cars!T6</f>
        <v>3839.1794808863438</v>
      </c>
      <c r="N37" s="190">
        <f>cars!U6</f>
        <v>3875.2614469870077</v>
      </c>
      <c r="O37" s="190">
        <f>cars!V6</f>
        <v>3921.2560941458078</v>
      </c>
      <c r="P37" s="190">
        <f>cars!W6</f>
        <v>3931.6239841889396</v>
      </c>
      <c r="Q37" s="190">
        <f>cars!X6</f>
        <v>4009.2120907480175</v>
      </c>
      <c r="R37" s="190">
        <f>cars!Y6</f>
        <v>3975.8509514257871</v>
      </c>
      <c r="S37" s="190">
        <f>cars!Z6</f>
        <v>3943.6434280371873</v>
      </c>
      <c r="T37" s="190">
        <f>cars!AA6</f>
        <v>3904.5431623219174</v>
      </c>
      <c r="U37" s="190">
        <f>cars!AB6</f>
        <v>3964.794984671576</v>
      </c>
      <c r="V37" s="190">
        <f>cars!AC6</f>
        <v>4020.2617494762826</v>
      </c>
      <c r="W37" s="190">
        <f>cars!AD6</f>
        <v>4110.5450140439361</v>
      </c>
      <c r="X37" s="190">
        <f>cars!AE6</f>
        <v>4196.3094899484604</v>
      </c>
      <c r="Y37" s="190">
        <f>cars!AF6</f>
        <v>4241.3906708796221</v>
      </c>
      <c r="Z37" s="190">
        <f>cars!AG6</f>
        <v>4261.3048415568574</v>
      </c>
      <c r="AA37" s="190">
        <f>cars!AH6</f>
        <v>4298.8288425831834</v>
      </c>
      <c r="AB37" s="190">
        <f>cars!AI6</f>
        <v>3488.2937156764365</v>
      </c>
      <c r="AC37" s="190">
        <f>cars!AJ6</f>
        <v>3869.2630868714714</v>
      </c>
      <c r="AD37" s="475">
        <f>cars!AK6</f>
        <v>4099.554984962293</v>
      </c>
    </row>
    <row r="38" spans="2:31" ht="21.95" customHeight="1">
      <c r="B38" s="193" t="s">
        <v>4</v>
      </c>
      <c r="C38" s="189">
        <v>109.05864204651601</v>
      </c>
      <c r="D38" s="189">
        <v>110.71645442035309</v>
      </c>
      <c r="E38" s="189">
        <v>114.74160322568427</v>
      </c>
      <c r="F38" s="189">
        <v>118.82442899876349</v>
      </c>
      <c r="G38" s="189">
        <v>122.35581835836099</v>
      </c>
      <c r="H38" s="189">
        <v>100.1107644784759</v>
      </c>
      <c r="I38" s="189">
        <v>104.095166931233</v>
      </c>
      <c r="J38" s="189">
        <v>105.42903763888484</v>
      </c>
      <c r="K38" s="189">
        <v>108.48550683239696</v>
      </c>
      <c r="L38" s="189">
        <v>111.98941961706767</v>
      </c>
      <c r="M38" s="189">
        <v>115.50055192138571</v>
      </c>
      <c r="N38" s="189">
        <v>114.43172120818586</v>
      </c>
      <c r="O38" s="189">
        <v>110.5043427472234</v>
      </c>
      <c r="P38" s="189">
        <v>115.38831573516899</v>
      </c>
      <c r="Q38" s="189">
        <v>112.8627662447775</v>
      </c>
      <c r="R38" s="189">
        <v>114.72601922034366</v>
      </c>
      <c r="S38" s="189">
        <v>117.74993670400279</v>
      </c>
      <c r="T38" s="189">
        <v>115.14821585220363</v>
      </c>
      <c r="U38" s="189">
        <v>114.70387523401597</v>
      </c>
      <c r="V38" s="189">
        <v>117.44779065898926</v>
      </c>
      <c r="W38" s="189">
        <v>117.37810544539416</v>
      </c>
      <c r="X38" s="189">
        <v>118.6691150624878</v>
      </c>
      <c r="Y38" s="189">
        <v>112.18867926539227</v>
      </c>
      <c r="Z38" s="189">
        <v>106.7909468730537</v>
      </c>
      <c r="AA38" s="189">
        <v>115.56451211465715</v>
      </c>
      <c r="AB38" s="189">
        <v>101.6238032645898</v>
      </c>
      <c r="AC38" s="189">
        <v>107.33787398014688</v>
      </c>
      <c r="AD38" s="347">
        <v>109.57065390436578</v>
      </c>
    </row>
    <row r="39" spans="2:31" ht="21.95" customHeight="1">
      <c r="B39" s="193" t="s">
        <v>41</v>
      </c>
      <c r="C39" s="189">
        <f>bus_coach!J6</f>
        <v>468.02840644355865</v>
      </c>
      <c r="D39" s="189">
        <f>bus_coach!K6</f>
        <v>472.88897060546248</v>
      </c>
      <c r="E39" s="189">
        <f>bus_coach!L6</f>
        <v>475.72177987370736</v>
      </c>
      <c r="F39" s="189">
        <f>bus_coach!M6</f>
        <v>478.18777007612073</v>
      </c>
      <c r="G39" s="189">
        <f>bus_coach!N6</f>
        <v>479.38473191406047</v>
      </c>
      <c r="H39" s="189">
        <f>bus_coach!O6</f>
        <v>496.48139003044628</v>
      </c>
      <c r="I39" s="189">
        <f>bus_coach!P6</f>
        <v>495.60918925294652</v>
      </c>
      <c r="J39" s="189">
        <f>bus_coach!Q6</f>
        <v>492.83103847060499</v>
      </c>
      <c r="K39" s="189">
        <f>bus_coach!R6</f>
        <v>495.563921249874</v>
      </c>
      <c r="L39" s="189">
        <f>bus_coach!S6</f>
        <v>500.16555335428939</v>
      </c>
      <c r="M39" s="189">
        <f>bus_coach!T6</f>
        <v>497.75498053181019</v>
      </c>
      <c r="N39" s="189">
        <f>bus_coach!U6</f>
        <v>497.84108408877461</v>
      </c>
      <c r="O39" s="189">
        <f>bus_coach!V6</f>
        <v>507.88301482328666</v>
      </c>
      <c r="P39" s="189">
        <f>bus_coach!W6</f>
        <v>514.13332772491583</v>
      </c>
      <c r="Q39" s="189">
        <f>bus_coach!X6</f>
        <v>489.74837464226323</v>
      </c>
      <c r="R39" s="189">
        <f>bus_coach!Y6</f>
        <v>482.18637837321461</v>
      </c>
      <c r="S39" s="189">
        <f>bus_coach!Z6</f>
        <v>485.63643998143766</v>
      </c>
      <c r="T39" s="189">
        <f>bus_coach!AA6</f>
        <v>482.175814406337</v>
      </c>
      <c r="U39" s="189">
        <f>bus_coach!AB6</f>
        <v>480.75543431704494</v>
      </c>
      <c r="V39" s="189">
        <f>bus_coach!AC6</f>
        <v>476.04717730949386</v>
      </c>
      <c r="W39" s="189">
        <f>bus_coach!AD6</f>
        <v>491.83314131807919</v>
      </c>
      <c r="X39" s="189">
        <f>bus_coach!AE6</f>
        <v>495.97994091711865</v>
      </c>
      <c r="Y39" s="189">
        <f>bus_coach!AF6</f>
        <v>477.11721647611023</v>
      </c>
      <c r="Z39" s="189">
        <f>bus_coach!AG6</f>
        <v>480.68314183210219</v>
      </c>
      <c r="AA39" s="189">
        <f>bus_coach!AH6</f>
        <v>486.16980595307314</v>
      </c>
      <c r="AB39" s="189">
        <f>bus_coach!AI6</f>
        <v>291.978593413873</v>
      </c>
      <c r="AC39" s="189">
        <f>bus_coach!AJ6</f>
        <v>330.77405474657286</v>
      </c>
      <c r="AD39" s="347">
        <f>bus_coach!AK6</f>
        <v>406.21076687050976</v>
      </c>
    </row>
    <row r="40" spans="2:31" ht="21.95" customHeight="1">
      <c r="B40" s="193" t="s">
        <v>42</v>
      </c>
      <c r="C40" s="189">
        <f>rail_pkm!J6</f>
        <v>312.65000000000009</v>
      </c>
      <c r="D40" s="189">
        <f>rail_pkm!K6</f>
        <v>315.47100000000012</v>
      </c>
      <c r="E40" s="189">
        <f>rail_pkm!L6</f>
        <v>313.14999999999992</v>
      </c>
      <c r="F40" s="189">
        <f>rail_pkm!M6</f>
        <v>311.64800000000008</v>
      </c>
      <c r="G40" s="189">
        <f>rail_pkm!N6</f>
        <v>316.50700000000001</v>
      </c>
      <c r="H40" s="189">
        <f>rail_pkm!O6</f>
        <v>338.5492942433919</v>
      </c>
      <c r="I40" s="189">
        <f>rail_pkm!P6</f>
        <v>339.85423003620963</v>
      </c>
      <c r="J40" s="189">
        <f>rail_pkm!Q6</f>
        <v>331.87130258876675</v>
      </c>
      <c r="K40" s="189">
        <f>rail_pkm!R6</f>
        <v>326.78981919138573</v>
      </c>
      <c r="L40" s="189">
        <f>rail_pkm!S6</f>
        <v>331.96472419578271</v>
      </c>
      <c r="M40" s="189">
        <f>rail_pkm!T6</f>
        <v>339.86117761653077</v>
      </c>
      <c r="N40" s="189">
        <f>rail_pkm!U6</f>
        <v>349.36454643728189</v>
      </c>
      <c r="O40" s="189">
        <f>rail_pkm!V6</f>
        <v>353.306658274612</v>
      </c>
      <c r="P40" s="189">
        <f>rail_pkm!W6</f>
        <v>366.58763470008745</v>
      </c>
      <c r="Q40" s="189">
        <f>rail_pkm!X6</f>
        <v>359.20293199360975</v>
      </c>
      <c r="R40" s="189">
        <f>rail_pkm!Y6</f>
        <v>358.18149044346626</v>
      </c>
      <c r="S40" s="189">
        <f>rail_pkm!Z6</f>
        <v>364.01529480885858</v>
      </c>
      <c r="T40" s="189">
        <f>rail_pkm!AA6</f>
        <v>367.34201354598179</v>
      </c>
      <c r="U40" s="189">
        <f>rail_pkm!AB6</f>
        <v>371.81891998741401</v>
      </c>
      <c r="V40" s="189">
        <f>rail_pkm!AC6</f>
        <v>376.26055450514656</v>
      </c>
      <c r="W40" s="189">
        <f>rail_pkm!AD6</f>
        <v>381.70938029315397</v>
      </c>
      <c r="X40" s="189">
        <f>rail_pkm!AE6</f>
        <v>386.5098593638204</v>
      </c>
      <c r="Y40" s="189">
        <f>rail_pkm!AF6</f>
        <v>400.76366037000008</v>
      </c>
      <c r="Z40" s="189">
        <f>rail_pkm!AG6</f>
        <v>408.33592323400001</v>
      </c>
      <c r="AA40" s="189">
        <f>rail_pkm!AH6</f>
        <v>421.82972433000003</v>
      </c>
      <c r="AB40" s="189">
        <f>rail_pkm!AI6</f>
        <v>227.716228075</v>
      </c>
      <c r="AC40" s="189">
        <f>rail_pkm!AJ6</f>
        <v>265.95270534299999</v>
      </c>
      <c r="AD40" s="347">
        <f>rail_pkm!AK6</f>
        <v>402.23847362000009</v>
      </c>
    </row>
    <row r="41" spans="2:31" ht="21.95" customHeight="1">
      <c r="B41" s="193" t="s">
        <v>0</v>
      </c>
      <c r="C41" s="189">
        <f>'tram and metro'!J6</f>
        <v>63.801627306091206</v>
      </c>
      <c r="D41" s="189">
        <f>'tram and metro'!K6</f>
        <v>64.910128525276747</v>
      </c>
      <c r="E41" s="189">
        <f>'tram and metro'!L6</f>
        <v>65.322641438807437</v>
      </c>
      <c r="F41" s="189">
        <f>'tram and metro'!M6</f>
        <v>66.047922130725382</v>
      </c>
      <c r="G41" s="189">
        <f>'tram and metro'!N6</f>
        <v>67.010399918778532</v>
      </c>
      <c r="H41" s="189">
        <f>'tram and metro'!O6</f>
        <v>67.843840564744099</v>
      </c>
      <c r="I41" s="189">
        <f>'tram and metro'!P6</f>
        <v>68.539656573900217</v>
      </c>
      <c r="J41" s="189">
        <f>'tram and metro'!Q6</f>
        <v>69.374812774150158</v>
      </c>
      <c r="K41" s="189">
        <f>'tram and metro'!R6</f>
        <v>70.18336190555614</v>
      </c>
      <c r="L41" s="189">
        <f>'tram and metro'!S6</f>
        <v>72.445632887244102</v>
      </c>
      <c r="M41" s="189">
        <f>'tram and metro'!T6</f>
        <v>73.154697458878715</v>
      </c>
      <c r="N41" s="189">
        <f>'tram and metro'!U6</f>
        <v>74.583334218657839</v>
      </c>
      <c r="O41" s="189">
        <f>'tram and metro'!V6</f>
        <v>76.350815575898523</v>
      </c>
      <c r="P41" s="189">
        <f>'tram and metro'!W6</f>
        <v>79.124684832482046</v>
      </c>
      <c r="Q41" s="189">
        <f>'tram and metro'!X6</f>
        <v>78.491058768954531</v>
      </c>
      <c r="R41" s="189">
        <f>'tram and metro'!Y6</f>
        <v>80.818824573023448</v>
      </c>
      <c r="S41" s="189">
        <f>'tram and metro'!Z6</f>
        <v>81.212759154899217</v>
      </c>
      <c r="T41" s="189">
        <f>'tram and metro'!AA6</f>
        <v>82.300482448189484</v>
      </c>
      <c r="U41" s="189">
        <f>'tram and metro'!AB6</f>
        <v>82.489193949141509</v>
      </c>
      <c r="V41" s="189">
        <f>'tram and metro'!AC6</f>
        <v>82.772681334256603</v>
      </c>
      <c r="W41" s="189">
        <f>'tram and metro'!AD6</f>
        <v>80.793703886067945</v>
      </c>
      <c r="X41" s="189">
        <f>'tram and metro'!AE6</f>
        <v>83.25790903425947</v>
      </c>
      <c r="Y41" s="189">
        <f>'tram and metro'!AF6</f>
        <v>85.063391371363309</v>
      </c>
      <c r="Z41" s="189">
        <f>'tram and metro'!AG6</f>
        <v>87.046447035955296</v>
      </c>
      <c r="AA41" s="189">
        <f>'tram and metro'!AH6</f>
        <v>87.094829635050871</v>
      </c>
      <c r="AB41" s="189">
        <f>'tram and metro'!AI6</f>
        <v>51.418459168238556</v>
      </c>
      <c r="AC41" s="189">
        <f>'tram and metro'!AJ6</f>
        <v>54.444374823752028</v>
      </c>
      <c r="AD41" s="347">
        <f>'tram and metro'!AK6</f>
        <v>69.154563193651299</v>
      </c>
    </row>
    <row r="42" spans="2:31" ht="21.95" customHeight="1">
      <c r="B42" s="193" t="s">
        <v>44</v>
      </c>
      <c r="C42" s="189">
        <v>237.23260425819345</v>
      </c>
      <c r="D42" s="189">
        <v>250.94547155635493</v>
      </c>
      <c r="E42" s="189">
        <v>267.40091231414868</v>
      </c>
      <c r="F42" s="189">
        <v>280.42813624740205</v>
      </c>
      <c r="G42" s="189">
        <v>291.39843008593124</v>
      </c>
      <c r="H42" s="189">
        <v>313.33901776298956</v>
      </c>
      <c r="I42" s="189">
        <v>310.59644430335726</v>
      </c>
      <c r="J42" s="189">
        <v>305.11129738409272</v>
      </c>
      <c r="K42" s="189">
        <v>317.45287795243803</v>
      </c>
      <c r="L42" s="189">
        <v>338.02217889968028</v>
      </c>
      <c r="M42" s="189">
        <v>361.33405330655478</v>
      </c>
      <c r="N42" s="189">
        <v>376.41820733453238</v>
      </c>
      <c r="O42" s="189">
        <v>392.1880047274181</v>
      </c>
      <c r="P42" s="189">
        <v>376.11453095466538</v>
      </c>
      <c r="Q42" s="189">
        <v>354.92825427682993</v>
      </c>
      <c r="R42" s="189">
        <v>370.75208126731411</v>
      </c>
      <c r="S42" s="189">
        <v>401.77841770077725</v>
      </c>
      <c r="T42" s="189">
        <v>396.26947982884872</v>
      </c>
      <c r="U42" s="189">
        <v>397.73569581365069</v>
      </c>
      <c r="V42" s="189">
        <v>419.0239161035671</v>
      </c>
      <c r="W42" s="189">
        <v>445.01431747278014</v>
      </c>
      <c r="X42" s="189">
        <v>485.00003747621184</v>
      </c>
      <c r="Y42" s="189">
        <v>529.25685144457611</v>
      </c>
      <c r="Z42" s="189">
        <v>562.20153599553566</v>
      </c>
      <c r="AA42" s="189">
        <v>575.376876197191</v>
      </c>
      <c r="AB42" s="189">
        <v>175.83677942627764</v>
      </c>
      <c r="AC42" s="189">
        <v>270.0212636199816</v>
      </c>
      <c r="AD42" s="347">
        <v>512.32871343132967</v>
      </c>
    </row>
    <row r="43" spans="2:31" ht="21.95" customHeight="1">
      <c r="B43" s="193" t="s">
        <v>43</v>
      </c>
      <c r="C43" s="189">
        <v>22.75660718736945</v>
      </c>
      <c r="D43" s="189">
        <v>22.551592708203962</v>
      </c>
      <c r="E43" s="189">
        <v>22.346578229038471</v>
      </c>
      <c r="F43" s="189">
        <v>22.090310130081608</v>
      </c>
      <c r="G43" s="189">
        <v>21.834042031124746</v>
      </c>
      <c r="H43" s="189">
        <v>21.372759453002395</v>
      </c>
      <c r="I43" s="189">
        <v>21.526520312376515</v>
      </c>
      <c r="J43" s="189">
        <v>22.200008505158266</v>
      </c>
      <c r="K43" s="189">
        <v>22.097527288736458</v>
      </c>
      <c r="L43" s="189">
        <v>21.838080383682794</v>
      </c>
      <c r="M43" s="189">
        <v>21.301470549563206</v>
      </c>
      <c r="N43" s="189">
        <v>21.376279934270865</v>
      </c>
      <c r="O43" s="189">
        <v>21.335411366439864</v>
      </c>
      <c r="P43" s="189">
        <v>21.870651616757328</v>
      </c>
      <c r="Q43" s="189">
        <v>22.447108828233201</v>
      </c>
      <c r="R43" s="189">
        <v>22.489290677301</v>
      </c>
      <c r="S43" s="189">
        <v>20.009872719529735</v>
      </c>
      <c r="T43" s="189">
        <v>18.524148504413564</v>
      </c>
      <c r="U43" s="189">
        <v>19.265155534676669</v>
      </c>
      <c r="V43" s="189">
        <v>19.44140478978127</v>
      </c>
      <c r="W43" s="189">
        <v>19.380846533397605</v>
      </c>
      <c r="X43" s="189">
        <v>18.440519044155</v>
      </c>
      <c r="Y43" s="189">
        <v>19.680805983345934</v>
      </c>
      <c r="Z43" s="189">
        <v>20.807631828738664</v>
      </c>
      <c r="AA43" s="189">
        <v>21.133986957134791</v>
      </c>
      <c r="AB43" s="189">
        <v>10.627334083312785</v>
      </c>
      <c r="AC43" s="189">
        <v>13.785553851124805</v>
      </c>
      <c r="AD43" s="347">
        <v>17.685432185702691</v>
      </c>
    </row>
    <row r="44" spans="2:31" ht="21.95" customHeight="1">
      <c r="B44" s="223" t="s">
        <v>45</v>
      </c>
      <c r="C44" s="224">
        <f>SUM(C37:C43)</f>
        <v>4497.2914224800279</v>
      </c>
      <c r="D44" s="224">
        <f t="shared" ref="D44:AD44" si="0">SUM(D37:D43)</f>
        <v>4580.8841474938854</v>
      </c>
      <c r="E44" s="224">
        <f t="shared" si="0"/>
        <v>4670.8829083682385</v>
      </c>
      <c r="F44" s="224">
        <f t="shared" si="0"/>
        <v>4784.360435954236</v>
      </c>
      <c r="G44" s="224">
        <f t="shared" si="0"/>
        <v>4909.0479461919213</v>
      </c>
      <c r="H44" s="224">
        <f t="shared" si="0"/>
        <v>4998.0521288470718</v>
      </c>
      <c r="I44" s="224">
        <f t="shared" si="0"/>
        <v>5074.4369721330813</v>
      </c>
      <c r="J44" s="224">
        <f t="shared" si="0"/>
        <v>5116.1225222877283</v>
      </c>
      <c r="K44" s="224">
        <f t="shared" si="0"/>
        <v>5166.768633381399</v>
      </c>
      <c r="L44" s="224">
        <f t="shared" si="0"/>
        <v>5254.5883331759633</v>
      </c>
      <c r="M44" s="224">
        <f t="shared" si="0"/>
        <v>5248.0864122710673</v>
      </c>
      <c r="N44" s="224">
        <f t="shared" si="0"/>
        <v>5309.2766202087123</v>
      </c>
      <c r="O44" s="224">
        <f t="shared" si="0"/>
        <v>5382.8243416606865</v>
      </c>
      <c r="P44" s="224">
        <f t="shared" si="0"/>
        <v>5404.8431297530169</v>
      </c>
      <c r="Q44" s="224">
        <f t="shared" si="0"/>
        <v>5426.8925855026855</v>
      </c>
      <c r="R44" s="224">
        <f t="shared" si="0"/>
        <v>5405.0050359804491</v>
      </c>
      <c r="S44" s="224">
        <f t="shared" si="0"/>
        <v>5414.0461491066926</v>
      </c>
      <c r="T44" s="224">
        <f t="shared" si="0"/>
        <v>5366.3033169078917</v>
      </c>
      <c r="U44" s="224">
        <f t="shared" si="0"/>
        <v>5431.5632595075194</v>
      </c>
      <c r="V44" s="224">
        <f t="shared" si="0"/>
        <v>5511.255274177518</v>
      </c>
      <c r="W44" s="224">
        <f t="shared" si="0"/>
        <v>5646.6545089928095</v>
      </c>
      <c r="X44" s="224">
        <f t="shared" si="0"/>
        <v>5784.1668708465131</v>
      </c>
      <c r="Y44" s="224">
        <f t="shared" si="0"/>
        <v>5865.4612757904106</v>
      </c>
      <c r="Z44" s="224">
        <f t="shared" si="0"/>
        <v>5927.1704683562439</v>
      </c>
      <c r="AA44" s="224">
        <f t="shared" si="0"/>
        <v>6005.9985777702914</v>
      </c>
      <c r="AB44" s="224">
        <f t="shared" si="0"/>
        <v>4347.4949131077292</v>
      </c>
      <c r="AC44" s="224">
        <f t="shared" si="0"/>
        <v>4911.5789132360496</v>
      </c>
      <c r="AD44" s="348">
        <f t="shared" si="0"/>
        <v>5616.7435881678521</v>
      </c>
    </row>
    <row r="45" spans="2:31">
      <c r="M45" s="1"/>
      <c r="N45" s="1"/>
      <c r="O45" s="1"/>
      <c r="P45" s="1"/>
      <c r="Q45" s="1"/>
      <c r="R45" s="1"/>
      <c r="S45" s="1"/>
      <c r="T45" s="1"/>
      <c r="U45" s="1"/>
      <c r="V45" s="1"/>
      <c r="W45" s="1"/>
      <c r="X45" s="1"/>
      <c r="Y45" s="1"/>
      <c r="Z45" s="1"/>
      <c r="AA45" s="1"/>
      <c r="AB45" s="476"/>
    </row>
  </sheetData>
  <mergeCells count="1">
    <mergeCell ref="Z34:AB34"/>
  </mergeCells>
  <phoneticPr fontId="16" type="noConversion"/>
  <printOptions horizontalCentered="1"/>
  <pageMargins left="0.47244094488188981" right="0.47244094488188981" top="0.51181102362204722" bottom="0.27559055118110237" header="0" footer="0"/>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71BDB-4D2B-4DEE-85AE-9DA6E68FD04A}">
  <dimension ref="A1:K76"/>
  <sheetViews>
    <sheetView workbookViewId="0">
      <selection activeCell="M72" sqref="M72"/>
    </sheetView>
  </sheetViews>
  <sheetFormatPr defaultRowHeight="12.75"/>
  <cols>
    <col min="1" max="1" width="3" customWidth="1"/>
    <col min="2" max="2" width="4.85546875" customWidth="1"/>
    <col min="3" max="10" width="6.7109375" customWidth="1"/>
  </cols>
  <sheetData>
    <row r="1" spans="1:11" ht="14.25" customHeight="1">
      <c r="B1" s="151"/>
      <c r="C1" s="152"/>
      <c r="D1" s="152"/>
      <c r="E1" s="152"/>
      <c r="F1" s="152"/>
      <c r="G1" s="152"/>
      <c r="H1" s="152"/>
      <c r="I1" s="152"/>
      <c r="J1" s="11" t="s">
        <v>63</v>
      </c>
    </row>
    <row r="2" spans="1:11" s="12" customFormat="1" ht="30" customHeight="1">
      <c r="A2"/>
      <c r="B2" s="576" t="s">
        <v>149</v>
      </c>
      <c r="C2" s="576"/>
      <c r="D2" s="576"/>
      <c r="E2" s="576"/>
      <c r="F2" s="576"/>
      <c r="G2" s="576"/>
      <c r="H2" s="576"/>
      <c r="I2" s="576"/>
      <c r="J2" s="576"/>
    </row>
    <row r="3" spans="1:11" ht="15" customHeight="1">
      <c r="B3" s="576" t="s">
        <v>150</v>
      </c>
      <c r="C3" s="576"/>
      <c r="D3" s="576"/>
      <c r="E3" s="576"/>
      <c r="F3" s="576"/>
      <c r="G3" s="576"/>
      <c r="H3" s="576"/>
      <c r="I3" s="576"/>
      <c r="J3" s="576"/>
    </row>
    <row r="4" spans="1:11" s="15" customFormat="1" ht="13.5" customHeight="1">
      <c r="B4" s="579" t="s">
        <v>151</v>
      </c>
      <c r="C4" s="579"/>
      <c r="D4" s="579"/>
      <c r="E4" s="579"/>
      <c r="F4" s="579"/>
      <c r="G4" s="579"/>
      <c r="H4" s="579"/>
      <c r="I4" s="579"/>
      <c r="J4" s="579"/>
    </row>
    <row r="5" spans="1:11" s="356" customFormat="1" ht="20.100000000000001" customHeight="1">
      <c r="B5" s="501"/>
      <c r="C5" s="574" t="s">
        <v>152</v>
      </c>
      <c r="D5" s="574" t="s">
        <v>153</v>
      </c>
      <c r="E5" s="574" t="s">
        <v>154</v>
      </c>
      <c r="F5" s="574" t="s">
        <v>155</v>
      </c>
      <c r="G5" s="574" t="s">
        <v>0</v>
      </c>
      <c r="H5" s="574" t="s">
        <v>44</v>
      </c>
      <c r="I5" s="580" t="s">
        <v>43</v>
      </c>
      <c r="J5" s="574" t="s">
        <v>45</v>
      </c>
    </row>
    <row r="6" spans="1:11" s="356" customFormat="1" ht="20.100000000000001" customHeight="1">
      <c r="B6" s="501"/>
      <c r="C6" s="578"/>
      <c r="D6" s="578"/>
      <c r="E6" s="578"/>
      <c r="F6" s="578"/>
      <c r="G6" s="578"/>
      <c r="H6" s="578"/>
      <c r="I6" s="581"/>
      <c r="J6" s="575"/>
      <c r="K6" s="502"/>
    </row>
    <row r="7" spans="1:11" s="356" customFormat="1" ht="12.75" customHeight="1">
      <c r="A7" s="533"/>
      <c r="B7" s="503">
        <v>1995</v>
      </c>
      <c r="C7" s="504">
        <v>3283.7635352382986</v>
      </c>
      <c r="D7" s="504">
        <v>109.05864204651601</v>
      </c>
      <c r="E7" s="504">
        <v>468.02840644355865</v>
      </c>
      <c r="F7" s="504">
        <v>312.65000000000009</v>
      </c>
      <c r="G7" s="504">
        <v>63.801627306091206</v>
      </c>
      <c r="H7" s="357">
        <v>237.23260425819345</v>
      </c>
      <c r="I7" s="505">
        <v>22.75660718736945</v>
      </c>
      <c r="J7" s="506">
        <f>SUM(C7:I7)</f>
        <v>4497.2914224800279</v>
      </c>
      <c r="K7" s="502"/>
    </row>
    <row r="8" spans="1:11" s="356" customFormat="1" ht="12.75" customHeight="1">
      <c r="A8" s="534"/>
      <c r="B8" s="52">
        <v>1996</v>
      </c>
      <c r="C8" s="504">
        <v>3343.4005296782343</v>
      </c>
      <c r="D8" s="504">
        <v>110.71645442035309</v>
      </c>
      <c r="E8" s="504">
        <v>472.88897060546248</v>
      </c>
      <c r="F8" s="504">
        <v>315.47100000000012</v>
      </c>
      <c r="G8" s="504">
        <v>64.910128525276747</v>
      </c>
      <c r="H8" s="357">
        <v>250.94547155635493</v>
      </c>
      <c r="I8" s="507">
        <v>22.551592708203962</v>
      </c>
      <c r="J8" s="506">
        <f t="shared" ref="J8:J34" si="0">SUM(C8:I8)</f>
        <v>4580.8841474938854</v>
      </c>
      <c r="K8" s="502"/>
    </row>
    <row r="9" spans="1:11" s="356" customFormat="1" ht="12.75" customHeight="1">
      <c r="A9" s="534"/>
      <c r="B9" s="52">
        <v>1997</v>
      </c>
      <c r="C9" s="504">
        <v>3412.1993932868522</v>
      </c>
      <c r="D9" s="504">
        <v>114.74160322568427</v>
      </c>
      <c r="E9" s="504">
        <v>475.72177987370736</v>
      </c>
      <c r="F9" s="504">
        <v>313.14999999999992</v>
      </c>
      <c r="G9" s="504">
        <v>65.322641438807437</v>
      </c>
      <c r="H9" s="357">
        <v>267.40091231414868</v>
      </c>
      <c r="I9" s="507">
        <v>22.346578229038471</v>
      </c>
      <c r="J9" s="506">
        <f t="shared" si="0"/>
        <v>4670.8829083682385</v>
      </c>
      <c r="K9" s="502"/>
    </row>
    <row r="10" spans="1:11" s="356" customFormat="1" ht="12.75" customHeight="1">
      <c r="A10" s="534"/>
      <c r="B10" s="52">
        <v>1998</v>
      </c>
      <c r="C10" s="504">
        <v>3507.1338683711424</v>
      </c>
      <c r="D10" s="504">
        <v>118.82442899876349</v>
      </c>
      <c r="E10" s="504">
        <v>478.18777007612073</v>
      </c>
      <c r="F10" s="504">
        <v>311.64800000000008</v>
      </c>
      <c r="G10" s="504">
        <v>66.047922130725382</v>
      </c>
      <c r="H10" s="357">
        <v>280.42813624740205</v>
      </c>
      <c r="I10" s="507">
        <v>22.090310130081608</v>
      </c>
      <c r="J10" s="506">
        <f t="shared" si="0"/>
        <v>4784.360435954236</v>
      </c>
      <c r="K10" s="502"/>
    </row>
    <row r="11" spans="1:11" s="15" customFormat="1" ht="12.75" customHeight="1">
      <c r="A11" s="534"/>
      <c r="B11" s="52">
        <v>1999</v>
      </c>
      <c r="C11" s="504">
        <v>3610.5575238836655</v>
      </c>
      <c r="D11" s="504">
        <v>122.35581835836099</v>
      </c>
      <c r="E11" s="504">
        <v>479.38473191406047</v>
      </c>
      <c r="F11" s="504">
        <v>316.50700000000001</v>
      </c>
      <c r="G11" s="504">
        <v>67.010399918778532</v>
      </c>
      <c r="H11" s="357">
        <v>291.39843008593124</v>
      </c>
      <c r="I11" s="507">
        <v>21.834042031124746</v>
      </c>
      <c r="J11" s="506">
        <f t="shared" si="0"/>
        <v>4909.0479461919213</v>
      </c>
      <c r="K11" s="508"/>
    </row>
    <row r="12" spans="1:11" s="15" customFormat="1" ht="12.75" customHeight="1">
      <c r="A12" s="534"/>
      <c r="B12" s="52">
        <v>2000</v>
      </c>
      <c r="C12" s="504">
        <v>3660.3550623140204</v>
      </c>
      <c r="D12" s="504">
        <v>100.1107644784759</v>
      </c>
      <c r="E12" s="504">
        <v>496.48139003044628</v>
      </c>
      <c r="F12" s="504">
        <v>338.5492942433919</v>
      </c>
      <c r="G12" s="504">
        <v>67.843840564744099</v>
      </c>
      <c r="H12" s="357">
        <v>313.33901776298956</v>
      </c>
      <c r="I12" s="507">
        <v>21.372759453002395</v>
      </c>
      <c r="J12" s="506">
        <f t="shared" si="0"/>
        <v>4998.0521288470718</v>
      </c>
      <c r="K12" s="508"/>
    </row>
    <row r="13" spans="1:11" s="15" customFormat="1" ht="13.5" customHeight="1">
      <c r="A13" s="534"/>
      <c r="B13" s="52">
        <v>2001</v>
      </c>
      <c r="C13" s="504">
        <v>3734.2157647230588</v>
      </c>
      <c r="D13" s="504">
        <v>104.095166931233</v>
      </c>
      <c r="E13" s="504">
        <v>495.60918925294652</v>
      </c>
      <c r="F13" s="504">
        <v>339.85423003620963</v>
      </c>
      <c r="G13" s="504">
        <v>68.539656573900217</v>
      </c>
      <c r="H13" s="357">
        <v>310.59644430335726</v>
      </c>
      <c r="I13" s="507">
        <v>21.526520312376515</v>
      </c>
      <c r="J13" s="506">
        <f t="shared" si="0"/>
        <v>5074.4369721330813</v>
      </c>
      <c r="K13" s="508"/>
    </row>
    <row r="14" spans="1:11" s="15" customFormat="1" ht="12.75" customHeight="1">
      <c r="A14" s="534"/>
      <c r="B14" s="52">
        <v>2002</v>
      </c>
      <c r="C14" s="504">
        <v>3789.3050249260709</v>
      </c>
      <c r="D14" s="504">
        <v>105.42903763888484</v>
      </c>
      <c r="E14" s="504">
        <v>492.83103847060499</v>
      </c>
      <c r="F14" s="504">
        <v>331.87130258876675</v>
      </c>
      <c r="G14" s="504">
        <v>69.374812774150158</v>
      </c>
      <c r="H14" s="357">
        <v>305.11129738409272</v>
      </c>
      <c r="I14" s="507">
        <v>22.200008505158266</v>
      </c>
      <c r="J14" s="506">
        <f t="shared" si="0"/>
        <v>5116.1225222877283</v>
      </c>
      <c r="K14" s="508"/>
    </row>
    <row r="15" spans="1:11" s="15" customFormat="1" ht="12.75" customHeight="1">
      <c r="A15" s="180"/>
      <c r="B15" s="52">
        <v>2003</v>
      </c>
      <c r="C15" s="504">
        <v>3826.1956189610128</v>
      </c>
      <c r="D15" s="504">
        <v>108.48550683239696</v>
      </c>
      <c r="E15" s="504">
        <v>495.563921249874</v>
      </c>
      <c r="F15" s="504">
        <v>326.78981919138573</v>
      </c>
      <c r="G15" s="504">
        <v>70.18336190555614</v>
      </c>
      <c r="H15" s="357">
        <v>317.45287795243803</v>
      </c>
      <c r="I15" s="507">
        <v>22.097527288736458</v>
      </c>
      <c r="J15" s="506">
        <f t="shared" si="0"/>
        <v>5166.768633381399</v>
      </c>
      <c r="K15" s="508"/>
    </row>
    <row r="16" spans="1:11" s="15" customFormat="1" ht="12.75" customHeight="1" thickBot="1">
      <c r="A16" s="180"/>
      <c r="B16" s="52">
        <v>2004</v>
      </c>
      <c r="C16" s="504">
        <v>3878.1627438382161</v>
      </c>
      <c r="D16" s="504">
        <v>111.98941961706767</v>
      </c>
      <c r="E16" s="504">
        <v>500.16555335428939</v>
      </c>
      <c r="F16" s="504">
        <v>331.96472419578271</v>
      </c>
      <c r="G16" s="504">
        <v>72.445632887244102</v>
      </c>
      <c r="H16" s="357">
        <v>338.02217889968028</v>
      </c>
      <c r="I16" s="507">
        <v>21.838080383682794</v>
      </c>
      <c r="J16" s="506">
        <f t="shared" si="0"/>
        <v>5254.5883331759633</v>
      </c>
      <c r="K16" s="508"/>
    </row>
    <row r="17" spans="1:11" s="15" customFormat="1" ht="12.75" customHeight="1" thickTop="1">
      <c r="A17" s="534"/>
      <c r="B17" s="52">
        <v>2005</v>
      </c>
      <c r="C17" s="504">
        <v>3839.1794808863438</v>
      </c>
      <c r="D17" s="504">
        <v>115.50055192138571</v>
      </c>
      <c r="E17" s="504">
        <v>497.75498053181019</v>
      </c>
      <c r="F17" s="504">
        <v>339.86117761653077</v>
      </c>
      <c r="G17" s="504">
        <v>73.154697458878715</v>
      </c>
      <c r="H17" s="357">
        <v>361.33405330655478</v>
      </c>
      <c r="I17" s="529">
        <v>21.301470549563206</v>
      </c>
      <c r="J17" s="506">
        <f t="shared" si="0"/>
        <v>5248.0864122710673</v>
      </c>
      <c r="K17" s="508"/>
    </row>
    <row r="18" spans="1:11" ht="12.75" customHeight="1">
      <c r="A18" s="535"/>
      <c r="B18" s="52">
        <v>2006</v>
      </c>
      <c r="C18" s="504">
        <v>3875.2614469870077</v>
      </c>
      <c r="D18" s="504">
        <v>114.43172120818586</v>
      </c>
      <c r="E18" s="504">
        <v>497.84108408877461</v>
      </c>
      <c r="F18" s="504">
        <v>349.36454643728189</v>
      </c>
      <c r="G18" s="504">
        <v>74.583334218657839</v>
      </c>
      <c r="H18" s="357">
        <v>376.41820733453238</v>
      </c>
      <c r="I18" s="507">
        <v>21.376279934270865</v>
      </c>
      <c r="J18" s="506">
        <f t="shared" si="0"/>
        <v>5309.2766202087123</v>
      </c>
      <c r="K18" s="164"/>
    </row>
    <row r="19" spans="1:11" ht="12.75" customHeight="1" thickBot="1">
      <c r="A19" s="534"/>
      <c r="B19" s="52">
        <v>2007</v>
      </c>
      <c r="C19" s="504">
        <v>3921.2560941458078</v>
      </c>
      <c r="D19" s="504">
        <v>110.5043427472234</v>
      </c>
      <c r="E19" s="504">
        <v>507.88301482328666</v>
      </c>
      <c r="F19" s="504">
        <v>353.306658274612</v>
      </c>
      <c r="G19" s="504">
        <v>76.350815575898523</v>
      </c>
      <c r="H19" s="357">
        <v>392.1880047274181</v>
      </c>
      <c r="I19" s="507">
        <v>21.335411366439864</v>
      </c>
      <c r="J19" s="506">
        <f t="shared" si="0"/>
        <v>5382.8243416606865</v>
      </c>
      <c r="K19" s="164"/>
    </row>
    <row r="20" spans="1:11" ht="12.75" customHeight="1" thickTop="1">
      <c r="A20" s="534"/>
      <c r="B20" s="52">
        <v>2008</v>
      </c>
      <c r="C20" s="504">
        <v>3931.6239841889396</v>
      </c>
      <c r="D20" s="504">
        <v>115.38831573516899</v>
      </c>
      <c r="E20" s="504">
        <v>514.13332772491583</v>
      </c>
      <c r="F20" s="504">
        <v>366.58763470008745</v>
      </c>
      <c r="G20" s="504">
        <v>79.124684832482046</v>
      </c>
      <c r="H20" s="530">
        <v>376.11453095466538</v>
      </c>
      <c r="I20" s="507">
        <v>21.870651616757328</v>
      </c>
      <c r="J20" s="506">
        <f t="shared" si="0"/>
        <v>5404.8431297530169</v>
      </c>
      <c r="K20" s="164"/>
    </row>
    <row r="21" spans="1:11" ht="12.75" customHeight="1">
      <c r="A21" s="534"/>
      <c r="B21" s="52">
        <v>2009</v>
      </c>
      <c r="C21" s="504">
        <v>4009.2120907480175</v>
      </c>
      <c r="D21" s="504">
        <v>112.8627662447775</v>
      </c>
      <c r="E21" s="504">
        <v>489.74837464226323</v>
      </c>
      <c r="F21" s="504">
        <v>359.20293199360975</v>
      </c>
      <c r="G21" s="504">
        <v>78.491058768954531</v>
      </c>
      <c r="H21" s="357">
        <v>354.92825427682993</v>
      </c>
      <c r="I21" s="507">
        <v>22.447108828233201</v>
      </c>
      <c r="J21" s="506">
        <f t="shared" si="0"/>
        <v>5426.8925855026855</v>
      </c>
      <c r="K21" s="164"/>
    </row>
    <row r="22" spans="1:11" ht="12.75" customHeight="1">
      <c r="A22" s="534"/>
      <c r="B22" s="52">
        <v>2010</v>
      </c>
      <c r="C22" s="504">
        <v>3975.8509514257871</v>
      </c>
      <c r="D22" s="504">
        <v>114.72601922034366</v>
      </c>
      <c r="E22" s="504">
        <v>482.18637837321461</v>
      </c>
      <c r="F22" s="504">
        <v>358.18149044346626</v>
      </c>
      <c r="G22" s="504">
        <v>80.818824573023448</v>
      </c>
      <c r="H22" s="357">
        <v>370.75208126731411</v>
      </c>
      <c r="I22" s="507">
        <v>22.489290677301</v>
      </c>
      <c r="J22" s="506">
        <f t="shared" si="0"/>
        <v>5405.0050359804491</v>
      </c>
      <c r="K22" s="164"/>
    </row>
    <row r="23" spans="1:11" ht="12.75" customHeight="1">
      <c r="A23" s="534"/>
      <c r="B23" s="52">
        <v>2011</v>
      </c>
      <c r="C23" s="504">
        <v>3943.6434280371873</v>
      </c>
      <c r="D23" s="504">
        <v>117.74993670400279</v>
      </c>
      <c r="E23" s="504">
        <v>485.63643998143766</v>
      </c>
      <c r="F23" s="504">
        <v>364.01529480885858</v>
      </c>
      <c r="G23" s="504">
        <v>81.212759154899217</v>
      </c>
      <c r="H23" s="357">
        <v>401.77841770077725</v>
      </c>
      <c r="I23" s="507">
        <v>20.009872719529735</v>
      </c>
      <c r="J23" s="506">
        <f t="shared" si="0"/>
        <v>5414.0461491066926</v>
      </c>
      <c r="K23" s="164"/>
    </row>
    <row r="24" spans="1:11" ht="12.75" customHeight="1">
      <c r="A24" s="534"/>
      <c r="B24" s="52">
        <v>2012</v>
      </c>
      <c r="C24" s="504">
        <v>3904.5431623219174</v>
      </c>
      <c r="D24" s="504">
        <v>115.14821585220363</v>
      </c>
      <c r="E24" s="504">
        <v>482.175814406337</v>
      </c>
      <c r="F24" s="504">
        <v>367.34201354598179</v>
      </c>
      <c r="G24" s="504">
        <v>82.300482448189484</v>
      </c>
      <c r="H24" s="357">
        <v>396.26947982884872</v>
      </c>
      <c r="I24" s="507">
        <v>18.524148504413564</v>
      </c>
      <c r="J24" s="506">
        <f t="shared" si="0"/>
        <v>5366.3033169078917</v>
      </c>
      <c r="K24" s="164"/>
    </row>
    <row r="25" spans="1:11" ht="12.75" customHeight="1">
      <c r="A25" s="534"/>
      <c r="B25" s="52">
        <v>2013</v>
      </c>
      <c r="C25" s="504">
        <v>3964.794984671576</v>
      </c>
      <c r="D25" s="504">
        <v>114.70387523401597</v>
      </c>
      <c r="E25" s="504">
        <v>480.75543431704494</v>
      </c>
      <c r="F25" s="504">
        <v>371.81891998741401</v>
      </c>
      <c r="G25" s="504">
        <v>82.489193949141509</v>
      </c>
      <c r="H25" s="357">
        <v>397.73569581365069</v>
      </c>
      <c r="I25" s="507">
        <v>19.265155534676669</v>
      </c>
      <c r="J25" s="506">
        <f t="shared" si="0"/>
        <v>5431.5632595075194</v>
      </c>
      <c r="K25" s="164"/>
    </row>
    <row r="26" spans="1:11" ht="12.75" customHeight="1">
      <c r="A26" s="534"/>
      <c r="B26" s="52">
        <v>2014</v>
      </c>
      <c r="C26" s="504">
        <v>4020.2617494762826</v>
      </c>
      <c r="D26" s="504">
        <v>117.44779065898926</v>
      </c>
      <c r="E26" s="504">
        <v>476.04717730949386</v>
      </c>
      <c r="F26" s="504">
        <v>376.26055450514656</v>
      </c>
      <c r="G26" s="504">
        <v>82.772681334256603</v>
      </c>
      <c r="H26" s="357">
        <v>419.0239161035671</v>
      </c>
      <c r="I26" s="507">
        <v>19.44140478978127</v>
      </c>
      <c r="J26" s="506">
        <f t="shared" si="0"/>
        <v>5511.255274177518</v>
      </c>
      <c r="K26" s="164"/>
    </row>
    <row r="27" spans="1:11" ht="12.75" customHeight="1">
      <c r="A27" s="534"/>
      <c r="B27" s="52">
        <v>2015</v>
      </c>
      <c r="C27" s="504">
        <v>4110.5450140439361</v>
      </c>
      <c r="D27" s="504">
        <v>117.37810544539416</v>
      </c>
      <c r="E27" s="504">
        <v>491.83314131807919</v>
      </c>
      <c r="F27" s="504">
        <v>381.70938029315397</v>
      </c>
      <c r="G27" s="504">
        <v>80.793703886067945</v>
      </c>
      <c r="H27" s="357">
        <v>445.01431747278014</v>
      </c>
      <c r="I27" s="507">
        <v>19.380846533397605</v>
      </c>
      <c r="J27" s="506">
        <f t="shared" si="0"/>
        <v>5646.6545089928095</v>
      </c>
      <c r="K27" s="164"/>
    </row>
    <row r="28" spans="1:11" ht="12.75" customHeight="1">
      <c r="A28" s="534"/>
      <c r="B28" s="52">
        <v>2016</v>
      </c>
      <c r="C28" s="504">
        <v>4196.3094899484604</v>
      </c>
      <c r="D28" s="504">
        <v>118.6691150624878</v>
      </c>
      <c r="E28" s="504">
        <v>495.97994091711865</v>
      </c>
      <c r="F28" s="504">
        <v>386.5098593638204</v>
      </c>
      <c r="G28" s="504">
        <v>83.25790903425947</v>
      </c>
      <c r="H28" s="357">
        <v>485.00003747621184</v>
      </c>
      <c r="I28" s="507">
        <v>18.440519044155</v>
      </c>
      <c r="J28" s="506">
        <f t="shared" si="0"/>
        <v>5784.1668708465131</v>
      </c>
      <c r="K28" s="164"/>
    </row>
    <row r="29" spans="1:11" ht="12.75" customHeight="1">
      <c r="A29" s="534"/>
      <c r="B29" s="52">
        <v>2017</v>
      </c>
      <c r="C29" s="504">
        <v>4241.3906708796221</v>
      </c>
      <c r="D29" s="504">
        <v>112.18867926539227</v>
      </c>
      <c r="E29" s="504">
        <v>477.11721647611023</v>
      </c>
      <c r="F29" s="504">
        <v>400.76366037000008</v>
      </c>
      <c r="G29" s="504">
        <v>85.063391371363309</v>
      </c>
      <c r="H29" s="357">
        <v>529.25685144457611</v>
      </c>
      <c r="I29" s="507">
        <v>19.680805983345934</v>
      </c>
      <c r="J29" s="506">
        <f t="shared" si="0"/>
        <v>5865.4612757904106</v>
      </c>
      <c r="K29" s="164"/>
    </row>
    <row r="30" spans="1:11" ht="12.75" customHeight="1">
      <c r="A30" s="534"/>
      <c r="B30" s="52">
        <v>2018</v>
      </c>
      <c r="C30" s="504">
        <v>4261.3048415568574</v>
      </c>
      <c r="D30" s="504">
        <v>106.7909468730537</v>
      </c>
      <c r="E30" s="504">
        <v>480.68314183210219</v>
      </c>
      <c r="F30" s="504">
        <v>408.33592323400001</v>
      </c>
      <c r="G30" s="504">
        <v>87.046447035955296</v>
      </c>
      <c r="H30" s="357">
        <v>562.20153599553566</v>
      </c>
      <c r="I30" s="507">
        <v>20.807631828738664</v>
      </c>
      <c r="J30" s="506">
        <f t="shared" si="0"/>
        <v>5927.1704683562439</v>
      </c>
      <c r="K30" s="164"/>
    </row>
    <row r="31" spans="1:11" ht="12.75" customHeight="1">
      <c r="A31" s="534"/>
      <c r="B31" s="52">
        <v>2019</v>
      </c>
      <c r="C31" s="504">
        <v>4298.8288425831834</v>
      </c>
      <c r="D31" s="504">
        <v>115.56451211465715</v>
      </c>
      <c r="E31" s="504">
        <v>486.16980595307314</v>
      </c>
      <c r="F31" s="504">
        <v>421.82972433000003</v>
      </c>
      <c r="G31" s="504">
        <v>87.094829635050871</v>
      </c>
      <c r="H31" s="357">
        <v>575.376876197191</v>
      </c>
      <c r="I31" s="507">
        <v>21.133986957134791</v>
      </c>
      <c r="J31" s="506">
        <f t="shared" si="0"/>
        <v>6005.9985777702914</v>
      </c>
      <c r="K31" s="164"/>
    </row>
    <row r="32" spans="1:11" ht="15" customHeight="1">
      <c r="A32" s="536"/>
      <c r="B32" s="52">
        <v>2020</v>
      </c>
      <c r="C32" s="504">
        <v>3488.2937156764365</v>
      </c>
      <c r="D32" s="504">
        <v>101.6238032645898</v>
      </c>
      <c r="E32" s="504">
        <v>291.978593413873</v>
      </c>
      <c r="F32" s="504">
        <v>227.716228075</v>
      </c>
      <c r="G32" s="504">
        <v>51.418459168238556</v>
      </c>
      <c r="H32" s="357">
        <v>175.83677942627764</v>
      </c>
      <c r="I32" s="507">
        <v>10.627334083312785</v>
      </c>
      <c r="J32" s="506">
        <f t="shared" si="0"/>
        <v>4347.4949131077292</v>
      </c>
      <c r="K32" s="164"/>
    </row>
    <row r="33" spans="1:11" ht="15" customHeight="1">
      <c r="A33" s="536"/>
      <c r="B33" s="52">
        <v>2021</v>
      </c>
      <c r="C33" s="504">
        <v>3869.2630868714714</v>
      </c>
      <c r="D33" s="504">
        <v>107.33787398014688</v>
      </c>
      <c r="E33" s="504">
        <v>330.77405474657286</v>
      </c>
      <c r="F33" s="504">
        <v>265.95270534299999</v>
      </c>
      <c r="G33" s="504">
        <v>54.444374823752028</v>
      </c>
      <c r="H33" s="357">
        <v>270.0212636199816</v>
      </c>
      <c r="I33" s="507">
        <v>13.785553851124805</v>
      </c>
      <c r="J33" s="506">
        <f t="shared" si="0"/>
        <v>4911.5789132360496</v>
      </c>
      <c r="K33" s="164"/>
    </row>
    <row r="34" spans="1:11" ht="15" customHeight="1">
      <c r="A34" s="536"/>
      <c r="B34" s="509">
        <v>2022</v>
      </c>
      <c r="C34" s="510">
        <v>4099.554984962293</v>
      </c>
      <c r="D34" s="510">
        <v>109.57065390436578</v>
      </c>
      <c r="E34" s="510">
        <v>406.21076687050976</v>
      </c>
      <c r="F34" s="510">
        <v>402.23847362000009</v>
      </c>
      <c r="G34" s="510">
        <v>69.154563193651299</v>
      </c>
      <c r="H34" s="511">
        <v>512.32871343132967</v>
      </c>
      <c r="I34" s="531">
        <v>17.685432185702691</v>
      </c>
      <c r="J34" s="532">
        <f t="shared" si="0"/>
        <v>5616.7435881678521</v>
      </c>
      <c r="K34" s="1"/>
    </row>
    <row r="35" spans="1:11" s="17" customFormat="1" ht="23.1" customHeight="1">
      <c r="A35" s="536"/>
      <c r="B35" s="512" t="s">
        <v>156</v>
      </c>
      <c r="C35" s="513">
        <f>C34/C7-1</f>
        <v>0.24843184990931255</v>
      </c>
      <c r="D35" s="513">
        <f t="shared" ref="D35:J35" si="1">D34/D7-1</f>
        <v>4.6948306731289247E-3</v>
      </c>
      <c r="E35" s="513">
        <f t="shared" si="1"/>
        <v>-0.13208095645900442</v>
      </c>
      <c r="F35" s="513">
        <f t="shared" si="1"/>
        <v>0.28654557370861977</v>
      </c>
      <c r="G35" s="513">
        <f t="shared" si="1"/>
        <v>8.3899676443660809E-2</v>
      </c>
      <c r="H35" s="513">
        <f t="shared" si="1"/>
        <v>1.1596049793970722</v>
      </c>
      <c r="I35" s="514">
        <f t="shared" si="1"/>
        <v>-0.22284407161017405</v>
      </c>
      <c r="J35" s="515">
        <f t="shared" si="1"/>
        <v>0.24891697257868683</v>
      </c>
      <c r="K35" s="23"/>
    </row>
    <row r="36" spans="1:11" ht="23.1" customHeight="1">
      <c r="A36" s="536"/>
      <c r="B36" s="512" t="s">
        <v>157</v>
      </c>
      <c r="C36" s="513">
        <f>(POWER((C34/C7), 1/27) -1)</f>
        <v>8.2519442382225083E-3</v>
      </c>
      <c r="D36" s="513">
        <f t="shared" ref="D36:J36" si="2">(POWER((D34/D7), 1/27) -1)</f>
        <v>1.7349076364148175E-4</v>
      </c>
      <c r="E36" s="513">
        <f t="shared" si="2"/>
        <v>-5.232810396616161E-3</v>
      </c>
      <c r="F36" s="513">
        <f t="shared" si="2"/>
        <v>9.3755583752570537E-3</v>
      </c>
      <c r="G36" s="513">
        <f t="shared" si="2"/>
        <v>2.9883580932810183E-3</v>
      </c>
      <c r="H36" s="513">
        <f t="shared" si="2"/>
        <v>2.8926219155331445E-2</v>
      </c>
      <c r="I36" s="515">
        <f t="shared" si="2"/>
        <v>-9.2941058173856561E-3</v>
      </c>
      <c r="J36" s="515">
        <f t="shared" si="2"/>
        <v>8.2664523466089435E-3</v>
      </c>
    </row>
    <row r="37" spans="1:11" s="17" customFormat="1" ht="23.1" customHeight="1">
      <c r="A37" s="536"/>
      <c r="B37" s="516" t="s">
        <v>161</v>
      </c>
      <c r="C37" s="517">
        <f>C34/C12-1</f>
        <v>0.11998833860959301</v>
      </c>
      <c r="D37" s="517">
        <f t="shared" ref="D37:J37" si="3">D34/D12-1</f>
        <v>9.4494228219821341E-2</v>
      </c>
      <c r="E37" s="517">
        <f t="shared" si="3"/>
        <v>-0.18182075899038386</v>
      </c>
      <c r="F37" s="517">
        <f t="shared" si="3"/>
        <v>0.188123798984559</v>
      </c>
      <c r="G37" s="517">
        <f t="shared" si="3"/>
        <v>1.9319699739821727E-2</v>
      </c>
      <c r="H37" s="517">
        <f t="shared" si="3"/>
        <v>0.6350619756485496</v>
      </c>
      <c r="I37" s="514">
        <f t="shared" si="3"/>
        <v>-0.1725246230093942</v>
      </c>
      <c r="J37" s="514">
        <f t="shared" si="3"/>
        <v>0.12378651590084511</v>
      </c>
    </row>
    <row r="38" spans="1:11" ht="23.1" customHeight="1">
      <c r="B38" s="512" t="s">
        <v>157</v>
      </c>
      <c r="C38" s="513">
        <f>(POWER((C34/C12), 1/22) -1)</f>
        <v>5.1641189378921482E-3</v>
      </c>
      <c r="D38" s="513">
        <f t="shared" ref="D38:J38" si="4">(POWER((D34/D12), 1/22) -1)</f>
        <v>4.1126321437723323E-3</v>
      </c>
      <c r="E38" s="513">
        <f t="shared" si="4"/>
        <v>-9.0800633942808018E-3</v>
      </c>
      <c r="F38" s="513">
        <f t="shared" si="4"/>
        <v>7.8660223890039127E-3</v>
      </c>
      <c r="G38" s="513">
        <f t="shared" si="4"/>
        <v>8.7017127678024053E-4</v>
      </c>
      <c r="H38" s="513">
        <f t="shared" si="4"/>
        <v>2.2600735743464329E-2</v>
      </c>
      <c r="I38" s="515">
        <f t="shared" si="4"/>
        <v>-8.57105400383118E-3</v>
      </c>
      <c r="J38" s="515">
        <f t="shared" si="4"/>
        <v>5.3188131553458806E-3</v>
      </c>
    </row>
    <row r="39" spans="1:11" s="25" customFormat="1" ht="22.5">
      <c r="A39" s="356"/>
      <c r="B39" s="518" t="s">
        <v>162</v>
      </c>
      <c r="C39" s="519">
        <f>C34/C33-1</f>
        <v>5.9518283693918095E-2</v>
      </c>
      <c r="D39" s="519">
        <f t="shared" ref="D39:J39" si="5">D34/D33-1</f>
        <v>2.0801417444059611E-2</v>
      </c>
      <c r="E39" s="519">
        <f t="shared" si="5"/>
        <v>0.22806115244357295</v>
      </c>
      <c r="F39" s="519">
        <f t="shared" si="5"/>
        <v>0.51244362452050241</v>
      </c>
      <c r="G39" s="519">
        <f t="shared" si="5"/>
        <v>0.27018747882621974</v>
      </c>
      <c r="H39" s="519">
        <f t="shared" si="5"/>
        <v>0.8973643281381094</v>
      </c>
      <c r="I39" s="520">
        <f t="shared" si="5"/>
        <v>0.28289602120408697</v>
      </c>
      <c r="J39" s="520">
        <f t="shared" si="5"/>
        <v>0.14357189152178296</v>
      </c>
    </row>
    <row r="40" spans="1:11" ht="12" customHeight="1">
      <c r="A40" s="356"/>
    </row>
    <row r="41" spans="1:11" s="356" customFormat="1" ht="20.100000000000001" customHeight="1">
      <c r="A41"/>
      <c r="B41" s="576" t="s">
        <v>158</v>
      </c>
      <c r="C41" s="576"/>
      <c r="D41" s="576"/>
      <c r="E41" s="576"/>
      <c r="F41" s="576"/>
      <c r="G41" s="576"/>
      <c r="H41" s="576"/>
      <c r="I41" s="576"/>
      <c r="J41" s="576"/>
    </row>
    <row r="42" spans="1:11" s="356" customFormat="1" ht="20.100000000000001" customHeight="1">
      <c r="A42"/>
      <c r="B42" s="577" t="s">
        <v>37</v>
      </c>
      <c r="C42" s="577"/>
      <c r="D42" s="577"/>
      <c r="E42" s="577"/>
      <c r="F42" s="577"/>
      <c r="G42" s="577"/>
      <c r="H42" s="577"/>
      <c r="I42" s="577"/>
      <c r="J42" s="577"/>
    </row>
    <row r="43" spans="1:11" s="356" customFormat="1" ht="17.25" customHeight="1">
      <c r="A43"/>
      <c r="B43" s="501"/>
      <c r="C43" s="574" t="s">
        <v>152</v>
      </c>
      <c r="D43" s="574" t="s">
        <v>153</v>
      </c>
      <c r="E43" s="574" t="s">
        <v>154</v>
      </c>
      <c r="F43" s="574" t="s">
        <v>155</v>
      </c>
      <c r="G43" s="574" t="s">
        <v>0</v>
      </c>
      <c r="H43" s="574" t="s">
        <v>44</v>
      </c>
      <c r="I43" s="574" t="s">
        <v>43</v>
      </c>
    </row>
    <row r="44" spans="1:11" s="356" customFormat="1" ht="12.75" customHeight="1">
      <c r="A44"/>
      <c r="B44" s="521"/>
      <c r="C44" s="578"/>
      <c r="D44" s="578"/>
      <c r="E44" s="578"/>
      <c r="F44" s="578"/>
      <c r="G44" s="578"/>
      <c r="H44" s="578"/>
      <c r="I44" s="578"/>
      <c r="J44" s="522"/>
    </row>
    <row r="45" spans="1:11" s="356" customFormat="1" ht="12.75" customHeight="1">
      <c r="A45"/>
      <c r="B45" s="503">
        <v>1995</v>
      </c>
      <c r="C45" s="504">
        <f t="shared" ref="C45:I45" si="6">C7/$J7*100</f>
        <v>73.016472066368109</v>
      </c>
      <c r="D45" s="504">
        <f t="shared" si="6"/>
        <v>2.4249849921083326</v>
      </c>
      <c r="E45" s="504">
        <f t="shared" si="6"/>
        <v>10.406895228183028</v>
      </c>
      <c r="F45" s="504">
        <f t="shared" si="6"/>
        <v>6.951962206344847</v>
      </c>
      <c r="G45" s="504">
        <f t="shared" si="6"/>
        <v>1.4186678449871912</v>
      </c>
      <c r="H45" s="504">
        <f t="shared" si="6"/>
        <v>5.27501071138885</v>
      </c>
      <c r="I45" s="539">
        <f t="shared" si="6"/>
        <v>0.50600695061963175</v>
      </c>
      <c r="K45" s="522"/>
    </row>
    <row r="46" spans="1:11" s="356" customFormat="1" ht="12.75" customHeight="1">
      <c r="A46" s="15"/>
      <c r="B46" s="52">
        <v>1996</v>
      </c>
      <c r="C46" s="504">
        <f t="shared" ref="C46:I46" si="7">C8/$J8*100</f>
        <v>72.985921975506514</v>
      </c>
      <c r="D46" s="504">
        <f t="shared" si="7"/>
        <v>2.4169232588194567</v>
      </c>
      <c r="E46" s="504">
        <f t="shared" si="7"/>
        <v>10.323093869644598</v>
      </c>
      <c r="F46" s="504">
        <f t="shared" si="7"/>
        <v>6.8866836584939239</v>
      </c>
      <c r="G46" s="504">
        <f t="shared" si="7"/>
        <v>1.4169781735429359</v>
      </c>
      <c r="H46" s="504">
        <f t="shared" si="7"/>
        <v>5.4781012458837761</v>
      </c>
      <c r="I46" s="523">
        <f t="shared" si="7"/>
        <v>0.49229781810879258</v>
      </c>
      <c r="J46"/>
      <c r="K46" s="522"/>
    </row>
    <row r="47" spans="1:11" ht="12.75" customHeight="1">
      <c r="A47" s="15"/>
      <c r="B47" s="52">
        <v>1997</v>
      </c>
      <c r="C47" s="504">
        <f t="shared" ref="C47:I47" si="8">C9/$J9*100</f>
        <v>73.052556876851696</v>
      </c>
      <c r="D47" s="504">
        <f t="shared" si="8"/>
        <v>2.4565292146398283</v>
      </c>
      <c r="E47" s="504">
        <f t="shared" si="8"/>
        <v>10.184836340500336</v>
      </c>
      <c r="F47" s="504">
        <f t="shared" si="8"/>
        <v>6.7042999395032599</v>
      </c>
      <c r="G47" s="504">
        <f t="shared" si="8"/>
        <v>1.3985073640312629</v>
      </c>
      <c r="H47" s="504">
        <f t="shared" si="8"/>
        <v>5.7248472624967714</v>
      </c>
      <c r="I47" s="523">
        <f t="shared" si="8"/>
        <v>0.47842300197684029</v>
      </c>
      <c r="K47" s="522"/>
    </row>
    <row r="48" spans="1:11" ht="12.75" customHeight="1">
      <c r="B48" s="52">
        <v>1998</v>
      </c>
      <c r="C48" s="504">
        <f t="shared" ref="C48:I48" si="9">C10/$J10*100</f>
        <v>73.304131561978522</v>
      </c>
      <c r="D48" s="504">
        <f t="shared" si="9"/>
        <v>2.4836011121947186</v>
      </c>
      <c r="E48" s="504">
        <f t="shared" si="9"/>
        <v>9.9948107271049835</v>
      </c>
      <c r="F48" s="504">
        <f t="shared" si="9"/>
        <v>6.5138905016014368</v>
      </c>
      <c r="G48" s="504">
        <f t="shared" si="9"/>
        <v>1.3804963696793924</v>
      </c>
      <c r="H48" s="504">
        <f t="shared" si="9"/>
        <v>5.8613505399801875</v>
      </c>
      <c r="I48" s="523">
        <f t="shared" si="9"/>
        <v>0.46171918746075241</v>
      </c>
      <c r="K48" s="522"/>
    </row>
    <row r="49" spans="1:11" ht="12.75" customHeight="1">
      <c r="B49" s="52">
        <v>1999</v>
      </c>
      <c r="C49" s="504">
        <f t="shared" ref="C49:I49" si="10">C11/$J11*100</f>
        <v>73.549037684271767</v>
      </c>
      <c r="D49" s="504">
        <f t="shared" si="10"/>
        <v>2.4924551501534151</v>
      </c>
      <c r="E49" s="504">
        <f t="shared" si="10"/>
        <v>9.765330002244772</v>
      </c>
      <c r="F49" s="504">
        <f t="shared" si="10"/>
        <v>6.4474212407218969</v>
      </c>
      <c r="G49" s="504">
        <f t="shared" si="10"/>
        <v>1.3650386114228172</v>
      </c>
      <c r="H49" s="504">
        <f t="shared" si="10"/>
        <v>5.9359458958223605</v>
      </c>
      <c r="I49" s="523">
        <f t="shared" si="10"/>
        <v>0.44477141536297266</v>
      </c>
      <c r="K49" s="522"/>
    </row>
    <row r="50" spans="1:11" ht="12.75" customHeight="1">
      <c r="A50" s="15"/>
      <c r="B50" s="52">
        <v>2000</v>
      </c>
      <c r="C50" s="504">
        <f t="shared" ref="C50:I50" si="11">C12/$J12*100</f>
        <v>73.235631961253162</v>
      </c>
      <c r="D50" s="504">
        <f t="shared" si="11"/>
        <v>2.0029956050412183</v>
      </c>
      <c r="E50" s="504">
        <f t="shared" si="11"/>
        <v>9.9334976353072246</v>
      </c>
      <c r="F50" s="504">
        <f t="shared" si="11"/>
        <v>6.7736247145042672</v>
      </c>
      <c r="G50" s="504">
        <f t="shared" si="11"/>
        <v>1.3574056215454882</v>
      </c>
      <c r="H50" s="504">
        <f t="shared" si="11"/>
        <v>6.2692226828628375</v>
      </c>
      <c r="I50" s="523">
        <f t="shared" si="11"/>
        <v>0.42762177948577274</v>
      </c>
      <c r="K50" s="522"/>
    </row>
    <row r="51" spans="1:11" ht="12.75" customHeight="1">
      <c r="A51" s="15"/>
      <c r="B51" s="52">
        <v>2001</v>
      </c>
      <c r="C51" s="504">
        <f t="shared" ref="C51:I51" si="12">C13/$J13*100</f>
        <v>73.588770246432887</v>
      </c>
      <c r="D51" s="504">
        <f t="shared" si="12"/>
        <v>2.0513638754976147</v>
      </c>
      <c r="E51" s="504">
        <f t="shared" si="12"/>
        <v>9.7667818513590312</v>
      </c>
      <c r="F51" s="504">
        <f t="shared" si="12"/>
        <v>6.6973780914525607</v>
      </c>
      <c r="G51" s="504">
        <f t="shared" si="12"/>
        <v>1.3506849518536637</v>
      </c>
      <c r="H51" s="504">
        <f t="shared" si="12"/>
        <v>6.1208060324532019</v>
      </c>
      <c r="I51" s="523">
        <f t="shared" si="12"/>
        <v>0.42421495095105427</v>
      </c>
      <c r="J51" s="15"/>
      <c r="K51" s="522"/>
    </row>
    <row r="52" spans="1:11" s="15" customFormat="1" ht="12.75" customHeight="1">
      <c r="B52" s="52">
        <v>2002</v>
      </c>
      <c r="C52" s="504">
        <f t="shared" ref="C52:I52" si="13">C14/$J14*100</f>
        <v>74.065955387472684</v>
      </c>
      <c r="D52" s="504">
        <f t="shared" si="13"/>
        <v>2.0607215167267166</v>
      </c>
      <c r="E52" s="504">
        <f t="shared" si="13"/>
        <v>9.6329014077291948</v>
      </c>
      <c r="F52" s="504">
        <f t="shared" si="13"/>
        <v>6.486773941456879</v>
      </c>
      <c r="G52" s="504">
        <f t="shared" si="13"/>
        <v>1.3560037405657845</v>
      </c>
      <c r="H52" s="504">
        <f t="shared" si="13"/>
        <v>5.9637214717770091</v>
      </c>
      <c r="I52" s="523">
        <f t="shared" si="13"/>
        <v>0.43392253427174171</v>
      </c>
      <c r="K52" s="522"/>
    </row>
    <row r="53" spans="1:11" s="15" customFormat="1" ht="12.75" customHeight="1">
      <c r="A53"/>
      <c r="B53" s="52">
        <v>2003</v>
      </c>
      <c r="C53" s="504">
        <f t="shared" ref="C53:I53" si="14">C15/$J15*100</f>
        <v>74.053937585685034</v>
      </c>
      <c r="D53" s="504">
        <f t="shared" si="14"/>
        <v>2.0996780488968492</v>
      </c>
      <c r="E53" s="504">
        <f t="shared" si="14"/>
        <v>9.5913704757000406</v>
      </c>
      <c r="F53" s="504">
        <f t="shared" si="14"/>
        <v>6.3248394185887458</v>
      </c>
      <c r="G53" s="504">
        <f t="shared" si="14"/>
        <v>1.3583608418638351</v>
      </c>
      <c r="H53" s="504">
        <f t="shared" si="14"/>
        <v>6.1441279932962773</v>
      </c>
      <c r="I53" s="523">
        <f t="shared" si="14"/>
        <v>0.42768563596924025</v>
      </c>
      <c r="J53"/>
      <c r="K53" s="522"/>
    </row>
    <row r="54" spans="1:11" ht="12.75" customHeight="1">
      <c r="B54" s="52">
        <v>2004</v>
      </c>
      <c r="C54" s="504">
        <f t="shared" ref="C54:I54" si="15">C16/$J16*100</f>
        <v>73.80526309459124</v>
      </c>
      <c r="D54" s="504">
        <f t="shared" si="15"/>
        <v>2.1312691407240907</v>
      </c>
      <c r="E54" s="504">
        <f t="shared" si="15"/>
        <v>9.5186439287048916</v>
      </c>
      <c r="F54" s="504">
        <f t="shared" si="15"/>
        <v>6.3176162079120965</v>
      </c>
      <c r="G54" s="504">
        <f t="shared" si="15"/>
        <v>1.378711866538491</v>
      </c>
      <c r="H54" s="504">
        <f t="shared" si="15"/>
        <v>6.4328955470308733</v>
      </c>
      <c r="I54" s="523">
        <f t="shared" si="15"/>
        <v>0.41560021449831608</v>
      </c>
      <c r="K54" s="522"/>
    </row>
    <row r="55" spans="1:11" ht="12.75" customHeight="1">
      <c r="B55" s="52">
        <v>2005</v>
      </c>
      <c r="C55" s="504">
        <f t="shared" ref="C55:I55" si="16">C17/$J17*100</f>
        <v>73.153892281757791</v>
      </c>
      <c r="D55" s="504">
        <f t="shared" si="16"/>
        <v>2.2008126933909185</v>
      </c>
      <c r="E55" s="504">
        <f t="shared" si="16"/>
        <v>9.4845042827031261</v>
      </c>
      <c r="F55" s="504">
        <f t="shared" si="16"/>
        <v>6.4759066623192005</v>
      </c>
      <c r="G55" s="504">
        <f t="shared" si="16"/>
        <v>1.3939308866528668</v>
      </c>
      <c r="H55" s="504">
        <f t="shared" si="16"/>
        <v>6.8850629528828655</v>
      </c>
      <c r="I55" s="523">
        <f t="shared" si="16"/>
        <v>0.40589024029322651</v>
      </c>
      <c r="J55" s="371"/>
      <c r="K55" s="522"/>
    </row>
    <row r="56" spans="1:11" ht="12.75" customHeight="1">
      <c r="B56" s="52">
        <v>2006</v>
      </c>
      <c r="C56" s="504">
        <f t="shared" ref="C56:I56" si="17">C18/$J18*100</f>
        <v>72.990385022256916</v>
      </c>
      <c r="D56" s="504">
        <f t="shared" si="17"/>
        <v>2.155316616441195</v>
      </c>
      <c r="E56" s="504">
        <f t="shared" si="17"/>
        <v>9.37681570769624</v>
      </c>
      <c r="F56" s="504">
        <f t="shared" si="17"/>
        <v>6.5802664172270626</v>
      </c>
      <c r="G56" s="504">
        <f t="shared" si="17"/>
        <v>1.4047739372774648</v>
      </c>
      <c r="H56" s="504">
        <f t="shared" si="17"/>
        <v>7.0898209730073365</v>
      </c>
      <c r="I56" s="523">
        <f t="shared" si="17"/>
        <v>0.40262132609377105</v>
      </c>
      <c r="J56" s="371"/>
      <c r="K56" s="522"/>
    </row>
    <row r="57" spans="1:11" ht="15" customHeight="1">
      <c r="B57" s="52">
        <v>2007</v>
      </c>
      <c r="C57" s="504">
        <f t="shared" ref="C57:I57" si="18">C19/$J19*100</f>
        <v>72.847558182365617</v>
      </c>
      <c r="D57" s="504">
        <f t="shared" si="18"/>
        <v>2.0529063505187883</v>
      </c>
      <c r="E57" s="504">
        <f t="shared" si="18"/>
        <v>9.4352515071408902</v>
      </c>
      <c r="F57" s="504">
        <f t="shared" si="18"/>
        <v>6.5635925649695519</v>
      </c>
      <c r="G57" s="504">
        <f t="shared" si="18"/>
        <v>1.4184155144164168</v>
      </c>
      <c r="H57" s="504">
        <f t="shared" si="18"/>
        <v>7.2859149738930897</v>
      </c>
      <c r="I57" s="523">
        <f t="shared" si="18"/>
        <v>0.39636090669563906</v>
      </c>
      <c r="J57" s="371"/>
      <c r="K57" s="522"/>
    </row>
    <row r="58" spans="1:11" ht="15" customHeight="1">
      <c r="B58" s="52">
        <v>2008</v>
      </c>
      <c r="C58" s="504">
        <f t="shared" ref="C58:I58" si="19">C20/$J20*100</f>
        <v>72.742610466265319</v>
      </c>
      <c r="D58" s="504">
        <f t="shared" si="19"/>
        <v>2.1349059161397315</v>
      </c>
      <c r="E58" s="504">
        <f t="shared" si="19"/>
        <v>9.5124560580615771</v>
      </c>
      <c r="F58" s="504">
        <f t="shared" si="19"/>
        <v>6.7825767723408328</v>
      </c>
      <c r="G58" s="504">
        <f t="shared" si="19"/>
        <v>1.4639589518687433</v>
      </c>
      <c r="H58" s="504">
        <f t="shared" si="19"/>
        <v>6.9588426884066203</v>
      </c>
      <c r="I58" s="523">
        <f t="shared" si="19"/>
        <v>0.40464914691717874</v>
      </c>
      <c r="J58" s="524"/>
      <c r="K58" s="522"/>
    </row>
    <row r="59" spans="1:11" ht="15" customHeight="1">
      <c r="B59" s="52">
        <v>2009</v>
      </c>
      <c r="C59" s="504">
        <f t="shared" ref="C59:I59" si="20">C21/$J21*100</f>
        <v>73.876754101567499</v>
      </c>
      <c r="D59" s="504">
        <f t="shared" si="20"/>
        <v>2.0796941245212279</v>
      </c>
      <c r="E59" s="504">
        <f t="shared" si="20"/>
        <v>9.0244714986725416</v>
      </c>
      <c r="F59" s="504">
        <f t="shared" si="20"/>
        <v>6.618943093754587</v>
      </c>
      <c r="G59" s="504">
        <f t="shared" si="20"/>
        <v>1.4463352191387442</v>
      </c>
      <c r="H59" s="504">
        <f t="shared" si="20"/>
        <v>6.5401746705836707</v>
      </c>
      <c r="I59" s="523">
        <f t="shared" si="20"/>
        <v>0.41362729176173579</v>
      </c>
      <c r="J59" s="525"/>
      <c r="K59" s="522"/>
    </row>
    <row r="60" spans="1:11" ht="15" customHeight="1">
      <c r="B60" s="52">
        <v>2010</v>
      </c>
      <c r="C60" s="504">
        <f t="shared" ref="C60:I60" si="21">C22/$J22*100</f>
        <v>73.558690971775974</v>
      </c>
      <c r="D60" s="504">
        <f t="shared" si="21"/>
        <v>2.1225885721960802</v>
      </c>
      <c r="E60" s="504">
        <f t="shared" si="21"/>
        <v>8.9211087716544135</v>
      </c>
      <c r="F60" s="504">
        <f t="shared" si="21"/>
        <v>6.6268484128894691</v>
      </c>
      <c r="G60" s="504">
        <f t="shared" si="21"/>
        <v>1.4952590059587834</v>
      </c>
      <c r="H60" s="504">
        <f t="shared" si="21"/>
        <v>6.8594215694391298</v>
      </c>
      <c r="I60" s="523">
        <f t="shared" si="21"/>
        <v>0.41608269608617526</v>
      </c>
      <c r="J60" s="525"/>
      <c r="K60" s="522"/>
    </row>
    <row r="61" spans="1:11" ht="12.75" customHeight="1">
      <c r="B61" s="52">
        <v>2011</v>
      </c>
      <c r="C61" s="504">
        <f t="shared" ref="C61:I61" si="22">C23/$J23*100</f>
        <v>72.840964399386976</v>
      </c>
      <c r="D61" s="504">
        <f t="shared" si="22"/>
        <v>2.174897174148235</v>
      </c>
      <c r="E61" s="504">
        <f t="shared" si="22"/>
        <v>8.9699353608496075</v>
      </c>
      <c r="F61" s="504">
        <f t="shared" si="22"/>
        <v>6.7235351303557023</v>
      </c>
      <c r="G61" s="504">
        <f t="shared" si="22"/>
        <v>1.500038176961221</v>
      </c>
      <c r="H61" s="504">
        <f t="shared" si="22"/>
        <v>7.4210379194323997</v>
      </c>
      <c r="I61" s="523">
        <f t="shared" si="22"/>
        <v>0.36959183886586056</v>
      </c>
      <c r="K61" s="522"/>
    </row>
    <row r="62" spans="1:11" ht="12.75" customHeight="1">
      <c r="B62" s="52">
        <v>2012</v>
      </c>
      <c r="C62" s="504">
        <f t="shared" ref="C62:I62" si="23">C24/$J24*100</f>
        <v>72.760388888560769</v>
      </c>
      <c r="D62" s="504">
        <f t="shared" si="23"/>
        <v>2.1457642077256449</v>
      </c>
      <c r="E62" s="504">
        <f t="shared" si="23"/>
        <v>8.9852508501917985</v>
      </c>
      <c r="F62" s="504">
        <f t="shared" si="23"/>
        <v>6.8453457035978218</v>
      </c>
      <c r="G62" s="504">
        <f t="shared" si="23"/>
        <v>1.5336531982618475</v>
      </c>
      <c r="H62" s="504">
        <f t="shared" si="23"/>
        <v>7.3844033113130561</v>
      </c>
      <c r="I62" s="523">
        <f t="shared" si="23"/>
        <v>0.3451938403490642</v>
      </c>
      <c r="K62" s="522"/>
    </row>
    <row r="63" spans="1:11" ht="12.75" customHeight="1">
      <c r="B63" s="52">
        <v>2013</v>
      </c>
      <c r="C63" s="504">
        <f t="shared" ref="C63:I63" si="24">C25/$J25*100</f>
        <v>72.995467331279215</v>
      </c>
      <c r="D63" s="504">
        <f t="shared" si="24"/>
        <v>2.1118022520171511</v>
      </c>
      <c r="E63" s="504">
        <f t="shared" si="24"/>
        <v>8.8511430567529672</v>
      </c>
      <c r="F63" s="504">
        <f t="shared" si="24"/>
        <v>6.8455231435733452</v>
      </c>
      <c r="G63" s="504">
        <f t="shared" si="24"/>
        <v>1.5187007866427908</v>
      </c>
      <c r="H63" s="504">
        <f t="shared" si="24"/>
        <v>7.3226744642519996</v>
      </c>
      <c r="I63" s="523">
        <f t="shared" si="24"/>
        <v>0.35468896548253481</v>
      </c>
      <c r="K63" s="522"/>
    </row>
    <row r="64" spans="1:11" ht="11.85" customHeight="1">
      <c r="B64" s="52">
        <v>2014</v>
      </c>
      <c r="C64" s="504">
        <f t="shared" ref="C64:I64" si="25">C26/$J26*100</f>
        <v>72.946389696605991</v>
      </c>
      <c r="D64" s="504">
        <f t="shared" si="25"/>
        <v>2.131053359282415</v>
      </c>
      <c r="E64" s="504">
        <f t="shared" si="25"/>
        <v>8.6377268630609301</v>
      </c>
      <c r="F64" s="504">
        <f t="shared" si="25"/>
        <v>6.8271298603801016</v>
      </c>
      <c r="G64" s="504">
        <f t="shared" si="25"/>
        <v>1.501884366018762</v>
      </c>
      <c r="H64" s="504">
        <f t="shared" si="25"/>
        <v>7.6030576566987431</v>
      </c>
      <c r="I64" s="523">
        <f t="shared" si="25"/>
        <v>0.35275819795305424</v>
      </c>
      <c r="K64" s="522"/>
    </row>
    <row r="65" spans="1:11" ht="11.85" customHeight="1">
      <c r="B65" s="52">
        <v>2015</v>
      </c>
      <c r="C65" s="504">
        <f t="shared" ref="C65:I65" si="26">C27/$J27*100</f>
        <v>72.796113300318282</v>
      </c>
      <c r="D65" s="504">
        <f t="shared" si="26"/>
        <v>2.0787194480990272</v>
      </c>
      <c r="E65" s="504">
        <f t="shared" si="26"/>
        <v>8.710168835985808</v>
      </c>
      <c r="F65" s="504">
        <f t="shared" si="26"/>
        <v>6.7599209352236294</v>
      </c>
      <c r="G65" s="504">
        <f t="shared" si="26"/>
        <v>1.4308242828987792</v>
      </c>
      <c r="H65" s="504">
        <f t="shared" si="26"/>
        <v>7.8810261326251592</v>
      </c>
      <c r="I65" s="523">
        <f t="shared" si="26"/>
        <v>0.34322706484931653</v>
      </c>
      <c r="K65" s="522"/>
    </row>
    <row r="66" spans="1:11" ht="11.85" customHeight="1">
      <c r="B66" s="52">
        <v>2016</v>
      </c>
      <c r="C66" s="504">
        <f t="shared" ref="C66:I66" si="27">C28/$J28*100</f>
        <v>72.548209338475218</v>
      </c>
      <c r="D66" s="504">
        <f t="shared" si="27"/>
        <v>2.0516198393342786</v>
      </c>
      <c r="E66" s="504">
        <f t="shared" si="27"/>
        <v>8.5747861704503681</v>
      </c>
      <c r="F66" s="504">
        <f t="shared" si="27"/>
        <v>6.6822045074791321</v>
      </c>
      <c r="G66" s="504">
        <f t="shared" si="27"/>
        <v>1.4394105649665441</v>
      </c>
      <c r="H66" s="504">
        <f t="shared" si="27"/>
        <v>8.3849592915570916</v>
      </c>
      <c r="I66" s="523">
        <f t="shared" si="27"/>
        <v>0.31881028773736314</v>
      </c>
      <c r="K66" s="522"/>
    </row>
    <row r="67" spans="1:11" ht="11.85" customHeight="1">
      <c r="B67" s="52">
        <v>2017</v>
      </c>
      <c r="C67" s="504">
        <f t="shared" ref="C67:I67" si="28">C29/$J29*100</f>
        <v>72.311289282326157</v>
      </c>
      <c r="D67" s="504">
        <f t="shared" si="28"/>
        <v>1.9127000246075969</v>
      </c>
      <c r="E67" s="504">
        <f t="shared" si="28"/>
        <v>8.1343511454998989</v>
      </c>
      <c r="F67" s="504">
        <f t="shared" si="28"/>
        <v>6.8326026125881203</v>
      </c>
      <c r="G67" s="504">
        <f t="shared" si="28"/>
        <v>1.4502421441679443</v>
      </c>
      <c r="H67" s="504">
        <f t="shared" si="28"/>
        <v>9.0232775660641487</v>
      </c>
      <c r="I67" s="523">
        <f t="shared" si="28"/>
        <v>0.33553722474612724</v>
      </c>
      <c r="K67" s="522"/>
    </row>
    <row r="68" spans="1:11" ht="11.85" customHeight="1">
      <c r="B68" s="52">
        <v>2018</v>
      </c>
      <c r="C68" s="504">
        <f t="shared" ref="C68:I68" si="29">C30/$J30*100</f>
        <v>71.894420184250691</v>
      </c>
      <c r="D68" s="504">
        <f t="shared" si="29"/>
        <v>1.8017188377352265</v>
      </c>
      <c r="E68" s="504">
        <f t="shared" si="29"/>
        <v>8.1098248211073969</v>
      </c>
      <c r="F68" s="504">
        <f t="shared" si="29"/>
        <v>6.8892218540703114</v>
      </c>
      <c r="G68" s="504">
        <f t="shared" si="29"/>
        <v>1.46860036337196</v>
      </c>
      <c r="H68" s="504">
        <f t="shared" si="29"/>
        <v>9.4851588797217197</v>
      </c>
      <c r="I68" s="523">
        <f t="shared" si="29"/>
        <v>0.35105505974268281</v>
      </c>
      <c r="K68" s="522"/>
    </row>
    <row r="69" spans="1:11" ht="11.85" customHeight="1">
      <c r="B69" s="52">
        <v>2019</v>
      </c>
      <c r="C69" s="504">
        <f t="shared" ref="C69:I69" si="30">C31/$J31*100</f>
        <v>71.575588753787386</v>
      </c>
      <c r="D69" s="504">
        <f t="shared" si="30"/>
        <v>1.9241515065020234</v>
      </c>
      <c r="E69" s="504">
        <f t="shared" si="30"/>
        <v>8.0947372806998263</v>
      </c>
      <c r="F69" s="504">
        <f t="shared" si="30"/>
        <v>7.0234735967353998</v>
      </c>
      <c r="G69" s="504">
        <f t="shared" si="30"/>
        <v>1.4501307069470628</v>
      </c>
      <c r="H69" s="504">
        <f t="shared" si="30"/>
        <v>9.580036837284732</v>
      </c>
      <c r="I69" s="523">
        <f t="shared" si="30"/>
        <v>0.35188131804354705</v>
      </c>
      <c r="K69" s="522"/>
    </row>
    <row r="70" spans="1:11" ht="11.85" customHeight="1">
      <c r="A70" s="180"/>
      <c r="B70" s="52">
        <v>2020</v>
      </c>
      <c r="C70" s="504">
        <f t="shared" ref="C70:I70" si="31">C32/$J32*100</f>
        <v>80.236867101539445</v>
      </c>
      <c r="D70" s="504">
        <f t="shared" si="31"/>
        <v>2.3375255243702133</v>
      </c>
      <c r="E70" s="504">
        <f t="shared" si="31"/>
        <v>6.7160192076028746</v>
      </c>
      <c r="F70" s="504">
        <f t="shared" si="31"/>
        <v>5.2378722143741649</v>
      </c>
      <c r="G70" s="504">
        <f t="shared" si="31"/>
        <v>1.1827146482267645</v>
      </c>
      <c r="H70" s="504">
        <f t="shared" si="31"/>
        <v>4.0445540004228286</v>
      </c>
      <c r="I70" s="523">
        <f t="shared" si="31"/>
        <v>0.24444730346368654</v>
      </c>
      <c r="K70" s="522"/>
    </row>
    <row r="71" spans="1:11" ht="11.85" customHeight="1">
      <c r="B71" s="52">
        <v>2021</v>
      </c>
      <c r="C71" s="504">
        <f t="shared" ref="C71:I71" si="32">C33/$J33*100</f>
        <v>78.778396015267589</v>
      </c>
      <c r="D71" s="504">
        <f t="shared" si="32"/>
        <v>2.1854046504452089</v>
      </c>
      <c r="E71" s="504">
        <f t="shared" si="32"/>
        <v>6.7345768151089045</v>
      </c>
      <c r="F71" s="504">
        <f t="shared" si="32"/>
        <v>5.4148107979349156</v>
      </c>
      <c r="G71" s="504">
        <f t="shared" si="32"/>
        <v>1.1084902795113749</v>
      </c>
      <c r="H71" s="504">
        <f t="shared" si="32"/>
        <v>5.4976468542999548</v>
      </c>
      <c r="I71" s="504">
        <f t="shared" si="32"/>
        <v>0.28067458743204915</v>
      </c>
      <c r="J71" s="164"/>
      <c r="K71" s="522"/>
    </row>
    <row r="72" spans="1:11" ht="11.85" customHeight="1">
      <c r="A72" s="180"/>
      <c r="B72" s="509">
        <v>2022</v>
      </c>
      <c r="C72" s="537">
        <f t="shared" ref="C72:I72" si="33">C34/$J34*100</f>
        <v>72.988109936126591</v>
      </c>
      <c r="D72" s="510">
        <f t="shared" si="33"/>
        <v>1.9507861127074713</v>
      </c>
      <c r="E72" s="510">
        <f t="shared" si="33"/>
        <v>7.2321401269986278</v>
      </c>
      <c r="F72" s="510">
        <f t="shared" si="33"/>
        <v>7.1614177735894806</v>
      </c>
      <c r="G72" s="510">
        <f t="shared" si="33"/>
        <v>1.2312216519787598</v>
      </c>
      <c r="H72" s="510">
        <f t="shared" si="33"/>
        <v>9.121454547268165</v>
      </c>
      <c r="I72" s="538">
        <f t="shared" si="33"/>
        <v>0.31486985133091278</v>
      </c>
      <c r="J72" s="164"/>
      <c r="K72" s="522"/>
    </row>
    <row r="73" spans="1:11" ht="13.5" customHeight="1">
      <c r="B73" s="155" t="s">
        <v>159</v>
      </c>
      <c r="C73" s="526"/>
      <c r="D73" s="156"/>
      <c r="E73" s="156"/>
      <c r="F73" s="156"/>
      <c r="G73" s="156"/>
      <c r="H73" s="156"/>
      <c r="I73" s="156"/>
    </row>
    <row r="74" spans="1:11" ht="13.5" customHeight="1">
      <c r="B74" s="527" t="s">
        <v>110</v>
      </c>
      <c r="C74" s="156"/>
      <c r="D74" s="524"/>
      <c r="E74" s="524"/>
      <c r="F74" s="524"/>
      <c r="G74" s="524"/>
      <c r="H74" s="524"/>
      <c r="I74" s="524"/>
    </row>
    <row r="75" spans="1:11" ht="59.25" customHeight="1">
      <c r="B75" s="573" t="s">
        <v>163</v>
      </c>
      <c r="C75" s="573"/>
      <c r="D75" s="573"/>
      <c r="E75" s="573"/>
      <c r="F75" s="573"/>
      <c r="G75" s="573"/>
      <c r="H75" s="573"/>
      <c r="I75" s="573"/>
    </row>
    <row r="76" spans="1:11">
      <c r="B76" s="528" t="s">
        <v>160</v>
      </c>
    </row>
  </sheetData>
  <mergeCells count="21">
    <mergeCell ref="B2:J2"/>
    <mergeCell ref="B3:J3"/>
    <mergeCell ref="B4:J4"/>
    <mergeCell ref="C5:C6"/>
    <mergeCell ref="D5:D6"/>
    <mergeCell ref="E5:E6"/>
    <mergeCell ref="F5:F6"/>
    <mergeCell ref="G5:G6"/>
    <mergeCell ref="H5:H6"/>
    <mergeCell ref="I5:I6"/>
    <mergeCell ref="B75:I75"/>
    <mergeCell ref="J5:J6"/>
    <mergeCell ref="B41:J41"/>
    <mergeCell ref="B42:J42"/>
    <mergeCell ref="C43:C44"/>
    <mergeCell ref="D43:D44"/>
    <mergeCell ref="E43:E44"/>
    <mergeCell ref="F43:F44"/>
    <mergeCell ref="G43:G44"/>
    <mergeCell ref="H43:H44"/>
    <mergeCell ref="I43:I44"/>
  </mergeCells>
  <pageMargins left="0.7" right="0.7" top="0.75" bottom="0.75" header="0.3" footer="0.3"/>
  <pageSetup paperSize="9" orientation="portrait"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7"/>
  <dimension ref="B1:R52"/>
  <sheetViews>
    <sheetView topLeftCell="A21" zoomScaleNormal="100" workbookViewId="0">
      <selection activeCell="R37" sqref="R37"/>
    </sheetView>
  </sheetViews>
  <sheetFormatPr defaultRowHeight="12.75"/>
  <cols>
    <col min="1" max="1" width="3.140625" customWidth="1"/>
    <col min="2" max="2" width="4" customWidth="1"/>
    <col min="3" max="4" width="10.7109375" customWidth="1"/>
    <col min="5" max="5" width="9.5703125" customWidth="1"/>
    <col min="6" max="6" width="7.85546875" customWidth="1"/>
    <col min="7" max="7" width="5.5703125" customWidth="1"/>
    <col min="11" max="11" width="9.7109375" customWidth="1"/>
    <col min="12" max="12" width="6.7109375" customWidth="1"/>
    <col min="13" max="13" width="7.5703125" customWidth="1"/>
    <col min="14" max="18" width="6.7109375" customWidth="1"/>
  </cols>
  <sheetData>
    <row r="1" spans="2:18" ht="15.75">
      <c r="B1" s="151"/>
      <c r="C1" s="152"/>
      <c r="D1" s="152"/>
      <c r="E1" s="152"/>
      <c r="G1" s="11" t="s">
        <v>62</v>
      </c>
    </row>
    <row r="2" spans="2:18">
      <c r="B2" s="576" t="s">
        <v>104</v>
      </c>
      <c r="C2" s="576"/>
      <c r="D2" s="576"/>
      <c r="E2" s="576"/>
      <c r="F2" s="576"/>
      <c r="G2" s="576"/>
    </row>
    <row r="3" spans="2:18" ht="12.75" customHeight="1">
      <c r="B3" s="576"/>
      <c r="C3" s="576"/>
      <c r="D3" s="576"/>
      <c r="E3" s="576"/>
      <c r="F3" s="576"/>
      <c r="G3" s="576"/>
    </row>
    <row r="4" spans="2:18">
      <c r="B4" s="582">
        <v>2022</v>
      </c>
      <c r="C4" s="582"/>
      <c r="D4" s="582"/>
      <c r="E4" s="582"/>
      <c r="F4" s="582"/>
      <c r="G4" s="582"/>
    </row>
    <row r="5" spans="2:18" ht="17.25" customHeight="1">
      <c r="B5" s="583" t="s">
        <v>1</v>
      </c>
      <c r="C5" s="583"/>
      <c r="D5" s="583"/>
      <c r="E5" s="583"/>
      <c r="F5" s="583"/>
      <c r="K5" s="584" t="s">
        <v>141</v>
      </c>
      <c r="L5" s="584"/>
      <c r="M5" s="584"/>
      <c r="N5" s="584"/>
      <c r="O5" s="584"/>
      <c r="P5" s="371"/>
      <c r="Q5" s="371"/>
      <c r="R5" s="371"/>
    </row>
    <row r="6" spans="2:18" ht="45">
      <c r="C6" s="153" t="s">
        <v>99</v>
      </c>
      <c r="D6" s="372" t="s">
        <v>100</v>
      </c>
      <c r="E6" s="372" t="s">
        <v>42</v>
      </c>
      <c r="F6" s="154" t="s">
        <v>105</v>
      </c>
      <c r="G6" s="373"/>
      <c r="K6" s="153" t="s">
        <v>40</v>
      </c>
      <c r="L6" s="372" t="s">
        <v>2</v>
      </c>
      <c r="M6" s="372" t="s">
        <v>42</v>
      </c>
      <c r="N6" s="154" t="s">
        <v>0</v>
      </c>
      <c r="O6" s="179" t="s">
        <v>45</v>
      </c>
    </row>
    <row r="7" spans="2:18">
      <c r="B7" s="141" t="s">
        <v>94</v>
      </c>
      <c r="C7" s="374">
        <f>K7/O7*100</f>
        <v>82.367373818048776</v>
      </c>
      <c r="D7" s="374">
        <f>L7/O7*100</f>
        <v>8.1614990423277085</v>
      </c>
      <c r="E7" s="374">
        <f>M7/O7*100</f>
        <v>8.0816885838072583</v>
      </c>
      <c r="F7" s="374">
        <f>N7/O7*100</f>
        <v>1.389438555816259</v>
      </c>
      <c r="G7" s="141" t="s">
        <v>94</v>
      </c>
      <c r="H7" s="59"/>
      <c r="J7" s="141" t="s">
        <v>94</v>
      </c>
      <c r="K7" s="374">
        <f>[1]cars!AK6</f>
        <v>4099.554984962293</v>
      </c>
      <c r="L7" s="374">
        <f>[1]bus_coach!AK6</f>
        <v>406.21076687050976</v>
      </c>
      <c r="M7" s="374">
        <f>rail_pkm!AK6</f>
        <v>402.23847362000009</v>
      </c>
      <c r="N7" s="374">
        <f>'[1]tram and metro'!AK6</f>
        <v>69.154563193651299</v>
      </c>
      <c r="O7" s="374">
        <f>SUM(K7:N7)</f>
        <v>4977.158788646454</v>
      </c>
      <c r="P7" s="141" t="s">
        <v>94</v>
      </c>
      <c r="Q7" s="164"/>
    </row>
    <row r="8" spans="2:18">
      <c r="B8" s="375" t="s">
        <v>24</v>
      </c>
      <c r="C8" s="264">
        <f>K8/$O8*100</f>
        <v>80.462829341631689</v>
      </c>
      <c r="D8" s="326">
        <f t="shared" ref="D8:F23" si="0">L8/$O8*100</f>
        <v>9.469728726137804</v>
      </c>
      <c r="E8" s="264">
        <f t="shared" si="0"/>
        <v>9.1359537633186001</v>
      </c>
      <c r="F8" s="139">
        <f t="shared" si="0"/>
        <v>0.931488168911908</v>
      </c>
      <c r="G8" s="375" t="s">
        <v>24</v>
      </c>
      <c r="H8" s="59"/>
      <c r="I8" s="138"/>
      <c r="J8" s="375" t="s">
        <v>24</v>
      </c>
      <c r="K8" s="264">
        <f>[1]cars!AK7</f>
        <v>100.82829149708756</v>
      </c>
      <c r="L8" s="326">
        <f>[1]bus_coach!AK7</f>
        <v>11.866554733532611</v>
      </c>
      <c r="M8" s="264">
        <f>rail_pkm!AK7</f>
        <v>11.4483</v>
      </c>
      <c r="N8" s="139">
        <f>'[1]tram and metro'!AK7</f>
        <v>1.1672515295524606</v>
      </c>
      <c r="O8" s="545">
        <f t="shared" ref="O8:O46" si="1">SUM(K8:N8)</f>
        <v>125.31039776017263</v>
      </c>
      <c r="P8" s="375" t="s">
        <v>24</v>
      </c>
      <c r="Q8" s="164"/>
    </row>
    <row r="9" spans="2:18">
      <c r="B9" s="52" t="s">
        <v>7</v>
      </c>
      <c r="C9" s="376">
        <f t="shared" ref="C9:C46" si="2">K9/O9*100</f>
        <v>85.602496028608499</v>
      </c>
      <c r="D9" s="376">
        <f t="shared" si="0"/>
        <v>10.434320082492336</v>
      </c>
      <c r="E9" s="376">
        <f t="shared" si="0"/>
        <v>2.4769899305619787</v>
      </c>
      <c r="F9" s="185">
        <f t="shared" si="0"/>
        <v>1.4861939583371873</v>
      </c>
      <c r="G9" s="52" t="s">
        <v>7</v>
      </c>
      <c r="H9" s="59"/>
      <c r="J9" s="52" t="s">
        <v>7</v>
      </c>
      <c r="K9" s="376">
        <f>[1]cars!AK8</f>
        <v>55.294529846836824</v>
      </c>
      <c r="L9" s="376">
        <f>[1]bus_coach!AK8</f>
        <v>6.74</v>
      </c>
      <c r="M9" s="376">
        <f>[1]rail_pkm!AK8</f>
        <v>1.6</v>
      </c>
      <c r="N9" s="185">
        <f>'[1]tram and metro'!AK8</f>
        <v>0.96</v>
      </c>
      <c r="O9" s="546">
        <f t="shared" si="1"/>
        <v>64.594529846836821</v>
      </c>
      <c r="P9" s="52" t="s">
        <v>7</v>
      </c>
      <c r="Q9" s="164"/>
    </row>
    <row r="10" spans="2:18">
      <c r="B10" s="375" t="s">
        <v>9</v>
      </c>
      <c r="C10" s="264">
        <f t="shared" si="2"/>
        <v>77.323650045761156</v>
      </c>
      <c r="D10" s="264">
        <f t="shared" si="0"/>
        <v>10.670824717806177</v>
      </c>
      <c r="E10" s="264">
        <f t="shared" si="0"/>
        <v>7.9607470933188704</v>
      </c>
      <c r="F10" s="139">
        <f t="shared" si="0"/>
        <v>4.0447781431137928</v>
      </c>
      <c r="G10" s="375" t="s">
        <v>9</v>
      </c>
      <c r="H10" s="59"/>
      <c r="J10" s="375" t="s">
        <v>9</v>
      </c>
      <c r="K10" s="264">
        <f>[1]cars!AK9</f>
        <v>91.245000000000005</v>
      </c>
      <c r="L10" s="264">
        <f>[1]bus_coach!AK9</f>
        <v>12.592000000000001</v>
      </c>
      <c r="M10" s="264">
        <f>[1]rail_pkm!AK9</f>
        <v>9.3940000000000001</v>
      </c>
      <c r="N10" s="139">
        <f>'[1]tram and metro'!AK9</f>
        <v>4.7729999999999997</v>
      </c>
      <c r="O10" s="545">
        <f t="shared" si="1"/>
        <v>118.004</v>
      </c>
      <c r="P10" s="375" t="s">
        <v>9</v>
      </c>
      <c r="Q10" s="164"/>
    </row>
    <row r="11" spans="2:18">
      <c r="B11" s="52" t="s">
        <v>20</v>
      </c>
      <c r="C11" s="376">
        <f t="shared" si="2"/>
        <v>80.24436978319072</v>
      </c>
      <c r="D11" s="376">
        <f t="shared" si="0"/>
        <v>10.755157751063049</v>
      </c>
      <c r="E11" s="376">
        <f t="shared" si="0"/>
        <v>8.3678933277337393</v>
      </c>
      <c r="F11" s="185">
        <f t="shared" si="0"/>
        <v>0.6325791380124941</v>
      </c>
      <c r="G11" s="52" t="s">
        <v>20</v>
      </c>
      <c r="H11" s="59"/>
      <c r="J11" s="52" t="s">
        <v>20</v>
      </c>
      <c r="K11" s="376">
        <f>[1]cars!AK10</f>
        <v>61.143000000000001</v>
      </c>
      <c r="L11" s="376">
        <f>[1]bus_coach!AK10</f>
        <v>8.1950000000000003</v>
      </c>
      <c r="M11" s="376">
        <f>[1]rail_pkm!AK10</f>
        <v>6.3760000000000003</v>
      </c>
      <c r="N11" s="185">
        <f>'[1]tram and metro'!AK10</f>
        <v>0.48199999999999998</v>
      </c>
      <c r="O11" s="546">
        <f t="shared" si="1"/>
        <v>76.195999999999998</v>
      </c>
      <c r="P11" s="52" t="s">
        <v>20</v>
      </c>
      <c r="Q11" s="164"/>
    </row>
    <row r="12" spans="2:18">
      <c r="B12" s="375" t="s">
        <v>25</v>
      </c>
      <c r="C12" s="264">
        <f t="shared" si="2"/>
        <v>84.697972778075552</v>
      </c>
      <c r="D12" s="264">
        <f t="shared" si="0"/>
        <v>4.6411215345044932</v>
      </c>
      <c r="E12" s="264">
        <f t="shared" si="0"/>
        <v>9.2136742411766299</v>
      </c>
      <c r="F12" s="139">
        <f t="shared" si="0"/>
        <v>1.4472314462433364</v>
      </c>
      <c r="G12" s="375" t="s">
        <v>25</v>
      </c>
      <c r="H12" s="59"/>
      <c r="J12" s="375" t="s">
        <v>25</v>
      </c>
      <c r="K12" s="264">
        <f>[1]cars!AK11</f>
        <v>848.6</v>
      </c>
      <c r="L12" s="264">
        <f>[1]bus_coach!AK11</f>
        <v>46.5</v>
      </c>
      <c r="M12" s="264">
        <f>[1]rail_pkm!AK11</f>
        <v>92.313000000000002</v>
      </c>
      <c r="N12" s="139">
        <f>'[1]tram and metro'!AK11</f>
        <v>14.5</v>
      </c>
      <c r="O12" s="545">
        <f t="shared" si="1"/>
        <v>1001.913</v>
      </c>
      <c r="P12" s="375" t="s">
        <v>25</v>
      </c>
    </row>
    <row r="13" spans="2:18">
      <c r="B13" s="52" t="s">
        <v>10</v>
      </c>
      <c r="C13" s="376">
        <f t="shared" si="2"/>
        <v>85.197910331889531</v>
      </c>
      <c r="D13" s="376">
        <f t="shared" si="0"/>
        <v>11.951314543120134</v>
      </c>
      <c r="E13" s="376">
        <f t="shared" si="0"/>
        <v>2.3257270277493078</v>
      </c>
      <c r="F13" s="185">
        <f t="shared" si="0"/>
        <v>0.52504809724102752</v>
      </c>
      <c r="G13" s="52" t="s">
        <v>10</v>
      </c>
      <c r="H13" s="59"/>
      <c r="J13" s="52" t="s">
        <v>10</v>
      </c>
      <c r="K13" s="376">
        <f>[1]cars!AK12</f>
        <v>13.993732436552277</v>
      </c>
      <c r="L13" s="376">
        <f>[1]bus_coach!AK12</f>
        <v>1.9630000000000001</v>
      </c>
      <c r="M13" s="376">
        <f>[1]rail_pkm!AK12</f>
        <v>0.38200000000000001</v>
      </c>
      <c r="N13" s="185">
        <f>'[1]tram and metro'!AK12</f>
        <v>8.6238999999999996E-2</v>
      </c>
      <c r="O13" s="546">
        <f t="shared" si="1"/>
        <v>16.424971436552276</v>
      </c>
      <c r="P13" s="52" t="s">
        <v>10</v>
      </c>
    </row>
    <row r="14" spans="2:18">
      <c r="B14" s="375" t="s">
        <v>28</v>
      </c>
      <c r="C14" s="264">
        <f t="shared" si="2"/>
        <v>81.361516215042855</v>
      </c>
      <c r="D14" s="264">
        <f t="shared" si="0"/>
        <v>15.884508473465683</v>
      </c>
      <c r="E14" s="264">
        <f t="shared" si="0"/>
        <v>2.5165175795064796</v>
      </c>
      <c r="F14" s="139">
        <f t="shared" si="0"/>
        <v>0.23745773198498177</v>
      </c>
      <c r="G14" s="375" t="s">
        <v>28</v>
      </c>
      <c r="H14" s="59"/>
      <c r="J14" s="375" t="s">
        <v>28</v>
      </c>
      <c r="K14" s="264">
        <f>[1]cars!AK13</f>
        <v>56.51457851996647</v>
      </c>
      <c r="L14" s="264">
        <f>[1]bus_coach!AK13</f>
        <v>11.033549313437858</v>
      </c>
      <c r="M14" s="264">
        <f>[1]rail_pkm!AK13</f>
        <v>1.748</v>
      </c>
      <c r="N14" s="139">
        <f>'[1]tram and metro'!AK13</f>
        <v>0.16494067789947636</v>
      </c>
      <c r="O14" s="545">
        <f t="shared" si="1"/>
        <v>69.461068511303807</v>
      </c>
      <c r="P14" s="375" t="s">
        <v>28</v>
      </c>
    </row>
    <row r="15" spans="2:18">
      <c r="B15" s="52" t="s">
        <v>21</v>
      </c>
      <c r="C15" s="376">
        <f t="shared" si="2"/>
        <v>83.662119491664413</v>
      </c>
      <c r="D15" s="376">
        <f t="shared" si="0"/>
        <v>14.269472096572677</v>
      </c>
      <c r="E15" s="376">
        <f t="shared" si="0"/>
        <v>0.90173450412120593</v>
      </c>
      <c r="F15" s="185">
        <f t="shared" si="0"/>
        <v>1.166673907641699</v>
      </c>
      <c r="G15" s="52" t="s">
        <v>21</v>
      </c>
      <c r="H15" s="59"/>
      <c r="J15" s="52" t="s">
        <v>21</v>
      </c>
      <c r="K15" s="376">
        <f>[1]cars!AK14</f>
        <v>103.63425935803835</v>
      </c>
      <c r="L15" s="376">
        <f>[1]bus_coach!AK14</f>
        <v>17.675934833396653</v>
      </c>
      <c r="M15" s="376">
        <f>[1]rail_pkm!AK14</f>
        <v>1.117</v>
      </c>
      <c r="N15" s="185">
        <f>'[1]tram and metro'!AK14</f>
        <v>1.4451867471854141</v>
      </c>
      <c r="O15" s="546">
        <f t="shared" si="1"/>
        <v>123.87238093862042</v>
      </c>
      <c r="P15" s="52" t="s">
        <v>21</v>
      </c>
    </row>
    <row r="16" spans="2:18">
      <c r="B16" s="375" t="s">
        <v>26</v>
      </c>
      <c r="C16" s="264">
        <f t="shared" si="2"/>
        <v>82.590960612412374</v>
      </c>
      <c r="D16" s="264">
        <f t="shared" si="0"/>
        <v>9.1115833247099527</v>
      </c>
      <c r="E16" s="264">
        <f t="shared" si="0"/>
        <v>6.6152953888582724</v>
      </c>
      <c r="F16" s="139">
        <f t="shared" si="0"/>
        <v>1.6821606740194017</v>
      </c>
      <c r="G16" s="375" t="s">
        <v>26</v>
      </c>
      <c r="H16" s="59"/>
      <c r="J16" s="375" t="s">
        <v>26</v>
      </c>
      <c r="K16" s="264">
        <f>[1]cars!AK15</f>
        <v>343.19600000000003</v>
      </c>
      <c r="L16" s="264">
        <f>[1]bus_coach!AK15</f>
        <v>37.862000000000002</v>
      </c>
      <c r="M16" s="264">
        <f>[1]rail_pkm!AK15</f>
        <v>27.489000000000001</v>
      </c>
      <c r="N16" s="139">
        <f>'[1]tram and metro'!AK15</f>
        <v>6.9900000000000011</v>
      </c>
      <c r="O16" s="545">
        <f t="shared" si="1"/>
        <v>415.53700000000003</v>
      </c>
      <c r="P16" s="375" t="s">
        <v>26</v>
      </c>
    </row>
    <row r="17" spans="2:16">
      <c r="B17" s="52" t="s">
        <v>27</v>
      </c>
      <c r="C17" s="376">
        <f t="shared" si="2"/>
        <v>83.004585659514561</v>
      </c>
      <c r="D17" s="376">
        <f t="shared" si="0"/>
        <v>4.8186503760975601</v>
      </c>
      <c r="E17" s="376">
        <f t="shared" si="0"/>
        <v>11.143901310994108</v>
      </c>
      <c r="F17" s="185">
        <f t="shared" si="0"/>
        <v>1.0328626533937715</v>
      </c>
      <c r="G17" s="52" t="s">
        <v>27</v>
      </c>
      <c r="H17" s="59"/>
      <c r="J17" s="52" t="s">
        <v>27</v>
      </c>
      <c r="K17" s="376">
        <f>[1]cars!AK16</f>
        <v>809.4</v>
      </c>
      <c r="L17" s="376">
        <f>[1]bus_coach!AK16</f>
        <v>46.987953538037992</v>
      </c>
      <c r="M17" s="376">
        <f>[1]rail_pkm!AK16</f>
        <v>108.66717362</v>
      </c>
      <c r="N17" s="185">
        <f>'[1]tram and metro'!AK16</f>
        <v>10.071721038235079</v>
      </c>
      <c r="O17" s="546">
        <f t="shared" si="1"/>
        <v>975.12684819627304</v>
      </c>
      <c r="P17" s="52" t="s">
        <v>27</v>
      </c>
    </row>
    <row r="18" spans="2:16">
      <c r="B18" s="375" t="s">
        <v>39</v>
      </c>
      <c r="C18" s="264">
        <f t="shared" si="2"/>
        <v>84.422565776147991</v>
      </c>
      <c r="D18" s="264">
        <f t="shared" si="0"/>
        <v>11.426463142833802</v>
      </c>
      <c r="E18" s="264">
        <f t="shared" si="0"/>
        <v>2.8778809156268759</v>
      </c>
      <c r="F18" s="139">
        <f t="shared" si="0"/>
        <v>1.2730901653913198</v>
      </c>
      <c r="G18" s="375" t="s">
        <v>39</v>
      </c>
      <c r="H18" s="59"/>
      <c r="J18" s="375" t="s">
        <v>39</v>
      </c>
      <c r="K18" s="264">
        <f>[1]cars!AK17</f>
        <v>23.82</v>
      </c>
      <c r="L18" s="264">
        <f>[1]bus_coach!AK17</f>
        <v>3.2240000000000002</v>
      </c>
      <c r="M18" s="264">
        <f>[1]rail_pkm!AK17</f>
        <v>0.81200000000000006</v>
      </c>
      <c r="N18" s="139">
        <f>'[1]tram and metro'!AK17</f>
        <v>0.359205</v>
      </c>
      <c r="O18" s="545">
        <f t="shared" si="1"/>
        <v>28.215205000000001</v>
      </c>
      <c r="P18" s="375" t="s">
        <v>39</v>
      </c>
    </row>
    <row r="19" spans="2:16">
      <c r="B19" s="67" t="s">
        <v>29</v>
      </c>
      <c r="C19" s="376">
        <f t="shared" si="2"/>
        <v>80.982381292683314</v>
      </c>
      <c r="D19" s="376">
        <f t="shared" si="0"/>
        <v>11.927015888538437</v>
      </c>
      <c r="E19" s="376">
        <f t="shared" si="0"/>
        <v>6.2460708509529352</v>
      </c>
      <c r="F19" s="185">
        <f t="shared" si="0"/>
        <v>0.8445319678253066</v>
      </c>
      <c r="G19" s="67" t="s">
        <v>29</v>
      </c>
      <c r="H19" s="59"/>
      <c r="J19" s="67" t="s">
        <v>29</v>
      </c>
      <c r="K19" s="376">
        <f>[1]cars!AK18</f>
        <v>602.86199999999997</v>
      </c>
      <c r="L19" s="376">
        <f>[1]bus_coach!AK18</f>
        <v>88.789000000000001</v>
      </c>
      <c r="M19" s="376">
        <f>[1]rail_pkm!AK18</f>
        <v>46.497999999999998</v>
      </c>
      <c r="N19" s="185">
        <f>'[1]tram and metro'!AK18</f>
        <v>6.2869999999999999</v>
      </c>
      <c r="O19" s="546">
        <f t="shared" si="1"/>
        <v>744.43600000000004</v>
      </c>
      <c r="P19" s="67" t="s">
        <v>29</v>
      </c>
    </row>
    <row r="20" spans="2:16">
      <c r="B20" s="375" t="s">
        <v>8</v>
      </c>
      <c r="C20" s="264">
        <f t="shared" si="2"/>
        <v>84.352455351815067</v>
      </c>
      <c r="D20" s="264">
        <f t="shared" si="0"/>
        <v>15.647544648184939</v>
      </c>
      <c r="E20" s="377" t="s">
        <v>38</v>
      </c>
      <c r="F20" s="378" t="s">
        <v>38</v>
      </c>
      <c r="G20" s="375" t="s">
        <v>8</v>
      </c>
      <c r="H20" s="59"/>
      <c r="J20" s="375" t="s">
        <v>8</v>
      </c>
      <c r="K20" s="264">
        <f>[1]cars!AK19</f>
        <v>6.8638990122444357</v>
      </c>
      <c r="L20" s="264">
        <f>[1]bus_coach!AK19</f>
        <v>1.2732666264043284</v>
      </c>
      <c r="M20" s="377" t="str">
        <f>[1]rail_pkm!AK19</f>
        <v>-</v>
      </c>
      <c r="N20" s="378" t="str">
        <f>'[1]tram and metro'!AK19</f>
        <v>-</v>
      </c>
      <c r="O20" s="545">
        <f t="shared" si="1"/>
        <v>8.1371656386487636</v>
      </c>
      <c r="P20" s="375" t="s">
        <v>8</v>
      </c>
    </row>
    <row r="21" spans="2:16">
      <c r="B21" s="67" t="s">
        <v>12</v>
      </c>
      <c r="C21" s="376">
        <f t="shared" si="2"/>
        <v>84.269298578029492</v>
      </c>
      <c r="D21" s="376">
        <f t="shared" si="0"/>
        <v>11.644525932182788</v>
      </c>
      <c r="E21" s="376">
        <f t="shared" si="0"/>
        <v>3.5914078611885802</v>
      </c>
      <c r="F21" s="185">
        <f t="shared" si="0"/>
        <v>0.49476762859914264</v>
      </c>
      <c r="G21" s="67" t="s">
        <v>12</v>
      </c>
      <c r="H21" s="59"/>
      <c r="J21" s="67" t="s">
        <v>12</v>
      </c>
      <c r="K21" s="376">
        <f>[1]cars!AK20</f>
        <v>12.694100000000001</v>
      </c>
      <c r="L21" s="376">
        <f>[1]bus_coach!AK20</f>
        <v>1.7541</v>
      </c>
      <c r="M21" s="376">
        <f>[1]rail_pkm!AK20</f>
        <v>0.54100000000000004</v>
      </c>
      <c r="N21" s="185">
        <f>'[1]tram and metro'!AK20</f>
        <v>7.4530461985331503E-2</v>
      </c>
      <c r="O21" s="546">
        <f t="shared" si="1"/>
        <v>15.063730461985331</v>
      </c>
      <c r="P21" s="67" t="s">
        <v>12</v>
      </c>
    </row>
    <row r="22" spans="2:16">
      <c r="B22" s="375" t="s">
        <v>13</v>
      </c>
      <c r="C22" s="264">
        <f t="shared" si="2"/>
        <v>92.915311528632898</v>
      </c>
      <c r="D22" s="264">
        <f t="shared" si="0"/>
        <v>6.0040068453389761</v>
      </c>
      <c r="E22" s="264">
        <f t="shared" si="0"/>
        <v>1.0806816260281247</v>
      </c>
      <c r="F22" s="378" t="s">
        <v>38</v>
      </c>
      <c r="G22" s="375" t="s">
        <v>13</v>
      </c>
      <c r="H22" s="59"/>
      <c r="J22" s="375" t="s">
        <v>13</v>
      </c>
      <c r="K22" s="264">
        <f>[1]cars!AK21</f>
        <v>32.843760964447128</v>
      </c>
      <c r="L22" s="264">
        <f>[1]bus_coach!AK21</f>
        <v>2.1223000000000001</v>
      </c>
      <c r="M22" s="264">
        <f>[1]rail_pkm!AK21</f>
        <v>0.38200000000000001</v>
      </c>
      <c r="N22" s="378" t="str">
        <f>'[1]tram and metro'!AK21</f>
        <v>-</v>
      </c>
      <c r="O22" s="545">
        <f t="shared" si="1"/>
        <v>35.348060964447129</v>
      </c>
      <c r="P22" s="375" t="s">
        <v>13</v>
      </c>
    </row>
    <row r="23" spans="2:16">
      <c r="B23" s="67" t="s">
        <v>30</v>
      </c>
      <c r="C23" s="376">
        <f t="shared" si="2"/>
        <v>82.574510935464545</v>
      </c>
      <c r="D23" s="376">
        <f t="shared" si="0"/>
        <v>12.745974503778628</v>
      </c>
      <c r="E23" s="376">
        <f t="shared" si="0"/>
        <v>4.048779279658377</v>
      </c>
      <c r="F23" s="185">
        <f t="shared" si="0"/>
        <v>0.63073528109845156</v>
      </c>
      <c r="G23" s="67" t="s">
        <v>30</v>
      </c>
      <c r="H23" s="59"/>
      <c r="J23" s="67" t="s">
        <v>30</v>
      </c>
      <c r="K23" s="376">
        <f>[1]cars!AK22</f>
        <v>7.933622095745859</v>
      </c>
      <c r="L23" s="376">
        <f>[1]bus_coach!AK22</f>
        <v>1.2246120965102949</v>
      </c>
      <c r="M23" s="376">
        <f>[1]rail_pkm!AK22</f>
        <v>0.38900000000000001</v>
      </c>
      <c r="N23" s="185">
        <f>'[1]tram and metro'!AK22</f>
        <v>6.0599999999999994E-2</v>
      </c>
      <c r="O23" s="546">
        <f t="shared" si="1"/>
        <v>9.6078341922561545</v>
      </c>
      <c r="P23" s="67" t="s">
        <v>30</v>
      </c>
    </row>
    <row r="24" spans="2:16">
      <c r="B24" s="375" t="s">
        <v>11</v>
      </c>
      <c r="C24" s="264">
        <f t="shared" si="2"/>
        <v>74.3556949256172</v>
      </c>
      <c r="D24" s="264">
        <f t="shared" ref="D24:F42" si="3">L24/$O24*100</f>
        <v>15.258715554157659</v>
      </c>
      <c r="E24" s="264">
        <f t="shared" si="3"/>
        <v>8.0093850114879199</v>
      </c>
      <c r="F24" s="139">
        <f t="shared" si="3"/>
        <v>2.3762045087372345</v>
      </c>
      <c r="G24" s="375" t="s">
        <v>11</v>
      </c>
      <c r="H24" s="59"/>
      <c r="I24" s="59"/>
      <c r="J24" s="375" t="s">
        <v>11</v>
      </c>
      <c r="K24" s="264">
        <f>[1]cars!AK23</f>
        <v>72.569675000000004</v>
      </c>
      <c r="L24" s="264">
        <f>[1]bus_coach!AK23</f>
        <v>14.892201999999999</v>
      </c>
      <c r="M24" s="264">
        <f>[1]rail_pkm!AK23</f>
        <v>7.8170000000000002</v>
      </c>
      <c r="N24" s="139">
        <f>'[1]tram and metro'!AK23</f>
        <v>2.3191282000000002</v>
      </c>
      <c r="O24" s="545">
        <f t="shared" si="1"/>
        <v>97.598005199999989</v>
      </c>
      <c r="P24" s="375" t="s">
        <v>11</v>
      </c>
    </row>
    <row r="25" spans="2:16">
      <c r="B25" s="67" t="s">
        <v>14</v>
      </c>
      <c r="C25" s="376">
        <f t="shared" si="2"/>
        <v>82.883648738431845</v>
      </c>
      <c r="D25" s="376">
        <f t="shared" si="3"/>
        <v>17.116351261568155</v>
      </c>
      <c r="E25" s="379" t="s">
        <v>38</v>
      </c>
      <c r="F25" s="186" t="s">
        <v>38</v>
      </c>
      <c r="G25" s="67" t="s">
        <v>14</v>
      </c>
      <c r="H25" s="59"/>
      <c r="I25" s="59"/>
      <c r="J25" s="67" t="s">
        <v>14</v>
      </c>
      <c r="K25" s="376">
        <f>[1]cars!AK24</f>
        <v>2.6692956758175597</v>
      </c>
      <c r="L25" s="376">
        <f>[1]bus_coach!AK24</f>
        <v>0.5512378268054362</v>
      </c>
      <c r="M25" s="379" t="str">
        <f>[1]rail_pkm!AK24</f>
        <v>-</v>
      </c>
      <c r="N25" s="186" t="str">
        <f>'[1]tram and metro'!AK24</f>
        <v>-</v>
      </c>
      <c r="O25" s="546">
        <f t="shared" si="1"/>
        <v>3.2205335026229958</v>
      </c>
      <c r="P25" s="67" t="s">
        <v>14</v>
      </c>
    </row>
    <row r="26" spans="2:16">
      <c r="B26" s="375" t="s">
        <v>22</v>
      </c>
      <c r="C26" s="264">
        <f t="shared" si="2"/>
        <v>85.040116456210441</v>
      </c>
      <c r="D26" s="264">
        <f t="shared" si="3"/>
        <v>2.8436981617522599</v>
      </c>
      <c r="E26" s="264">
        <f t="shared" si="3"/>
        <v>11.581299299231524</v>
      </c>
      <c r="F26" s="139">
        <f t="shared" si="3"/>
        <v>0.5348860828057822</v>
      </c>
      <c r="G26" s="375" t="s">
        <v>22</v>
      </c>
      <c r="H26" s="59"/>
      <c r="I26" s="59"/>
      <c r="J26" s="375" t="s">
        <v>22</v>
      </c>
      <c r="K26" s="264">
        <f>[1]cars!AK25</f>
        <v>125.60000000000001</v>
      </c>
      <c r="L26" s="264">
        <f>[1]bus_coach!AK25</f>
        <v>4.2</v>
      </c>
      <c r="M26" s="264">
        <f>[1]rail_pkm!AK25</f>
        <v>17.105</v>
      </c>
      <c r="N26" s="139">
        <f>'[1]tram and metro'!AK25</f>
        <v>0.79</v>
      </c>
      <c r="O26" s="545">
        <f t="shared" si="1"/>
        <v>147.69499999999999</v>
      </c>
      <c r="P26" s="375" t="s">
        <v>22</v>
      </c>
    </row>
    <row r="27" spans="2:16">
      <c r="B27" s="67" t="s">
        <v>31</v>
      </c>
      <c r="C27" s="376">
        <f t="shared" si="2"/>
        <v>72.106881333399926</v>
      </c>
      <c r="D27" s="376">
        <f t="shared" si="3"/>
        <v>7.8411941606470608</v>
      </c>
      <c r="E27" s="376">
        <f t="shared" si="3"/>
        <v>13.282191452776118</v>
      </c>
      <c r="F27" s="185">
        <f t="shared" si="3"/>
        <v>6.769733053176906</v>
      </c>
      <c r="G27" s="67" t="s">
        <v>31</v>
      </c>
      <c r="H27" s="59"/>
      <c r="J27" s="67" t="s">
        <v>31</v>
      </c>
      <c r="K27" s="376">
        <f>[1]cars!AK26</f>
        <v>69.78772763790549</v>
      </c>
      <c r="L27" s="376">
        <f>[1]bus_coach!AK26</f>
        <v>7.5890000000000004</v>
      </c>
      <c r="M27" s="376">
        <f>[1]rail_pkm!AK26</f>
        <v>12.855</v>
      </c>
      <c r="N27" s="185">
        <f>'[1]tram and metro'!AK26</f>
        <v>6.5519999999999996</v>
      </c>
      <c r="O27" s="546">
        <f t="shared" si="1"/>
        <v>96.783727637905486</v>
      </c>
      <c r="P27" s="67" t="s">
        <v>31</v>
      </c>
    </row>
    <row r="28" spans="2:16">
      <c r="B28" s="375" t="s">
        <v>15</v>
      </c>
      <c r="C28" s="264">
        <f t="shared" si="2"/>
        <v>81.545513848937219</v>
      </c>
      <c r="D28" s="264">
        <f t="shared" si="3"/>
        <v>8.9274430205557884</v>
      </c>
      <c r="E28" s="264">
        <f t="shared" si="3"/>
        <v>8.1872978272885106</v>
      </c>
      <c r="F28" s="139">
        <f t="shared" si="3"/>
        <v>1.3397453032184816</v>
      </c>
      <c r="G28" s="375" t="s">
        <v>15</v>
      </c>
      <c r="H28" s="59"/>
      <c r="J28" s="375" t="s">
        <v>15</v>
      </c>
      <c r="K28" s="264">
        <f>[1]cars!AK27</f>
        <v>237.31700000000001</v>
      </c>
      <c r="L28" s="264">
        <f>[1]bus_coach!AK27</f>
        <v>25.981000000000002</v>
      </c>
      <c r="M28" s="264">
        <f>[1]rail_pkm!AK27</f>
        <v>23.827000000000002</v>
      </c>
      <c r="N28" s="139">
        <f>'[1]tram and metro'!AK27</f>
        <v>3.8989801046921007</v>
      </c>
      <c r="O28" s="545">
        <f t="shared" si="1"/>
        <v>291.0239801046921</v>
      </c>
      <c r="P28" s="375" t="s">
        <v>15</v>
      </c>
    </row>
    <row r="29" spans="2:16">
      <c r="B29" s="67" t="s">
        <v>32</v>
      </c>
      <c r="C29" s="376">
        <f t="shared" si="2"/>
        <v>87.505140315678503</v>
      </c>
      <c r="D29" s="376">
        <f t="shared" si="3"/>
        <v>7.4923751803760545</v>
      </c>
      <c r="E29" s="376">
        <f t="shared" si="3"/>
        <v>4.0048391138573853</v>
      </c>
      <c r="F29" s="185">
        <f t="shared" si="3"/>
        <v>0.99764539008806197</v>
      </c>
      <c r="G29" s="67" t="s">
        <v>32</v>
      </c>
      <c r="H29" s="59"/>
      <c r="J29" s="67" t="s">
        <v>32</v>
      </c>
      <c r="K29" s="376">
        <f>[1]cars!AK28</f>
        <v>96.554494216007427</v>
      </c>
      <c r="L29" s="376">
        <f>[1]bus_coach!AK28</f>
        <v>8.2672000000000008</v>
      </c>
      <c r="M29" s="376">
        <f>[1]rail_pkm!AK28</f>
        <v>4.4189999999999996</v>
      </c>
      <c r="N29" s="185">
        <f>'[1]tram and metro'!AK28</f>
        <v>1.1008169999999999</v>
      </c>
      <c r="O29" s="546">
        <f t="shared" si="1"/>
        <v>110.34151121600743</v>
      </c>
      <c r="P29" s="67" t="s">
        <v>32</v>
      </c>
    </row>
    <row r="30" spans="2:16">
      <c r="B30" s="375" t="s">
        <v>16</v>
      </c>
      <c r="C30" s="264">
        <f t="shared" si="2"/>
        <v>78.985307957594088</v>
      </c>
      <c r="D30" s="264">
        <f t="shared" si="3"/>
        <v>14.363030461938045</v>
      </c>
      <c r="E30" s="264">
        <f t="shared" si="3"/>
        <v>3.9120479722839931</v>
      </c>
      <c r="F30" s="139">
        <f t="shared" si="3"/>
        <v>2.7396136081838782</v>
      </c>
      <c r="G30" s="375" t="s">
        <v>16</v>
      </c>
      <c r="H30" s="59"/>
      <c r="I30" s="180"/>
      <c r="J30" s="375" t="s">
        <v>16</v>
      </c>
      <c r="K30" s="264">
        <f>[1]cars!AK29</f>
        <v>117.00261930761154</v>
      </c>
      <c r="L30" s="264">
        <f>[1]bus_coach!AK29</f>
        <v>21.276263000000004</v>
      </c>
      <c r="M30" s="264">
        <f>[1]rail_pkm!AK29</f>
        <v>5.7949999999999999</v>
      </c>
      <c r="N30" s="139">
        <f>'[1]tram and metro'!AK29</f>
        <v>4.0582480000000007</v>
      </c>
      <c r="O30" s="545">
        <f t="shared" si="1"/>
        <v>148.13213030761153</v>
      </c>
      <c r="P30" s="375" t="s">
        <v>16</v>
      </c>
    </row>
    <row r="31" spans="2:16">
      <c r="B31" s="67" t="s">
        <v>18</v>
      </c>
      <c r="C31" s="376">
        <f t="shared" si="2"/>
        <v>86.063478324537897</v>
      </c>
      <c r="D31" s="376">
        <f t="shared" si="3"/>
        <v>11.566284975234662</v>
      </c>
      <c r="E31" s="376">
        <f t="shared" si="3"/>
        <v>2.3702367002274523</v>
      </c>
      <c r="F31" s="186" t="s">
        <v>38</v>
      </c>
      <c r="G31" s="67" t="s">
        <v>18</v>
      </c>
      <c r="H31" s="59"/>
      <c r="J31" s="67" t="s">
        <v>18</v>
      </c>
      <c r="K31" s="376">
        <f>[1]cars!AK30</f>
        <v>23.42</v>
      </c>
      <c r="L31" s="376">
        <f>[1]bus_coach!AK30</f>
        <v>3.1474720682159965</v>
      </c>
      <c r="M31" s="376">
        <f>[1]rail_pkm!AK30</f>
        <v>0.64500000000000002</v>
      </c>
      <c r="N31" s="186" t="str">
        <f>'[1]tram and metro'!AK30</f>
        <v>-</v>
      </c>
      <c r="O31" s="546">
        <f t="shared" si="1"/>
        <v>27.212472068215998</v>
      </c>
      <c r="P31" s="67" t="s">
        <v>18</v>
      </c>
    </row>
    <row r="32" spans="2:16">
      <c r="B32" s="375" t="s">
        <v>17</v>
      </c>
      <c r="C32" s="264">
        <f t="shared" si="2"/>
        <v>78.414198616413771</v>
      </c>
      <c r="D32" s="264">
        <f t="shared" si="3"/>
        <v>11.990212731675012</v>
      </c>
      <c r="E32" s="264">
        <f t="shared" si="3"/>
        <v>8.7502865546985564</v>
      </c>
      <c r="F32" s="139">
        <f t="shared" si="3"/>
        <v>0.84530209721266569</v>
      </c>
      <c r="G32" s="375" t="s">
        <v>17</v>
      </c>
      <c r="H32" s="59"/>
      <c r="J32" s="375" t="s">
        <v>17</v>
      </c>
      <c r="K32" s="264">
        <f>[1]cars!AK31</f>
        <v>28.389490979973587</v>
      </c>
      <c r="L32" s="264">
        <f>[1]bus_coach!AK31</f>
        <v>4.3410000000000002</v>
      </c>
      <c r="M32" s="264">
        <f>[1]rail_pkm!AK31</f>
        <v>3.1680000000000001</v>
      </c>
      <c r="N32" s="139">
        <f>'[1]tram and metro'!AK31</f>
        <v>0.30603763970812931</v>
      </c>
      <c r="O32" s="545">
        <f t="shared" si="1"/>
        <v>36.204528619681717</v>
      </c>
      <c r="P32" s="375" t="s">
        <v>17</v>
      </c>
    </row>
    <row r="33" spans="2:17">
      <c r="B33" s="67" t="s">
        <v>33</v>
      </c>
      <c r="C33" s="376">
        <f t="shared" si="2"/>
        <v>83.547397350757578</v>
      </c>
      <c r="D33" s="376">
        <f t="shared" si="3"/>
        <v>9.3749554783028302</v>
      </c>
      <c r="E33" s="376">
        <f t="shared" si="3"/>
        <v>6.3032788892353739</v>
      </c>
      <c r="F33" s="185">
        <f t="shared" si="3"/>
        <v>0.77436828170420868</v>
      </c>
      <c r="G33" s="67" t="s">
        <v>33</v>
      </c>
      <c r="H33" s="59"/>
      <c r="J33" s="67" t="s">
        <v>33</v>
      </c>
      <c r="K33" s="376">
        <f>[1]cars!AK32</f>
        <v>60.6</v>
      </c>
      <c r="L33" s="376">
        <f>[1]bus_coach!AK32</f>
        <v>6.8</v>
      </c>
      <c r="M33" s="376">
        <f>[1]rail_pkm!AK32</f>
        <v>4.5720000000000001</v>
      </c>
      <c r="N33" s="185">
        <f>'[1]tram and metro'!AK32</f>
        <v>0.56167779439331067</v>
      </c>
      <c r="O33" s="546">
        <f t="shared" si="1"/>
        <v>72.533677794393313</v>
      </c>
      <c r="P33" s="67" t="s">
        <v>33</v>
      </c>
    </row>
    <row r="34" spans="2:17">
      <c r="B34" s="380" t="s">
        <v>34</v>
      </c>
      <c r="C34" s="381">
        <f t="shared" si="2"/>
        <v>79.535002015256524</v>
      </c>
      <c r="D34" s="382">
        <f t="shared" si="3"/>
        <v>7.8564331274293462</v>
      </c>
      <c r="E34" s="382">
        <f t="shared" si="3"/>
        <v>10.807700951570627</v>
      </c>
      <c r="F34" s="383">
        <f t="shared" si="3"/>
        <v>1.8008639057435021</v>
      </c>
      <c r="G34" s="380" t="s">
        <v>34</v>
      </c>
      <c r="H34" s="59"/>
      <c r="J34" s="380" t="s">
        <v>34</v>
      </c>
      <c r="K34" s="381">
        <f>[1]cars!AK33</f>
        <v>94.777908414058018</v>
      </c>
      <c r="L34" s="382">
        <f>[1]bus_coach!AK33</f>
        <v>9.3621208341685431</v>
      </c>
      <c r="M34" s="382">
        <f>[1]rail_pkm!AK33</f>
        <v>12.879</v>
      </c>
      <c r="N34" s="540">
        <f>'[1]tram and metro'!AK33</f>
        <v>2.1459999999999999</v>
      </c>
      <c r="O34" s="547">
        <f t="shared" si="1"/>
        <v>119.16502924822657</v>
      </c>
      <c r="P34" s="380" t="s">
        <v>34</v>
      </c>
    </row>
    <row r="35" spans="2:17">
      <c r="B35" s="216" t="s">
        <v>5</v>
      </c>
      <c r="C35" s="267">
        <f>K35/O35*100</f>
        <v>88.600847970926694</v>
      </c>
      <c r="D35" s="267">
        <f>L35/$O35*100</f>
        <v>11.399152029073287</v>
      </c>
      <c r="E35" s="267" t="s">
        <v>38</v>
      </c>
      <c r="F35" s="267" t="s">
        <v>38</v>
      </c>
      <c r="G35" s="216" t="s">
        <v>5</v>
      </c>
      <c r="H35" s="59"/>
      <c r="J35" s="216" t="s">
        <v>5</v>
      </c>
      <c r="K35" s="267">
        <f>[1]cars!AK34</f>
        <v>7.3140000000000001</v>
      </c>
      <c r="L35" s="267">
        <f>[1]bus_coach!AK34</f>
        <v>0.94099999999999995</v>
      </c>
      <c r="M35" s="267" t="str">
        <f>[1]rail_pkm!AK34</f>
        <v>-</v>
      </c>
      <c r="N35" s="541" t="str">
        <f>'[1]tram and metro'!AK34</f>
        <v>-</v>
      </c>
      <c r="O35" s="548">
        <f t="shared" si="1"/>
        <v>8.2550000000000008</v>
      </c>
      <c r="P35" s="216" t="s">
        <v>5</v>
      </c>
    </row>
    <row r="36" spans="2:17">
      <c r="B36" s="375" t="s">
        <v>35</v>
      </c>
      <c r="C36" s="264">
        <f>K36/O36*100</f>
        <v>89.302170990013764</v>
      </c>
      <c r="D36" s="264">
        <f>L36/$O36*100</f>
        <v>4.9508241301687548</v>
      </c>
      <c r="E36" s="264">
        <f>M36/$O36*100</f>
        <v>4.6516898067713139</v>
      </c>
      <c r="F36" s="264">
        <f>N36/$O36*100</f>
        <v>1.0953150730461847</v>
      </c>
      <c r="G36" s="375" t="s">
        <v>35</v>
      </c>
      <c r="H36" s="59"/>
      <c r="J36" s="375" t="s">
        <v>35</v>
      </c>
      <c r="K36" s="264">
        <f>[1]cars!AK35</f>
        <v>59.11</v>
      </c>
      <c r="L36" s="264">
        <f>[1]bus_coach!AK35</f>
        <v>3.2770000000000001</v>
      </c>
      <c r="M36" s="264">
        <f>[1]rail_pkm!AK35</f>
        <v>3.0790000000000002</v>
      </c>
      <c r="N36" s="139">
        <f>'[1]tram and metro'!AK35</f>
        <v>0.72499999999999998</v>
      </c>
      <c r="O36" s="545">
        <f t="shared" si="1"/>
        <v>66.190999999999988</v>
      </c>
      <c r="P36" s="375" t="s">
        <v>35</v>
      </c>
    </row>
    <row r="37" spans="2:17" ht="16.5" customHeight="1">
      <c r="B37" s="149" t="s">
        <v>6</v>
      </c>
      <c r="C37" s="342">
        <f>K37/O37*100</f>
        <v>76.434992636895615</v>
      </c>
      <c r="D37" s="325">
        <f>L37/$O37*100</f>
        <v>5.5786397125288119</v>
      </c>
      <c r="E37" s="325">
        <f>M37/$O37*100</f>
        <v>17.104464625759082</v>
      </c>
      <c r="F37" s="384">
        <f>N37/$O37*100</f>
        <v>0.8819030248164933</v>
      </c>
      <c r="G37" s="149" t="s">
        <v>6</v>
      </c>
      <c r="H37" s="59"/>
      <c r="J37" s="149" t="s">
        <v>6</v>
      </c>
      <c r="K37" s="342">
        <f>[1]cars!AK36</f>
        <v>85.803813549990068</v>
      </c>
      <c r="L37" s="325">
        <f>[1]bus_coach!AK36</f>
        <v>6.2624270016000008</v>
      </c>
      <c r="M37" s="325">
        <f>[1]rail_pkm!AK36</f>
        <v>19.201000000000001</v>
      </c>
      <c r="N37" s="542">
        <f>'[1]tram and metro'!AK36</f>
        <v>0.99</v>
      </c>
      <c r="O37" s="549">
        <f t="shared" si="1"/>
        <v>112.25724055159007</v>
      </c>
      <c r="P37" s="149" t="s">
        <v>6</v>
      </c>
    </row>
    <row r="38" spans="2:17">
      <c r="B38" s="216" t="s">
        <v>124</v>
      </c>
      <c r="C38" s="267"/>
      <c r="D38" s="267"/>
      <c r="E38" s="385"/>
      <c r="F38" s="267"/>
      <c r="G38" s="216" t="s">
        <v>124</v>
      </c>
      <c r="H38" s="59"/>
      <c r="J38" s="216" t="s">
        <v>124</v>
      </c>
      <c r="K38" s="267"/>
      <c r="L38" s="267">
        <f>[1]bus_coach!AK37</f>
        <v>1.1000193082246694</v>
      </c>
      <c r="M38" s="385">
        <f>[1]rail_pkm!AK37</f>
        <v>3.2000000000000001E-2</v>
      </c>
      <c r="N38" s="541">
        <f>'[1]tram and metro'!AK37</f>
        <v>0.2211944982396114</v>
      </c>
      <c r="O38" s="548"/>
      <c r="P38" s="216" t="s">
        <v>124</v>
      </c>
    </row>
    <row r="39" spans="2:17">
      <c r="B39" s="375" t="s">
        <v>76</v>
      </c>
      <c r="C39" s="264">
        <f t="shared" si="2"/>
        <v>97.975210135799472</v>
      </c>
      <c r="D39" s="264">
        <f t="shared" si="3"/>
        <v>1.0043209791307757</v>
      </c>
      <c r="E39" s="264">
        <f t="shared" si="3"/>
        <v>1.020468885069741</v>
      </c>
      <c r="F39" s="352" t="str">
        <f>'[1]tram and metro'!AB38</f>
        <v>-</v>
      </c>
      <c r="G39" s="375" t="s">
        <v>76</v>
      </c>
      <c r="H39" s="59"/>
      <c r="J39" s="375" t="s">
        <v>76</v>
      </c>
      <c r="K39" s="264">
        <f>[1]cars!AK38</f>
        <v>4.975237818142932</v>
      </c>
      <c r="L39" s="264">
        <f>[1]bus_coach!AK38</f>
        <v>5.0999999999999997E-2</v>
      </c>
      <c r="M39" s="264">
        <f>[1]rail_pkm!AK38</f>
        <v>5.1819999999999998E-2</v>
      </c>
      <c r="N39" s="543" t="str">
        <f>'[1]tram and metro'!AK38</f>
        <v>-</v>
      </c>
      <c r="O39" s="545">
        <f t="shared" si="1"/>
        <v>5.0780578181429323</v>
      </c>
      <c r="P39" s="375" t="s">
        <v>76</v>
      </c>
    </row>
    <row r="40" spans="2:17">
      <c r="B40" s="67" t="s">
        <v>125</v>
      </c>
      <c r="C40" s="267"/>
      <c r="D40" s="267"/>
      <c r="E40" s="267"/>
      <c r="F40" s="385" t="str">
        <f>'[1]tram and metro'!AB40</f>
        <v>-</v>
      </c>
      <c r="G40" s="67" t="s">
        <v>125</v>
      </c>
      <c r="H40" s="59"/>
      <c r="J40" s="67" t="s">
        <v>125</v>
      </c>
      <c r="K40" s="267">
        <f>[1]cars!AK39</f>
        <v>0.20580000000000001</v>
      </c>
      <c r="L40" s="267">
        <f>[1]bus_coach!AK39</f>
        <v>3.2982</v>
      </c>
      <c r="M40" s="267">
        <f>[1]rail_pkm!AK39</f>
        <v>3.2000000000000001E-2</v>
      </c>
      <c r="N40" s="544" t="str">
        <f>'[1]tram and metro'!AK39</f>
        <v>-</v>
      </c>
      <c r="O40" s="548">
        <f t="shared" si="1"/>
        <v>3.536</v>
      </c>
      <c r="P40" s="67" t="s">
        <v>125</v>
      </c>
    </row>
    <row r="41" spans="2:17">
      <c r="B41" s="375" t="s">
        <v>3</v>
      </c>
      <c r="C41" s="264">
        <f t="shared" si="2"/>
        <v>91.029627822092849</v>
      </c>
      <c r="D41" s="264">
        <f t="shared" si="3"/>
        <v>8.5868804305245092</v>
      </c>
      <c r="E41" s="264">
        <f t="shared" si="3"/>
        <v>0.38349174738264802</v>
      </c>
      <c r="F41" s="352" t="str">
        <f>'[1]tram and metro'!AB39</f>
        <v>-</v>
      </c>
      <c r="G41" s="375" t="s">
        <v>3</v>
      </c>
      <c r="H41" s="59"/>
      <c r="J41" s="375" t="s">
        <v>3</v>
      </c>
      <c r="K41" s="264">
        <f>[1]cars!AK40</f>
        <v>10.919043</v>
      </c>
      <c r="L41" s="264">
        <f>[1]bus_coach!AK40</f>
        <v>1.03</v>
      </c>
      <c r="M41" s="264">
        <f>[1]rail_pkm!AK40</f>
        <v>4.5999999999999999E-2</v>
      </c>
      <c r="N41" s="543" t="str">
        <f>'[1]tram and metro'!AK40</f>
        <v>-</v>
      </c>
      <c r="O41" s="545">
        <f t="shared" si="1"/>
        <v>11.995042999999999</v>
      </c>
      <c r="P41" s="375" t="s">
        <v>3</v>
      </c>
    </row>
    <row r="42" spans="2:17">
      <c r="B42" s="67" t="s">
        <v>82</v>
      </c>
      <c r="C42" s="267">
        <f t="shared" si="2"/>
        <v>91.534089386943691</v>
      </c>
      <c r="D42" s="267">
        <f t="shared" si="3"/>
        <v>8.4630619489929675</v>
      </c>
      <c r="E42" s="267">
        <f t="shared" si="3"/>
        <v>2.8486640633399877E-3</v>
      </c>
      <c r="F42" s="385" t="str">
        <f>'[1]tram and metro'!AB41</f>
        <v>-</v>
      </c>
      <c r="G42" s="67" t="s">
        <v>82</v>
      </c>
      <c r="H42" s="59"/>
      <c r="J42" s="67" t="s">
        <v>82</v>
      </c>
      <c r="K42" s="267">
        <f>[1]cars!AK41</f>
        <v>14.041809133223987</v>
      </c>
      <c r="L42" s="267">
        <f>[1]bus_coach!AK41</f>
        <v>1.2982780663065248</v>
      </c>
      <c r="M42" s="267">
        <f>[1]rail_pkm!AK41</f>
        <v>4.37E-4</v>
      </c>
      <c r="N42" s="544" t="str">
        <f>'[1]tram and metro'!AK41</f>
        <v>-</v>
      </c>
      <c r="O42" s="548">
        <f t="shared" si="1"/>
        <v>15.340524199530511</v>
      </c>
      <c r="P42" s="67" t="s">
        <v>82</v>
      </c>
    </row>
    <row r="43" spans="2:17">
      <c r="B43" s="375" t="s">
        <v>77</v>
      </c>
      <c r="C43" s="264">
        <f t="shared" si="2"/>
        <v>84.445142419385036</v>
      </c>
      <c r="D43" s="264">
        <f t="shared" ref="D43:F46" si="4">L43/$O43*100</f>
        <v>12.039476146740039</v>
      </c>
      <c r="E43" s="264">
        <f t="shared" si="4"/>
        <v>1.102497170789178</v>
      </c>
      <c r="F43" s="264">
        <f t="shared" si="4"/>
        <v>2.4128842630857323</v>
      </c>
      <c r="G43" s="375" t="s">
        <v>77</v>
      </c>
      <c r="H43" s="59"/>
      <c r="J43" s="375" t="s">
        <v>77</v>
      </c>
      <c r="K43" s="264">
        <f>[1]cars!AK42</f>
        <v>32.629227197841928</v>
      </c>
      <c r="L43" s="264">
        <f>[1]bus_coach!AK42</f>
        <v>4.6520000000000001</v>
      </c>
      <c r="M43" s="264">
        <f>[1]rail_pkm!AK42</f>
        <v>0.42599999999999999</v>
      </c>
      <c r="N43" s="139">
        <f>'[1]tram and metro'!AK42</f>
        <v>0.93232774043197708</v>
      </c>
      <c r="O43" s="545">
        <f t="shared" si="1"/>
        <v>38.639554938273911</v>
      </c>
      <c r="P43" s="375" t="s">
        <v>77</v>
      </c>
    </row>
    <row r="44" spans="2:17">
      <c r="B44" s="67" t="s">
        <v>19</v>
      </c>
      <c r="C44" s="267"/>
      <c r="D44" s="267"/>
      <c r="E44" s="267"/>
      <c r="F44" s="267"/>
      <c r="G44" s="67" t="s">
        <v>19</v>
      </c>
      <c r="H44" s="59"/>
      <c r="J44" s="67" t="s">
        <v>19</v>
      </c>
      <c r="K44" s="267">
        <f>[1]cars!AK43</f>
        <v>254.78611749560184</v>
      </c>
      <c r="L44" s="267">
        <f>[1]bus_coach!AK43</f>
        <v>96.38121919056826</v>
      </c>
      <c r="M44" s="267">
        <f>[1]rail_pkm!AK43</f>
        <v>15.720960000000002</v>
      </c>
      <c r="N44" s="541"/>
      <c r="O44" s="548">
        <f t="shared" si="1"/>
        <v>366.88829668617007</v>
      </c>
      <c r="P44" s="67" t="s">
        <v>19</v>
      </c>
    </row>
    <row r="45" spans="2:17">
      <c r="B45" s="375" t="s">
        <v>126</v>
      </c>
      <c r="C45" s="381"/>
      <c r="D45" s="382"/>
      <c r="E45" s="382"/>
      <c r="F45" s="382"/>
      <c r="G45" s="375" t="s">
        <v>126</v>
      </c>
      <c r="H45" s="59"/>
      <c r="J45" s="375" t="s">
        <v>126</v>
      </c>
      <c r="K45" s="381"/>
      <c r="L45" s="382"/>
      <c r="M45" s="382"/>
      <c r="N45" s="540"/>
      <c r="O45" s="547"/>
      <c r="P45" s="375" t="s">
        <v>126</v>
      </c>
    </row>
    <row r="46" spans="2:17" ht="15.75" customHeight="1">
      <c r="B46" s="333" t="s">
        <v>23</v>
      </c>
      <c r="C46" s="342">
        <f t="shared" si="2"/>
        <v>87.984246841914867</v>
      </c>
      <c r="D46" s="325">
        <f t="shared" si="4"/>
        <v>3.4824072008587068</v>
      </c>
      <c r="E46" s="325">
        <f t="shared" si="4"/>
        <v>7.0667183738826616</v>
      </c>
      <c r="F46" s="325">
        <f t="shared" si="4"/>
        <v>1.466627583343771</v>
      </c>
      <c r="G46" s="343" t="s">
        <v>23</v>
      </c>
      <c r="H46" s="59"/>
      <c r="J46" s="333" t="s">
        <v>23</v>
      </c>
      <c r="K46" s="342">
        <f>[1]cars!AK45</f>
        <v>636.78132715190259</v>
      </c>
      <c r="L46" s="325">
        <f>[1]bus_coach!AK45</f>
        <v>25.203737698982472</v>
      </c>
      <c r="M46" s="325">
        <f>[1]rail_pkm!AK45</f>
        <v>51.145000000000003</v>
      </c>
      <c r="N46" s="325">
        <f>'[1]tram and metro'!AK45</f>
        <v>10.614639466508711</v>
      </c>
      <c r="O46" s="550">
        <f t="shared" si="1"/>
        <v>723.74470431739371</v>
      </c>
      <c r="P46" s="333" t="s">
        <v>23</v>
      </c>
      <c r="Q46" s="164"/>
    </row>
    <row r="47" spans="2:17" ht="12" customHeight="1">
      <c r="B47" s="25" t="s">
        <v>110</v>
      </c>
      <c r="C47" s="155"/>
      <c r="D47" s="156"/>
      <c r="E47" s="156"/>
      <c r="F47" s="156"/>
      <c r="G47" s="386"/>
    </row>
    <row r="48" spans="2:17" ht="45">
      <c r="B48" s="585" t="s">
        <v>164</v>
      </c>
      <c r="C48" s="585"/>
      <c r="D48" s="585"/>
      <c r="E48" s="585"/>
      <c r="F48" s="585"/>
      <c r="K48" s="153" t="s">
        <v>40</v>
      </c>
      <c r="L48" s="372" t="s">
        <v>2</v>
      </c>
      <c r="M48" s="372" t="s">
        <v>42</v>
      </c>
      <c r="N48" s="154" t="s">
        <v>0</v>
      </c>
      <c r="O48" s="154" t="s">
        <v>120</v>
      </c>
      <c r="P48" s="179" t="s">
        <v>45</v>
      </c>
    </row>
    <row r="49" spans="2:17">
      <c r="B49" s="60" t="s">
        <v>94</v>
      </c>
      <c r="C49" s="387">
        <f>K50</f>
        <v>80.622910485158243</v>
      </c>
      <c r="D49" s="387">
        <f>L50</f>
        <v>7.9886461861444742</v>
      </c>
      <c r="E49" s="387">
        <f>M50</f>
        <v>7.8735869034537567</v>
      </c>
      <c r="F49" s="387">
        <f>N50</f>
        <v>1.3600115569747016</v>
      </c>
      <c r="G49" s="60" t="s">
        <v>94</v>
      </c>
      <c r="J49" s="141" t="s">
        <v>94</v>
      </c>
      <c r="K49" s="559">
        <f>[1]cars!AK6</f>
        <v>4099.554984962293</v>
      </c>
      <c r="L49" s="560">
        <f>[1]bus_coach!AK6</f>
        <v>406.21076687050976</v>
      </c>
      <c r="M49" s="560">
        <f>[1]rail_pkm!AK6</f>
        <v>400.36017362000007</v>
      </c>
      <c r="N49" s="561">
        <f>'[1]tram and metro'!AK6</f>
        <v>69.154563193651299</v>
      </c>
      <c r="O49" s="562">
        <v>109.57065390436578</v>
      </c>
      <c r="P49" s="561">
        <f>SUM(K49:O49)</f>
        <v>5084.8511425508195</v>
      </c>
      <c r="Q49" s="141" t="s">
        <v>94</v>
      </c>
    </row>
    <row r="50" spans="2:17">
      <c r="B50" s="25" t="s">
        <v>74</v>
      </c>
      <c r="J50" s="563" t="s">
        <v>37</v>
      </c>
      <c r="K50" s="559">
        <f>K49/$P$49*100</f>
        <v>80.622910485158243</v>
      </c>
      <c r="L50" s="557">
        <f t="shared" ref="L50:P50" si="5">L49/$P$49*100</f>
        <v>7.9886461861444742</v>
      </c>
      <c r="M50" s="557">
        <f t="shared" si="5"/>
        <v>7.8735869034537567</v>
      </c>
      <c r="N50" s="557">
        <f t="shared" si="5"/>
        <v>1.3600115569747016</v>
      </c>
      <c r="O50" s="558">
        <f t="shared" si="5"/>
        <v>2.1548448682688393</v>
      </c>
      <c r="P50" s="558">
        <f t="shared" si="5"/>
        <v>100</v>
      </c>
    </row>
    <row r="52" spans="2:17">
      <c r="C52" s="59"/>
    </row>
  </sheetData>
  <mergeCells count="5">
    <mergeCell ref="B2:G3"/>
    <mergeCell ref="B4:G4"/>
    <mergeCell ref="B5:F5"/>
    <mergeCell ref="K5:O5"/>
    <mergeCell ref="B48:F48"/>
  </mergeCells>
  <phoneticPr fontId="1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dimension ref="A1:AM55"/>
  <sheetViews>
    <sheetView topLeftCell="AA1" zoomScaleNormal="100" workbookViewId="0">
      <selection activeCell="AO28" sqref="AO28"/>
    </sheetView>
  </sheetViews>
  <sheetFormatPr defaultRowHeight="11.25"/>
  <cols>
    <col min="1" max="1" width="2.7109375" style="71" customWidth="1"/>
    <col min="2" max="2" width="5" style="70" customWidth="1"/>
    <col min="3" max="4" width="7.7109375" style="70" customWidth="1"/>
    <col min="5" max="5" width="6.7109375" style="70" customWidth="1"/>
    <col min="6" max="9" width="7.7109375" style="70" customWidth="1"/>
    <col min="10" max="10" width="7.140625" style="70" customWidth="1"/>
    <col min="11" max="11" width="8.140625" style="70" customWidth="1"/>
    <col min="12" max="14" width="7.7109375" style="70" customWidth="1"/>
    <col min="15" max="15" width="6.7109375" style="70" customWidth="1"/>
    <col min="16" max="19" width="7.7109375" style="70" customWidth="1"/>
    <col min="20" max="20" width="9" style="70" customWidth="1"/>
    <col min="21" max="21" width="8.7109375" style="70" customWidth="1"/>
    <col min="22" max="36" width="7.7109375" style="70" customWidth="1"/>
    <col min="37" max="37" width="6.28515625" style="70" customWidth="1"/>
    <col min="38" max="38" width="7.28515625" style="70" customWidth="1"/>
    <col min="39" max="39" width="4.5703125" style="70" customWidth="1"/>
    <col min="40" max="16384" width="9.140625" style="70"/>
  </cols>
  <sheetData>
    <row r="1" spans="1:39" ht="14.25" customHeight="1">
      <c r="B1" s="388"/>
      <c r="C1" s="389"/>
      <c r="D1" s="389"/>
      <c r="E1" s="389"/>
      <c r="F1" s="389"/>
      <c r="G1" s="389"/>
      <c r="H1" s="389"/>
      <c r="I1" s="389"/>
      <c r="J1" s="389"/>
      <c r="K1" s="389"/>
      <c r="L1" s="389"/>
      <c r="M1" s="389"/>
      <c r="N1" s="389"/>
      <c r="O1" s="389"/>
      <c r="P1" s="389"/>
      <c r="Q1" s="390"/>
      <c r="T1" s="391"/>
      <c r="U1" s="391"/>
      <c r="V1" s="391"/>
      <c r="W1" s="391"/>
      <c r="X1" s="391"/>
      <c r="Y1" s="391"/>
      <c r="Z1" s="391"/>
      <c r="AA1" s="391"/>
      <c r="AB1" s="391"/>
      <c r="AC1" s="391"/>
      <c r="AD1" s="391"/>
      <c r="AE1" s="391"/>
      <c r="AF1" s="391"/>
      <c r="AG1" s="391"/>
      <c r="AH1" s="391"/>
      <c r="AI1" s="391"/>
      <c r="AJ1" s="391"/>
      <c r="AK1" s="391"/>
      <c r="AM1" s="391" t="s">
        <v>64</v>
      </c>
    </row>
    <row r="2" spans="1:39" s="73" customFormat="1" ht="30" customHeight="1">
      <c r="A2" s="98"/>
      <c r="B2" s="586" t="s">
        <v>99</v>
      </c>
      <c r="C2" s="586"/>
      <c r="D2" s="586"/>
      <c r="E2" s="586"/>
      <c r="F2" s="586"/>
      <c r="G2" s="586"/>
      <c r="H2" s="586"/>
      <c r="I2" s="586"/>
      <c r="J2" s="586"/>
      <c r="K2" s="586"/>
      <c r="L2" s="586"/>
      <c r="M2" s="586"/>
      <c r="N2" s="586"/>
      <c r="O2" s="586"/>
      <c r="P2" s="586"/>
      <c r="Q2" s="586"/>
      <c r="R2" s="586"/>
      <c r="S2" s="586"/>
      <c r="T2" s="586"/>
      <c r="U2" s="586"/>
      <c r="V2" s="586"/>
      <c r="W2" s="586"/>
      <c r="X2" s="586"/>
      <c r="Y2" s="586"/>
      <c r="Z2" s="586"/>
      <c r="AA2" s="586"/>
      <c r="AB2" s="586"/>
      <c r="AC2" s="586"/>
      <c r="AD2" s="586"/>
      <c r="AE2" s="586"/>
      <c r="AF2" s="586"/>
      <c r="AG2" s="586"/>
      <c r="AH2" s="586"/>
      <c r="AI2" s="586"/>
      <c r="AJ2" s="586"/>
      <c r="AK2" s="586"/>
      <c r="AL2" s="586"/>
      <c r="AM2" s="586"/>
    </row>
    <row r="3" spans="1:39" ht="12" customHeight="1">
      <c r="C3" s="392"/>
      <c r="D3" s="392"/>
      <c r="E3" s="392"/>
      <c r="F3" s="392"/>
      <c r="G3" s="392"/>
      <c r="H3" s="392"/>
      <c r="I3" s="392"/>
      <c r="J3" s="392"/>
      <c r="K3" s="393"/>
      <c r="L3" s="393"/>
      <c r="M3" s="393"/>
      <c r="N3" s="393"/>
      <c r="O3" s="393"/>
      <c r="P3" s="393"/>
      <c r="Q3" s="393"/>
      <c r="R3" s="393"/>
      <c r="S3" s="393"/>
      <c r="T3" s="393"/>
      <c r="U3" s="393"/>
      <c r="V3" s="393"/>
      <c r="W3" s="393"/>
      <c r="X3" s="393"/>
      <c r="Y3" s="393"/>
      <c r="Z3" s="393"/>
      <c r="AA3" s="393"/>
      <c r="AB3" s="393"/>
      <c r="AC3" s="393"/>
      <c r="AD3" s="393"/>
      <c r="AF3" s="392"/>
      <c r="AH3" s="477"/>
      <c r="AI3" s="477"/>
      <c r="AJ3" s="477"/>
      <c r="AK3" s="477" t="s">
        <v>78</v>
      </c>
      <c r="AL3" s="97"/>
    </row>
    <row r="4" spans="1:39" ht="20.100000000000001" customHeight="1">
      <c r="B4" s="256"/>
      <c r="C4" s="235">
        <v>1970</v>
      </c>
      <c r="D4" s="235">
        <v>1980</v>
      </c>
      <c r="E4" s="236">
        <v>1990</v>
      </c>
      <c r="F4" s="236">
        <v>1991</v>
      </c>
      <c r="G4" s="236">
        <v>1992</v>
      </c>
      <c r="H4" s="236">
        <v>1993</v>
      </c>
      <c r="I4" s="236">
        <v>1994</v>
      </c>
      <c r="J4" s="236">
        <v>1995</v>
      </c>
      <c r="K4" s="236">
        <v>1996</v>
      </c>
      <c r="L4" s="236">
        <v>1997</v>
      </c>
      <c r="M4" s="236">
        <v>1998</v>
      </c>
      <c r="N4" s="236">
        <v>1999</v>
      </c>
      <c r="O4" s="236">
        <v>2000</v>
      </c>
      <c r="P4" s="236">
        <v>2001</v>
      </c>
      <c r="Q4" s="236">
        <v>2002</v>
      </c>
      <c r="R4" s="236">
        <v>2003</v>
      </c>
      <c r="S4" s="236">
        <v>2004</v>
      </c>
      <c r="T4" s="236">
        <v>2005</v>
      </c>
      <c r="U4" s="236">
        <v>2006</v>
      </c>
      <c r="V4" s="236">
        <v>2007</v>
      </c>
      <c r="W4" s="236">
        <v>2008</v>
      </c>
      <c r="X4" s="236">
        <v>2009</v>
      </c>
      <c r="Y4" s="236">
        <v>2010</v>
      </c>
      <c r="Z4" s="236">
        <v>2011</v>
      </c>
      <c r="AA4" s="236">
        <v>2012</v>
      </c>
      <c r="AB4" s="236">
        <v>2013</v>
      </c>
      <c r="AC4" s="236">
        <v>2014</v>
      </c>
      <c r="AD4" s="236">
        <v>2015</v>
      </c>
      <c r="AE4" s="236">
        <v>2016</v>
      </c>
      <c r="AF4" s="236">
        <v>2017</v>
      </c>
      <c r="AG4" s="236">
        <v>2018</v>
      </c>
      <c r="AH4" s="236">
        <v>2019</v>
      </c>
      <c r="AI4" s="236">
        <v>2020</v>
      </c>
      <c r="AJ4" s="236">
        <v>2021</v>
      </c>
      <c r="AK4" s="236">
        <v>2022</v>
      </c>
      <c r="AL4" s="324" t="s">
        <v>138</v>
      </c>
      <c r="AM4" s="69"/>
    </row>
    <row r="5" spans="1:39" ht="9.9499999999999993" customHeight="1">
      <c r="B5" s="394"/>
      <c r="C5" s="237"/>
      <c r="D5" s="237"/>
      <c r="E5" s="238"/>
      <c r="F5" s="238"/>
      <c r="G5" s="238"/>
      <c r="H5" s="238"/>
      <c r="I5" s="238"/>
      <c r="J5" s="238"/>
      <c r="K5" s="238"/>
      <c r="L5" s="238"/>
      <c r="M5" s="238"/>
      <c r="N5" s="238"/>
      <c r="O5" s="238"/>
      <c r="P5" s="238"/>
      <c r="Q5" s="238"/>
      <c r="R5" s="238"/>
      <c r="S5" s="238"/>
      <c r="T5" s="238"/>
      <c r="U5" s="238"/>
      <c r="V5" s="238"/>
      <c r="W5" s="257"/>
      <c r="X5" s="257"/>
      <c r="Y5" s="257"/>
      <c r="Z5" s="257"/>
      <c r="AA5" s="257"/>
      <c r="AB5" s="257"/>
      <c r="AC5" s="257"/>
      <c r="AD5" s="257"/>
      <c r="AE5" s="257"/>
      <c r="AF5" s="257"/>
      <c r="AG5" s="257"/>
      <c r="AH5" s="257"/>
      <c r="AI5" s="257"/>
      <c r="AJ5" s="257"/>
      <c r="AK5" s="257"/>
      <c r="AL5" s="239" t="s">
        <v>37</v>
      </c>
      <c r="AM5" s="69"/>
    </row>
    <row r="6" spans="1:39" ht="12.75" customHeight="1">
      <c r="B6" s="141" t="s">
        <v>94</v>
      </c>
      <c r="C6" s="146"/>
      <c r="D6" s="146"/>
      <c r="E6" s="146"/>
      <c r="F6" s="226"/>
      <c r="G6" s="226"/>
      <c r="H6" s="226"/>
      <c r="I6" s="226"/>
      <c r="J6" s="230">
        <f>SUM(J7:J33)</f>
        <v>3283.7635352382986</v>
      </c>
      <c r="K6" s="230">
        <f t="shared" ref="K6:AH6" si="0">SUM(K7:K33)</f>
        <v>3343.4005296782343</v>
      </c>
      <c r="L6" s="230">
        <f t="shared" si="0"/>
        <v>3412.1993932868522</v>
      </c>
      <c r="M6" s="230">
        <f t="shared" si="0"/>
        <v>3507.1338683711424</v>
      </c>
      <c r="N6" s="230">
        <f t="shared" si="0"/>
        <v>3610.5575238836655</v>
      </c>
      <c r="O6" s="230">
        <f t="shared" si="0"/>
        <v>3660.3550623140204</v>
      </c>
      <c r="P6" s="230">
        <f t="shared" si="0"/>
        <v>3734.2157647230588</v>
      </c>
      <c r="Q6" s="230">
        <f t="shared" si="0"/>
        <v>3789.3050249260709</v>
      </c>
      <c r="R6" s="230">
        <f t="shared" si="0"/>
        <v>3826.1956189610128</v>
      </c>
      <c r="S6" s="230">
        <f t="shared" si="0"/>
        <v>3878.1627438382161</v>
      </c>
      <c r="T6" s="230">
        <f t="shared" si="0"/>
        <v>3839.1794808863438</v>
      </c>
      <c r="U6" s="230">
        <f t="shared" si="0"/>
        <v>3875.2614469870077</v>
      </c>
      <c r="V6" s="230">
        <f t="shared" si="0"/>
        <v>3921.2560941458078</v>
      </c>
      <c r="W6" s="230">
        <f t="shared" si="0"/>
        <v>3931.6239841889396</v>
      </c>
      <c r="X6" s="230">
        <f t="shared" si="0"/>
        <v>4009.2120907480175</v>
      </c>
      <c r="Y6" s="230">
        <f>SUM(Y7:Y33)</f>
        <v>3975.8509514257871</v>
      </c>
      <c r="Z6" s="230">
        <f t="shared" si="0"/>
        <v>3943.6434280371873</v>
      </c>
      <c r="AA6" s="230">
        <f t="shared" si="0"/>
        <v>3904.5431623219174</v>
      </c>
      <c r="AB6" s="230">
        <f t="shared" si="0"/>
        <v>3964.794984671576</v>
      </c>
      <c r="AC6" s="230">
        <f t="shared" si="0"/>
        <v>4020.2617494762826</v>
      </c>
      <c r="AD6" s="230">
        <f t="shared" si="0"/>
        <v>4110.5450140439361</v>
      </c>
      <c r="AE6" s="230">
        <f t="shared" si="0"/>
        <v>4196.3094899484604</v>
      </c>
      <c r="AF6" s="230">
        <f t="shared" si="0"/>
        <v>4241.3906708796221</v>
      </c>
      <c r="AG6" s="230">
        <f t="shared" si="0"/>
        <v>4261.3048415568574</v>
      </c>
      <c r="AH6" s="230">
        <f t="shared" si="0"/>
        <v>4298.8288425831834</v>
      </c>
      <c r="AI6" s="230">
        <f>SUM(AI7:AI33)</f>
        <v>3488.2937156764365</v>
      </c>
      <c r="AJ6" s="230">
        <f>SUM(AJ7:AJ33)</f>
        <v>3869.2630868714714</v>
      </c>
      <c r="AK6" s="231">
        <f>SUM(AK7:AK33)</f>
        <v>4099.554984962293</v>
      </c>
      <c r="AL6" s="166">
        <f>AK6/AJ6*100-100</f>
        <v>5.951828369391805</v>
      </c>
      <c r="AM6" s="141" t="s">
        <v>94</v>
      </c>
    </row>
    <row r="7" spans="1:39" ht="12.75" customHeight="1">
      <c r="A7" s="76"/>
      <c r="B7" s="258" t="s">
        <v>24</v>
      </c>
      <c r="C7" s="92">
        <v>41.106999999999999</v>
      </c>
      <c r="D7" s="92">
        <v>64.576999999999998</v>
      </c>
      <c r="E7" s="77">
        <v>89.486568154942205</v>
      </c>
      <c r="F7" s="77">
        <v>93.170725494158987</v>
      </c>
      <c r="G7" s="77">
        <v>94.65159259661695</v>
      </c>
      <c r="H7" s="77">
        <v>95.159026932527695</v>
      </c>
      <c r="I7" s="77">
        <v>97.61982726007605</v>
      </c>
      <c r="J7" s="77">
        <v>96.41122844758948</v>
      </c>
      <c r="K7" s="77">
        <v>96.124700750612945</v>
      </c>
      <c r="L7" s="77">
        <v>97.950041818024587</v>
      </c>
      <c r="M7" s="77">
        <v>100.14564232032866</v>
      </c>
      <c r="N7" s="77">
        <v>102.03922550781316</v>
      </c>
      <c r="O7" s="77">
        <v>102.54438530389039</v>
      </c>
      <c r="P7" s="77">
        <v>103.44056228671244</v>
      </c>
      <c r="Q7" s="77">
        <v>104.84343859901594</v>
      </c>
      <c r="R7" s="77">
        <v>102.49487951863394</v>
      </c>
      <c r="S7" s="77">
        <v>103.03402541013166</v>
      </c>
      <c r="T7" s="77">
        <v>102.80426446068903</v>
      </c>
      <c r="U7" s="77">
        <v>102.65959801049536</v>
      </c>
      <c r="V7" s="77">
        <v>104.57039703409255</v>
      </c>
      <c r="W7" s="77">
        <v>107.94287032877924</v>
      </c>
      <c r="X7" s="77">
        <v>108.07377743339944</v>
      </c>
      <c r="Y7" s="77">
        <v>109.38776021905481</v>
      </c>
      <c r="Z7" s="77">
        <v>109.96953280096133</v>
      </c>
      <c r="AA7" s="77">
        <v>110.14105828193429</v>
      </c>
      <c r="AB7" s="145">
        <v>105.293135637308</v>
      </c>
      <c r="AC7" s="77">
        <v>108.11064251165099</v>
      </c>
      <c r="AD7" s="77">
        <v>107.001968595549</v>
      </c>
      <c r="AE7" s="77">
        <v>106.13976370089</v>
      </c>
      <c r="AF7" s="77">
        <v>106.94</v>
      </c>
      <c r="AG7" s="77">
        <v>107.31994254833911</v>
      </c>
      <c r="AH7" s="217">
        <v>107.44465259541536</v>
      </c>
      <c r="AI7" s="217">
        <v>91.438818388364325</v>
      </c>
      <c r="AJ7" s="334">
        <v>96.74805177866115</v>
      </c>
      <c r="AK7" s="334">
        <v>100.82829149708756</v>
      </c>
      <c r="AL7" s="286">
        <f t="shared" ref="AL7:AL45" si="1">AK7/AJ7*100-100</f>
        <v>4.2173869586140427</v>
      </c>
      <c r="AM7" s="258" t="s">
        <v>24</v>
      </c>
    </row>
    <row r="8" spans="1:39" ht="12.75" customHeight="1">
      <c r="A8" s="76"/>
      <c r="B8" s="88" t="s">
        <v>7</v>
      </c>
      <c r="C8" s="90" t="s">
        <v>36</v>
      </c>
      <c r="D8" s="90" t="s">
        <v>36</v>
      </c>
      <c r="E8" s="259"/>
      <c r="F8" s="259"/>
      <c r="G8" s="259"/>
      <c r="H8" s="259"/>
      <c r="I8" s="259"/>
      <c r="J8" s="260">
        <v>25</v>
      </c>
      <c r="K8" s="260">
        <v>24.5</v>
      </c>
      <c r="L8" s="260">
        <v>23.9</v>
      </c>
      <c r="M8" s="260">
        <v>24.6</v>
      </c>
      <c r="N8" s="260">
        <v>25.4</v>
      </c>
      <c r="O8" s="260">
        <v>26.9</v>
      </c>
      <c r="P8" s="260">
        <v>27.9</v>
      </c>
      <c r="Q8" s="260">
        <v>29.3</v>
      </c>
      <c r="R8" s="260">
        <v>30.7</v>
      </c>
      <c r="S8" s="260">
        <v>32.799999999999997</v>
      </c>
      <c r="T8" s="260">
        <v>35.1</v>
      </c>
      <c r="U8" s="260">
        <v>37.6</v>
      </c>
      <c r="V8" s="260">
        <v>40.4</v>
      </c>
      <c r="W8" s="260">
        <v>43.2</v>
      </c>
      <c r="X8" s="260">
        <v>46.3</v>
      </c>
      <c r="Y8" s="260">
        <v>46.9</v>
      </c>
      <c r="Z8" s="260">
        <v>48.068037489384793</v>
      </c>
      <c r="AA8" s="260">
        <v>49.702936925862396</v>
      </c>
      <c r="AB8" s="260">
        <v>51.364114011617502</v>
      </c>
      <c r="AC8" s="260">
        <v>53.956822763753138</v>
      </c>
      <c r="AD8" s="260">
        <v>56.846089338036968</v>
      </c>
      <c r="AE8" s="260">
        <v>56.62772543455219</v>
      </c>
      <c r="AF8" s="260">
        <v>57.673404969351786</v>
      </c>
      <c r="AG8" s="260">
        <v>57.248256975896965</v>
      </c>
      <c r="AH8" s="260">
        <v>58.133106172243998</v>
      </c>
      <c r="AI8" s="260">
        <v>50.122043335689135</v>
      </c>
      <c r="AJ8" s="395">
        <v>52.013458397091995</v>
      </c>
      <c r="AK8" s="395">
        <v>55.294529846836824</v>
      </c>
      <c r="AL8" s="167">
        <f t="shared" si="1"/>
        <v>6.3081201497808337</v>
      </c>
      <c r="AM8" s="88" t="s">
        <v>7</v>
      </c>
    </row>
    <row r="9" spans="1:39" ht="12.75" customHeight="1">
      <c r="A9" s="76"/>
      <c r="B9" s="258" t="s">
        <v>9</v>
      </c>
      <c r="C9" s="261"/>
      <c r="D9" s="261"/>
      <c r="E9" s="262"/>
      <c r="F9" s="263"/>
      <c r="G9" s="263"/>
      <c r="H9" s="263">
        <v>49</v>
      </c>
      <c r="I9" s="263">
        <v>51.7</v>
      </c>
      <c r="J9" s="263">
        <v>54.5</v>
      </c>
      <c r="K9" s="263">
        <v>57.9</v>
      </c>
      <c r="L9" s="263">
        <v>59</v>
      </c>
      <c r="M9" s="264">
        <v>59.725999999999999</v>
      </c>
      <c r="N9" s="263">
        <v>62.38</v>
      </c>
      <c r="O9" s="263">
        <v>63.94</v>
      </c>
      <c r="P9" s="263">
        <v>63.47</v>
      </c>
      <c r="Q9" s="263">
        <v>65.290000000000006</v>
      </c>
      <c r="R9" s="263">
        <v>67.36</v>
      </c>
      <c r="S9" s="263">
        <v>67.569999999999993</v>
      </c>
      <c r="T9" s="263">
        <v>68.64</v>
      </c>
      <c r="U9" s="263">
        <v>69.63</v>
      </c>
      <c r="V9" s="263">
        <v>71.540000000000006</v>
      </c>
      <c r="W9" s="263">
        <v>72.38</v>
      </c>
      <c r="X9" s="265">
        <v>72.290000000000006</v>
      </c>
      <c r="Y9" s="96">
        <v>63.57</v>
      </c>
      <c r="Z9" s="265">
        <v>65.489999999999995</v>
      </c>
      <c r="AA9" s="265">
        <v>64.62</v>
      </c>
      <c r="AB9" s="265">
        <v>64.650000000000006</v>
      </c>
      <c r="AC9" s="265">
        <v>66.260000000000005</v>
      </c>
      <c r="AD9" s="265">
        <v>69.704999999999998</v>
      </c>
      <c r="AE9" s="265">
        <v>72.254999999999995</v>
      </c>
      <c r="AF9" s="265">
        <v>74.326999999999998</v>
      </c>
      <c r="AG9" s="265">
        <v>77.971000000000004</v>
      </c>
      <c r="AH9" s="265">
        <v>81.179000000000002</v>
      </c>
      <c r="AI9" s="265">
        <v>68.936000000000007</v>
      </c>
      <c r="AJ9" s="396">
        <v>87.933000000000007</v>
      </c>
      <c r="AK9" s="396">
        <v>91.245000000000005</v>
      </c>
      <c r="AL9" s="286">
        <f t="shared" si="1"/>
        <v>3.7665040428507979</v>
      </c>
      <c r="AM9" s="258" t="s">
        <v>9</v>
      </c>
    </row>
    <row r="10" spans="1:39" ht="12.75" customHeight="1">
      <c r="A10" s="76"/>
      <c r="B10" s="88" t="s">
        <v>20</v>
      </c>
      <c r="C10" s="90">
        <v>33.299999999999997</v>
      </c>
      <c r="D10" s="90">
        <v>38.484999999999999</v>
      </c>
      <c r="E10" s="266">
        <v>47.191000000000003</v>
      </c>
      <c r="F10" s="266">
        <v>47.865000000000002</v>
      </c>
      <c r="G10" s="266">
        <v>48.125999999999998</v>
      </c>
      <c r="H10" s="266">
        <v>47.621000000000002</v>
      </c>
      <c r="I10" s="266">
        <v>47.77</v>
      </c>
      <c r="J10" s="266">
        <v>48.389000000000003</v>
      </c>
      <c r="K10" s="266">
        <v>49.042000000000002</v>
      </c>
      <c r="L10" s="266">
        <v>49.91</v>
      </c>
      <c r="M10" s="266">
        <v>50.328000000000003</v>
      </c>
      <c r="N10" s="266">
        <v>51.307000000000002</v>
      </c>
      <c r="O10" s="266">
        <v>50.615000000000002</v>
      </c>
      <c r="P10" s="266">
        <v>49.62</v>
      </c>
      <c r="Q10" s="266">
        <v>49.454000000000001</v>
      </c>
      <c r="R10" s="266">
        <v>49.695</v>
      </c>
      <c r="S10" s="266">
        <v>50.557000000000002</v>
      </c>
      <c r="T10" s="266">
        <v>49.758000000000003</v>
      </c>
      <c r="U10" s="266">
        <v>49.648000000000003</v>
      </c>
      <c r="V10" s="266">
        <v>50.732999999999997</v>
      </c>
      <c r="W10" s="266">
        <v>51.459000000000003</v>
      </c>
      <c r="X10" s="266">
        <v>51.884</v>
      </c>
      <c r="Y10" s="266">
        <v>51.691000000000003</v>
      </c>
      <c r="Z10" s="266">
        <v>52.957000000000001</v>
      </c>
      <c r="AA10" s="266">
        <v>52.664999999999999</v>
      </c>
      <c r="AB10" s="266">
        <v>52.904000000000003</v>
      </c>
      <c r="AC10" s="266">
        <v>54.402000000000001</v>
      </c>
      <c r="AD10" s="266">
        <v>56.844000000000001</v>
      </c>
      <c r="AE10" s="266">
        <v>59.040999999999997</v>
      </c>
      <c r="AF10" s="266">
        <v>60.045999999999999</v>
      </c>
      <c r="AG10" s="266">
        <v>61.213000000000001</v>
      </c>
      <c r="AH10" s="266">
        <v>62.723999999999997</v>
      </c>
      <c r="AI10" s="266">
        <v>57.814</v>
      </c>
      <c r="AJ10" s="397">
        <v>59.926000000000002</v>
      </c>
      <c r="AK10" s="397">
        <v>61.143000000000001</v>
      </c>
      <c r="AL10" s="167">
        <f t="shared" si="1"/>
        <v>2.0308380335747387</v>
      </c>
      <c r="AM10" s="88" t="s">
        <v>20</v>
      </c>
    </row>
    <row r="11" spans="1:39" ht="12.75" customHeight="1">
      <c r="A11" s="76"/>
      <c r="B11" s="258" t="s">
        <v>25</v>
      </c>
      <c r="C11" s="92">
        <v>394.6</v>
      </c>
      <c r="D11" s="92">
        <v>513.70000000000005</v>
      </c>
      <c r="E11" s="263">
        <v>683.1</v>
      </c>
      <c r="F11" s="263">
        <v>700</v>
      </c>
      <c r="G11" s="263">
        <v>719.5</v>
      </c>
      <c r="H11" s="163">
        <v>729.8</v>
      </c>
      <c r="I11" s="263">
        <v>807.02190250460717</v>
      </c>
      <c r="J11" s="263">
        <v>815.29762943489879</v>
      </c>
      <c r="K11" s="263">
        <v>816.07238295987293</v>
      </c>
      <c r="L11" s="263">
        <v>817.07066702101861</v>
      </c>
      <c r="M11" s="263">
        <v>828.06880234826895</v>
      </c>
      <c r="N11" s="263">
        <v>848.42000426863945</v>
      </c>
      <c r="O11" s="263">
        <v>831.26654484178448</v>
      </c>
      <c r="P11" s="263">
        <v>852.62943876994984</v>
      </c>
      <c r="Q11" s="263">
        <v>862.98699999999997</v>
      </c>
      <c r="R11" s="263">
        <v>857.73599999999999</v>
      </c>
      <c r="S11" s="263">
        <v>868.65</v>
      </c>
      <c r="T11" s="263">
        <v>856.875</v>
      </c>
      <c r="U11" s="263">
        <v>863.32799999999997</v>
      </c>
      <c r="V11" s="263">
        <v>866.53100000000006</v>
      </c>
      <c r="W11" s="263">
        <v>871.32799999999997</v>
      </c>
      <c r="X11" s="263">
        <v>881.1</v>
      </c>
      <c r="Y11" s="263">
        <v>887</v>
      </c>
      <c r="Z11" s="263">
        <v>894.4</v>
      </c>
      <c r="AA11" s="263">
        <v>896.3</v>
      </c>
      <c r="AB11" s="263">
        <v>903.1</v>
      </c>
      <c r="AC11" s="263">
        <v>916.4</v>
      </c>
      <c r="AD11" s="263">
        <v>927</v>
      </c>
      <c r="AE11" s="163">
        <v>946.3</v>
      </c>
      <c r="AF11" s="263">
        <v>897.7</v>
      </c>
      <c r="AG11" s="263">
        <v>898.6</v>
      </c>
      <c r="AH11" s="263">
        <v>902.6</v>
      </c>
      <c r="AI11" s="263">
        <v>785.4</v>
      </c>
      <c r="AJ11" s="295">
        <v>822.9</v>
      </c>
      <c r="AK11" s="295">
        <v>848.6</v>
      </c>
      <c r="AL11" s="286">
        <f t="shared" si="1"/>
        <v>3.1231012273666323</v>
      </c>
      <c r="AM11" s="258" t="s">
        <v>25</v>
      </c>
    </row>
    <row r="12" spans="1:39" ht="12.75" customHeight="1">
      <c r="A12" s="76"/>
      <c r="B12" s="88" t="s">
        <v>10</v>
      </c>
      <c r="C12" s="90" t="s">
        <v>36</v>
      </c>
      <c r="D12" s="90" t="s">
        <v>36</v>
      </c>
      <c r="E12" s="259" t="s">
        <v>36</v>
      </c>
      <c r="F12" s="259" t="s">
        <v>36</v>
      </c>
      <c r="G12" s="259" t="s">
        <v>36</v>
      </c>
      <c r="H12" s="259" t="s">
        <v>36</v>
      </c>
      <c r="I12" s="259" t="s">
        <v>36</v>
      </c>
      <c r="J12" s="260">
        <v>5.1434955000000002</v>
      </c>
      <c r="K12" s="260">
        <v>5.5</v>
      </c>
      <c r="L12" s="260">
        <v>5.8</v>
      </c>
      <c r="M12" s="260">
        <v>6.1924551000000001</v>
      </c>
      <c r="N12" s="260">
        <v>6.4</v>
      </c>
      <c r="O12" s="260">
        <v>6.6821156999999998</v>
      </c>
      <c r="P12" s="260">
        <v>6.8091529999999993</v>
      </c>
      <c r="Q12" s="260">
        <v>7.0596396000000006</v>
      </c>
      <c r="R12" s="260">
        <v>7.6633114999999998</v>
      </c>
      <c r="S12" s="259">
        <v>7.8129999999999997</v>
      </c>
      <c r="T12" s="259">
        <v>9.9290000000000003</v>
      </c>
      <c r="U12" s="259">
        <v>9.9459999999999997</v>
      </c>
      <c r="V12" s="260">
        <v>10</v>
      </c>
      <c r="W12" s="260">
        <v>10.5</v>
      </c>
      <c r="X12" s="260">
        <v>10.5</v>
      </c>
      <c r="Y12" s="260">
        <v>10.1</v>
      </c>
      <c r="Z12" s="260">
        <v>10.381082222547919</v>
      </c>
      <c r="AA12" s="260">
        <v>10.808595077153129</v>
      </c>
      <c r="AB12" s="260">
        <v>11.24613332249695</v>
      </c>
      <c r="AC12" s="260">
        <v>11.85200134241278</v>
      </c>
      <c r="AD12" s="260">
        <v>12.33194848698124</v>
      </c>
      <c r="AE12" s="260">
        <v>12.840848785603473</v>
      </c>
      <c r="AF12" s="260">
        <v>13.081243106323074</v>
      </c>
      <c r="AG12" s="260">
        <v>13.340182522661715</v>
      </c>
      <c r="AH12" s="260">
        <v>14.095500000000001</v>
      </c>
      <c r="AI12" s="260">
        <v>12.204694603133747</v>
      </c>
      <c r="AJ12" s="395">
        <v>13.101254870059071</v>
      </c>
      <c r="AK12" s="395">
        <v>13.993732436552277</v>
      </c>
      <c r="AL12" s="167">
        <f t="shared" si="1"/>
        <v>6.812153303977226</v>
      </c>
      <c r="AM12" s="88" t="s">
        <v>10</v>
      </c>
    </row>
    <row r="13" spans="1:39" ht="13.5" customHeight="1">
      <c r="A13" s="76"/>
      <c r="B13" s="258" t="s">
        <v>28</v>
      </c>
      <c r="C13" s="94">
        <v>10</v>
      </c>
      <c r="D13" s="94">
        <v>19</v>
      </c>
      <c r="E13" s="217">
        <v>28.507000000000001</v>
      </c>
      <c r="F13" s="217">
        <v>29.038</v>
      </c>
      <c r="G13" s="217">
        <v>29.52</v>
      </c>
      <c r="H13" s="217">
        <v>29.835999999999999</v>
      </c>
      <c r="I13" s="217">
        <v>30.56</v>
      </c>
      <c r="J13" s="217">
        <v>31.558</v>
      </c>
      <c r="K13" s="217">
        <v>32.799999999999997</v>
      </c>
      <c r="L13" s="217">
        <v>34.360999999999997</v>
      </c>
      <c r="M13" s="217">
        <v>35.756</v>
      </c>
      <c r="N13" s="217">
        <v>36.838000000000001</v>
      </c>
      <c r="O13" s="217">
        <v>34.607999999999997</v>
      </c>
      <c r="P13" s="217">
        <v>36.459000000000003</v>
      </c>
      <c r="Q13" s="217">
        <v>37.787999999999997</v>
      </c>
      <c r="R13" s="217">
        <v>39.9495</v>
      </c>
      <c r="S13" s="217">
        <v>42.627000000000002</v>
      </c>
      <c r="T13" s="217">
        <v>44.378999999999998</v>
      </c>
      <c r="U13" s="217">
        <v>45.99</v>
      </c>
      <c r="V13" s="217">
        <v>47.959499999999998</v>
      </c>
      <c r="W13" s="217">
        <v>48.887999999999998</v>
      </c>
      <c r="X13" s="217">
        <v>48.857999999999997</v>
      </c>
      <c r="Y13" s="217">
        <v>48.082500000000003</v>
      </c>
      <c r="Z13" s="217">
        <v>47.457000000000001</v>
      </c>
      <c r="AA13" s="217">
        <v>46.613999999999997</v>
      </c>
      <c r="AB13" s="217">
        <v>48.046499999999995</v>
      </c>
      <c r="AC13" s="217">
        <v>47.185500000000005</v>
      </c>
      <c r="AD13" s="217">
        <v>51.913499999999999</v>
      </c>
      <c r="AE13" s="217">
        <v>55.033500000000004</v>
      </c>
      <c r="AF13" s="217">
        <v>56.548944072441628</v>
      </c>
      <c r="AG13" s="217">
        <v>57.163062450440485</v>
      </c>
      <c r="AH13" s="217">
        <v>58.722310702763217</v>
      </c>
      <c r="AI13" s="217">
        <v>50.841011273958081</v>
      </c>
      <c r="AJ13" s="334">
        <v>53.815487049137737</v>
      </c>
      <c r="AK13" s="334">
        <v>56.51457851996647</v>
      </c>
      <c r="AL13" s="286">
        <f t="shared" si="1"/>
        <v>5.0154548789352162</v>
      </c>
      <c r="AM13" s="258" t="s">
        <v>28</v>
      </c>
    </row>
    <row r="14" spans="1:39" ht="12.75" customHeight="1">
      <c r="A14" s="76"/>
      <c r="B14" s="88" t="s">
        <v>21</v>
      </c>
      <c r="C14" s="93">
        <v>4.5</v>
      </c>
      <c r="D14" s="93">
        <v>17.5</v>
      </c>
      <c r="E14" s="260">
        <v>35</v>
      </c>
      <c r="F14" s="260">
        <v>36</v>
      </c>
      <c r="G14" s="260">
        <v>37</v>
      </c>
      <c r="H14" s="260">
        <v>39</v>
      </c>
      <c r="I14" s="260">
        <v>42</v>
      </c>
      <c r="J14" s="260">
        <v>44</v>
      </c>
      <c r="K14" s="260">
        <v>47</v>
      </c>
      <c r="L14" s="260">
        <v>50</v>
      </c>
      <c r="M14" s="260">
        <v>53</v>
      </c>
      <c r="N14" s="260">
        <v>58</v>
      </c>
      <c r="O14" s="260">
        <v>63</v>
      </c>
      <c r="P14" s="260">
        <v>68</v>
      </c>
      <c r="Q14" s="260">
        <v>72</v>
      </c>
      <c r="R14" s="260">
        <v>76</v>
      </c>
      <c r="S14" s="260">
        <v>80</v>
      </c>
      <c r="T14" s="260">
        <v>85</v>
      </c>
      <c r="U14" s="260">
        <v>90</v>
      </c>
      <c r="V14" s="260">
        <v>95</v>
      </c>
      <c r="W14" s="260">
        <v>100</v>
      </c>
      <c r="X14" s="260">
        <v>101.3</v>
      </c>
      <c r="Y14" s="260">
        <v>99.6</v>
      </c>
      <c r="Z14" s="260">
        <v>98.322079941260128</v>
      </c>
      <c r="AA14" s="260">
        <v>96.934481527791093</v>
      </c>
      <c r="AB14" s="260">
        <v>95.811379215017098</v>
      </c>
      <c r="AC14" s="260">
        <v>96.870041465995087</v>
      </c>
      <c r="AD14" s="260">
        <v>98.275784515578437</v>
      </c>
      <c r="AE14" s="260">
        <v>99.922362971391891</v>
      </c>
      <c r="AF14" s="260">
        <v>101.87708750292296</v>
      </c>
      <c r="AG14" s="260">
        <v>103.3953545725447</v>
      </c>
      <c r="AH14" s="259">
        <v>105.30516484643624</v>
      </c>
      <c r="AI14" s="259">
        <v>91.046951931119651</v>
      </c>
      <c r="AJ14" s="398">
        <v>97.646142097489857</v>
      </c>
      <c r="AK14" s="398">
        <v>103.63425935803835</v>
      </c>
      <c r="AL14" s="167">
        <f t="shared" si="1"/>
        <v>6.1324668152992245</v>
      </c>
      <c r="AM14" s="88" t="s">
        <v>21</v>
      </c>
    </row>
    <row r="15" spans="1:39" s="291" customFormat="1" ht="12.75" customHeight="1">
      <c r="A15" s="290"/>
      <c r="B15" s="292" t="s">
        <v>26</v>
      </c>
      <c r="C15" s="293">
        <v>64.3</v>
      </c>
      <c r="D15" s="293">
        <v>130.9</v>
      </c>
      <c r="E15" s="294">
        <v>174.4</v>
      </c>
      <c r="F15" s="295">
        <v>207.542</v>
      </c>
      <c r="G15" s="296">
        <v>218.27</v>
      </c>
      <c r="H15" s="296">
        <v>229</v>
      </c>
      <c r="I15" s="296">
        <v>239.7</v>
      </c>
      <c r="J15" s="295">
        <v>250.374</v>
      </c>
      <c r="K15" s="296">
        <v>259</v>
      </c>
      <c r="L15" s="296">
        <v>267.60000000000002</v>
      </c>
      <c r="M15" s="295">
        <v>276.173</v>
      </c>
      <c r="N15" s="295">
        <v>293.54000000000002</v>
      </c>
      <c r="O15" s="295">
        <v>302.61099999999999</v>
      </c>
      <c r="P15" s="295">
        <v>307.95499999999998</v>
      </c>
      <c r="Q15" s="296">
        <v>315</v>
      </c>
      <c r="R15" s="295">
        <v>321.928</v>
      </c>
      <c r="S15" s="295">
        <v>330.19200000000001</v>
      </c>
      <c r="T15" s="295">
        <v>337.79700000000003</v>
      </c>
      <c r="U15" s="295">
        <v>340.93700000000001</v>
      </c>
      <c r="V15" s="295">
        <v>343.29300000000001</v>
      </c>
      <c r="W15" s="295">
        <v>342.61099999999999</v>
      </c>
      <c r="X15" s="295">
        <v>350.40100000000001</v>
      </c>
      <c r="Y15" s="295">
        <v>341.62900000000002</v>
      </c>
      <c r="Z15" s="295">
        <v>334.02100000000002</v>
      </c>
      <c r="AA15" s="295">
        <v>321.04500000000002</v>
      </c>
      <c r="AB15" s="295">
        <v>316.53899999999999</v>
      </c>
      <c r="AC15" s="297">
        <v>308.70400000000001</v>
      </c>
      <c r="AD15" s="297">
        <v>317.553</v>
      </c>
      <c r="AE15" s="297">
        <v>329.88</v>
      </c>
      <c r="AF15" s="295">
        <v>332.858</v>
      </c>
      <c r="AG15" s="295">
        <v>340.55599999999998</v>
      </c>
      <c r="AH15" s="295">
        <v>342.005</v>
      </c>
      <c r="AI15" s="295">
        <v>265.53800000000001</v>
      </c>
      <c r="AJ15" s="295">
        <v>318.71899999999999</v>
      </c>
      <c r="AK15" s="295">
        <v>343.19600000000003</v>
      </c>
      <c r="AL15" s="399">
        <f t="shared" si="1"/>
        <v>7.679805722282012</v>
      </c>
      <c r="AM15" s="292" t="s">
        <v>26</v>
      </c>
    </row>
    <row r="16" spans="1:39" ht="12.75" customHeight="1">
      <c r="A16" s="76"/>
      <c r="B16" s="88" t="s">
        <v>27</v>
      </c>
      <c r="C16" s="90">
        <v>304.7</v>
      </c>
      <c r="D16" s="90">
        <v>443.84071500000005</v>
      </c>
      <c r="E16" s="259">
        <v>592.46263657335749</v>
      </c>
      <c r="F16" s="259">
        <v>598.43515345785772</v>
      </c>
      <c r="G16" s="259">
        <v>614.23266634846095</v>
      </c>
      <c r="H16" s="259">
        <v>618.08598143580537</v>
      </c>
      <c r="I16" s="259">
        <v>628.64178379537589</v>
      </c>
      <c r="J16" s="259">
        <v>641.21749144146861</v>
      </c>
      <c r="K16" s="259">
        <v>643.95988995302332</v>
      </c>
      <c r="L16" s="259">
        <v>653.44400854606795</v>
      </c>
      <c r="M16" s="259">
        <v>672.20563618702647</v>
      </c>
      <c r="N16" s="259">
        <v>689.1919277863982</v>
      </c>
      <c r="O16" s="259">
        <v>687.73573412192502</v>
      </c>
      <c r="P16" s="259">
        <v>712.21725815796697</v>
      </c>
      <c r="Q16" s="259">
        <v>716.87948383462697</v>
      </c>
      <c r="R16" s="259">
        <v>718.29614938665156</v>
      </c>
      <c r="S16" s="259">
        <v>714.96623674957891</v>
      </c>
      <c r="T16" s="259">
        <v>704.61555371355587</v>
      </c>
      <c r="U16" s="259">
        <v>700.9141843686657</v>
      </c>
      <c r="V16" s="259">
        <v>705.34974950007359</v>
      </c>
      <c r="W16" s="259">
        <v>689.6663151892991</v>
      </c>
      <c r="X16" s="259">
        <v>690.13045232984962</v>
      </c>
      <c r="Y16" s="259">
        <v>695.87129702480968</v>
      </c>
      <c r="Z16" s="118">
        <v>695.89468592518222</v>
      </c>
      <c r="AA16" s="259">
        <v>755.37115520423674</v>
      </c>
      <c r="AB16" s="259">
        <v>761.11580370757997</v>
      </c>
      <c r="AC16" s="259">
        <v>771.69348456206262</v>
      </c>
      <c r="AD16" s="259">
        <v>782.25923893758113</v>
      </c>
      <c r="AE16" s="259">
        <v>794.72161187766346</v>
      </c>
      <c r="AF16" s="259">
        <v>802.1993218595095</v>
      </c>
      <c r="AG16" s="259">
        <v>800.79472059845352</v>
      </c>
      <c r="AH16" s="259">
        <v>796.81592675753075</v>
      </c>
      <c r="AI16" s="259">
        <v>629.84570702567703</v>
      </c>
      <c r="AJ16" s="398">
        <v>718.36779193435927</v>
      </c>
      <c r="AK16" s="398">
        <v>809.4</v>
      </c>
      <c r="AL16" s="167">
        <f t="shared" si="1"/>
        <v>12.672089295723694</v>
      </c>
      <c r="AM16" s="88" t="s">
        <v>27</v>
      </c>
    </row>
    <row r="17" spans="1:39" ht="12.75" customHeight="1">
      <c r="A17" s="76"/>
      <c r="B17" s="258" t="s">
        <v>39</v>
      </c>
      <c r="C17" s="92"/>
      <c r="D17" s="92"/>
      <c r="E17" s="263"/>
      <c r="F17" s="263"/>
      <c r="G17" s="263"/>
      <c r="H17" s="263"/>
      <c r="I17" s="263"/>
      <c r="J17" s="264">
        <v>12.5</v>
      </c>
      <c r="K17" s="264">
        <v>14.75</v>
      </c>
      <c r="L17" s="264">
        <v>16.5</v>
      </c>
      <c r="M17" s="264">
        <v>17.5</v>
      </c>
      <c r="N17" s="264">
        <v>19</v>
      </c>
      <c r="O17" s="264">
        <v>20</v>
      </c>
      <c r="P17" s="264">
        <v>21</v>
      </c>
      <c r="Q17" s="264">
        <v>22</v>
      </c>
      <c r="R17" s="264">
        <v>22.5</v>
      </c>
      <c r="S17" s="264">
        <v>23.5</v>
      </c>
      <c r="T17" s="264">
        <v>24</v>
      </c>
      <c r="U17" s="264">
        <v>25</v>
      </c>
      <c r="V17" s="264">
        <v>26</v>
      </c>
      <c r="W17" s="264">
        <v>27</v>
      </c>
      <c r="X17" s="264">
        <v>26.8</v>
      </c>
      <c r="Y17" s="264">
        <v>25.7</v>
      </c>
      <c r="Z17" s="263">
        <v>25.242000000000001</v>
      </c>
      <c r="AA17" s="263">
        <v>26.146999999999998</v>
      </c>
      <c r="AB17" s="263">
        <v>26.145</v>
      </c>
      <c r="AC17" s="263">
        <v>26.056999999999999</v>
      </c>
      <c r="AD17" s="263">
        <v>26.393000000000001</v>
      </c>
      <c r="AE17" s="263">
        <v>26.181000000000001</v>
      </c>
      <c r="AF17" s="263">
        <v>26.189</v>
      </c>
      <c r="AG17" s="263">
        <v>25.594000000000001</v>
      </c>
      <c r="AH17" s="263">
        <v>25.372</v>
      </c>
      <c r="AI17" s="263">
        <v>20.215</v>
      </c>
      <c r="AJ17" s="295">
        <v>23.135000000000002</v>
      </c>
      <c r="AK17" s="295">
        <v>23.82</v>
      </c>
      <c r="AL17" s="286">
        <f t="shared" si="1"/>
        <v>2.9608817808515226</v>
      </c>
      <c r="AM17" s="258" t="s">
        <v>39</v>
      </c>
    </row>
    <row r="18" spans="1:39" ht="12.75" customHeight="1">
      <c r="A18" s="76"/>
      <c r="B18" s="79" t="s">
        <v>29</v>
      </c>
      <c r="C18" s="80">
        <v>211.934</v>
      </c>
      <c r="D18" s="80">
        <v>324.03399999999999</v>
      </c>
      <c r="E18" s="87">
        <v>522.59299999999996</v>
      </c>
      <c r="F18" s="267">
        <v>538.27</v>
      </c>
      <c r="G18" s="267">
        <v>602.21</v>
      </c>
      <c r="H18" s="267">
        <v>603.09</v>
      </c>
      <c r="I18" s="268">
        <v>600.29999999999995</v>
      </c>
      <c r="J18" s="268">
        <v>614.71299999999997</v>
      </c>
      <c r="K18" s="268">
        <v>627.38300000000004</v>
      </c>
      <c r="L18" s="268">
        <v>638.83699999999999</v>
      </c>
      <c r="M18" s="268">
        <v>662.54499999999996</v>
      </c>
      <c r="N18" s="86">
        <v>663.31899999999996</v>
      </c>
      <c r="O18" s="85">
        <v>713.93100000000004</v>
      </c>
      <c r="P18" s="268">
        <v>717.30696391832623</v>
      </c>
      <c r="Q18" s="268">
        <v>720.68292783665242</v>
      </c>
      <c r="R18" s="268">
        <v>724.05889175497862</v>
      </c>
      <c r="S18" s="268">
        <v>727.43485567330481</v>
      </c>
      <c r="T18" s="268">
        <v>677.01400000000001</v>
      </c>
      <c r="U18" s="268">
        <v>676.255</v>
      </c>
      <c r="V18" s="268">
        <v>677.05600000000004</v>
      </c>
      <c r="W18" s="268">
        <v>676.35900000000004</v>
      </c>
      <c r="X18" s="268">
        <v>719.91200000000003</v>
      </c>
      <c r="Y18" s="268">
        <v>698.39</v>
      </c>
      <c r="Z18" s="268">
        <v>665.32799999999997</v>
      </c>
      <c r="AA18" s="268">
        <v>578.66800000000001</v>
      </c>
      <c r="AB18" s="268">
        <v>620.36800000000005</v>
      </c>
      <c r="AC18" s="268">
        <v>642.91999999999996</v>
      </c>
      <c r="AD18" s="268">
        <v>676.35</v>
      </c>
      <c r="AE18" s="268">
        <v>704.54200000000003</v>
      </c>
      <c r="AF18" s="268">
        <v>744.91899999999998</v>
      </c>
      <c r="AG18" s="268">
        <v>722.89400000000001</v>
      </c>
      <c r="AH18" s="268">
        <v>732.42899999999997</v>
      </c>
      <c r="AI18" s="268">
        <v>460.48200000000003</v>
      </c>
      <c r="AJ18" s="400">
        <v>580.42100000000005</v>
      </c>
      <c r="AK18" s="400">
        <v>602.86199999999997</v>
      </c>
      <c r="AL18" s="196">
        <f t="shared" si="1"/>
        <v>3.8663315076470184</v>
      </c>
      <c r="AM18" s="79" t="s">
        <v>29</v>
      </c>
    </row>
    <row r="19" spans="1:39" ht="12.75" customHeight="1">
      <c r="A19" s="76"/>
      <c r="B19" s="258" t="s">
        <v>8</v>
      </c>
      <c r="C19" s="92" t="s">
        <v>36</v>
      </c>
      <c r="D19" s="92" t="s">
        <v>36</v>
      </c>
      <c r="E19" s="263" t="s">
        <v>36</v>
      </c>
      <c r="F19" s="263" t="s">
        <v>36</v>
      </c>
      <c r="G19" s="263" t="s">
        <v>36</v>
      </c>
      <c r="H19" s="263" t="s">
        <v>36</v>
      </c>
      <c r="I19" s="263" t="s">
        <v>36</v>
      </c>
      <c r="J19" s="217">
        <v>3.4</v>
      </c>
      <c r="K19" s="217">
        <v>3.5</v>
      </c>
      <c r="L19" s="217">
        <v>3.6</v>
      </c>
      <c r="M19" s="217">
        <v>3.7</v>
      </c>
      <c r="N19" s="217">
        <v>3.8</v>
      </c>
      <c r="O19" s="217">
        <v>3.9</v>
      </c>
      <c r="P19" s="217">
        <v>4</v>
      </c>
      <c r="Q19" s="217">
        <v>4.0999999999999996</v>
      </c>
      <c r="R19" s="217">
        <v>4.1500000000000004</v>
      </c>
      <c r="S19" s="264">
        <v>4.5999999999999996</v>
      </c>
      <c r="T19" s="264">
        <v>4.8</v>
      </c>
      <c r="U19" s="264">
        <v>5</v>
      </c>
      <c r="V19" s="264">
        <v>5.3</v>
      </c>
      <c r="W19" s="264">
        <v>5.75</v>
      </c>
      <c r="X19" s="264">
        <v>6</v>
      </c>
      <c r="Y19" s="264">
        <v>5.9</v>
      </c>
      <c r="Z19" s="264">
        <v>5.93190592556501</v>
      </c>
      <c r="AA19" s="264">
        <v>5.9515765516010246</v>
      </c>
      <c r="AB19" s="264">
        <v>5.9211434324198757</v>
      </c>
      <c r="AC19" s="264">
        <v>6.0557617857620594</v>
      </c>
      <c r="AD19" s="264">
        <v>6.1981335730052542</v>
      </c>
      <c r="AE19" s="264">
        <v>6.4728965180617504</v>
      </c>
      <c r="AF19" s="264">
        <v>6.5573941867523127</v>
      </c>
      <c r="AG19" s="264">
        <v>6.7999745805257668</v>
      </c>
      <c r="AH19" s="264">
        <v>7.0348733638037793</v>
      </c>
      <c r="AI19" s="264">
        <v>6.04669649765885</v>
      </c>
      <c r="AJ19" s="296">
        <v>6.5092190059238586</v>
      </c>
      <c r="AK19" s="296">
        <v>6.8638990122444357</v>
      </c>
      <c r="AL19" s="286">
        <f t="shared" si="1"/>
        <v>5.4488872781480069</v>
      </c>
      <c r="AM19" s="258" t="s">
        <v>8</v>
      </c>
    </row>
    <row r="20" spans="1:39" ht="12.75" customHeight="1">
      <c r="A20" s="76"/>
      <c r="B20" s="79" t="s">
        <v>12</v>
      </c>
      <c r="C20" s="80" t="s">
        <v>36</v>
      </c>
      <c r="D20" s="80" t="s">
        <v>36</v>
      </c>
      <c r="E20" s="268" t="s">
        <v>36</v>
      </c>
      <c r="F20" s="268" t="s">
        <v>36</v>
      </c>
      <c r="G20" s="268" t="s">
        <v>36</v>
      </c>
      <c r="H20" s="268" t="s">
        <v>36</v>
      </c>
      <c r="I20" s="268" t="s">
        <v>36</v>
      </c>
      <c r="J20" s="269">
        <v>7.5</v>
      </c>
      <c r="K20" s="269">
        <v>8</v>
      </c>
      <c r="L20" s="269">
        <v>9</v>
      </c>
      <c r="M20" s="269">
        <v>10</v>
      </c>
      <c r="N20" s="269">
        <v>11</v>
      </c>
      <c r="O20" s="269">
        <v>11.5</v>
      </c>
      <c r="P20" s="269">
        <v>12</v>
      </c>
      <c r="Q20" s="269">
        <v>12.5</v>
      </c>
      <c r="R20" s="269">
        <v>13</v>
      </c>
      <c r="S20" s="267">
        <v>11.506399999999999</v>
      </c>
      <c r="T20" s="268">
        <v>12.111499999999999</v>
      </c>
      <c r="U20" s="267">
        <v>14.019600000000001</v>
      </c>
      <c r="V20" s="267">
        <v>15.9572</v>
      </c>
      <c r="W20" s="268">
        <v>14.2525</v>
      </c>
      <c r="X20" s="268">
        <v>12.70369</v>
      </c>
      <c r="Y20" s="268">
        <v>12.312340000000001</v>
      </c>
      <c r="Z20" s="268">
        <v>11.3499</v>
      </c>
      <c r="AA20" s="268">
        <v>11.528</v>
      </c>
      <c r="AB20" s="268">
        <v>11.7334</v>
      </c>
      <c r="AC20" s="268">
        <v>12.6258</v>
      </c>
      <c r="AD20" s="268">
        <v>13.5426</v>
      </c>
      <c r="AE20" s="268">
        <v>13.8988</v>
      </c>
      <c r="AF20" s="268">
        <v>14.978</v>
      </c>
      <c r="AG20" s="268">
        <v>15.256</v>
      </c>
      <c r="AH20" s="268">
        <v>15.5</v>
      </c>
      <c r="AI20" s="268">
        <v>14.773999999999999</v>
      </c>
      <c r="AJ20" s="400">
        <v>13.435499999999999</v>
      </c>
      <c r="AK20" s="400">
        <v>12.694100000000001</v>
      </c>
      <c r="AL20" s="196">
        <f t="shared" si="1"/>
        <v>-5.5182166648059194</v>
      </c>
      <c r="AM20" s="79" t="s">
        <v>12</v>
      </c>
    </row>
    <row r="21" spans="1:39" ht="12.75" customHeight="1">
      <c r="A21" s="76"/>
      <c r="B21" s="258" t="s">
        <v>13</v>
      </c>
      <c r="C21" s="92" t="s">
        <v>36</v>
      </c>
      <c r="D21" s="92" t="s">
        <v>36</v>
      </c>
      <c r="E21" s="263" t="s">
        <v>36</v>
      </c>
      <c r="F21" s="263" t="s">
        <v>36</v>
      </c>
      <c r="G21" s="263" t="s">
        <v>36</v>
      </c>
      <c r="H21" s="263" t="s">
        <v>36</v>
      </c>
      <c r="I21" s="263" t="s">
        <v>36</v>
      </c>
      <c r="J21" s="264">
        <v>16</v>
      </c>
      <c r="K21" s="264">
        <v>18</v>
      </c>
      <c r="L21" s="264">
        <v>20</v>
      </c>
      <c r="M21" s="264">
        <v>22</v>
      </c>
      <c r="N21" s="264">
        <v>25</v>
      </c>
      <c r="O21" s="264">
        <v>26</v>
      </c>
      <c r="P21" s="264">
        <v>26</v>
      </c>
      <c r="Q21" s="264">
        <v>26</v>
      </c>
      <c r="R21" s="264">
        <v>29</v>
      </c>
      <c r="S21" s="264">
        <v>31</v>
      </c>
      <c r="T21" s="263">
        <v>34.792999999999999</v>
      </c>
      <c r="U21" s="263">
        <v>39.472000000000001</v>
      </c>
      <c r="V21" s="263">
        <v>39.119</v>
      </c>
      <c r="W21" s="263">
        <v>37.991</v>
      </c>
      <c r="X21" s="263">
        <v>36.055</v>
      </c>
      <c r="Y21" s="263">
        <v>32.569000000000003</v>
      </c>
      <c r="Z21" s="263">
        <v>29.908000000000001</v>
      </c>
      <c r="AA21" s="263">
        <v>34.191000000000003</v>
      </c>
      <c r="AB21" s="263">
        <v>33.325000000000003</v>
      </c>
      <c r="AC21" s="263">
        <v>24.335999999999999</v>
      </c>
      <c r="AD21" s="263">
        <v>24.864999999999998</v>
      </c>
      <c r="AE21" s="263">
        <v>25.853999999999999</v>
      </c>
      <c r="AF21" s="263">
        <v>31.361000000000001</v>
      </c>
      <c r="AG21" s="263">
        <v>30.119</v>
      </c>
      <c r="AH21" s="264">
        <v>31.400873036545914</v>
      </c>
      <c r="AI21" s="264">
        <v>28.53521251375982</v>
      </c>
      <c r="AJ21" s="296">
        <v>30.866895828285699</v>
      </c>
      <c r="AK21" s="296">
        <v>32.843760964447128</v>
      </c>
      <c r="AL21" s="286">
        <f t="shared" si="1"/>
        <v>6.40448313027278</v>
      </c>
      <c r="AM21" s="258" t="s">
        <v>13</v>
      </c>
    </row>
    <row r="22" spans="1:39" ht="12.75" customHeight="1">
      <c r="A22" s="76"/>
      <c r="B22" s="79" t="s">
        <v>30</v>
      </c>
      <c r="C22" s="83">
        <v>2.1</v>
      </c>
      <c r="D22" s="83">
        <v>2.7</v>
      </c>
      <c r="E22" s="267">
        <v>4</v>
      </c>
      <c r="F22" s="267">
        <v>4.1500000000000004</v>
      </c>
      <c r="G22" s="267">
        <v>4.3</v>
      </c>
      <c r="H22" s="267">
        <v>4.5</v>
      </c>
      <c r="I22" s="267">
        <v>4.5999999999999996</v>
      </c>
      <c r="J22" s="267">
        <v>4.7</v>
      </c>
      <c r="K22" s="267">
        <v>4.8</v>
      </c>
      <c r="L22" s="267">
        <v>4.9000000000000004</v>
      </c>
      <c r="M22" s="267">
        <v>5</v>
      </c>
      <c r="N22" s="267">
        <v>5</v>
      </c>
      <c r="O22" s="267">
        <v>5.6</v>
      </c>
      <c r="P22" s="267">
        <v>5.8</v>
      </c>
      <c r="Q22" s="267">
        <v>5.9</v>
      </c>
      <c r="R22" s="267">
        <v>6</v>
      </c>
      <c r="S22" s="267">
        <v>6.1</v>
      </c>
      <c r="T22" s="267">
        <v>6.3</v>
      </c>
      <c r="U22" s="267">
        <v>6.5</v>
      </c>
      <c r="V22" s="267">
        <v>6.6</v>
      </c>
      <c r="W22" s="267">
        <v>6.7</v>
      </c>
      <c r="X22" s="267">
        <v>6.7</v>
      </c>
      <c r="Y22" s="267">
        <v>6.5</v>
      </c>
      <c r="Z22" s="267">
        <v>6.5917580235815709</v>
      </c>
      <c r="AA22" s="267">
        <v>6.7331326886577019</v>
      </c>
      <c r="AB22" s="267">
        <v>6.8509305497477948</v>
      </c>
      <c r="AC22" s="267">
        <v>7.132396036634483</v>
      </c>
      <c r="AD22" s="267">
        <v>7.3213582606667256</v>
      </c>
      <c r="AE22" s="267">
        <v>7.5254204786711547</v>
      </c>
      <c r="AF22" s="267">
        <v>7.6739151349680519</v>
      </c>
      <c r="AG22" s="267">
        <v>7.8337138706263563</v>
      </c>
      <c r="AH22" s="267">
        <v>8.0059701102464036</v>
      </c>
      <c r="AI22" s="267">
        <v>7.0766942506143025</v>
      </c>
      <c r="AJ22" s="401">
        <v>7.5513655833822524</v>
      </c>
      <c r="AK22" s="401">
        <v>7.933622095745859</v>
      </c>
      <c r="AL22" s="196">
        <f t="shared" si="1"/>
        <v>5.0620845745412026</v>
      </c>
      <c r="AM22" s="79" t="s">
        <v>30</v>
      </c>
    </row>
    <row r="23" spans="1:39" ht="12.75" customHeight="1">
      <c r="A23" s="76"/>
      <c r="B23" s="258" t="s">
        <v>11</v>
      </c>
      <c r="C23" s="92" t="s">
        <v>36</v>
      </c>
      <c r="D23" s="92" t="s">
        <v>36</v>
      </c>
      <c r="E23" s="263">
        <v>47</v>
      </c>
      <c r="F23" s="263">
        <v>46.8</v>
      </c>
      <c r="G23" s="263">
        <v>44.6</v>
      </c>
      <c r="H23" s="263">
        <v>44</v>
      </c>
      <c r="I23" s="263">
        <v>44.9</v>
      </c>
      <c r="J23" s="263">
        <v>45.4</v>
      </c>
      <c r="K23" s="263">
        <v>45.6</v>
      </c>
      <c r="L23" s="263">
        <v>46.1</v>
      </c>
      <c r="M23" s="263">
        <v>46.15</v>
      </c>
      <c r="N23" s="263">
        <v>46.17</v>
      </c>
      <c r="O23" s="263">
        <v>46.18</v>
      </c>
      <c r="P23" s="263">
        <v>46.18</v>
      </c>
      <c r="Q23" s="263">
        <v>46.3</v>
      </c>
      <c r="R23" s="263">
        <v>47.517000000000003</v>
      </c>
      <c r="S23" s="263">
        <v>49.121000000000002</v>
      </c>
      <c r="T23" s="163">
        <v>49.402999999999999</v>
      </c>
      <c r="U23" s="263">
        <v>52.314999999999998</v>
      </c>
      <c r="V23" s="263">
        <v>53.945999999999998</v>
      </c>
      <c r="W23" s="263">
        <v>54.005000000000003</v>
      </c>
      <c r="X23" s="263">
        <v>54.396000000000001</v>
      </c>
      <c r="Y23" s="263">
        <v>52.594999999999999</v>
      </c>
      <c r="Z23" s="263">
        <v>52.250999999999998</v>
      </c>
      <c r="AA23" s="263">
        <v>51.792999999999999</v>
      </c>
      <c r="AB23" s="263">
        <v>51.823999999999998</v>
      </c>
      <c r="AC23" s="263">
        <v>52.722999999999999</v>
      </c>
      <c r="AD23" s="263">
        <v>54.603000000000002</v>
      </c>
      <c r="AE23" s="263">
        <v>56.677</v>
      </c>
      <c r="AF23" s="263">
        <v>60.645000000000003</v>
      </c>
      <c r="AG23" s="263">
        <v>63.947000000000003</v>
      </c>
      <c r="AH23" s="263">
        <v>67.034000000000006</v>
      </c>
      <c r="AI23" s="263">
        <v>63.920999999999999</v>
      </c>
      <c r="AJ23" s="295">
        <v>67.394762</v>
      </c>
      <c r="AK23" s="295">
        <v>72.569675000000004</v>
      </c>
      <c r="AL23" s="286">
        <f t="shared" si="1"/>
        <v>7.6785091992757515</v>
      </c>
      <c r="AM23" s="258" t="s">
        <v>11</v>
      </c>
    </row>
    <row r="24" spans="1:39" ht="12.75" customHeight="1">
      <c r="A24" s="76"/>
      <c r="B24" s="79" t="s">
        <v>14</v>
      </c>
      <c r="C24" s="80" t="s">
        <v>36</v>
      </c>
      <c r="D24" s="80" t="s">
        <v>36</v>
      </c>
      <c r="E24" s="268" t="s">
        <v>36</v>
      </c>
      <c r="F24" s="268" t="s">
        <v>36</v>
      </c>
      <c r="G24" s="268" t="s">
        <v>36</v>
      </c>
      <c r="H24" s="268" t="s">
        <v>36</v>
      </c>
      <c r="I24" s="268" t="s">
        <v>36</v>
      </c>
      <c r="J24" s="267">
        <v>1.7</v>
      </c>
      <c r="K24" s="267">
        <v>1.72</v>
      </c>
      <c r="L24" s="267">
        <v>1.74</v>
      </c>
      <c r="M24" s="267">
        <v>1.76</v>
      </c>
      <c r="N24" s="267">
        <v>1.78</v>
      </c>
      <c r="O24" s="267">
        <v>1.8</v>
      </c>
      <c r="P24" s="267">
        <v>1.8</v>
      </c>
      <c r="Q24" s="267">
        <v>1.85</v>
      </c>
      <c r="R24" s="267">
        <v>1.9</v>
      </c>
      <c r="S24" s="267">
        <v>1.95</v>
      </c>
      <c r="T24" s="267">
        <v>2</v>
      </c>
      <c r="U24" s="267">
        <v>2.0499999999999998</v>
      </c>
      <c r="V24" s="267">
        <v>2.1</v>
      </c>
      <c r="W24" s="267">
        <v>2.15</v>
      </c>
      <c r="X24" s="267">
        <v>2.2000000000000002</v>
      </c>
      <c r="Y24" s="267">
        <v>2.2000000000000002</v>
      </c>
      <c r="Z24" s="267">
        <v>2.2297181531995443</v>
      </c>
      <c r="AA24" s="267">
        <v>2.2404488975013952</v>
      </c>
      <c r="AB24" s="267">
        <v>2.291235362302769</v>
      </c>
      <c r="AC24" s="267">
        <v>2.4135009155436644</v>
      </c>
      <c r="AD24" s="267">
        <v>2.5042317396135667</v>
      </c>
      <c r="AE24" s="267">
        <v>2.5939190716426603</v>
      </c>
      <c r="AF24" s="267">
        <v>2.6182962299592711</v>
      </c>
      <c r="AG24" s="267">
        <v>2.6719139301479649</v>
      </c>
      <c r="AH24" s="267">
        <v>2.7208325236161963</v>
      </c>
      <c r="AI24" s="267">
        <v>2.3765231368112976</v>
      </c>
      <c r="AJ24" s="401">
        <v>2.5368676166241588</v>
      </c>
      <c r="AK24" s="401">
        <v>2.6692956758175597</v>
      </c>
      <c r="AL24" s="196">
        <f t="shared" si="1"/>
        <v>5.2201407091799581</v>
      </c>
      <c r="AM24" s="79" t="s">
        <v>14</v>
      </c>
    </row>
    <row r="25" spans="1:39" ht="12.75" customHeight="1">
      <c r="A25" s="76"/>
      <c r="B25" s="258" t="s">
        <v>22</v>
      </c>
      <c r="C25" s="92">
        <v>67.099999999999994</v>
      </c>
      <c r="D25" s="270">
        <v>108.1</v>
      </c>
      <c r="E25" s="263">
        <v>137.30000000000001</v>
      </c>
      <c r="F25" s="263">
        <v>124.5</v>
      </c>
      <c r="G25" s="263">
        <v>129.1</v>
      </c>
      <c r="H25" s="263">
        <v>126.1</v>
      </c>
      <c r="I25" s="263">
        <v>128.80000000000001</v>
      </c>
      <c r="J25" s="263">
        <v>131.4</v>
      </c>
      <c r="K25" s="263">
        <v>132.69999999999999</v>
      </c>
      <c r="L25" s="263">
        <v>136.5</v>
      </c>
      <c r="M25" s="263">
        <v>137.1</v>
      </c>
      <c r="N25" s="263">
        <v>141.30000000000001</v>
      </c>
      <c r="O25" s="263">
        <v>141.1</v>
      </c>
      <c r="P25" s="263">
        <v>141.6</v>
      </c>
      <c r="Q25" s="263">
        <v>144.19999999999999</v>
      </c>
      <c r="R25" s="263">
        <v>146.1</v>
      </c>
      <c r="S25" s="263">
        <v>151.6</v>
      </c>
      <c r="T25" s="263">
        <v>148.80000000000001</v>
      </c>
      <c r="U25" s="263">
        <v>148</v>
      </c>
      <c r="V25" s="263">
        <v>148.80000000000001</v>
      </c>
      <c r="W25" s="263">
        <v>147</v>
      </c>
      <c r="X25" s="264">
        <v>146.30000000000001</v>
      </c>
      <c r="Y25" s="134">
        <v>144.19999999999999</v>
      </c>
      <c r="Z25" s="263">
        <v>144.4</v>
      </c>
      <c r="AA25" s="263">
        <v>139.69999999999999</v>
      </c>
      <c r="AB25" s="263">
        <v>145.4</v>
      </c>
      <c r="AC25" s="263">
        <v>144.96899999999999</v>
      </c>
      <c r="AD25" s="263">
        <v>139.5</v>
      </c>
      <c r="AE25" s="263">
        <v>140.80000000000001</v>
      </c>
      <c r="AF25" s="263">
        <v>138.69999999999999</v>
      </c>
      <c r="AG25" s="134">
        <v>147.5</v>
      </c>
      <c r="AH25" s="263">
        <v>147.5</v>
      </c>
      <c r="AI25" s="263">
        <v>105.2</v>
      </c>
      <c r="AJ25" s="295">
        <v>115.8</v>
      </c>
      <c r="AK25" s="403">
        <v>125.60000000000001</v>
      </c>
      <c r="AL25" s="286">
        <f t="shared" si="1"/>
        <v>8.4628670120898306</v>
      </c>
      <c r="AM25" s="258" t="s">
        <v>22</v>
      </c>
    </row>
    <row r="26" spans="1:39" ht="12.75" customHeight="1">
      <c r="A26" s="76"/>
      <c r="B26" s="79" t="s">
        <v>31</v>
      </c>
      <c r="C26" s="80">
        <v>32.9</v>
      </c>
      <c r="D26" s="80">
        <v>47.8</v>
      </c>
      <c r="E26" s="268">
        <v>53.723897471933505</v>
      </c>
      <c r="F26" s="268">
        <v>54.787536036464196</v>
      </c>
      <c r="G26" s="268">
        <v>56.659020628626905</v>
      </c>
      <c r="H26" s="268">
        <v>57.151918044774398</v>
      </c>
      <c r="I26" s="268">
        <v>58.865092159990603</v>
      </c>
      <c r="J26" s="268">
        <v>59.422690414342</v>
      </c>
      <c r="K26" s="268">
        <v>60.778556014725503</v>
      </c>
      <c r="L26" s="268">
        <v>61.400675901741003</v>
      </c>
      <c r="M26" s="268">
        <v>62.690332415517801</v>
      </c>
      <c r="N26" s="268">
        <v>63.9738463208136</v>
      </c>
      <c r="O26" s="268">
        <v>64.7324486487569</v>
      </c>
      <c r="P26" s="268">
        <v>65.337110990663504</v>
      </c>
      <c r="Q26" s="268">
        <v>66.483017156872194</v>
      </c>
      <c r="R26" s="268">
        <v>67.879798464616997</v>
      </c>
      <c r="S26" s="268">
        <v>68.6673745085006</v>
      </c>
      <c r="T26" s="268">
        <v>68.534046805980907</v>
      </c>
      <c r="U26" s="268">
        <v>69.357032462112599</v>
      </c>
      <c r="V26" s="268">
        <v>70.228681711569195</v>
      </c>
      <c r="W26" s="268">
        <v>68.199846493920887</v>
      </c>
      <c r="X26" s="268">
        <v>67.628132974228706</v>
      </c>
      <c r="Y26" s="268">
        <v>68.370225570310794</v>
      </c>
      <c r="Z26" s="268">
        <v>69.285883597665702</v>
      </c>
      <c r="AA26" s="268">
        <v>69.008829196809998</v>
      </c>
      <c r="AB26" s="268">
        <v>69.656710785624298</v>
      </c>
      <c r="AC26" s="268">
        <v>71.282875065817493</v>
      </c>
      <c r="AD26" s="268">
        <v>72.9148923350198</v>
      </c>
      <c r="AE26" s="268">
        <v>74.866741177802908</v>
      </c>
      <c r="AF26" s="268">
        <v>76.123435218109606</v>
      </c>
      <c r="AG26" s="268">
        <v>74.831999999999994</v>
      </c>
      <c r="AH26" s="268">
        <v>72.757999999999996</v>
      </c>
      <c r="AI26" s="268">
        <v>67.999711341195692</v>
      </c>
      <c r="AJ26" s="268">
        <v>67.851907622276002</v>
      </c>
      <c r="AK26" s="400">
        <v>69.78772763790549</v>
      </c>
      <c r="AL26" s="196">
        <f t="shared" si="1"/>
        <v>2.8530075033497866</v>
      </c>
      <c r="AM26" s="79" t="s">
        <v>31</v>
      </c>
    </row>
    <row r="27" spans="1:39" ht="12.75" customHeight="1">
      <c r="A27" s="76"/>
      <c r="B27" s="258" t="s">
        <v>15</v>
      </c>
      <c r="C27" s="92" t="s">
        <v>36</v>
      </c>
      <c r="D27" s="92" t="s">
        <v>36</v>
      </c>
      <c r="E27" s="263" t="s">
        <v>36</v>
      </c>
      <c r="F27" s="263"/>
      <c r="G27" s="263"/>
      <c r="H27" s="263"/>
      <c r="I27" s="263"/>
      <c r="J27" s="263">
        <v>110.7</v>
      </c>
      <c r="K27" s="263">
        <v>121.6</v>
      </c>
      <c r="L27" s="263">
        <v>132</v>
      </c>
      <c r="M27" s="263">
        <v>141.1</v>
      </c>
      <c r="N27" s="263">
        <v>143</v>
      </c>
      <c r="O27" s="134">
        <v>130.1</v>
      </c>
      <c r="P27" s="263">
        <v>132.30000000000001</v>
      </c>
      <c r="Q27" s="263">
        <v>135.80000000000001</v>
      </c>
      <c r="R27" s="263">
        <v>141.30000000000001</v>
      </c>
      <c r="S27" s="263">
        <v>146.80000000000001</v>
      </c>
      <c r="T27" s="263">
        <v>152.30000000000001</v>
      </c>
      <c r="U27" s="263">
        <v>156.6</v>
      </c>
      <c r="V27" s="263">
        <v>162.30000000000001</v>
      </c>
      <c r="W27" s="263">
        <v>172.6</v>
      </c>
      <c r="X27" s="263">
        <v>182.75800000000001</v>
      </c>
      <c r="Y27" s="263">
        <v>188.81</v>
      </c>
      <c r="Z27" s="263">
        <v>189.10300000000001</v>
      </c>
      <c r="AA27" s="263">
        <v>189.32400000000001</v>
      </c>
      <c r="AB27" s="263">
        <v>193.33600000000001</v>
      </c>
      <c r="AC27" s="263">
        <v>197.03200000000001</v>
      </c>
      <c r="AD27" s="263">
        <v>200.57</v>
      </c>
      <c r="AE27" s="263">
        <v>213.31800000000001</v>
      </c>
      <c r="AF27" s="263">
        <v>221.54499999999999</v>
      </c>
      <c r="AG27" s="263">
        <v>227.61199999999999</v>
      </c>
      <c r="AH27" s="263">
        <v>232.255</v>
      </c>
      <c r="AI27" s="263">
        <v>224.13</v>
      </c>
      <c r="AJ27" s="295">
        <v>231.72</v>
      </c>
      <c r="AK27" s="295">
        <v>237.31700000000001</v>
      </c>
      <c r="AL27" s="286">
        <f t="shared" si="1"/>
        <v>2.4154151562230339</v>
      </c>
      <c r="AM27" s="258" t="s">
        <v>15</v>
      </c>
    </row>
    <row r="28" spans="1:39" ht="12.75" customHeight="1">
      <c r="A28" s="76"/>
      <c r="B28" s="79" t="s">
        <v>32</v>
      </c>
      <c r="C28" s="83">
        <v>13.8</v>
      </c>
      <c r="D28" s="83">
        <v>29</v>
      </c>
      <c r="E28" s="267">
        <v>40</v>
      </c>
      <c r="F28" s="267">
        <v>41</v>
      </c>
      <c r="G28" s="267">
        <v>43</v>
      </c>
      <c r="H28" s="267">
        <v>46</v>
      </c>
      <c r="I28" s="267">
        <v>49</v>
      </c>
      <c r="J28" s="267">
        <v>52.5</v>
      </c>
      <c r="K28" s="267">
        <v>56</v>
      </c>
      <c r="L28" s="267">
        <v>60</v>
      </c>
      <c r="M28" s="267">
        <v>64</v>
      </c>
      <c r="N28" s="267">
        <v>68</v>
      </c>
      <c r="O28" s="267">
        <v>71</v>
      </c>
      <c r="P28" s="267">
        <v>73.2</v>
      </c>
      <c r="Q28" s="267">
        <v>77.7</v>
      </c>
      <c r="R28" s="267">
        <v>81.5</v>
      </c>
      <c r="S28" s="267">
        <v>83</v>
      </c>
      <c r="T28" s="267">
        <v>85</v>
      </c>
      <c r="U28" s="267">
        <v>86</v>
      </c>
      <c r="V28" s="267">
        <v>86.6</v>
      </c>
      <c r="W28" s="267">
        <v>87</v>
      </c>
      <c r="X28" s="267">
        <v>86</v>
      </c>
      <c r="Y28" s="267">
        <v>83.7</v>
      </c>
      <c r="Z28" s="267">
        <v>83.190084528920025</v>
      </c>
      <c r="AA28" s="267">
        <v>82.13077342280117</v>
      </c>
      <c r="AB28" s="267">
        <v>81.865937271332953</v>
      </c>
      <c r="AC28" s="267">
        <v>83.335892690114903</v>
      </c>
      <c r="AD28" s="267">
        <v>84.467857514628818</v>
      </c>
      <c r="AE28" s="267">
        <v>90.461994001226003</v>
      </c>
      <c r="AF28" s="267">
        <v>92.191507303343357</v>
      </c>
      <c r="AG28" s="267">
        <v>95.460477535216867</v>
      </c>
      <c r="AH28" s="267">
        <v>98.03804965791501</v>
      </c>
      <c r="AI28" s="267">
        <v>85.184631374770106</v>
      </c>
      <c r="AJ28" s="401">
        <v>90.605457015368316</v>
      </c>
      <c r="AK28" s="401">
        <v>96.554494216007427</v>
      </c>
      <c r="AL28" s="196">
        <f t="shared" si="1"/>
        <v>6.5658707506216274</v>
      </c>
      <c r="AM28" s="79" t="s">
        <v>32</v>
      </c>
    </row>
    <row r="29" spans="1:39" ht="12.75" customHeight="1">
      <c r="A29" s="76"/>
      <c r="B29" s="258" t="s">
        <v>16</v>
      </c>
      <c r="C29" s="271"/>
      <c r="D29" s="271"/>
      <c r="E29" s="264"/>
      <c r="F29" s="264"/>
      <c r="G29" s="264"/>
      <c r="H29" s="264"/>
      <c r="I29" s="264"/>
      <c r="J29" s="264">
        <v>40</v>
      </c>
      <c r="K29" s="264">
        <v>42.5</v>
      </c>
      <c r="L29" s="264">
        <v>45</v>
      </c>
      <c r="M29" s="264">
        <v>47</v>
      </c>
      <c r="N29" s="264">
        <v>49</v>
      </c>
      <c r="O29" s="264">
        <v>51</v>
      </c>
      <c r="P29" s="264">
        <v>52.5</v>
      </c>
      <c r="Q29" s="264">
        <v>54</v>
      </c>
      <c r="R29" s="264">
        <v>56</v>
      </c>
      <c r="S29" s="264">
        <v>58</v>
      </c>
      <c r="T29" s="264">
        <v>61</v>
      </c>
      <c r="U29" s="264">
        <v>64.099999999999994</v>
      </c>
      <c r="V29" s="264">
        <v>67.5</v>
      </c>
      <c r="W29" s="264">
        <v>70.5</v>
      </c>
      <c r="X29" s="264">
        <v>75.5</v>
      </c>
      <c r="Y29" s="264">
        <v>75.5</v>
      </c>
      <c r="Z29" s="264">
        <v>74.97833815332045</v>
      </c>
      <c r="AA29" s="264">
        <v>77.04505960700007</v>
      </c>
      <c r="AB29" s="264">
        <v>80.363418326056077</v>
      </c>
      <c r="AC29" s="264">
        <v>85.193859872241475</v>
      </c>
      <c r="AD29" s="264">
        <v>89.866362080533492</v>
      </c>
      <c r="AE29" s="264">
        <v>95.591682544376425</v>
      </c>
      <c r="AF29" s="264">
        <v>97.303330280284371</v>
      </c>
      <c r="AG29" s="264">
        <v>103.80336173644331</v>
      </c>
      <c r="AH29" s="264">
        <v>110.51003785674024</v>
      </c>
      <c r="AI29" s="264">
        <v>99.122721513465962</v>
      </c>
      <c r="AJ29" s="296">
        <v>108.99875153030695</v>
      </c>
      <c r="AK29" s="296">
        <v>117.00261930761154</v>
      </c>
      <c r="AL29" s="286">
        <f t="shared" si="1"/>
        <v>7.3430820673933397</v>
      </c>
      <c r="AM29" s="258" t="s">
        <v>16</v>
      </c>
    </row>
    <row r="30" spans="1:39" ht="12.75" customHeight="1">
      <c r="A30" s="76"/>
      <c r="B30" s="79" t="s">
        <v>18</v>
      </c>
      <c r="C30" s="80" t="s">
        <v>36</v>
      </c>
      <c r="D30" s="80" t="s">
        <v>36</v>
      </c>
      <c r="E30" s="272">
        <v>13.32</v>
      </c>
      <c r="F30" s="272">
        <v>12.606</v>
      </c>
      <c r="G30" s="272">
        <v>13.385999999999999</v>
      </c>
      <c r="H30" s="272">
        <v>13.978999999999999</v>
      </c>
      <c r="I30" s="272">
        <v>15.178000000000001</v>
      </c>
      <c r="J30" s="272">
        <v>16.338000000000001</v>
      </c>
      <c r="K30" s="272">
        <v>17.794</v>
      </c>
      <c r="L30" s="272">
        <v>19.010999999999999</v>
      </c>
      <c r="M30" s="272">
        <v>18.98</v>
      </c>
      <c r="N30" s="272">
        <v>20.074000000000002</v>
      </c>
      <c r="O30" s="272">
        <v>20.324999999999999</v>
      </c>
      <c r="P30" s="272">
        <v>20.800999999999998</v>
      </c>
      <c r="Q30" s="272">
        <v>21.286999999999999</v>
      </c>
      <c r="R30" s="272">
        <v>21.331</v>
      </c>
      <c r="S30" s="268">
        <v>22.042000000000002</v>
      </c>
      <c r="T30" s="268">
        <v>22.509</v>
      </c>
      <c r="U30" s="268">
        <v>23.006</v>
      </c>
      <c r="V30" s="268">
        <v>24.355</v>
      </c>
      <c r="W30" s="268">
        <v>24.878</v>
      </c>
      <c r="X30" s="268">
        <v>25.774999999999999</v>
      </c>
      <c r="Y30" s="268">
        <v>25.635999999999999</v>
      </c>
      <c r="Z30" s="267">
        <v>25.487436219641157</v>
      </c>
      <c r="AA30" s="267">
        <v>25.302775921222882</v>
      </c>
      <c r="AB30" s="267">
        <v>25.168354826572546</v>
      </c>
      <c r="AC30" s="267">
        <v>25.638692920142624</v>
      </c>
      <c r="AD30" s="267">
        <v>25.996532775797913</v>
      </c>
      <c r="AE30" s="85">
        <v>26.151</v>
      </c>
      <c r="AF30" s="268">
        <v>27.138999999999999</v>
      </c>
      <c r="AG30" s="268">
        <v>27.765999999999998</v>
      </c>
      <c r="AH30" s="268">
        <v>28.248000000000001</v>
      </c>
      <c r="AI30" s="268">
        <v>20.978999999999999</v>
      </c>
      <c r="AJ30" s="400">
        <v>21.501000000000001</v>
      </c>
      <c r="AK30" s="400">
        <v>23.42</v>
      </c>
      <c r="AL30" s="196">
        <f t="shared" si="1"/>
        <v>8.9251662713362094</v>
      </c>
      <c r="AM30" s="79" t="s">
        <v>18</v>
      </c>
    </row>
    <row r="31" spans="1:39" ht="12.75" customHeight="1">
      <c r="A31" s="76"/>
      <c r="B31" s="258" t="s">
        <v>17</v>
      </c>
      <c r="C31" s="261"/>
      <c r="D31" s="261"/>
      <c r="E31" s="262"/>
      <c r="F31" s="263"/>
      <c r="G31" s="263"/>
      <c r="H31" s="263">
        <v>17.553999999999998</v>
      </c>
      <c r="I31" s="263">
        <v>17.292999999999999</v>
      </c>
      <c r="J31" s="263">
        <v>17.977</v>
      </c>
      <c r="K31" s="263">
        <v>17.992999999999999</v>
      </c>
      <c r="L31" s="263">
        <v>18.568000000000001</v>
      </c>
      <c r="M31" s="263">
        <v>19.302</v>
      </c>
      <c r="N31" s="263">
        <v>21.541</v>
      </c>
      <c r="O31" s="263">
        <v>23.928999999999998</v>
      </c>
      <c r="P31" s="263">
        <v>24.056000000000001</v>
      </c>
      <c r="Q31" s="263">
        <v>24.978000000000002</v>
      </c>
      <c r="R31" s="263">
        <v>25.224</v>
      </c>
      <c r="S31" s="263">
        <v>25.332000000000001</v>
      </c>
      <c r="T31" s="263">
        <v>25.824000000000002</v>
      </c>
      <c r="U31" s="263">
        <v>26.341999999999999</v>
      </c>
      <c r="V31" s="263">
        <v>25.994</v>
      </c>
      <c r="W31" s="263">
        <v>26.395</v>
      </c>
      <c r="X31" s="263">
        <v>26.42</v>
      </c>
      <c r="Y31" s="263">
        <v>26.879000000000001</v>
      </c>
      <c r="Z31" s="263">
        <v>26.887</v>
      </c>
      <c r="AA31" s="263">
        <v>26.934999999999999</v>
      </c>
      <c r="AB31" s="263">
        <v>27.155000000000001</v>
      </c>
      <c r="AC31" s="263">
        <v>27.251000000000001</v>
      </c>
      <c r="AD31" s="263">
        <v>27.530999999999999</v>
      </c>
      <c r="AE31" s="263">
        <v>27.835999999999999</v>
      </c>
      <c r="AF31" s="263">
        <v>28.12</v>
      </c>
      <c r="AG31" s="263">
        <v>28.46</v>
      </c>
      <c r="AH31" s="263">
        <v>28.616</v>
      </c>
      <c r="AI31" s="264">
        <v>24.827926746863699</v>
      </c>
      <c r="AJ31" s="296">
        <v>26.664190065386354</v>
      </c>
      <c r="AK31" s="296">
        <v>28.389490979973587</v>
      </c>
      <c r="AL31" s="286">
        <f t="shared" si="1"/>
        <v>6.4704793596071113</v>
      </c>
      <c r="AM31" s="258" t="s">
        <v>17</v>
      </c>
    </row>
    <row r="32" spans="1:39" ht="12.75" customHeight="1">
      <c r="A32" s="76"/>
      <c r="B32" s="79" t="s">
        <v>33</v>
      </c>
      <c r="C32" s="80">
        <v>23.7</v>
      </c>
      <c r="D32" s="80">
        <v>34.799999999999997</v>
      </c>
      <c r="E32" s="268">
        <v>51.2</v>
      </c>
      <c r="F32" s="268">
        <v>50.6</v>
      </c>
      <c r="G32" s="268">
        <v>50.5</v>
      </c>
      <c r="H32" s="268">
        <v>49.7</v>
      </c>
      <c r="I32" s="268">
        <v>49.6</v>
      </c>
      <c r="J32" s="268">
        <v>50</v>
      </c>
      <c r="K32" s="268">
        <v>50.4</v>
      </c>
      <c r="L32" s="268">
        <v>51.9</v>
      </c>
      <c r="M32" s="268">
        <v>53.3</v>
      </c>
      <c r="N32" s="268">
        <v>54.9</v>
      </c>
      <c r="O32" s="268">
        <v>55.7</v>
      </c>
      <c r="P32" s="268">
        <v>57</v>
      </c>
      <c r="Q32" s="268">
        <v>58.3</v>
      </c>
      <c r="R32" s="268">
        <v>59.59</v>
      </c>
      <c r="S32" s="268">
        <v>60.94</v>
      </c>
      <c r="T32" s="268">
        <v>61.91</v>
      </c>
      <c r="U32" s="268">
        <v>62.454999999999998</v>
      </c>
      <c r="V32" s="268">
        <v>63.784999999999997</v>
      </c>
      <c r="W32" s="268">
        <v>63.4</v>
      </c>
      <c r="X32" s="268">
        <v>64.33</v>
      </c>
      <c r="Y32" s="268">
        <v>64.745000000000005</v>
      </c>
      <c r="Z32" s="268">
        <v>65.489999999999995</v>
      </c>
      <c r="AA32" s="268">
        <v>65.27</v>
      </c>
      <c r="AB32" s="268">
        <v>65.114999999999995</v>
      </c>
      <c r="AC32" s="268">
        <v>65.52</v>
      </c>
      <c r="AD32" s="268">
        <v>66.295000000000002</v>
      </c>
      <c r="AE32" s="85">
        <v>57.006</v>
      </c>
      <c r="AF32" s="268">
        <v>66.606999999999999</v>
      </c>
      <c r="AG32" s="268">
        <v>66.8</v>
      </c>
      <c r="AH32" s="268">
        <v>66.8</v>
      </c>
      <c r="AI32" s="268">
        <v>64.099999999999994</v>
      </c>
      <c r="AJ32" s="400">
        <v>63.6</v>
      </c>
      <c r="AK32" s="498">
        <v>60.6</v>
      </c>
      <c r="AL32" s="196">
        <f t="shared" si="1"/>
        <v>-4.7169811320754746</v>
      </c>
      <c r="AM32" s="79" t="s">
        <v>33</v>
      </c>
    </row>
    <row r="33" spans="1:39" ht="12.75" customHeight="1">
      <c r="A33" s="76"/>
      <c r="B33" s="273" t="s">
        <v>34</v>
      </c>
      <c r="C33" s="274">
        <v>56.1</v>
      </c>
      <c r="D33" s="275">
        <v>67.400000000000006</v>
      </c>
      <c r="E33" s="276">
        <v>85.944999999999993</v>
      </c>
      <c r="F33" s="276">
        <v>86.494</v>
      </c>
      <c r="G33" s="276">
        <v>87.552000000000007</v>
      </c>
      <c r="H33" s="276">
        <v>85.683000000000007</v>
      </c>
      <c r="I33" s="276">
        <v>86.65</v>
      </c>
      <c r="J33" s="276">
        <v>87.622</v>
      </c>
      <c r="K33" s="276">
        <v>87.983000000000004</v>
      </c>
      <c r="L33" s="276">
        <v>88.106999999999999</v>
      </c>
      <c r="M33" s="276">
        <v>88.811000000000007</v>
      </c>
      <c r="N33" s="277">
        <v>100.18352</v>
      </c>
      <c r="O33" s="277">
        <v>103.65483369766447</v>
      </c>
      <c r="P33" s="276">
        <v>104.83427759943993</v>
      </c>
      <c r="Q33" s="276">
        <v>106.62251789890334</v>
      </c>
      <c r="R33" s="276">
        <v>107.32208833613136</v>
      </c>
      <c r="S33" s="276">
        <v>108.35985149670047</v>
      </c>
      <c r="T33" s="276">
        <v>107.98311590611746</v>
      </c>
      <c r="U33" s="276">
        <v>108.13703214573366</v>
      </c>
      <c r="V33" s="276">
        <v>110.23856590007244</v>
      </c>
      <c r="W33" s="276">
        <v>109.46845217694035</v>
      </c>
      <c r="X33" s="276">
        <v>108.89703801054038</v>
      </c>
      <c r="Y33" s="263">
        <v>108.01282861161354</v>
      </c>
      <c r="Z33" s="276">
        <v>109.02898505595721</v>
      </c>
      <c r="AA33" s="276">
        <v>108.37233901934596</v>
      </c>
      <c r="AB33" s="276">
        <v>108.20578822350051</v>
      </c>
      <c r="AC33" s="276">
        <v>110.34047754415158</v>
      </c>
      <c r="AD33" s="281">
        <v>111.895515890943</v>
      </c>
      <c r="AE33" s="276">
        <v>93.771223386579933</v>
      </c>
      <c r="AF33" s="276">
        <v>95.468791015657558</v>
      </c>
      <c r="AG33" s="276">
        <v>96.353880235559956</v>
      </c>
      <c r="AH33" s="276">
        <v>95.581544959925907</v>
      </c>
      <c r="AI33" s="276">
        <v>90.135371743355904</v>
      </c>
      <c r="AJ33" s="276">
        <v>89.500984477118195</v>
      </c>
      <c r="AK33" s="443">
        <v>94.777908414058018</v>
      </c>
      <c r="AL33" s="363">
        <f t="shared" si="1"/>
        <v>5.8959395449878116</v>
      </c>
      <c r="AM33" s="273" t="s">
        <v>34</v>
      </c>
    </row>
    <row r="34" spans="1:39" ht="12.75" customHeight="1">
      <c r="A34" s="76"/>
      <c r="B34" s="79" t="s">
        <v>5</v>
      </c>
      <c r="C34" s="240" t="s">
        <v>36</v>
      </c>
      <c r="D34" s="240" t="s">
        <v>36</v>
      </c>
      <c r="E34" s="241" t="s">
        <v>36</v>
      </c>
      <c r="F34" s="241"/>
      <c r="G34" s="241"/>
      <c r="H34" s="241"/>
      <c r="I34" s="241"/>
      <c r="J34" s="241">
        <v>3.0259999999999998</v>
      </c>
      <c r="K34" s="241">
        <v>3.1680000000000001</v>
      </c>
      <c r="L34" s="241">
        <v>3.36</v>
      </c>
      <c r="M34" s="241">
        <v>3.5609999999999999</v>
      </c>
      <c r="N34" s="241">
        <v>3.7120000000000002</v>
      </c>
      <c r="O34" s="241">
        <v>3.7650000000000001</v>
      </c>
      <c r="P34" s="241">
        <v>3.95</v>
      </c>
      <c r="Q34" s="241">
        <v>4.0599999999999996</v>
      </c>
      <c r="R34" s="241">
        <v>4.1740000000000004</v>
      </c>
      <c r="S34" s="241">
        <v>4.3010000000000002</v>
      </c>
      <c r="T34" s="241">
        <v>4.5579999999999998</v>
      </c>
      <c r="U34" s="268">
        <v>4.8330000000000002</v>
      </c>
      <c r="V34" s="268">
        <v>5.077</v>
      </c>
      <c r="W34" s="268">
        <v>4.9480000000000004</v>
      </c>
      <c r="X34" s="241">
        <v>5.0019999999999998</v>
      </c>
      <c r="Y34" s="241">
        <v>4.9580000000000002</v>
      </c>
      <c r="Z34" s="241">
        <v>4.7759999999999998</v>
      </c>
      <c r="AA34" s="241">
        <v>4.8319999999999999</v>
      </c>
      <c r="AB34" s="241">
        <v>4.9710000000000001</v>
      </c>
      <c r="AC34" s="241">
        <v>5.226</v>
      </c>
      <c r="AD34" s="241">
        <v>5.5780000000000003</v>
      </c>
      <c r="AE34" s="241">
        <v>6.468</v>
      </c>
      <c r="AF34" s="268">
        <v>7.0739999999999998</v>
      </c>
      <c r="AG34" s="268">
        <v>7.2960000000000003</v>
      </c>
      <c r="AH34" s="268">
        <v>7.2359999999999998</v>
      </c>
      <c r="AI34" s="268">
        <v>5.5960000000000001</v>
      </c>
      <c r="AJ34" s="336">
        <v>6.6950000000000003</v>
      </c>
      <c r="AK34" s="336">
        <v>7.3140000000000001</v>
      </c>
      <c r="AL34" s="288">
        <f t="shared" si="1"/>
        <v>9.2457057505601199</v>
      </c>
      <c r="AM34" s="289" t="s">
        <v>5</v>
      </c>
    </row>
    <row r="35" spans="1:39" ht="12.75" customHeight="1">
      <c r="A35" s="76"/>
      <c r="B35" s="258" t="s">
        <v>35</v>
      </c>
      <c r="C35" s="92">
        <v>18.209999999999997</v>
      </c>
      <c r="D35" s="92">
        <v>31.061</v>
      </c>
      <c r="E35" s="263">
        <v>43.497</v>
      </c>
      <c r="F35" s="263">
        <v>43.012</v>
      </c>
      <c r="G35" s="263">
        <v>43.172000000000004</v>
      </c>
      <c r="H35" s="263">
        <v>43.942999999999998</v>
      </c>
      <c r="I35" s="263">
        <v>44.532999999999994</v>
      </c>
      <c r="J35" s="263">
        <v>44.730000000000004</v>
      </c>
      <c r="K35" s="263">
        <v>46.429000000000002</v>
      </c>
      <c r="L35" s="263">
        <v>47.658000000000001</v>
      </c>
      <c r="M35" s="263">
        <v>49.265999999999998</v>
      </c>
      <c r="N35" s="263">
        <v>50.330999999999996</v>
      </c>
      <c r="O35" s="263">
        <v>51.172999999999995</v>
      </c>
      <c r="P35" s="263">
        <v>52.356999999999999</v>
      </c>
      <c r="Q35" s="263">
        <v>53.487000000000002</v>
      </c>
      <c r="R35" s="263">
        <v>54.002000000000002</v>
      </c>
      <c r="S35" s="263">
        <v>54.341999999999999</v>
      </c>
      <c r="T35" s="263">
        <v>54.026999999999994</v>
      </c>
      <c r="U35" s="263">
        <v>54.938000000000002</v>
      </c>
      <c r="V35" s="263">
        <v>56.673999999999999</v>
      </c>
      <c r="W35" s="263">
        <v>57.743000000000009</v>
      </c>
      <c r="X35" s="263">
        <v>58.292000000000002</v>
      </c>
      <c r="Y35" s="263">
        <v>58.831000000000003</v>
      </c>
      <c r="Z35" s="263">
        <v>59.903000000000006</v>
      </c>
      <c r="AA35" s="263">
        <v>60.704000000000001</v>
      </c>
      <c r="AB35" s="263">
        <v>61.527000000000001</v>
      </c>
      <c r="AC35" s="263">
        <v>62.966999999999999</v>
      </c>
      <c r="AD35" s="263">
        <v>64.682999999999993</v>
      </c>
      <c r="AE35" s="263">
        <v>65.335999999999999</v>
      </c>
      <c r="AF35" s="263">
        <v>57.453999999999994</v>
      </c>
      <c r="AG35" s="263">
        <v>57.781999999999996</v>
      </c>
      <c r="AH35" s="263">
        <v>58.121000000000002</v>
      </c>
      <c r="AI35" s="263">
        <v>54.143000000000001</v>
      </c>
      <c r="AJ35" s="263">
        <v>56.314999999999998</v>
      </c>
      <c r="AK35" s="295">
        <v>59.11</v>
      </c>
      <c r="AL35" s="286">
        <f t="shared" si="1"/>
        <v>4.9631536890704098</v>
      </c>
      <c r="AM35" s="258" t="s">
        <v>35</v>
      </c>
    </row>
    <row r="36" spans="1:39" ht="12.75" customHeight="1">
      <c r="A36" s="174"/>
      <c r="B36" s="150" t="s">
        <v>6</v>
      </c>
      <c r="C36" s="242">
        <v>41.835999999999999</v>
      </c>
      <c r="D36" s="242">
        <v>61.817</v>
      </c>
      <c r="E36" s="219">
        <v>73.271000000000001</v>
      </c>
      <c r="F36" s="219">
        <v>74.744</v>
      </c>
      <c r="G36" s="219">
        <v>73.372</v>
      </c>
      <c r="H36" s="219">
        <v>71.417000000000002</v>
      </c>
      <c r="I36" s="78">
        <v>68.358000000000004</v>
      </c>
      <c r="J36" s="219">
        <v>69.585999999999999</v>
      </c>
      <c r="K36" s="219">
        <v>70.774000000000001</v>
      </c>
      <c r="L36" s="219">
        <v>71.406000000000006</v>
      </c>
      <c r="M36" s="219">
        <v>72.540000000000006</v>
      </c>
      <c r="N36" s="219">
        <v>73.531000000000006</v>
      </c>
      <c r="O36" s="219">
        <v>74.983999999999995</v>
      </c>
      <c r="P36" s="219">
        <v>75.494</v>
      </c>
      <c r="Q36" s="219">
        <v>76.369</v>
      </c>
      <c r="R36" s="219">
        <v>77.001000000000005</v>
      </c>
      <c r="S36" s="219">
        <v>77.739999999999995</v>
      </c>
      <c r="T36" s="219">
        <v>77.843666860328781</v>
      </c>
      <c r="U36" s="219">
        <v>78.393953223730662</v>
      </c>
      <c r="V36" s="219">
        <v>79.260623932682179</v>
      </c>
      <c r="W36" s="219">
        <v>81.397084209782676</v>
      </c>
      <c r="X36" s="219">
        <v>83.886968006548258</v>
      </c>
      <c r="Y36" s="219">
        <v>85.933533439588999</v>
      </c>
      <c r="Z36" s="219">
        <v>86.723464407541854</v>
      </c>
      <c r="AA36" s="219">
        <v>88.150322894885875</v>
      </c>
      <c r="AB36" s="219">
        <v>89.467242702471935</v>
      </c>
      <c r="AC36" s="219">
        <v>90.704169848966231</v>
      </c>
      <c r="AD36" s="219">
        <v>91.99485759804989</v>
      </c>
      <c r="AE36" s="219">
        <v>93.969831233243212</v>
      </c>
      <c r="AF36" s="219">
        <v>95.741516238000003</v>
      </c>
      <c r="AG36" s="219">
        <v>96.896580954694045</v>
      </c>
      <c r="AH36" s="219">
        <v>97.852048500000009</v>
      </c>
      <c r="AI36" s="219">
        <v>75.351226797807229</v>
      </c>
      <c r="AJ36" s="335">
        <v>80.111791474000015</v>
      </c>
      <c r="AK36" s="335">
        <v>85.803813549990068</v>
      </c>
      <c r="AL36" s="218">
        <f t="shared" si="1"/>
        <v>7.1050989763939754</v>
      </c>
      <c r="AM36" s="150" t="s">
        <v>6</v>
      </c>
    </row>
    <row r="37" spans="1:39" ht="12.75" customHeight="1">
      <c r="A37" s="174"/>
      <c r="B37" s="258" t="s">
        <v>124</v>
      </c>
      <c r="C37" s="92"/>
      <c r="D37" s="92"/>
      <c r="E37" s="263"/>
      <c r="F37" s="263"/>
      <c r="G37" s="263"/>
      <c r="H37" s="263"/>
      <c r="I37" s="263"/>
      <c r="J37" s="263"/>
      <c r="K37" s="263"/>
      <c r="L37" s="263"/>
      <c r="M37" s="263"/>
      <c r="N37" s="263"/>
      <c r="O37" s="263"/>
      <c r="P37" s="263"/>
      <c r="Q37" s="263"/>
      <c r="R37" s="263"/>
      <c r="S37" s="263"/>
      <c r="T37" s="263"/>
      <c r="U37" s="263"/>
      <c r="V37" s="263"/>
      <c r="W37" s="263"/>
      <c r="X37" s="263"/>
      <c r="AK37" s="225"/>
      <c r="AL37" s="286"/>
      <c r="AM37" s="258" t="s">
        <v>124</v>
      </c>
    </row>
    <row r="38" spans="1:39" ht="12.75" customHeight="1">
      <c r="A38" s="76"/>
      <c r="B38" s="79" t="s">
        <v>76</v>
      </c>
      <c r="C38" s="80"/>
      <c r="D38" s="80"/>
      <c r="E38" s="268"/>
      <c r="F38" s="268"/>
      <c r="G38" s="268"/>
      <c r="H38" s="268"/>
      <c r="I38" s="268"/>
      <c r="J38" s="267"/>
      <c r="K38" s="267"/>
      <c r="L38" s="267"/>
      <c r="M38" s="267"/>
      <c r="N38" s="267"/>
      <c r="O38" s="267"/>
      <c r="P38" s="267"/>
      <c r="Q38" s="267"/>
      <c r="R38" s="267"/>
      <c r="S38" s="267"/>
      <c r="T38" s="267"/>
      <c r="U38" s="267"/>
      <c r="V38" s="267"/>
      <c r="W38" s="267"/>
      <c r="X38" s="267"/>
      <c r="Y38" s="267">
        <v>4.0794439430330511</v>
      </c>
      <c r="Z38" s="267">
        <v>3.9296942863908528</v>
      </c>
      <c r="AA38" s="267">
        <v>3.9769749659620941</v>
      </c>
      <c r="AB38" s="267">
        <v>4.0735233437976959</v>
      </c>
      <c r="AC38" s="267">
        <v>4.0257796220392139</v>
      </c>
      <c r="AD38" s="267">
        <v>4.0854062327582561</v>
      </c>
      <c r="AE38" s="267">
        <v>4.496951770863971</v>
      </c>
      <c r="AF38" s="267">
        <v>4.6042243626959474</v>
      </c>
      <c r="AG38" s="267">
        <v>4.8779336888028233</v>
      </c>
      <c r="AH38" s="267">
        <v>5.1247582035424344</v>
      </c>
      <c r="AI38" s="267">
        <v>4.2047782114190451</v>
      </c>
      <c r="AJ38" s="267">
        <v>4.6569193022782072</v>
      </c>
      <c r="AK38" s="252">
        <v>4.975237818142932</v>
      </c>
      <c r="AL38" s="196">
        <f t="shared" si="1"/>
        <v>6.8353882728652877</v>
      </c>
      <c r="AM38" s="79" t="s">
        <v>76</v>
      </c>
    </row>
    <row r="39" spans="1:39" ht="12.75" customHeight="1">
      <c r="A39" s="76"/>
      <c r="B39" s="258" t="s">
        <v>125</v>
      </c>
      <c r="C39" s="402"/>
      <c r="D39" s="92"/>
      <c r="E39" s="263"/>
      <c r="F39" s="263"/>
      <c r="G39" s="263"/>
      <c r="H39" s="263"/>
      <c r="I39" s="263"/>
      <c r="J39" s="264"/>
      <c r="K39" s="264"/>
      <c r="L39" s="264"/>
      <c r="M39" s="264"/>
      <c r="N39" s="264"/>
      <c r="O39" s="263">
        <v>1.1900000000000001E-2</v>
      </c>
      <c r="P39" s="263">
        <v>1.1800000000000001E-2</v>
      </c>
      <c r="Q39" s="263">
        <v>1.11E-2</v>
      </c>
      <c r="R39" s="263">
        <v>1.26E-2</v>
      </c>
      <c r="S39" s="263">
        <v>1.9800000000000002E-2</v>
      </c>
      <c r="T39" s="263">
        <v>1.9199999999999998E-2</v>
      </c>
      <c r="U39" s="263">
        <v>2.0300000000000002E-2</v>
      </c>
      <c r="V39" s="263">
        <v>6.59E-2</v>
      </c>
      <c r="W39" s="263">
        <v>8.43E-2</v>
      </c>
      <c r="X39" s="263">
        <v>7.2499999999999995E-2</v>
      </c>
      <c r="Y39" s="263">
        <v>8.0099999999999991E-2</v>
      </c>
      <c r="Z39" s="263">
        <v>8.0500000000000002E-2</v>
      </c>
      <c r="AA39" s="263">
        <v>7.4499999999999997E-2</v>
      </c>
      <c r="AB39" s="263">
        <v>7.5999999999999998E-2</v>
      </c>
      <c r="AC39" s="263">
        <v>6.25E-2</v>
      </c>
      <c r="AD39" s="263">
        <v>0.10050000000000001</v>
      </c>
      <c r="AE39" s="263">
        <v>0.10779999999999999</v>
      </c>
      <c r="AF39" s="263">
        <v>0.1489</v>
      </c>
      <c r="AG39" s="263">
        <v>0.21990000000000001</v>
      </c>
      <c r="AH39" s="263">
        <v>0.22059999999999999</v>
      </c>
      <c r="AI39" s="263">
        <v>0.15380000000000002</v>
      </c>
      <c r="AJ39" s="263">
        <v>0.21180000000000002</v>
      </c>
      <c r="AK39" s="403">
        <v>0.20580000000000001</v>
      </c>
      <c r="AL39" s="286">
        <f t="shared" si="1"/>
        <v>-2.8328611898017044</v>
      </c>
      <c r="AM39" s="258" t="s">
        <v>125</v>
      </c>
    </row>
    <row r="40" spans="1:39" ht="12" customHeight="1">
      <c r="A40" s="76"/>
      <c r="B40" s="79" t="s">
        <v>3</v>
      </c>
      <c r="C40" s="195"/>
      <c r="D40" s="80"/>
      <c r="E40" s="268">
        <v>3.6920000000000002</v>
      </c>
      <c r="F40" s="268"/>
      <c r="G40" s="268"/>
      <c r="H40" s="269"/>
      <c r="I40" s="269"/>
      <c r="J40" s="267">
        <v>4.5750000000000002</v>
      </c>
      <c r="K40" s="267"/>
      <c r="L40" s="267"/>
      <c r="M40" s="267"/>
      <c r="N40" s="267"/>
      <c r="O40" s="272">
        <v>4.7930000000000001</v>
      </c>
      <c r="P40" s="272">
        <v>4.6710000000000003</v>
      </c>
      <c r="Q40" s="272">
        <v>4.6870000000000003</v>
      </c>
      <c r="R40" s="272">
        <v>4.6369999999999996</v>
      </c>
      <c r="S40" s="272">
        <v>4.2</v>
      </c>
      <c r="T40" s="272">
        <v>3.9740000000000002</v>
      </c>
      <c r="U40" s="272">
        <v>3.806</v>
      </c>
      <c r="V40" s="272">
        <v>3.9740000000000002</v>
      </c>
      <c r="W40" s="272">
        <v>4.2149999999999999</v>
      </c>
      <c r="X40" s="272">
        <v>4.2439999999999998</v>
      </c>
      <c r="Y40" s="272">
        <v>4.6829999999999998</v>
      </c>
      <c r="Z40" s="272">
        <v>5.3220000000000001</v>
      </c>
      <c r="AA40" s="272">
        <v>5.1159999999999997</v>
      </c>
      <c r="AB40" s="272">
        <v>5.9640000000000004</v>
      </c>
      <c r="AC40" s="272">
        <v>6.7690000000000001</v>
      </c>
      <c r="AD40" s="272">
        <v>6.9870000000000001</v>
      </c>
      <c r="AE40" s="272">
        <v>7.1920000000000002</v>
      </c>
      <c r="AF40" s="272">
        <v>9.1679999999999993</v>
      </c>
      <c r="AG40" s="272">
        <v>9.452</v>
      </c>
      <c r="AH40" s="272">
        <v>9.7029999999999994</v>
      </c>
      <c r="AI40" s="272">
        <v>9.69</v>
      </c>
      <c r="AJ40" s="268">
        <v>10.81</v>
      </c>
      <c r="AK40" s="367">
        <v>10.919043</v>
      </c>
      <c r="AL40" s="196">
        <f t="shared" si="1"/>
        <v>1.0087234042553064</v>
      </c>
      <c r="AM40" s="79" t="s">
        <v>3</v>
      </c>
    </row>
    <row r="41" spans="1:39" ht="12.75" customHeight="1">
      <c r="A41" s="76"/>
      <c r="B41" s="258" t="s">
        <v>82</v>
      </c>
      <c r="C41" s="402"/>
      <c r="D41" s="92"/>
      <c r="E41" s="263"/>
      <c r="F41" s="263"/>
      <c r="G41" s="263">
        <v>2.6850000000000001</v>
      </c>
      <c r="H41" s="263">
        <v>4.2930000000000001</v>
      </c>
      <c r="I41" s="263">
        <v>4.6379999999999999</v>
      </c>
      <c r="J41" s="263">
        <v>4.7590000000000003</v>
      </c>
      <c r="K41" s="263">
        <v>5.01</v>
      </c>
      <c r="L41" s="263">
        <v>3.5310000000000001</v>
      </c>
      <c r="M41" s="263">
        <v>4.734</v>
      </c>
      <c r="N41" s="263">
        <v>4.9619999999999997</v>
      </c>
      <c r="O41" s="263">
        <v>5.1150000000000002</v>
      </c>
      <c r="P41" s="263">
        <v>5.173</v>
      </c>
      <c r="Q41" s="263">
        <v>5.9059999999999997</v>
      </c>
      <c r="R41" s="263">
        <v>6.319</v>
      </c>
      <c r="S41" s="263">
        <v>6.34</v>
      </c>
      <c r="T41" s="263">
        <v>6.6449999999999996</v>
      </c>
      <c r="U41" s="263">
        <v>6.87</v>
      </c>
      <c r="V41" s="263">
        <v>6.3769999999999998</v>
      </c>
      <c r="W41" s="263">
        <v>5.6470000000000002</v>
      </c>
      <c r="X41" s="263">
        <v>6.0679999999999996</v>
      </c>
      <c r="Y41" s="263">
        <v>5.5350000000000001</v>
      </c>
      <c r="Z41" s="263">
        <v>6.726</v>
      </c>
      <c r="AA41" s="263">
        <v>6.6539999999999999</v>
      </c>
      <c r="AB41" s="263">
        <v>7.5869999999999997</v>
      </c>
      <c r="AC41" s="264">
        <v>8.5147087631836964</v>
      </c>
      <c r="AD41" s="264">
        <v>9.1301001235411867</v>
      </c>
      <c r="AE41" s="264">
        <v>9.8813133263123767</v>
      </c>
      <c r="AF41" s="264">
        <v>10.110866732127308</v>
      </c>
      <c r="AG41" s="264">
        <v>10.929970670125762</v>
      </c>
      <c r="AH41" s="264">
        <v>11.816996728020522</v>
      </c>
      <c r="AI41" s="264">
        <v>10.856758658926836</v>
      </c>
      <c r="AJ41" s="264">
        <v>12.548504662861072</v>
      </c>
      <c r="AK41" s="404">
        <v>14.041809133223987</v>
      </c>
      <c r="AL41" s="286">
        <f t="shared" si="1"/>
        <v>11.900258321475903</v>
      </c>
      <c r="AM41" s="258" t="s">
        <v>82</v>
      </c>
    </row>
    <row r="42" spans="1:39" ht="12.75" customHeight="1">
      <c r="A42" s="76"/>
      <c r="B42" s="79" t="s">
        <v>77</v>
      </c>
      <c r="C42" s="80"/>
      <c r="D42" s="195"/>
      <c r="E42" s="268"/>
      <c r="F42" s="268"/>
      <c r="G42" s="268"/>
      <c r="H42" s="269"/>
      <c r="I42" s="269"/>
      <c r="J42" s="267"/>
      <c r="K42" s="267"/>
      <c r="L42" s="267"/>
      <c r="M42" s="267"/>
      <c r="N42" s="267"/>
      <c r="O42" s="267"/>
      <c r="P42" s="267"/>
      <c r="Q42" s="267"/>
      <c r="R42" s="267"/>
      <c r="S42" s="267"/>
      <c r="T42" s="267"/>
      <c r="U42" s="267"/>
      <c r="V42" s="267"/>
      <c r="W42" s="267"/>
      <c r="X42" s="267"/>
      <c r="Y42" s="267">
        <v>30.589796610169493</v>
      </c>
      <c r="Z42" s="267">
        <v>26.079487179487181</v>
      </c>
      <c r="AA42" s="267">
        <v>26.518480492612699</v>
      </c>
      <c r="AB42" s="267">
        <v>27.106308597581521</v>
      </c>
      <c r="AC42" s="267">
        <v>27.918314222064502</v>
      </c>
      <c r="AD42" s="267">
        <v>28.61996915457172</v>
      </c>
      <c r="AE42" s="267">
        <v>29.512492930402949</v>
      </c>
      <c r="AF42" s="267">
        <v>29.985312873850475</v>
      </c>
      <c r="AG42" s="267">
        <v>30.199717049041254</v>
      </c>
      <c r="AH42" s="267">
        <v>31.315304108067288</v>
      </c>
      <c r="AI42" s="267">
        <v>27.690027214984841</v>
      </c>
      <c r="AJ42" s="267">
        <v>30.05764128186371</v>
      </c>
      <c r="AK42" s="401">
        <v>32.629227197841928</v>
      </c>
      <c r="AL42" s="196">
        <f t="shared" si="1"/>
        <v>8.555514692132121</v>
      </c>
      <c r="AM42" s="79" t="s">
        <v>77</v>
      </c>
    </row>
    <row r="43" spans="1:39" ht="12.75" customHeight="1">
      <c r="A43" s="76"/>
      <c r="B43" s="258" t="s">
        <v>19</v>
      </c>
      <c r="C43" s="92" t="s">
        <v>36</v>
      </c>
      <c r="D43" s="92" t="s">
        <v>36</v>
      </c>
      <c r="E43" s="263">
        <v>34.325000000000003</v>
      </c>
      <c r="F43" s="263">
        <v>33.58</v>
      </c>
      <c r="G43" s="263">
        <v>36.889000000000003</v>
      </c>
      <c r="H43" s="263">
        <v>41.847999999999999</v>
      </c>
      <c r="I43" s="263">
        <v>45.735999999999997</v>
      </c>
      <c r="J43" s="263">
        <v>52.652000000000001</v>
      </c>
      <c r="K43" s="263">
        <v>57.485999999999997</v>
      </c>
      <c r="L43" s="264">
        <v>62.5</v>
      </c>
      <c r="M43" s="264">
        <v>67.5</v>
      </c>
      <c r="N43" s="264">
        <v>72.5</v>
      </c>
      <c r="O43" s="264">
        <v>79</v>
      </c>
      <c r="P43" s="264">
        <v>81</v>
      </c>
      <c r="Q43" s="264">
        <v>82</v>
      </c>
      <c r="R43" s="264">
        <v>84</v>
      </c>
      <c r="S43" s="264">
        <v>95</v>
      </c>
      <c r="T43" s="264">
        <v>100</v>
      </c>
      <c r="U43" s="264">
        <v>108</v>
      </c>
      <c r="V43" s="264">
        <v>114</v>
      </c>
      <c r="W43" s="264">
        <v>120</v>
      </c>
      <c r="X43" s="134">
        <v>124.038</v>
      </c>
      <c r="Y43" s="263">
        <v>137.857</v>
      </c>
      <c r="Z43" s="263">
        <v>146.93100000000001</v>
      </c>
      <c r="AA43" s="263">
        <v>162.315</v>
      </c>
      <c r="AB43" s="263">
        <v>173.33199999999999</v>
      </c>
      <c r="AC43" s="263">
        <v>182.155</v>
      </c>
      <c r="AD43" s="263">
        <v>199.89500000000001</v>
      </c>
      <c r="AE43" s="263">
        <v>213.85300000000001</v>
      </c>
      <c r="AF43" s="264">
        <v>217.99504601287668</v>
      </c>
      <c r="AG43" s="263">
        <v>229.43899999999999</v>
      </c>
      <c r="AH43" s="263">
        <v>240.517</v>
      </c>
      <c r="AI43" s="263">
        <v>215.29</v>
      </c>
      <c r="AJ43" s="203">
        <v>235.6</v>
      </c>
      <c r="AK43" s="296">
        <v>254.78611749560184</v>
      </c>
      <c r="AL43" s="286">
        <f t="shared" si="1"/>
        <v>8.1435133682520586</v>
      </c>
      <c r="AM43" s="258" t="s">
        <v>19</v>
      </c>
    </row>
    <row r="44" spans="1:39" ht="13.5" customHeight="1">
      <c r="A44" s="76"/>
      <c r="B44" s="150" t="s">
        <v>126</v>
      </c>
      <c r="C44" s="242"/>
      <c r="D44" s="242"/>
      <c r="E44" s="219"/>
      <c r="F44" s="219"/>
      <c r="G44" s="219"/>
      <c r="H44" s="219"/>
      <c r="I44" s="219"/>
      <c r="J44" s="219"/>
      <c r="K44" s="219"/>
      <c r="L44" s="325"/>
      <c r="M44" s="325"/>
      <c r="N44" s="325"/>
      <c r="O44" s="325"/>
      <c r="P44" s="325"/>
      <c r="Q44" s="325"/>
      <c r="R44" s="325"/>
      <c r="S44" s="325"/>
      <c r="T44" s="325"/>
      <c r="U44" s="325"/>
      <c r="V44" s="325"/>
      <c r="W44" s="325"/>
      <c r="X44" s="219"/>
      <c r="Y44" s="219"/>
      <c r="Z44" s="219"/>
      <c r="AA44" s="219"/>
      <c r="AB44" s="219"/>
      <c r="AC44" s="219"/>
      <c r="AD44" s="219"/>
      <c r="AE44" s="219"/>
      <c r="AF44" s="325"/>
      <c r="AG44" s="219"/>
      <c r="AH44" s="219"/>
      <c r="AI44" s="219"/>
      <c r="AJ44" s="219"/>
      <c r="AK44" s="335"/>
      <c r="AL44" s="218"/>
      <c r="AM44" s="150" t="s">
        <v>126</v>
      </c>
    </row>
    <row r="45" spans="1:39" ht="12.75" customHeight="1">
      <c r="B45" s="353" t="s">
        <v>23</v>
      </c>
      <c r="C45" s="405">
        <v>297</v>
      </c>
      <c r="D45" s="405">
        <v>388</v>
      </c>
      <c r="E45" s="406">
        <v>588.00801223155577</v>
      </c>
      <c r="F45" s="406">
        <v>582.21051112987197</v>
      </c>
      <c r="G45" s="406">
        <v>583.04447423105887</v>
      </c>
      <c r="H45" s="407">
        <v>607.1</v>
      </c>
      <c r="I45" s="406">
        <v>614</v>
      </c>
      <c r="J45" s="408">
        <v>617.9</v>
      </c>
      <c r="K45" s="406">
        <v>622.26547196005436</v>
      </c>
      <c r="L45" s="406">
        <v>632.36844245461566</v>
      </c>
      <c r="M45" s="406">
        <v>635.67752258646681</v>
      </c>
      <c r="N45" s="406">
        <v>642.08668197619511</v>
      </c>
      <c r="O45" s="407">
        <v>638.56607249072079</v>
      </c>
      <c r="P45" s="406">
        <v>651.39619970162107</v>
      </c>
      <c r="Q45" s="406">
        <v>672.71946918280548</v>
      </c>
      <c r="R45" s="406">
        <v>666.72758889719205</v>
      </c>
      <c r="S45" s="406">
        <v>669.95436960590973</v>
      </c>
      <c r="T45" s="406">
        <v>664.61344816034648</v>
      </c>
      <c r="U45" s="406">
        <v>670.20589686090602</v>
      </c>
      <c r="V45" s="406">
        <v>671.50201366709234</v>
      </c>
      <c r="W45" s="406">
        <v>664.21176809330154</v>
      </c>
      <c r="X45" s="406">
        <v>658.68693868224295</v>
      </c>
      <c r="Y45" s="406">
        <v>644.26302269427867</v>
      </c>
      <c r="Z45" s="406">
        <v>644.77194296368918</v>
      </c>
      <c r="AA45" s="406">
        <v>648.91483653455771</v>
      </c>
      <c r="AB45" s="406">
        <v>645.20861044865035</v>
      </c>
      <c r="AC45" s="406">
        <v>659.48418362247025</v>
      </c>
      <c r="AD45" s="406">
        <v>661.90774944113491</v>
      </c>
      <c r="AE45" s="407">
        <v>673.6765046612868</v>
      </c>
      <c r="AF45" s="406">
        <v>678.99113367776033</v>
      </c>
      <c r="AG45" s="406">
        <v>687.22779958630042</v>
      </c>
      <c r="AH45" s="406">
        <v>697.76272714556535</v>
      </c>
      <c r="AI45" s="406">
        <v>505.25961162215827</v>
      </c>
      <c r="AJ45" s="276">
        <v>566.10626439113844</v>
      </c>
      <c r="AK45" s="409">
        <v>636.78132715190259</v>
      </c>
      <c r="AL45" s="363">
        <f t="shared" si="1"/>
        <v>12.484416302436955</v>
      </c>
      <c r="AM45" s="273" t="s">
        <v>23</v>
      </c>
    </row>
    <row r="46" spans="1:39" ht="12.75" customHeight="1">
      <c r="B46" s="84" t="s">
        <v>121</v>
      </c>
      <c r="C46" s="243"/>
      <c r="D46" s="243"/>
      <c r="E46" s="243"/>
      <c r="F46" s="243"/>
      <c r="G46" s="243"/>
      <c r="H46" s="243"/>
      <c r="I46" s="243"/>
      <c r="J46" s="243"/>
      <c r="K46" s="243"/>
      <c r="L46" s="243"/>
      <c r="M46" s="243"/>
      <c r="N46" s="243"/>
      <c r="O46" s="243"/>
      <c r="P46" s="243"/>
      <c r="Q46" s="243"/>
      <c r="R46" s="243"/>
      <c r="S46" s="243"/>
      <c r="T46" s="410"/>
      <c r="U46" s="410"/>
      <c r="V46" s="410"/>
      <c r="W46" s="410"/>
      <c r="X46" s="410"/>
      <c r="Y46" s="410"/>
      <c r="Z46" s="410"/>
      <c r="AA46" s="410"/>
      <c r="AB46" s="410"/>
      <c r="AC46" s="410"/>
      <c r="AD46" s="410"/>
      <c r="AE46" s="410"/>
      <c r="AF46" s="410"/>
      <c r="AG46" s="410"/>
      <c r="AH46" s="410"/>
      <c r="AI46" s="410"/>
      <c r="AJ46" s="410"/>
      <c r="AK46" s="410"/>
      <c r="AM46" s="410"/>
    </row>
    <row r="47" spans="1:39" ht="13.5" customHeight="1">
      <c r="A47" s="70"/>
      <c r="B47" s="75" t="s">
        <v>110</v>
      </c>
      <c r="C47" s="411"/>
      <c r="D47" s="74"/>
      <c r="E47" s="412"/>
      <c r="F47" s="412"/>
      <c r="G47" s="412"/>
      <c r="H47" s="74"/>
      <c r="I47" s="412"/>
      <c r="J47" s="74"/>
      <c r="K47" s="74"/>
      <c r="L47" s="412"/>
      <c r="M47" s="412"/>
      <c r="N47" s="74"/>
      <c r="O47" s="74"/>
      <c r="P47" s="412"/>
      <c r="Q47" s="412"/>
      <c r="R47" s="413"/>
      <c r="S47" s="413"/>
      <c r="T47" s="414"/>
      <c r="U47" s="414"/>
      <c r="V47" s="414"/>
      <c r="W47" s="414"/>
      <c r="X47" s="414"/>
      <c r="Y47" s="414"/>
      <c r="Z47" s="414"/>
      <c r="AA47" s="414"/>
      <c r="AB47" s="414"/>
      <c r="AC47" s="414"/>
      <c r="AD47" s="414"/>
      <c r="AE47" s="414"/>
      <c r="AF47" s="414"/>
      <c r="AG47" s="414"/>
      <c r="AH47" s="414"/>
      <c r="AI47" s="414"/>
      <c r="AJ47" s="414"/>
      <c r="AK47" s="414"/>
      <c r="AL47" s="414"/>
      <c r="AM47" s="414"/>
    </row>
    <row r="48" spans="1:39" ht="12.75" customHeight="1">
      <c r="A48" s="70"/>
      <c r="B48" s="73" t="s">
        <v>142</v>
      </c>
    </row>
    <row r="49" spans="1:37" ht="12.75" customHeight="1">
      <c r="A49" s="70"/>
      <c r="B49" s="415" t="s">
        <v>128</v>
      </c>
      <c r="C49" s="225"/>
      <c r="D49" s="225"/>
      <c r="E49" s="225"/>
      <c r="F49" s="225"/>
      <c r="G49" s="225"/>
      <c r="H49" s="225"/>
      <c r="I49" s="225"/>
      <c r="J49" s="225"/>
      <c r="K49" s="225"/>
      <c r="L49" s="225"/>
    </row>
    <row r="50" spans="1:37" ht="15">
      <c r="B50" s="415" t="s">
        <v>143</v>
      </c>
      <c r="C50" s="225"/>
      <c r="D50" s="225"/>
      <c r="E50" s="225"/>
      <c r="F50" s="225"/>
      <c r="G50" s="225"/>
      <c r="H50" s="225"/>
      <c r="I50" s="225"/>
      <c r="J50" s="225"/>
      <c r="K50" s="225"/>
      <c r="L50" s="225"/>
      <c r="O50" s="368"/>
      <c r="P50" s="368"/>
      <c r="Q50" s="368"/>
      <c r="R50" s="368"/>
      <c r="S50" s="368"/>
      <c r="T50" s="368"/>
      <c r="U50" s="368"/>
      <c r="V50" s="368"/>
      <c r="W50" s="368"/>
      <c r="X50" s="368"/>
      <c r="Y50" s="368"/>
      <c r="Z50" s="368"/>
      <c r="AA50" s="368"/>
      <c r="AB50" s="368"/>
      <c r="AC50" s="368"/>
      <c r="AD50" s="368"/>
      <c r="AE50" s="368"/>
      <c r="AF50" s="368"/>
      <c r="AG50" s="368"/>
      <c r="AH50" s="368"/>
      <c r="AI50" s="368"/>
      <c r="AJ50" s="368"/>
      <c r="AK50" s="368"/>
    </row>
    <row r="51" spans="1:37">
      <c r="B51" s="72" t="s">
        <v>139</v>
      </c>
    </row>
    <row r="52" spans="1:37">
      <c r="B52" s="70" t="s">
        <v>83</v>
      </c>
    </row>
    <row r="53" spans="1:37">
      <c r="B53" s="70" t="s">
        <v>84</v>
      </c>
      <c r="K53" s="77"/>
      <c r="L53" s="77"/>
      <c r="M53" s="77"/>
    </row>
    <row r="54" spans="1:37">
      <c r="B54" s="84" t="s">
        <v>92</v>
      </c>
    </row>
    <row r="55" spans="1:37">
      <c r="B55" s="84" t="s">
        <v>136</v>
      </c>
    </row>
  </sheetData>
  <mergeCells count="1">
    <mergeCell ref="B2:AM2"/>
  </mergeCells>
  <printOptions horizontalCentered="1"/>
  <pageMargins left="0.47244094488188981"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dimension ref="A1:AM131"/>
  <sheetViews>
    <sheetView topLeftCell="A20" zoomScaleNormal="100" workbookViewId="0">
      <selection activeCell="AP28" sqref="AP28"/>
    </sheetView>
  </sheetViews>
  <sheetFormatPr defaultRowHeight="11.25"/>
  <cols>
    <col min="1" max="1" width="2.7109375" style="70" customWidth="1"/>
    <col min="2" max="2" width="4.28515625" style="70" customWidth="1"/>
    <col min="3" max="14" width="6.7109375" style="70" customWidth="1"/>
    <col min="15" max="15" width="7.42578125" style="70" customWidth="1"/>
    <col min="16" max="16" width="8" style="70" customWidth="1"/>
    <col min="17" max="17" width="8.7109375" style="70" customWidth="1"/>
    <col min="18" max="18" width="7.140625" style="70" customWidth="1"/>
    <col min="19" max="19" width="9" style="70" customWidth="1"/>
    <col min="20" max="20" width="8" style="70" customWidth="1"/>
    <col min="21" max="21" width="7.28515625" style="70" customWidth="1"/>
    <col min="22" max="22" width="7.85546875" style="70" customWidth="1"/>
    <col min="23" max="27" width="7.28515625" style="70" customWidth="1"/>
    <col min="28" max="28" width="9" style="70" customWidth="1"/>
    <col min="29" max="33" width="7.28515625" style="70" customWidth="1"/>
    <col min="34" max="34" width="6.42578125" style="70" customWidth="1"/>
    <col min="35" max="37" width="5.42578125" style="70" customWidth="1"/>
    <col min="38" max="38" width="6.28515625" style="77" customWidth="1"/>
    <col min="39" max="39" width="6.140625" style="70" customWidth="1"/>
    <col min="40" max="16384" width="9.140625" style="70"/>
  </cols>
  <sheetData>
    <row r="1" spans="1:39" ht="14.25" customHeight="1">
      <c r="B1" s="388"/>
      <c r="C1" s="389"/>
      <c r="D1" s="389"/>
      <c r="E1" s="389"/>
      <c r="F1" s="389"/>
      <c r="G1" s="389"/>
      <c r="H1" s="389"/>
      <c r="I1" s="389"/>
      <c r="J1" s="389"/>
      <c r="K1" s="389"/>
      <c r="L1" s="389"/>
      <c r="M1" s="389"/>
      <c r="N1" s="389"/>
      <c r="O1" s="389"/>
      <c r="P1" s="389"/>
      <c r="Q1" s="391"/>
      <c r="T1" s="391"/>
      <c r="U1" s="391"/>
      <c r="V1" s="391"/>
      <c r="W1" s="391"/>
      <c r="X1" s="391"/>
      <c r="Y1" s="391"/>
      <c r="Z1" s="391"/>
      <c r="AA1" s="391"/>
      <c r="AB1" s="391"/>
      <c r="AC1" s="391"/>
      <c r="AD1" s="391"/>
      <c r="AE1" s="391"/>
      <c r="AF1" s="391"/>
      <c r="AG1" s="391"/>
      <c r="AH1" s="391"/>
      <c r="AI1" s="391"/>
      <c r="AJ1" s="391"/>
      <c r="AK1" s="391"/>
      <c r="AM1" s="391" t="s">
        <v>65</v>
      </c>
    </row>
    <row r="2" spans="1:39" s="73" customFormat="1" ht="30" customHeight="1">
      <c r="B2" s="586" t="s">
        <v>100</v>
      </c>
      <c r="C2" s="586"/>
      <c r="D2" s="586"/>
      <c r="E2" s="586"/>
      <c r="F2" s="586"/>
      <c r="G2" s="586"/>
      <c r="H2" s="586"/>
      <c r="I2" s="586"/>
      <c r="J2" s="586"/>
      <c r="K2" s="586"/>
      <c r="L2" s="586"/>
      <c r="M2" s="586"/>
      <c r="N2" s="586"/>
      <c r="O2" s="586"/>
      <c r="P2" s="586"/>
      <c r="Q2" s="586"/>
      <c r="R2" s="586"/>
      <c r="S2" s="586"/>
      <c r="T2" s="586"/>
      <c r="U2" s="586"/>
      <c r="V2" s="586"/>
      <c r="W2" s="586"/>
      <c r="X2" s="586"/>
      <c r="Y2" s="586"/>
      <c r="Z2" s="586"/>
      <c r="AA2" s="586"/>
      <c r="AB2" s="586"/>
      <c r="AC2" s="586"/>
      <c r="AD2" s="586"/>
      <c r="AE2" s="586"/>
      <c r="AF2" s="586"/>
      <c r="AG2" s="586"/>
      <c r="AH2" s="586"/>
      <c r="AI2" s="586"/>
      <c r="AJ2" s="586"/>
      <c r="AK2" s="586"/>
      <c r="AL2" s="586"/>
      <c r="AM2" s="586"/>
    </row>
    <row r="3" spans="1:39" ht="10.5" customHeight="1">
      <c r="C3" s="392"/>
      <c r="D3" s="392"/>
      <c r="E3" s="392"/>
      <c r="F3" s="392"/>
      <c r="G3" s="392"/>
      <c r="H3" s="392"/>
      <c r="I3" s="392"/>
      <c r="J3" s="392"/>
      <c r="K3" s="392"/>
      <c r="L3" s="392"/>
      <c r="M3" s="392"/>
      <c r="N3" s="392"/>
      <c r="O3" s="392"/>
      <c r="P3" s="392"/>
      <c r="Q3" s="392"/>
      <c r="R3" s="392"/>
      <c r="Y3" s="392"/>
      <c r="Z3" s="392"/>
      <c r="AA3" s="392"/>
      <c r="AB3" s="392"/>
      <c r="AC3" s="392"/>
      <c r="AD3" s="392"/>
      <c r="AF3" s="392"/>
      <c r="AG3" s="591" t="s">
        <v>78</v>
      </c>
      <c r="AH3" s="591"/>
      <c r="AI3" s="591"/>
      <c r="AJ3" s="591"/>
      <c r="AK3" s="392"/>
      <c r="AL3" s="168"/>
      <c r="AM3" s="392"/>
    </row>
    <row r="4" spans="1:39" ht="20.100000000000001" customHeight="1">
      <c r="B4" s="256"/>
      <c r="C4" s="235">
        <v>1970</v>
      </c>
      <c r="D4" s="235">
        <v>1980</v>
      </c>
      <c r="E4" s="236">
        <v>1990</v>
      </c>
      <c r="F4" s="236">
        <v>1991</v>
      </c>
      <c r="G4" s="236">
        <v>1992</v>
      </c>
      <c r="H4" s="236">
        <v>1993</v>
      </c>
      <c r="I4" s="236">
        <v>1994</v>
      </c>
      <c r="J4" s="236">
        <v>1995</v>
      </c>
      <c r="K4" s="236">
        <v>1996</v>
      </c>
      <c r="L4" s="236">
        <v>1997</v>
      </c>
      <c r="M4" s="236">
        <v>1998</v>
      </c>
      <c r="N4" s="236">
        <v>1999</v>
      </c>
      <c r="O4" s="236">
        <v>2000</v>
      </c>
      <c r="P4" s="236">
        <v>2001</v>
      </c>
      <c r="Q4" s="236">
        <v>2002</v>
      </c>
      <c r="R4" s="236">
        <v>2003</v>
      </c>
      <c r="S4" s="236">
        <v>2004</v>
      </c>
      <c r="T4" s="236">
        <v>2005</v>
      </c>
      <c r="U4" s="236">
        <v>2006</v>
      </c>
      <c r="V4" s="236">
        <v>2007</v>
      </c>
      <c r="W4" s="236">
        <v>2008</v>
      </c>
      <c r="X4" s="236">
        <v>2009</v>
      </c>
      <c r="Y4" s="236">
        <v>2010</v>
      </c>
      <c r="Z4" s="236">
        <v>2011</v>
      </c>
      <c r="AA4" s="236">
        <v>2012</v>
      </c>
      <c r="AB4" s="236">
        <v>2013</v>
      </c>
      <c r="AC4" s="236">
        <v>2014</v>
      </c>
      <c r="AD4" s="236">
        <v>2015</v>
      </c>
      <c r="AE4" s="236">
        <v>2016</v>
      </c>
      <c r="AF4" s="236">
        <v>2017</v>
      </c>
      <c r="AG4" s="236">
        <v>2018</v>
      </c>
      <c r="AH4" s="236">
        <v>2019</v>
      </c>
      <c r="AI4" s="236">
        <v>2020</v>
      </c>
      <c r="AJ4" s="236">
        <v>2021</v>
      </c>
      <c r="AK4" s="236">
        <v>2022</v>
      </c>
      <c r="AL4" s="244" t="s">
        <v>138</v>
      </c>
      <c r="AM4" s="285"/>
    </row>
    <row r="5" spans="1:39" ht="9.9499999999999993" customHeight="1">
      <c r="B5" s="256"/>
      <c r="C5" s="111"/>
      <c r="D5" s="111"/>
      <c r="E5" s="257"/>
      <c r="F5" s="257"/>
      <c r="G5" s="257"/>
      <c r="H5" s="257"/>
      <c r="I5" s="257"/>
      <c r="J5" s="257"/>
      <c r="K5" s="257"/>
      <c r="L5" s="257"/>
      <c r="M5" s="257"/>
      <c r="N5" s="257"/>
      <c r="O5" s="257"/>
      <c r="P5" s="257"/>
      <c r="Q5" s="257"/>
      <c r="R5" s="257"/>
      <c r="S5" s="257"/>
      <c r="T5" s="257"/>
      <c r="U5" s="257"/>
      <c r="V5" s="257"/>
      <c r="W5" s="257"/>
      <c r="X5" s="257"/>
      <c r="Y5" s="257"/>
      <c r="Z5" s="257"/>
      <c r="AA5" s="257"/>
      <c r="AB5" s="257"/>
      <c r="AC5" s="257"/>
      <c r="AD5" s="257"/>
      <c r="AE5" s="257"/>
      <c r="AF5" s="257"/>
      <c r="AG5" s="257"/>
      <c r="AH5" s="257"/>
      <c r="AI5" s="257"/>
      <c r="AJ5" s="257"/>
      <c r="AK5" s="257"/>
      <c r="AL5" s="329" t="s">
        <v>37</v>
      </c>
      <c r="AM5" s="285"/>
    </row>
    <row r="6" spans="1:39" ht="12.75" customHeight="1">
      <c r="A6" s="165"/>
      <c r="B6" s="245" t="s">
        <v>94</v>
      </c>
      <c r="C6" s="245"/>
      <c r="D6" s="245"/>
      <c r="E6" s="245"/>
      <c r="F6" s="245"/>
      <c r="G6" s="245"/>
      <c r="H6" s="245"/>
      <c r="I6" s="245"/>
      <c r="J6" s="231">
        <f>SUM(J7:J33)</f>
        <v>468.02840644355865</v>
      </c>
      <c r="K6" s="231">
        <f t="shared" ref="K6:AK6" si="0">SUM(K7:K33)</f>
        <v>472.88897060546248</v>
      </c>
      <c r="L6" s="231">
        <f t="shared" si="0"/>
        <v>475.72177987370736</v>
      </c>
      <c r="M6" s="231">
        <f t="shared" si="0"/>
        <v>478.18777007612073</v>
      </c>
      <c r="N6" s="231">
        <f t="shared" si="0"/>
        <v>479.38473191406047</v>
      </c>
      <c r="O6" s="231">
        <f t="shared" si="0"/>
        <v>496.48139003044628</v>
      </c>
      <c r="P6" s="231">
        <f t="shared" si="0"/>
        <v>495.60918925294652</v>
      </c>
      <c r="Q6" s="231">
        <f t="shared" si="0"/>
        <v>492.83103847060499</v>
      </c>
      <c r="R6" s="231">
        <f t="shared" si="0"/>
        <v>495.563921249874</v>
      </c>
      <c r="S6" s="231">
        <f t="shared" si="0"/>
        <v>500.16555335428939</v>
      </c>
      <c r="T6" s="231">
        <f t="shared" si="0"/>
        <v>497.75498053181019</v>
      </c>
      <c r="U6" s="231">
        <f t="shared" si="0"/>
        <v>497.84108408877461</v>
      </c>
      <c r="V6" s="231">
        <f t="shared" si="0"/>
        <v>507.88301482328666</v>
      </c>
      <c r="W6" s="231">
        <f t="shared" si="0"/>
        <v>514.13332772491583</v>
      </c>
      <c r="X6" s="231">
        <f t="shared" si="0"/>
        <v>489.74837464226323</v>
      </c>
      <c r="Y6" s="231">
        <f t="shared" si="0"/>
        <v>482.18637837321461</v>
      </c>
      <c r="Z6" s="231">
        <f t="shared" si="0"/>
        <v>485.63643998143766</v>
      </c>
      <c r="AA6" s="231">
        <f t="shared" si="0"/>
        <v>482.175814406337</v>
      </c>
      <c r="AB6" s="231">
        <f t="shared" si="0"/>
        <v>480.75543431704494</v>
      </c>
      <c r="AC6" s="231">
        <f t="shared" si="0"/>
        <v>476.04717730949386</v>
      </c>
      <c r="AD6" s="231">
        <f t="shared" si="0"/>
        <v>491.83314131807919</v>
      </c>
      <c r="AE6" s="231">
        <f t="shared" si="0"/>
        <v>495.97994091711865</v>
      </c>
      <c r="AF6" s="231">
        <f t="shared" si="0"/>
        <v>477.11721647611023</v>
      </c>
      <c r="AG6" s="231">
        <f t="shared" si="0"/>
        <v>480.68314183210219</v>
      </c>
      <c r="AH6" s="231">
        <f t="shared" si="0"/>
        <v>486.16980595307314</v>
      </c>
      <c r="AI6" s="231">
        <f t="shared" si="0"/>
        <v>291.978593413873</v>
      </c>
      <c r="AJ6" s="231">
        <f t="shared" si="0"/>
        <v>330.77405474657286</v>
      </c>
      <c r="AK6" s="416">
        <f t="shared" si="0"/>
        <v>406.21076687050976</v>
      </c>
      <c r="AL6" s="166">
        <f>AK6/AJ6*100-100</f>
        <v>22.806115244357301</v>
      </c>
      <c r="AM6" s="173" t="s">
        <v>94</v>
      </c>
    </row>
    <row r="7" spans="1:39" ht="12.75" customHeight="1">
      <c r="A7" s="76"/>
      <c r="B7" s="258" t="s">
        <v>24</v>
      </c>
      <c r="C7" s="92">
        <v>12.153</v>
      </c>
      <c r="D7" s="92">
        <v>14.422000000000001</v>
      </c>
      <c r="E7" s="265">
        <v>11.371379813302717</v>
      </c>
      <c r="F7" s="265">
        <v>11.928856672785459</v>
      </c>
      <c r="G7" s="265">
        <v>12.208590988011615</v>
      </c>
      <c r="H7" s="265">
        <v>12.449307712355173</v>
      </c>
      <c r="I7" s="265">
        <v>12.920557778575041</v>
      </c>
      <c r="J7" s="265">
        <v>13.116392749010901</v>
      </c>
      <c r="K7" s="265">
        <v>13.048036161999931</v>
      </c>
      <c r="L7" s="263">
        <v>13.062294037072977</v>
      </c>
      <c r="M7" s="263">
        <v>13.264206083397962</v>
      </c>
      <c r="N7" s="264">
        <v>13.441653719101833</v>
      </c>
      <c r="O7" s="263">
        <v>13.298261168538518</v>
      </c>
      <c r="P7" s="263">
        <v>13.785338279369089</v>
      </c>
      <c r="Q7" s="263">
        <v>14.959423828844177</v>
      </c>
      <c r="R7" s="263">
        <v>16.483572017775955</v>
      </c>
      <c r="S7" s="263">
        <v>17.142992004139298</v>
      </c>
      <c r="T7" s="263">
        <v>17.515048055482509</v>
      </c>
      <c r="U7" s="263">
        <v>18.078005341336816</v>
      </c>
      <c r="V7" s="263">
        <v>18.729636998103302</v>
      </c>
      <c r="W7" s="263">
        <v>17.61</v>
      </c>
      <c r="X7" s="263">
        <v>17.63</v>
      </c>
      <c r="Y7" s="263">
        <v>17.38</v>
      </c>
      <c r="Z7" s="263">
        <v>17.670000000000002</v>
      </c>
      <c r="AA7" s="263">
        <v>17.91</v>
      </c>
      <c r="AB7" s="134">
        <v>15.766400000000001</v>
      </c>
      <c r="AC7" s="263">
        <v>15.4046</v>
      </c>
      <c r="AD7" s="263">
        <v>14.380800000000001</v>
      </c>
      <c r="AE7" s="263">
        <v>13.586600000000001</v>
      </c>
      <c r="AF7" s="326">
        <v>13.36264176286652</v>
      </c>
      <c r="AG7" s="326">
        <v>13.522318041974065</v>
      </c>
      <c r="AH7" s="326">
        <v>13.68139125411258</v>
      </c>
      <c r="AI7" s="326">
        <v>8.8715822207413311</v>
      </c>
      <c r="AJ7" s="296">
        <v>9.275136693189042</v>
      </c>
      <c r="AK7" s="296">
        <v>11.866554733532611</v>
      </c>
      <c r="AL7" s="286">
        <f t="shared" ref="AL7:AL45" si="1">AK7/AJ7*100-100</f>
        <v>27.939405380909491</v>
      </c>
      <c r="AM7" s="417" t="s">
        <v>24</v>
      </c>
    </row>
    <row r="8" spans="1:39" ht="12.75" customHeight="1">
      <c r="A8" s="76"/>
      <c r="B8" s="88" t="s">
        <v>7</v>
      </c>
      <c r="C8" s="90">
        <v>12.234999999999999</v>
      </c>
      <c r="D8" s="90">
        <v>21.614000000000001</v>
      </c>
      <c r="E8" s="259">
        <v>25.954999999999998</v>
      </c>
      <c r="F8" s="259">
        <v>19.026</v>
      </c>
      <c r="G8" s="259">
        <v>16.957000000000001</v>
      </c>
      <c r="H8" s="259">
        <v>14.061999999999999</v>
      </c>
      <c r="I8" s="259">
        <v>12.817</v>
      </c>
      <c r="J8" s="266">
        <v>11.566000000000001</v>
      </c>
      <c r="K8" s="266">
        <v>10.577</v>
      </c>
      <c r="L8" s="266">
        <v>11.863</v>
      </c>
      <c r="M8" s="266">
        <v>12.763999999999999</v>
      </c>
      <c r="N8" s="266">
        <v>14.741</v>
      </c>
      <c r="O8" s="266">
        <v>14.587</v>
      </c>
      <c r="P8" s="266">
        <v>14.962999999999999</v>
      </c>
      <c r="Q8" s="266">
        <v>16.984999999999999</v>
      </c>
      <c r="R8" s="266">
        <v>14.4</v>
      </c>
      <c r="S8" s="266">
        <v>13.029</v>
      </c>
      <c r="T8" s="259">
        <v>13.688000000000001</v>
      </c>
      <c r="U8" s="259">
        <v>12.942</v>
      </c>
      <c r="V8" s="259">
        <v>13.571</v>
      </c>
      <c r="W8" s="259">
        <v>13.839</v>
      </c>
      <c r="X8" s="259">
        <v>10.451000000000001</v>
      </c>
      <c r="Y8" s="259">
        <v>10.613</v>
      </c>
      <c r="Z8" s="259">
        <v>10.843</v>
      </c>
      <c r="AA8" s="259">
        <v>10.481999999999999</v>
      </c>
      <c r="AB8" s="259">
        <v>10.317</v>
      </c>
      <c r="AC8" s="259">
        <v>11.477</v>
      </c>
      <c r="AD8" s="259">
        <v>12.507999999999999</v>
      </c>
      <c r="AE8" s="259">
        <v>12.21</v>
      </c>
      <c r="AF8" s="259">
        <v>10.553000000000001</v>
      </c>
      <c r="AG8" s="259">
        <v>9.8859999999999992</v>
      </c>
      <c r="AH8" s="259">
        <v>10.835000000000001</v>
      </c>
      <c r="AI8" s="259">
        <v>5.0369999999999999</v>
      </c>
      <c r="AJ8" s="398">
        <v>4.95</v>
      </c>
      <c r="AK8" s="398">
        <v>6.74</v>
      </c>
      <c r="AL8" s="167">
        <f t="shared" si="1"/>
        <v>36.161616161616138</v>
      </c>
      <c r="AM8" s="327" t="s">
        <v>7</v>
      </c>
    </row>
    <row r="9" spans="1:39" ht="12.75" customHeight="1">
      <c r="A9" s="76"/>
      <c r="B9" s="258" t="s">
        <v>9</v>
      </c>
      <c r="C9" s="110"/>
      <c r="D9" s="110"/>
      <c r="E9" s="278"/>
      <c r="F9" s="265" t="s">
        <v>36</v>
      </c>
      <c r="G9" s="265" t="s">
        <v>36</v>
      </c>
      <c r="H9" s="265">
        <v>13.617000000000001</v>
      </c>
      <c r="I9" s="109">
        <v>11.523</v>
      </c>
      <c r="J9" s="265">
        <v>18.6005</v>
      </c>
      <c r="K9" s="265">
        <v>16.602499999999999</v>
      </c>
      <c r="L9" s="265">
        <v>15.610800000000001</v>
      </c>
      <c r="M9" s="265">
        <v>15.373099999999999</v>
      </c>
      <c r="N9" s="109">
        <v>15.4438</v>
      </c>
      <c r="O9" s="265">
        <v>16.171300000000002</v>
      </c>
      <c r="P9" s="265">
        <v>17.519300000000001</v>
      </c>
      <c r="Q9" s="265">
        <v>16.5305</v>
      </c>
      <c r="R9" s="265">
        <v>16.424800000000001</v>
      </c>
      <c r="S9" s="265">
        <v>15.218</v>
      </c>
      <c r="T9" s="265">
        <v>15.607900000000001</v>
      </c>
      <c r="U9" s="265">
        <v>16.0151</v>
      </c>
      <c r="V9" s="265">
        <v>16.120899999999999</v>
      </c>
      <c r="W9" s="265">
        <v>16.1069</v>
      </c>
      <c r="X9" s="265">
        <v>16.062000000000001</v>
      </c>
      <c r="Y9" s="265">
        <v>16.955599999999997</v>
      </c>
      <c r="Z9" s="265">
        <v>15.832799999999999</v>
      </c>
      <c r="AA9" s="265">
        <v>15.326799999999999</v>
      </c>
      <c r="AB9" s="109">
        <v>15.7209</v>
      </c>
      <c r="AC9" s="265">
        <v>17.055299999999999</v>
      </c>
      <c r="AD9" s="265">
        <v>16.262900000000002</v>
      </c>
      <c r="AE9" s="265">
        <v>17.276</v>
      </c>
      <c r="AF9" s="265">
        <v>18.258800000000001</v>
      </c>
      <c r="AG9" s="265">
        <v>18.121699999999997</v>
      </c>
      <c r="AH9" s="265">
        <v>17.968400000000003</v>
      </c>
      <c r="AI9" s="265">
        <v>9.3687000000000005</v>
      </c>
      <c r="AJ9" s="396">
        <v>9.0942999999999987</v>
      </c>
      <c r="AK9" s="396">
        <v>12.592000000000001</v>
      </c>
      <c r="AL9" s="286">
        <f t="shared" si="1"/>
        <v>38.460354287850663</v>
      </c>
      <c r="AM9" s="417" t="s">
        <v>9</v>
      </c>
    </row>
    <row r="10" spans="1:39" ht="12.75" customHeight="1">
      <c r="A10" s="76"/>
      <c r="B10" s="88" t="s">
        <v>20</v>
      </c>
      <c r="C10" s="90">
        <v>3.8980000000000001</v>
      </c>
      <c r="D10" s="90">
        <v>4.6109999999999998</v>
      </c>
      <c r="E10" s="259">
        <v>6.4429999999999996</v>
      </c>
      <c r="F10" s="259">
        <v>6.3940000000000001</v>
      </c>
      <c r="G10" s="259">
        <v>6.4210000000000003</v>
      </c>
      <c r="H10" s="259">
        <v>6.601</v>
      </c>
      <c r="I10" s="259">
        <v>6.7450000000000001</v>
      </c>
      <c r="J10" s="259">
        <v>7.2839999999999998</v>
      </c>
      <c r="K10" s="259">
        <v>7.7169999999999996</v>
      </c>
      <c r="L10" s="259">
        <v>7.5960000000000001</v>
      </c>
      <c r="M10" s="259">
        <v>7.5430000000000001</v>
      </c>
      <c r="N10" s="259">
        <v>7.3970000000000002</v>
      </c>
      <c r="O10" s="259">
        <v>7.4180000000000001</v>
      </c>
      <c r="P10" s="259">
        <v>7.3319999999999999</v>
      </c>
      <c r="Q10" s="259">
        <v>7.2949999999999999</v>
      </c>
      <c r="R10" s="259">
        <v>7.2720000000000002</v>
      </c>
      <c r="S10" s="259">
        <v>7.3</v>
      </c>
      <c r="T10" s="259">
        <v>7.1689999999999996</v>
      </c>
      <c r="U10" s="259">
        <v>7.0540000000000003</v>
      </c>
      <c r="V10" s="259">
        <v>6.8449999999999998</v>
      </c>
      <c r="W10" s="259">
        <v>6.7389999999999999</v>
      </c>
      <c r="X10" s="259">
        <v>6.7460000000000004</v>
      </c>
      <c r="Y10" s="259">
        <v>6.8209999999999997</v>
      </c>
      <c r="Z10" s="259">
        <v>6.673</v>
      </c>
      <c r="AA10" s="259">
        <v>6.4660000000000002</v>
      </c>
      <c r="AB10" s="259">
        <v>6.4660000000000002</v>
      </c>
      <c r="AC10" s="259">
        <v>6.5579999999999998</v>
      </c>
      <c r="AD10" s="259">
        <v>6.8550000000000004</v>
      </c>
      <c r="AE10" s="259">
        <v>7.069</v>
      </c>
      <c r="AF10" s="259">
        <v>7.3</v>
      </c>
      <c r="AG10" s="259">
        <v>7.1079999999999997</v>
      </c>
      <c r="AH10" s="259">
        <v>6.9290000000000003</v>
      </c>
      <c r="AI10" s="259">
        <v>4.5469999999999997</v>
      </c>
      <c r="AJ10" s="398">
        <v>4.8339999999999996</v>
      </c>
      <c r="AK10" s="398">
        <v>8.1950000000000003</v>
      </c>
      <c r="AL10" s="167">
        <f t="shared" si="1"/>
        <v>69.528340918494024</v>
      </c>
      <c r="AM10" s="327" t="s">
        <v>20</v>
      </c>
    </row>
    <row r="11" spans="1:39" ht="12.75" customHeight="1">
      <c r="A11" s="76"/>
      <c r="B11" s="258" t="s">
        <v>25</v>
      </c>
      <c r="C11" s="108">
        <v>67.7</v>
      </c>
      <c r="D11" s="107">
        <v>90</v>
      </c>
      <c r="E11" s="265">
        <v>73.099999999999994</v>
      </c>
      <c r="F11" s="265">
        <v>70.3</v>
      </c>
      <c r="G11" s="265">
        <v>69.900000000000006</v>
      </c>
      <c r="H11" s="265">
        <v>70.2</v>
      </c>
      <c r="I11" s="265">
        <v>68.599999999999994</v>
      </c>
      <c r="J11" s="265">
        <v>68.5</v>
      </c>
      <c r="K11" s="265">
        <v>68.3</v>
      </c>
      <c r="L11" s="265">
        <v>68</v>
      </c>
      <c r="M11" s="265">
        <v>68.2</v>
      </c>
      <c r="N11" s="265">
        <v>68</v>
      </c>
      <c r="O11" s="265">
        <v>69</v>
      </c>
      <c r="P11" s="265">
        <v>68.7</v>
      </c>
      <c r="Q11" s="265">
        <v>67.5</v>
      </c>
      <c r="R11" s="265">
        <v>67.5</v>
      </c>
      <c r="S11" s="265">
        <v>67.805999999999997</v>
      </c>
      <c r="T11" s="265">
        <v>67.061999999999998</v>
      </c>
      <c r="U11" s="265">
        <v>66.183999999999997</v>
      </c>
      <c r="V11" s="265">
        <v>65.387</v>
      </c>
      <c r="W11" s="265">
        <v>63.591999999999999</v>
      </c>
      <c r="X11" s="265">
        <v>62.097000000000001</v>
      </c>
      <c r="Y11" s="265">
        <v>61.767000000000003</v>
      </c>
      <c r="Z11" s="265">
        <v>61.4</v>
      </c>
      <c r="AA11" s="265">
        <v>59.4</v>
      </c>
      <c r="AB11" s="265">
        <v>60.5</v>
      </c>
      <c r="AC11" s="265">
        <v>62.2</v>
      </c>
      <c r="AD11" s="265">
        <v>65.099999999999994</v>
      </c>
      <c r="AE11" s="265">
        <v>64.400000000000006</v>
      </c>
      <c r="AF11" s="265">
        <v>62.5</v>
      </c>
      <c r="AG11" s="265">
        <v>62.5</v>
      </c>
      <c r="AH11" s="265">
        <v>61.3</v>
      </c>
      <c r="AI11" s="265">
        <v>34</v>
      </c>
      <c r="AJ11" s="396">
        <v>34.299999999999997</v>
      </c>
      <c r="AK11" s="396">
        <v>46.5</v>
      </c>
      <c r="AL11" s="286">
        <f t="shared" si="1"/>
        <v>35.56851311953352</v>
      </c>
      <c r="AM11" s="417" t="s">
        <v>25</v>
      </c>
    </row>
    <row r="12" spans="1:39" ht="12.75" customHeight="1">
      <c r="A12" s="76"/>
      <c r="B12" s="88" t="s">
        <v>10</v>
      </c>
      <c r="C12" s="90">
        <v>2.61</v>
      </c>
      <c r="D12" s="90">
        <v>3.66</v>
      </c>
      <c r="E12" s="259">
        <v>4.45</v>
      </c>
      <c r="F12" s="259">
        <v>3.83</v>
      </c>
      <c r="G12" s="259">
        <v>2.97</v>
      </c>
      <c r="H12" s="259">
        <v>2.54</v>
      </c>
      <c r="I12" s="259">
        <v>2.35</v>
      </c>
      <c r="J12" s="259">
        <v>2.048</v>
      </c>
      <c r="K12" s="259">
        <v>2.0910000000000002</v>
      </c>
      <c r="L12" s="259">
        <v>2.238</v>
      </c>
      <c r="M12" s="259">
        <v>2.2650000000000001</v>
      </c>
      <c r="N12" s="259">
        <v>2.2229999999999999</v>
      </c>
      <c r="O12" s="259">
        <v>2.63</v>
      </c>
      <c r="P12" s="259">
        <v>2.4609999999999999</v>
      </c>
      <c r="Q12" s="259">
        <v>2.33</v>
      </c>
      <c r="R12" s="259">
        <v>2.2970000000000002</v>
      </c>
      <c r="S12" s="259">
        <v>2.4689999999999999</v>
      </c>
      <c r="T12" s="259">
        <v>2.7160000000000002</v>
      </c>
      <c r="U12" s="259">
        <v>2.8809999999999998</v>
      </c>
      <c r="V12" s="259">
        <v>2.677</v>
      </c>
      <c r="W12" s="259">
        <v>2.4529999999999998</v>
      </c>
      <c r="X12" s="259">
        <v>2.1139999999999999</v>
      </c>
      <c r="Y12" s="259">
        <v>2.0609999999999999</v>
      </c>
      <c r="Z12" s="259">
        <v>2.0706943</v>
      </c>
      <c r="AA12" s="259">
        <v>1.8813</v>
      </c>
      <c r="AB12" s="259">
        <v>1.9296</v>
      </c>
      <c r="AC12" s="259">
        <v>1.9757499999999999</v>
      </c>
      <c r="AD12" s="259">
        <v>2.359</v>
      </c>
      <c r="AE12" s="259">
        <v>2.9380000000000002</v>
      </c>
      <c r="AF12" s="259">
        <v>2.8690000000000002</v>
      </c>
      <c r="AG12" s="259">
        <v>2.84</v>
      </c>
      <c r="AH12" s="259">
        <v>3.153</v>
      </c>
      <c r="AI12" s="259">
        <v>1.3740000000000001</v>
      </c>
      <c r="AJ12" s="398">
        <v>1.288</v>
      </c>
      <c r="AK12" s="398">
        <v>1.9630000000000001</v>
      </c>
      <c r="AL12" s="167">
        <f t="shared" si="1"/>
        <v>52.406832298136663</v>
      </c>
      <c r="AM12" s="327" t="s">
        <v>10</v>
      </c>
    </row>
    <row r="13" spans="1:39" ht="12.75" customHeight="1">
      <c r="A13" s="76"/>
      <c r="B13" s="258" t="s">
        <v>28</v>
      </c>
      <c r="C13" s="92">
        <v>3.3</v>
      </c>
      <c r="D13" s="92">
        <v>4.5</v>
      </c>
      <c r="E13" s="263">
        <v>3.86</v>
      </c>
      <c r="F13" s="263">
        <v>4.0999999999999996</v>
      </c>
      <c r="G13" s="263">
        <v>4.3</v>
      </c>
      <c r="H13" s="263">
        <v>4.49</v>
      </c>
      <c r="I13" s="263">
        <v>5</v>
      </c>
      <c r="J13" s="263">
        <v>5.15</v>
      </c>
      <c r="K13" s="263">
        <v>5.3</v>
      </c>
      <c r="L13" s="264">
        <v>5.5</v>
      </c>
      <c r="M13" s="264">
        <v>5.7</v>
      </c>
      <c r="N13" s="264">
        <v>5.9</v>
      </c>
      <c r="O13" s="106">
        <v>6.9631999999999996</v>
      </c>
      <c r="P13" s="264">
        <v>7.2896000000000001</v>
      </c>
      <c r="Q13" s="264">
        <v>7.2624000000000004</v>
      </c>
      <c r="R13" s="264">
        <v>7.5343999999999998</v>
      </c>
      <c r="S13" s="264">
        <v>7.8608000000000002</v>
      </c>
      <c r="T13" s="264">
        <v>7.9151999999999996</v>
      </c>
      <c r="U13" s="264">
        <v>8.0239999999999991</v>
      </c>
      <c r="V13" s="264">
        <v>8.2959999999999994</v>
      </c>
      <c r="W13" s="264">
        <v>8.5679999999999996</v>
      </c>
      <c r="X13" s="264">
        <v>8.9488000000000003</v>
      </c>
      <c r="Y13" s="264">
        <v>8.4591999999999992</v>
      </c>
      <c r="Z13" s="264">
        <v>8.3775999999999993</v>
      </c>
      <c r="AA13" s="264">
        <v>8.1056000000000008</v>
      </c>
      <c r="AB13" s="264">
        <v>8.1327999999999996</v>
      </c>
      <c r="AC13" s="264">
        <v>8.4047999999999998</v>
      </c>
      <c r="AD13" s="264">
        <v>8.5136000000000003</v>
      </c>
      <c r="AE13" s="264">
        <v>8.9760000000000009</v>
      </c>
      <c r="AF13" s="264">
        <v>9.8191999999999986</v>
      </c>
      <c r="AG13" s="264">
        <v>10.4992</v>
      </c>
      <c r="AH13" s="264">
        <v>10.6624</v>
      </c>
      <c r="AI13" s="264">
        <v>7.3712</v>
      </c>
      <c r="AJ13" s="296">
        <v>8.1379028661824808</v>
      </c>
      <c r="AK13" s="296">
        <v>11.033549313437858</v>
      </c>
      <c r="AL13" s="286">
        <f t="shared" si="1"/>
        <v>35.582219336733544</v>
      </c>
      <c r="AM13" s="417" t="s">
        <v>28</v>
      </c>
    </row>
    <row r="14" spans="1:39" ht="12.75" customHeight="1">
      <c r="A14" s="76"/>
      <c r="B14" s="88" t="s">
        <v>21</v>
      </c>
      <c r="C14" s="90">
        <v>9.4250000000000007</v>
      </c>
      <c r="D14" s="90">
        <v>15.621</v>
      </c>
      <c r="E14" s="259">
        <v>17.718</v>
      </c>
      <c r="F14" s="259">
        <v>17.968</v>
      </c>
      <c r="G14" s="259">
        <v>18.548999999999999</v>
      </c>
      <c r="H14" s="259">
        <v>18.922000000000001</v>
      </c>
      <c r="I14" s="259">
        <v>19.577999999999999</v>
      </c>
      <c r="J14" s="259">
        <v>20.221</v>
      </c>
      <c r="K14" s="259">
        <v>20.449000000000002</v>
      </c>
      <c r="L14" s="259">
        <v>20.695</v>
      </c>
      <c r="M14" s="259">
        <v>21.2</v>
      </c>
      <c r="N14" s="259">
        <v>21.5</v>
      </c>
      <c r="O14" s="259">
        <v>21.7</v>
      </c>
      <c r="P14" s="260">
        <v>21.8</v>
      </c>
      <c r="Q14" s="260">
        <v>22</v>
      </c>
      <c r="R14" s="260">
        <v>21.95</v>
      </c>
      <c r="S14" s="260">
        <v>21.6</v>
      </c>
      <c r="T14" s="260">
        <v>21.7</v>
      </c>
      <c r="U14" s="260">
        <v>21.8</v>
      </c>
      <c r="V14" s="260">
        <v>22</v>
      </c>
      <c r="W14" s="260">
        <v>22.1</v>
      </c>
      <c r="X14" s="260">
        <v>20.919043007800454</v>
      </c>
      <c r="Y14" s="260">
        <v>21.1</v>
      </c>
      <c r="Z14" s="260">
        <v>21.161722909489495</v>
      </c>
      <c r="AA14" s="260">
        <v>21.096100453974149</v>
      </c>
      <c r="AB14" s="260">
        <v>21.028128543117838</v>
      </c>
      <c r="AC14" s="260">
        <v>21.006120944621784</v>
      </c>
      <c r="AD14" s="260">
        <v>21.148271968974477</v>
      </c>
      <c r="AE14" s="260">
        <v>20.902716638696276</v>
      </c>
      <c r="AF14" s="260">
        <v>20.464949412482678</v>
      </c>
      <c r="AG14" s="260">
        <v>20.548762808713402</v>
      </c>
      <c r="AH14" s="260">
        <v>20.335513764871919</v>
      </c>
      <c r="AI14" s="260">
        <v>13.312846106046331</v>
      </c>
      <c r="AJ14" s="395">
        <v>13.769302919511484</v>
      </c>
      <c r="AK14" s="395">
        <v>17.675934833396653</v>
      </c>
      <c r="AL14" s="167">
        <f t="shared" si="1"/>
        <v>28.372038415607534</v>
      </c>
      <c r="AM14" s="327" t="s">
        <v>21</v>
      </c>
    </row>
    <row r="15" spans="1:39" ht="12.75" customHeight="1">
      <c r="A15" s="76"/>
      <c r="B15" s="258" t="s">
        <v>26</v>
      </c>
      <c r="C15" s="92">
        <v>20.911000000000001</v>
      </c>
      <c r="D15" s="92">
        <v>28.099</v>
      </c>
      <c r="E15" s="263">
        <v>33.36</v>
      </c>
      <c r="F15" s="263">
        <v>35.450000000000003</v>
      </c>
      <c r="G15" s="263">
        <v>35.520000000000003</v>
      </c>
      <c r="H15" s="263">
        <v>37.090000000000003</v>
      </c>
      <c r="I15" s="263">
        <v>38.130000000000003</v>
      </c>
      <c r="J15" s="263">
        <v>39.6</v>
      </c>
      <c r="K15" s="264">
        <v>44</v>
      </c>
      <c r="L15" s="263">
        <v>43.97</v>
      </c>
      <c r="M15" s="263">
        <v>49.4</v>
      </c>
      <c r="N15" s="263">
        <v>50</v>
      </c>
      <c r="O15" s="263">
        <v>50.277999999999999</v>
      </c>
      <c r="P15" s="263">
        <v>51.712000000000003</v>
      </c>
      <c r="Q15" s="263">
        <v>50.052999999999997</v>
      </c>
      <c r="R15" s="263">
        <v>49.209000000000003</v>
      </c>
      <c r="S15" s="263">
        <v>53.457999999999998</v>
      </c>
      <c r="T15" s="263">
        <v>53.176000000000002</v>
      </c>
      <c r="U15" s="263">
        <v>49.369</v>
      </c>
      <c r="V15" s="263">
        <v>59.162999999999997</v>
      </c>
      <c r="W15" s="263">
        <v>60.863999999999997</v>
      </c>
      <c r="X15" s="263">
        <v>57.042999999999999</v>
      </c>
      <c r="Y15" s="263">
        <v>50.902000000000001</v>
      </c>
      <c r="Z15" s="263">
        <v>55.741999999999997</v>
      </c>
      <c r="AA15" s="263">
        <v>54.530999999999999</v>
      </c>
      <c r="AB15" s="263">
        <v>53.835999999999999</v>
      </c>
      <c r="AC15" s="134">
        <v>39.469000000000001</v>
      </c>
      <c r="AD15" s="263">
        <v>46.389000000000003</v>
      </c>
      <c r="AE15" s="163">
        <v>47.762999999999998</v>
      </c>
      <c r="AF15" s="263">
        <v>30.51</v>
      </c>
      <c r="AG15" s="263">
        <v>32.188000000000002</v>
      </c>
      <c r="AH15" s="263">
        <v>33.25</v>
      </c>
      <c r="AI15" s="263">
        <v>18.928999999999998</v>
      </c>
      <c r="AJ15" s="295">
        <f>29.683</f>
        <v>29.683</v>
      </c>
      <c r="AK15" s="295">
        <v>37.862000000000002</v>
      </c>
      <c r="AL15" s="399">
        <f t="shared" si="1"/>
        <v>27.554492470437637</v>
      </c>
      <c r="AM15" s="417" t="s">
        <v>26</v>
      </c>
    </row>
    <row r="16" spans="1:39" ht="16.5" customHeight="1">
      <c r="A16" s="76"/>
      <c r="B16" s="88" t="s">
        <v>27</v>
      </c>
      <c r="C16" s="90">
        <v>25.2</v>
      </c>
      <c r="D16" s="90">
        <v>38</v>
      </c>
      <c r="E16" s="259">
        <v>52.259742603886068</v>
      </c>
      <c r="F16" s="259">
        <v>54.120923065039335</v>
      </c>
      <c r="G16" s="259">
        <v>53.165864631065709</v>
      </c>
      <c r="H16" s="259">
        <v>53.481037343042473</v>
      </c>
      <c r="I16" s="259">
        <v>54.210795192775578</v>
      </c>
      <c r="J16" s="259">
        <v>53.189360720923631</v>
      </c>
      <c r="K16" s="259">
        <v>54.373496764817617</v>
      </c>
      <c r="L16" s="259">
        <v>55.390056470137473</v>
      </c>
      <c r="M16" s="259">
        <v>55.361849054148649</v>
      </c>
      <c r="N16" s="259">
        <v>54.525859142098213</v>
      </c>
      <c r="O16" s="115">
        <v>49.594495628487593</v>
      </c>
      <c r="P16" s="259">
        <v>48.111338379685371</v>
      </c>
      <c r="Q16" s="259">
        <v>48.64828099736328</v>
      </c>
      <c r="R16" s="259">
        <v>49.133556404460414</v>
      </c>
      <c r="S16" s="259">
        <v>49.993721550019934</v>
      </c>
      <c r="T16" s="259">
        <v>50.104708929007032</v>
      </c>
      <c r="U16" s="259">
        <v>52.436795674950197</v>
      </c>
      <c r="V16" s="259">
        <v>53.044433886484853</v>
      </c>
      <c r="W16" s="259">
        <v>53.525198463968259</v>
      </c>
      <c r="X16" s="259">
        <v>53.163203980574863</v>
      </c>
      <c r="Y16" s="259">
        <v>54.040974622693476</v>
      </c>
      <c r="Z16" s="118">
        <v>54.582638113687722</v>
      </c>
      <c r="AA16" s="259">
        <v>55.654697520805598</v>
      </c>
      <c r="AB16" s="259">
        <v>56.026365812952697</v>
      </c>
      <c r="AC16" s="259">
        <v>57.097751983144917</v>
      </c>
      <c r="AD16" s="259">
        <v>57.907983153250278</v>
      </c>
      <c r="AE16" s="259">
        <v>58.852059707887868</v>
      </c>
      <c r="AF16" s="259">
        <v>58.422441296520134</v>
      </c>
      <c r="AG16" s="259">
        <v>58.390512048436534</v>
      </c>
      <c r="AH16" s="259">
        <v>59.909611111986962</v>
      </c>
      <c r="AI16" s="259">
        <v>37.241102925846825</v>
      </c>
      <c r="AJ16" s="398">
        <v>40.979146759241289</v>
      </c>
      <c r="AK16" s="398">
        <v>46.987953538037992</v>
      </c>
      <c r="AL16" s="167">
        <f t="shared" si="1"/>
        <v>14.663084163512124</v>
      </c>
      <c r="AM16" s="327" t="s">
        <v>27</v>
      </c>
    </row>
    <row r="17" spans="1:39" ht="12.75" customHeight="1">
      <c r="A17" s="76"/>
      <c r="B17" s="258" t="s">
        <v>39</v>
      </c>
      <c r="C17" s="92">
        <v>3.3</v>
      </c>
      <c r="D17" s="92">
        <v>7.1</v>
      </c>
      <c r="E17" s="263">
        <v>7</v>
      </c>
      <c r="F17" s="263" t="s">
        <v>36</v>
      </c>
      <c r="G17" s="263" t="s">
        <v>36</v>
      </c>
      <c r="H17" s="263" t="s">
        <v>36</v>
      </c>
      <c r="I17" s="263" t="s">
        <v>36</v>
      </c>
      <c r="J17" s="263">
        <v>4.0519150000000002</v>
      </c>
      <c r="K17" s="263">
        <v>4.2661179999999996</v>
      </c>
      <c r="L17" s="263">
        <v>4.4590670000000001</v>
      </c>
      <c r="M17" s="263">
        <v>3.9638469999999999</v>
      </c>
      <c r="N17" s="263">
        <v>3.3549829999999998</v>
      </c>
      <c r="O17" s="263">
        <v>3.3311470000000001</v>
      </c>
      <c r="P17" s="263">
        <v>3.477757</v>
      </c>
      <c r="Q17" s="263">
        <v>3.557693</v>
      </c>
      <c r="R17" s="263">
        <v>3.71685</v>
      </c>
      <c r="S17" s="263">
        <v>3.390253</v>
      </c>
      <c r="T17" s="263">
        <v>3.4034689999999999</v>
      </c>
      <c r="U17" s="263">
        <v>3.5370560000000002</v>
      </c>
      <c r="V17" s="263">
        <v>3.8079800000000001</v>
      </c>
      <c r="W17" s="263">
        <v>4.0934889999999999</v>
      </c>
      <c r="X17" s="263">
        <v>3.4379960000000001</v>
      </c>
      <c r="Y17" s="263">
        <v>3.248418</v>
      </c>
      <c r="Z17" s="263">
        <v>3.1450209999999998</v>
      </c>
      <c r="AA17" s="263">
        <v>3.2490779999999999</v>
      </c>
      <c r="AB17" s="263">
        <v>3.5070000000000001</v>
      </c>
      <c r="AC17" s="263">
        <v>3.6480000000000001</v>
      </c>
      <c r="AD17" s="263">
        <v>3.3769999999999998</v>
      </c>
      <c r="AE17" s="263">
        <v>3.802</v>
      </c>
      <c r="AF17" s="263">
        <v>4.1500000000000004</v>
      </c>
      <c r="AG17" s="263">
        <v>3.843</v>
      </c>
      <c r="AH17" s="263">
        <v>4.0220000000000002</v>
      </c>
      <c r="AI17" s="263">
        <v>2.0760000000000001</v>
      </c>
      <c r="AJ17" s="295">
        <v>2.39</v>
      </c>
      <c r="AK17" s="295">
        <v>3.2240000000000002</v>
      </c>
      <c r="AL17" s="286">
        <f t="shared" si="1"/>
        <v>34.895397489539761</v>
      </c>
      <c r="AM17" s="417" t="s">
        <v>39</v>
      </c>
    </row>
    <row r="18" spans="1:39" ht="12.75" customHeight="1">
      <c r="A18" s="76"/>
      <c r="B18" s="79" t="s">
        <v>29</v>
      </c>
      <c r="C18" s="80">
        <v>32.003999999999998</v>
      </c>
      <c r="D18" s="80">
        <v>57.835999999999999</v>
      </c>
      <c r="E18" s="268">
        <v>83.954999999999998</v>
      </c>
      <c r="F18" s="268">
        <v>84.69</v>
      </c>
      <c r="G18" s="268">
        <v>84.7</v>
      </c>
      <c r="H18" s="268">
        <v>81.45</v>
      </c>
      <c r="I18" s="268">
        <v>79.28</v>
      </c>
      <c r="J18" s="268">
        <v>87.146999999999991</v>
      </c>
      <c r="K18" s="268">
        <v>88.736000000000004</v>
      </c>
      <c r="L18" s="268">
        <v>90</v>
      </c>
      <c r="M18" s="268">
        <v>90.6</v>
      </c>
      <c r="N18" s="268">
        <v>92.153000000000006</v>
      </c>
      <c r="O18" s="268">
        <v>93.421000000000006</v>
      </c>
      <c r="P18" s="268">
        <v>95.593999999999994</v>
      </c>
      <c r="Q18" s="268">
        <v>97.146000000000001</v>
      </c>
      <c r="R18" s="268">
        <v>98.319000000000003</v>
      </c>
      <c r="S18" s="268">
        <v>99.759999999999991</v>
      </c>
      <c r="T18" s="268">
        <v>100.95399999999999</v>
      </c>
      <c r="U18" s="268">
        <v>103.04899999999999</v>
      </c>
      <c r="V18" s="268">
        <v>102.65700000000001</v>
      </c>
      <c r="W18" s="268">
        <v>102.438</v>
      </c>
      <c r="X18" s="268">
        <v>101.706</v>
      </c>
      <c r="Y18" s="268">
        <v>102.21899999999999</v>
      </c>
      <c r="Z18" s="268">
        <v>102.444</v>
      </c>
      <c r="AA18" s="268">
        <v>101.512</v>
      </c>
      <c r="AB18" s="268">
        <v>101.77000000000001</v>
      </c>
      <c r="AC18" s="268">
        <v>102.806</v>
      </c>
      <c r="AD18" s="268">
        <v>102.509</v>
      </c>
      <c r="AE18" s="268">
        <v>102.313</v>
      </c>
      <c r="AF18" s="268">
        <v>102.67899999999999</v>
      </c>
      <c r="AG18" s="268">
        <v>102.965</v>
      </c>
      <c r="AH18" s="268">
        <v>104.29300000000001</v>
      </c>
      <c r="AI18" s="268">
        <v>58.957000000000001</v>
      </c>
      <c r="AJ18" s="400">
        <v>77.27</v>
      </c>
      <c r="AK18" s="400">
        <v>88.789000000000001</v>
      </c>
      <c r="AL18" s="196">
        <f t="shared" si="1"/>
        <v>14.907467322376093</v>
      </c>
      <c r="AM18" s="328" t="s">
        <v>29</v>
      </c>
    </row>
    <row r="19" spans="1:39" ht="12.75" customHeight="1">
      <c r="A19" s="76"/>
      <c r="B19" s="258" t="s">
        <v>8</v>
      </c>
      <c r="C19" s="92" t="s">
        <v>36</v>
      </c>
      <c r="D19" s="92" t="s">
        <v>36</v>
      </c>
      <c r="E19" s="263" t="s">
        <v>36</v>
      </c>
      <c r="F19" s="263" t="s">
        <v>36</v>
      </c>
      <c r="G19" s="263" t="s">
        <v>36</v>
      </c>
      <c r="H19" s="263" t="s">
        <v>36</v>
      </c>
      <c r="I19" s="263" t="s">
        <v>36</v>
      </c>
      <c r="J19" s="264">
        <v>1</v>
      </c>
      <c r="K19" s="264">
        <v>1.04</v>
      </c>
      <c r="L19" s="264">
        <v>1.05</v>
      </c>
      <c r="M19" s="264">
        <v>1.06</v>
      </c>
      <c r="N19" s="264">
        <v>1.08</v>
      </c>
      <c r="O19" s="264">
        <v>1.1200000000000001</v>
      </c>
      <c r="P19" s="264">
        <v>1.1599999999999999</v>
      </c>
      <c r="Q19" s="264">
        <v>1.2</v>
      </c>
      <c r="R19" s="264">
        <v>1.28</v>
      </c>
      <c r="S19" s="264">
        <v>1.24</v>
      </c>
      <c r="T19" s="264">
        <v>1.26</v>
      </c>
      <c r="U19" s="264">
        <v>1.28</v>
      </c>
      <c r="V19" s="264">
        <v>1.3</v>
      </c>
      <c r="W19" s="264">
        <v>1.33</v>
      </c>
      <c r="X19" s="264">
        <v>1.2832081221716343</v>
      </c>
      <c r="Y19" s="264">
        <v>1.29</v>
      </c>
      <c r="Z19" s="264">
        <v>1.3250425730630311</v>
      </c>
      <c r="AA19" s="264">
        <v>1.3655790761715423</v>
      </c>
      <c r="AB19" s="264">
        <v>1.3463918995498854</v>
      </c>
      <c r="AC19" s="264">
        <v>1.3463918995498854</v>
      </c>
      <c r="AD19" s="264">
        <v>1.426717257084444</v>
      </c>
      <c r="AE19" s="264">
        <v>1.4810954569636534</v>
      </c>
      <c r="AF19" s="264">
        <v>1.5360297291459744</v>
      </c>
      <c r="AG19" s="264">
        <v>1.5848710590959747</v>
      </c>
      <c r="AH19" s="264">
        <v>1.5970510260885806</v>
      </c>
      <c r="AI19" s="264">
        <v>0.87895714764299449</v>
      </c>
      <c r="AJ19" s="296">
        <v>0.94823264401286333</v>
      </c>
      <c r="AK19" s="296">
        <v>1.2732666264043284</v>
      </c>
      <c r="AL19" s="286">
        <f t="shared" si="1"/>
        <v>34.277873098308532</v>
      </c>
      <c r="AM19" s="417" t="s">
        <v>8</v>
      </c>
    </row>
    <row r="20" spans="1:39" ht="12.75" customHeight="1">
      <c r="A20" s="76"/>
      <c r="B20" s="79" t="s">
        <v>12</v>
      </c>
      <c r="C20" s="80">
        <v>3.28</v>
      </c>
      <c r="D20" s="80">
        <v>4.55</v>
      </c>
      <c r="E20" s="268">
        <v>5.8620000000000001</v>
      </c>
      <c r="F20" s="86">
        <v>5.3310000000000004</v>
      </c>
      <c r="G20" s="268">
        <v>2.5830000000000002</v>
      </c>
      <c r="H20" s="268">
        <v>1.722</v>
      </c>
      <c r="I20" s="268">
        <v>1.7949999999999999</v>
      </c>
      <c r="J20" s="268">
        <v>1.835</v>
      </c>
      <c r="K20" s="268">
        <v>1.6060000000000001</v>
      </c>
      <c r="L20" s="268">
        <v>1.72</v>
      </c>
      <c r="M20" s="268">
        <v>1.903</v>
      </c>
      <c r="N20" s="268">
        <v>2.3679999999999999</v>
      </c>
      <c r="O20" s="268">
        <v>2.3479999999999999</v>
      </c>
      <c r="P20" s="268">
        <v>2.3050000000000002</v>
      </c>
      <c r="Q20" s="268">
        <v>2.3610000000000002</v>
      </c>
      <c r="R20" s="268">
        <v>2.5499999999999998</v>
      </c>
      <c r="S20" s="268">
        <v>2.6549999999999998</v>
      </c>
      <c r="T20" s="268">
        <v>2.891</v>
      </c>
      <c r="U20" s="268">
        <v>2.78</v>
      </c>
      <c r="V20" s="268">
        <v>2.6440000000000001</v>
      </c>
      <c r="W20" s="268">
        <v>2.5169999999999999</v>
      </c>
      <c r="X20" s="268">
        <v>2.1429999999999998</v>
      </c>
      <c r="Y20" s="268">
        <v>2.3109999999999999</v>
      </c>
      <c r="Z20" s="268">
        <v>2.4119999999999999</v>
      </c>
      <c r="AA20" s="85">
        <v>2.7491999999999996</v>
      </c>
      <c r="AB20" s="268">
        <v>2.7324999999999999</v>
      </c>
      <c r="AC20" s="268">
        <v>2.7204999999999999</v>
      </c>
      <c r="AD20" s="268">
        <v>2.6474000000000002</v>
      </c>
      <c r="AE20" s="268">
        <v>2.58</v>
      </c>
      <c r="AF20" s="268">
        <v>2.5301</v>
      </c>
      <c r="AG20" s="268">
        <v>2.5604</v>
      </c>
      <c r="AH20" s="268">
        <v>2.5688</v>
      </c>
      <c r="AI20" s="268">
        <v>1.6633</v>
      </c>
      <c r="AJ20" s="400">
        <v>1.3771</v>
      </c>
      <c r="AK20" s="400">
        <v>1.7541</v>
      </c>
      <c r="AL20" s="196">
        <f t="shared" si="1"/>
        <v>27.376370633940894</v>
      </c>
      <c r="AM20" s="328" t="s">
        <v>12</v>
      </c>
    </row>
    <row r="21" spans="1:39" ht="12.75" customHeight="1">
      <c r="A21" s="76"/>
      <c r="B21" s="258" t="s">
        <v>13</v>
      </c>
      <c r="C21" s="92" t="s">
        <v>36</v>
      </c>
      <c r="D21" s="92" t="s">
        <v>36</v>
      </c>
      <c r="E21" s="263">
        <v>7.8890000000000002</v>
      </c>
      <c r="F21" s="263">
        <v>7.798</v>
      </c>
      <c r="G21" s="263">
        <v>6.3920000000000003</v>
      </c>
      <c r="H21" s="263">
        <v>4.5220000000000002</v>
      </c>
      <c r="I21" s="263">
        <v>4.6269999999999998</v>
      </c>
      <c r="J21" s="263">
        <v>4.1690000000000005</v>
      </c>
      <c r="K21" s="263">
        <v>3.601</v>
      </c>
      <c r="L21" s="263">
        <v>3.1910000000000003</v>
      </c>
      <c r="M21" s="263">
        <v>2.964</v>
      </c>
      <c r="N21" s="263">
        <v>2.665</v>
      </c>
      <c r="O21" s="263">
        <v>2.7549999999999999</v>
      </c>
      <c r="P21" s="263">
        <v>2.8330000000000002</v>
      </c>
      <c r="Q21" s="263">
        <v>3.0129999999999999</v>
      </c>
      <c r="R21" s="263">
        <v>2.9870000000000001</v>
      </c>
      <c r="S21" s="263">
        <v>3.5489999999999999</v>
      </c>
      <c r="T21" s="263">
        <v>3.6909999999999998</v>
      </c>
      <c r="U21" s="263">
        <v>3.6959999999999997</v>
      </c>
      <c r="V21" s="263">
        <v>3.6200999999999999</v>
      </c>
      <c r="W21" s="263">
        <v>3.4212000000000002</v>
      </c>
      <c r="X21" s="263">
        <v>2.7746999999999997</v>
      </c>
      <c r="Y21" s="263">
        <v>2.6936</v>
      </c>
      <c r="Z21" s="263">
        <v>2.7480000000000002</v>
      </c>
      <c r="AA21" s="263">
        <v>2.7349999999999999</v>
      </c>
      <c r="AB21" s="263">
        <v>2.847</v>
      </c>
      <c r="AC21" s="263">
        <v>2.9733000000000001</v>
      </c>
      <c r="AD21" s="263">
        <v>2.7455430000000001</v>
      </c>
      <c r="AE21" s="263">
        <v>2.6313</v>
      </c>
      <c r="AF21" s="263">
        <v>2.7389999999999999</v>
      </c>
      <c r="AG21" s="263">
        <v>2.839</v>
      </c>
      <c r="AH21" s="263">
        <v>2.9009999999999998</v>
      </c>
      <c r="AI21" s="263">
        <v>1.5334000000000001</v>
      </c>
      <c r="AJ21" s="295">
        <v>1.454</v>
      </c>
      <c r="AK21" s="295">
        <v>2.1223000000000001</v>
      </c>
      <c r="AL21" s="286">
        <f t="shared" si="1"/>
        <v>45.962861072902342</v>
      </c>
      <c r="AM21" s="417" t="s">
        <v>13</v>
      </c>
    </row>
    <row r="22" spans="1:39" ht="12.75" customHeight="1">
      <c r="A22" s="76"/>
      <c r="B22" s="79" t="s">
        <v>30</v>
      </c>
      <c r="C22" s="83">
        <v>0.4</v>
      </c>
      <c r="D22" s="83">
        <v>0.44</v>
      </c>
      <c r="E22" s="267">
        <v>0.48</v>
      </c>
      <c r="F22" s="267">
        <v>0.49</v>
      </c>
      <c r="G22" s="267">
        <v>0.51</v>
      </c>
      <c r="H22" s="267">
        <v>0.52</v>
      </c>
      <c r="I22" s="267">
        <v>0.53</v>
      </c>
      <c r="J22" s="267">
        <v>0.54</v>
      </c>
      <c r="K22" s="267">
        <v>0.55000000000000004</v>
      </c>
      <c r="L22" s="267">
        <v>0.56000000000000005</v>
      </c>
      <c r="M22" s="267">
        <v>0.56999999999999995</v>
      </c>
      <c r="N22" s="267">
        <v>0.57999999999999996</v>
      </c>
      <c r="O22" s="267">
        <v>0.62</v>
      </c>
      <c r="P22" s="267">
        <v>0.66</v>
      </c>
      <c r="Q22" s="267">
        <v>0.72</v>
      </c>
      <c r="R22" s="267">
        <v>0.74</v>
      </c>
      <c r="S22" s="267">
        <v>0.77</v>
      </c>
      <c r="T22" s="267">
        <v>0.8</v>
      </c>
      <c r="U22" s="267">
        <v>0.82</v>
      </c>
      <c r="V22" s="267">
        <v>0.86</v>
      </c>
      <c r="W22" s="267">
        <v>0.91</v>
      </c>
      <c r="X22" s="267">
        <v>0.90587268823413103</v>
      </c>
      <c r="Y22" s="267">
        <v>0.94</v>
      </c>
      <c r="Z22" s="267">
        <v>0.9876300463226344</v>
      </c>
      <c r="AA22" s="267">
        <v>1.0049122484837048</v>
      </c>
      <c r="AB22" s="267">
        <v>1.0264588947641511</v>
      </c>
      <c r="AC22" s="267">
        <v>1.0375462847587611</v>
      </c>
      <c r="AD22" s="267">
        <v>1.0928294004495056</v>
      </c>
      <c r="AE22" s="267">
        <v>1.1099876780311415</v>
      </c>
      <c r="AF22" s="267">
        <v>1.1455145233368973</v>
      </c>
      <c r="AG22" s="267">
        <v>1.1703687012049782</v>
      </c>
      <c r="AH22" s="267">
        <v>1.2198578493931056</v>
      </c>
      <c r="AI22" s="267">
        <v>0.83112446709444421</v>
      </c>
      <c r="AJ22" s="401">
        <v>0.89400240765750838</v>
      </c>
      <c r="AK22" s="401">
        <v>1.2246120965102949</v>
      </c>
      <c r="AL22" s="196">
        <f t="shared" si="1"/>
        <v>36.980849941898896</v>
      </c>
      <c r="AM22" s="328" t="s">
        <v>30</v>
      </c>
    </row>
    <row r="23" spans="1:39" ht="12.75" customHeight="1">
      <c r="A23" s="105"/>
      <c r="B23" s="258" t="s">
        <v>11</v>
      </c>
      <c r="C23" s="92" t="s">
        <v>36</v>
      </c>
      <c r="D23" s="92" t="s">
        <v>36</v>
      </c>
      <c r="E23" s="263">
        <v>19.260999999999999</v>
      </c>
      <c r="F23" s="263">
        <v>17.332000000000001</v>
      </c>
      <c r="G23" s="263">
        <v>15.971</v>
      </c>
      <c r="H23" s="263">
        <v>15.8</v>
      </c>
      <c r="I23" s="263">
        <v>16.391999999999999</v>
      </c>
      <c r="J23" s="263">
        <v>16.605</v>
      </c>
      <c r="K23" s="263">
        <v>16.564</v>
      </c>
      <c r="L23" s="263">
        <v>16.632000000000001</v>
      </c>
      <c r="M23" s="263">
        <v>17.172000000000001</v>
      </c>
      <c r="N23" s="263">
        <v>17.795999999999999</v>
      </c>
      <c r="O23" s="263">
        <v>18.731999999999999</v>
      </c>
      <c r="P23" s="263">
        <v>18.617000000000001</v>
      </c>
      <c r="Q23" s="263">
        <v>18.898</v>
      </c>
      <c r="R23" s="263">
        <v>18.707000000000001</v>
      </c>
      <c r="S23" s="263">
        <v>18.222999999999999</v>
      </c>
      <c r="T23" s="263">
        <v>17.844999999999999</v>
      </c>
      <c r="U23" s="263">
        <v>17.930000000000003</v>
      </c>
      <c r="V23" s="263">
        <v>17.145</v>
      </c>
      <c r="W23" s="263">
        <v>17.654</v>
      </c>
      <c r="X23" s="263">
        <v>16.29</v>
      </c>
      <c r="Y23" s="263">
        <v>16.460999999999999</v>
      </c>
      <c r="Z23" s="263">
        <v>16.455704600000001</v>
      </c>
      <c r="AA23" s="263">
        <v>17.0743504</v>
      </c>
      <c r="AB23" s="263">
        <v>17.149835400000001</v>
      </c>
      <c r="AC23" s="263">
        <v>17.630064900000001</v>
      </c>
      <c r="AD23" s="263">
        <v>17.813176500000001</v>
      </c>
      <c r="AE23" s="263">
        <v>17.8219335</v>
      </c>
      <c r="AF23" s="263">
        <v>18.311214800000002</v>
      </c>
      <c r="AG23" s="263">
        <v>18.8675</v>
      </c>
      <c r="AH23" s="263">
        <v>18.778254</v>
      </c>
      <c r="AI23" s="263">
        <v>12.384561</v>
      </c>
      <c r="AJ23" s="295">
        <v>12.189191000000001</v>
      </c>
      <c r="AK23" s="295">
        <v>14.892201999999999</v>
      </c>
      <c r="AL23" s="286">
        <f t="shared" si="1"/>
        <v>22.175474976148934</v>
      </c>
      <c r="AM23" s="417" t="s">
        <v>11</v>
      </c>
    </row>
    <row r="24" spans="1:39" ht="12.75" customHeight="1">
      <c r="A24" s="76"/>
      <c r="B24" s="79" t="s">
        <v>14</v>
      </c>
      <c r="C24" s="80" t="s">
        <v>36</v>
      </c>
      <c r="D24" s="80" t="s">
        <v>36</v>
      </c>
      <c r="E24" s="268" t="s">
        <v>36</v>
      </c>
      <c r="F24" s="268" t="s">
        <v>36</v>
      </c>
      <c r="G24" s="268" t="s">
        <v>36</v>
      </c>
      <c r="H24" s="268" t="s">
        <v>36</v>
      </c>
      <c r="I24" s="268" t="s">
        <v>36</v>
      </c>
      <c r="J24" s="267">
        <v>0.41</v>
      </c>
      <c r="K24" s="267">
        <v>0.42</v>
      </c>
      <c r="L24" s="267">
        <v>0.44</v>
      </c>
      <c r="M24" s="267">
        <v>0.45</v>
      </c>
      <c r="N24" s="267">
        <v>0.45500000000000002</v>
      </c>
      <c r="O24" s="267">
        <v>0.46</v>
      </c>
      <c r="P24" s="267">
        <v>0.47</v>
      </c>
      <c r="Q24" s="267">
        <v>0.48</v>
      </c>
      <c r="R24" s="267">
        <v>0.49</v>
      </c>
      <c r="S24" s="267">
        <v>0.5</v>
      </c>
      <c r="T24" s="267">
        <v>0.49</v>
      </c>
      <c r="U24" s="267">
        <v>0.5</v>
      </c>
      <c r="V24" s="267">
        <v>0.505</v>
      </c>
      <c r="W24" s="267">
        <v>0.51</v>
      </c>
      <c r="X24" s="267">
        <v>0.48488857223887638</v>
      </c>
      <c r="Y24" s="267">
        <v>0.5</v>
      </c>
      <c r="Z24" s="267">
        <v>0.47567815316050804</v>
      </c>
      <c r="AA24" s="267">
        <v>0.47645189540481242</v>
      </c>
      <c r="AB24" s="267">
        <v>0.46847402439797603</v>
      </c>
      <c r="AC24" s="267">
        <v>0.49155426958825765</v>
      </c>
      <c r="AD24" s="267">
        <v>0.53990646158702804</v>
      </c>
      <c r="AE24" s="267">
        <v>0.54606337304778996</v>
      </c>
      <c r="AF24" s="267">
        <v>0.55611216003480179</v>
      </c>
      <c r="AG24" s="267">
        <v>0.56805733495906574</v>
      </c>
      <c r="AH24" s="267">
        <v>0.6034905619661477</v>
      </c>
      <c r="AI24" s="267">
        <v>0.38500460482477078</v>
      </c>
      <c r="AJ24" s="401">
        <v>0.41595858807557845</v>
      </c>
      <c r="AK24" s="401">
        <v>0.5512378268054362</v>
      </c>
      <c r="AL24" s="196">
        <f t="shared" si="1"/>
        <v>32.52228529665021</v>
      </c>
      <c r="AM24" s="328" t="s">
        <v>14</v>
      </c>
    </row>
    <row r="25" spans="1:39" ht="12.75" customHeight="1">
      <c r="A25" s="76"/>
      <c r="B25" s="258" t="s">
        <v>22</v>
      </c>
      <c r="C25" s="92">
        <v>9.5</v>
      </c>
      <c r="D25" s="270">
        <v>11.2</v>
      </c>
      <c r="E25" s="263">
        <v>13</v>
      </c>
      <c r="F25" s="217">
        <v>12.3</v>
      </c>
      <c r="G25" s="217">
        <v>13.2</v>
      </c>
      <c r="H25" s="217">
        <v>13.05</v>
      </c>
      <c r="I25" s="217">
        <v>12.15</v>
      </c>
      <c r="J25" s="217">
        <v>12</v>
      </c>
      <c r="K25" s="217">
        <v>11.85</v>
      </c>
      <c r="L25" s="217">
        <v>12</v>
      </c>
      <c r="M25" s="217">
        <v>11.7</v>
      </c>
      <c r="N25" s="217">
        <v>11.25</v>
      </c>
      <c r="O25" s="279">
        <v>4.6172773995720862</v>
      </c>
      <c r="P25" s="264">
        <v>4.6722451871156681</v>
      </c>
      <c r="Q25" s="217">
        <v>4.4114885322855999</v>
      </c>
      <c r="R25" s="217">
        <v>4.5998311647826151</v>
      </c>
      <c r="S25" s="217">
        <v>4.7001906190403862</v>
      </c>
      <c r="T25" s="264">
        <v>4.7750280468120172</v>
      </c>
      <c r="U25" s="264">
        <v>4.8609118584984579</v>
      </c>
      <c r="V25" s="264">
        <v>4.9614030338171933</v>
      </c>
      <c r="W25" s="264">
        <v>5.0485431818379851</v>
      </c>
      <c r="X25" s="264">
        <v>4.8539475062283941</v>
      </c>
      <c r="Y25" s="106">
        <v>4.8460749387701867</v>
      </c>
      <c r="Z25" s="264">
        <v>5.0100965409031044</v>
      </c>
      <c r="AA25" s="264">
        <v>4.4838695297226492</v>
      </c>
      <c r="AB25" s="264">
        <v>4.6464404346162365</v>
      </c>
      <c r="AC25" s="264">
        <v>4.5467574620943143</v>
      </c>
      <c r="AD25" s="264">
        <v>4.8835543111383366</v>
      </c>
      <c r="AE25" s="264">
        <v>4.9745732561968508</v>
      </c>
      <c r="AF25" s="280">
        <v>4.6183979978591383</v>
      </c>
      <c r="AG25" s="264">
        <v>5.4705058612065933</v>
      </c>
      <c r="AH25" s="264">
        <v>5.4705058612065933</v>
      </c>
      <c r="AI25" s="264">
        <v>2.44068723038448</v>
      </c>
      <c r="AJ25" s="296">
        <v>2.9456570021881658</v>
      </c>
      <c r="AK25" s="296">
        <v>4.2</v>
      </c>
      <c r="AL25" s="286">
        <f t="shared" si="1"/>
        <v>42.582792120061896</v>
      </c>
      <c r="AM25" s="417" t="s">
        <v>22</v>
      </c>
    </row>
    <row r="26" spans="1:39" ht="12.75" customHeight="1">
      <c r="A26" s="76"/>
      <c r="B26" s="79" t="s">
        <v>31</v>
      </c>
      <c r="C26" s="80">
        <v>9.1</v>
      </c>
      <c r="D26" s="80">
        <v>9.8000000000000007</v>
      </c>
      <c r="E26" s="268">
        <v>5.7373131217438127</v>
      </c>
      <c r="F26" s="268">
        <v>5.8703491062639817</v>
      </c>
      <c r="G26" s="268">
        <v>6.1143612000452343</v>
      </c>
      <c r="H26" s="268">
        <v>6.3130068160081132</v>
      </c>
      <c r="I26" s="268">
        <v>6.8461350121875286</v>
      </c>
      <c r="J26" s="268">
        <v>7.0710549852782334</v>
      </c>
      <c r="K26" s="268">
        <v>7.274938036175997</v>
      </c>
      <c r="L26" s="268">
        <v>7.8153441171385643</v>
      </c>
      <c r="M26" s="268">
        <v>8.2732465783453115</v>
      </c>
      <c r="N26" s="268">
        <v>8.6106854270229896</v>
      </c>
      <c r="O26" s="268">
        <v>8.9732009111345654</v>
      </c>
      <c r="P26" s="268">
        <v>8.9567135557658144</v>
      </c>
      <c r="Q26" s="268">
        <v>8.9642245158575449</v>
      </c>
      <c r="R26" s="268">
        <v>9.1621810071422924</v>
      </c>
      <c r="S26" s="268">
        <v>9.2256509042510331</v>
      </c>
      <c r="T26" s="268">
        <v>9.2110310447791139</v>
      </c>
      <c r="U26" s="268">
        <v>9.4164313331676546</v>
      </c>
      <c r="V26" s="268">
        <v>9.5989584642274899</v>
      </c>
      <c r="W26" s="268">
        <v>9.3352869353699379</v>
      </c>
      <c r="X26" s="268">
        <v>8.3376213329847459</v>
      </c>
      <c r="Y26" s="268">
        <v>8.6211029902964675</v>
      </c>
      <c r="Z26" s="268">
        <v>8.8924736269586901</v>
      </c>
      <c r="AA26" s="268">
        <v>8.7638944585147414</v>
      </c>
      <c r="AB26" s="268">
        <v>8.8019520572259093</v>
      </c>
      <c r="AC26" s="268">
        <v>9.0014701884235553</v>
      </c>
      <c r="AD26" s="268">
        <v>9.1481739904404478</v>
      </c>
      <c r="AE26" s="268">
        <v>9.4292260694499035</v>
      </c>
      <c r="AF26" s="268">
        <v>9.6562683386698431</v>
      </c>
      <c r="AG26" s="268">
        <v>9.2828456102645269</v>
      </c>
      <c r="AH26" s="268">
        <v>9.1930076373329808</v>
      </c>
      <c r="AI26" s="268">
        <v>7.4441429471346643</v>
      </c>
      <c r="AJ26" s="268">
        <f>7.682</f>
        <v>7.6820000000000004</v>
      </c>
      <c r="AK26" s="400">
        <v>7.5890000000000004</v>
      </c>
      <c r="AL26" s="196">
        <f t="shared" si="1"/>
        <v>-1.2106222337932735</v>
      </c>
      <c r="AM26" s="328" t="s">
        <v>31</v>
      </c>
    </row>
    <row r="27" spans="1:39" ht="12.75" customHeight="1">
      <c r="A27" s="76"/>
      <c r="B27" s="258" t="s">
        <v>15</v>
      </c>
      <c r="C27" s="92">
        <v>29.14</v>
      </c>
      <c r="D27" s="92">
        <v>49.222999999999999</v>
      </c>
      <c r="E27" s="263">
        <v>46.3</v>
      </c>
      <c r="F27" s="263">
        <v>41.72</v>
      </c>
      <c r="G27" s="263">
        <v>39.008000000000003</v>
      </c>
      <c r="H27" s="263">
        <v>37.811</v>
      </c>
      <c r="I27" s="263">
        <v>34.262</v>
      </c>
      <c r="J27" s="263">
        <v>34.024000000000001</v>
      </c>
      <c r="K27" s="263">
        <v>33.984000000000002</v>
      </c>
      <c r="L27" s="263">
        <v>33.128</v>
      </c>
      <c r="M27" s="263">
        <v>34.034999999999997</v>
      </c>
      <c r="N27" s="263">
        <v>33.25</v>
      </c>
      <c r="O27" s="134">
        <v>59.2</v>
      </c>
      <c r="P27" s="263">
        <v>55.4</v>
      </c>
      <c r="Q27" s="263">
        <v>52</v>
      </c>
      <c r="R27" s="263">
        <v>51.6</v>
      </c>
      <c r="S27" s="263">
        <v>51.1</v>
      </c>
      <c r="T27" s="263">
        <v>49.2</v>
      </c>
      <c r="U27" s="263">
        <v>48.7</v>
      </c>
      <c r="V27" s="263">
        <v>47.7</v>
      </c>
      <c r="W27" s="263">
        <v>47.7</v>
      </c>
      <c r="X27" s="263">
        <v>43.9</v>
      </c>
      <c r="Y27" s="263">
        <v>41.7</v>
      </c>
      <c r="Z27" s="263">
        <v>40.1</v>
      </c>
      <c r="AA27" s="263">
        <v>39.418999999999997</v>
      </c>
      <c r="AB27" s="263">
        <v>37.799999999999997</v>
      </c>
      <c r="AC27" s="263">
        <v>39.158000000000001</v>
      </c>
      <c r="AD27" s="263">
        <v>37.58</v>
      </c>
      <c r="AE27" s="263">
        <v>36.774000000000001</v>
      </c>
      <c r="AF27" s="263">
        <v>36.064999999999998</v>
      </c>
      <c r="AG27" s="263">
        <v>34.543999999999997</v>
      </c>
      <c r="AH27" s="263">
        <v>36.235999999999997</v>
      </c>
      <c r="AI27" s="263">
        <v>19.3</v>
      </c>
      <c r="AJ27" s="263">
        <v>21.087</v>
      </c>
      <c r="AK27" s="295">
        <v>25.981000000000002</v>
      </c>
      <c r="AL27" s="286">
        <f t="shared" si="1"/>
        <v>23.208611941006325</v>
      </c>
      <c r="AM27" s="417" t="s">
        <v>15</v>
      </c>
    </row>
    <row r="28" spans="1:39" ht="12.75" customHeight="1">
      <c r="A28" s="76"/>
      <c r="B28" s="79" t="s">
        <v>32</v>
      </c>
      <c r="C28" s="80">
        <v>4.3579999999999997</v>
      </c>
      <c r="D28" s="80">
        <v>7.6</v>
      </c>
      <c r="E28" s="268">
        <v>10.3</v>
      </c>
      <c r="F28" s="268">
        <v>10.7</v>
      </c>
      <c r="G28" s="268">
        <v>11.4</v>
      </c>
      <c r="H28" s="268">
        <v>11.8</v>
      </c>
      <c r="I28" s="268">
        <v>12.55</v>
      </c>
      <c r="J28" s="268">
        <v>11.3</v>
      </c>
      <c r="K28" s="268">
        <v>11.1</v>
      </c>
      <c r="L28" s="268">
        <v>11.6</v>
      </c>
      <c r="M28" s="268">
        <v>11.55</v>
      </c>
      <c r="N28" s="268">
        <v>11.48</v>
      </c>
      <c r="O28" s="268">
        <v>11.821</v>
      </c>
      <c r="P28" s="268">
        <v>11.159000000000001</v>
      </c>
      <c r="Q28" s="268">
        <v>9.9359999999999999</v>
      </c>
      <c r="R28" s="268">
        <v>10.537000000000001</v>
      </c>
      <c r="S28" s="268">
        <v>10.808999999999999</v>
      </c>
      <c r="T28" s="104">
        <v>6.3762631666458827</v>
      </c>
      <c r="U28" s="267">
        <v>6.0643432657910443</v>
      </c>
      <c r="V28" s="267">
        <v>6.248737903312966</v>
      </c>
      <c r="W28" s="267">
        <v>6.2826297525771189</v>
      </c>
      <c r="X28" s="267">
        <v>6.0003599842101911</v>
      </c>
      <c r="Y28" s="267">
        <v>6.0775553426228326</v>
      </c>
      <c r="Z28" s="268">
        <v>5.85</v>
      </c>
      <c r="AA28" s="268">
        <v>5.85</v>
      </c>
      <c r="AB28" s="268">
        <v>6.0229999999999997</v>
      </c>
      <c r="AC28" s="268">
        <v>5.657</v>
      </c>
      <c r="AD28" s="85">
        <v>5.4630000000000001</v>
      </c>
      <c r="AE28" s="268">
        <v>5.3029999999999999</v>
      </c>
      <c r="AF28" s="268">
        <v>6.2218</v>
      </c>
      <c r="AG28" s="268">
        <v>6.6809099999999999</v>
      </c>
      <c r="AH28" s="268">
        <v>6.6539399999999995</v>
      </c>
      <c r="AI28" s="268">
        <v>3.7998699999999999</v>
      </c>
      <c r="AJ28" s="268">
        <v>5.6733000000000002</v>
      </c>
      <c r="AK28" s="400">
        <v>8.2672000000000008</v>
      </c>
      <c r="AL28" s="196">
        <f t="shared" si="1"/>
        <v>45.721185200853142</v>
      </c>
      <c r="AM28" s="328" t="s">
        <v>32</v>
      </c>
    </row>
    <row r="29" spans="1:39" ht="12.75" customHeight="1">
      <c r="A29" s="76"/>
      <c r="B29" s="258" t="s">
        <v>16</v>
      </c>
      <c r="C29" s="92">
        <v>7.8579999999999997</v>
      </c>
      <c r="D29" s="92">
        <v>24.015999999999998</v>
      </c>
      <c r="E29" s="263">
        <v>24.007000000000001</v>
      </c>
      <c r="F29" s="263">
        <v>20.835000000000001</v>
      </c>
      <c r="G29" s="263">
        <v>25.649000000000001</v>
      </c>
      <c r="H29" s="163">
        <v>20.512</v>
      </c>
      <c r="I29" s="263">
        <v>14.058</v>
      </c>
      <c r="J29" s="263">
        <v>12.343</v>
      </c>
      <c r="K29" s="263">
        <v>12.842000000000001</v>
      </c>
      <c r="L29" s="263">
        <v>13.531000000000001</v>
      </c>
      <c r="M29" s="263">
        <v>8.9619999999999997</v>
      </c>
      <c r="N29" s="263">
        <v>8.3230000000000004</v>
      </c>
      <c r="O29" s="263">
        <v>7.7</v>
      </c>
      <c r="P29" s="263">
        <v>7.0730000000000004</v>
      </c>
      <c r="Q29" s="263">
        <v>6.9870000000000001</v>
      </c>
      <c r="R29" s="263">
        <v>9.4550000000000001</v>
      </c>
      <c r="S29" s="263">
        <v>9.4380000000000006</v>
      </c>
      <c r="T29" s="263">
        <v>11.811</v>
      </c>
      <c r="U29" s="263">
        <v>11.734999999999999</v>
      </c>
      <c r="V29" s="263">
        <v>12.156000000000001</v>
      </c>
      <c r="W29" s="134">
        <v>20.193999999999999</v>
      </c>
      <c r="X29" s="263">
        <v>17.108000000000001</v>
      </c>
      <c r="Y29" s="263">
        <v>15.811999999999999</v>
      </c>
      <c r="Z29" s="263">
        <v>15.529</v>
      </c>
      <c r="AA29" s="263">
        <v>16.901</v>
      </c>
      <c r="AB29" s="263">
        <v>17.082000000000001</v>
      </c>
      <c r="AC29" s="163">
        <v>18.338999999999999</v>
      </c>
      <c r="AD29" s="263">
        <v>24.864267300000002</v>
      </c>
      <c r="AE29" s="263">
        <v>25.631694299999999</v>
      </c>
      <c r="AF29" s="263">
        <v>25.027683100000001</v>
      </c>
      <c r="AG29" s="263">
        <v>26.726298000000003</v>
      </c>
      <c r="AH29" s="263">
        <v>26.69905</v>
      </c>
      <c r="AI29" s="263">
        <v>18.702035000000002</v>
      </c>
      <c r="AJ29" s="263">
        <v>19.712311</v>
      </c>
      <c r="AK29" s="295">
        <v>21.276263000000004</v>
      </c>
      <c r="AL29" s="286">
        <f t="shared" si="1"/>
        <v>7.933884565843158</v>
      </c>
      <c r="AM29" s="417" t="s">
        <v>16</v>
      </c>
    </row>
    <row r="30" spans="1:39" ht="12.75" customHeight="1">
      <c r="A30" s="76"/>
      <c r="B30" s="79" t="s">
        <v>18</v>
      </c>
      <c r="C30" s="80">
        <v>2.6419999999999999</v>
      </c>
      <c r="D30" s="80">
        <v>4.9249999999999998</v>
      </c>
      <c r="E30" s="268">
        <v>6.508</v>
      </c>
      <c r="F30" s="268">
        <v>5.5540000000000003</v>
      </c>
      <c r="G30" s="268">
        <v>4.17</v>
      </c>
      <c r="H30" s="268">
        <v>3.8940000000000001</v>
      </c>
      <c r="I30" s="268">
        <v>4.0529999999999999</v>
      </c>
      <c r="J30" s="268">
        <v>4.1130000000000004</v>
      </c>
      <c r="K30" s="268">
        <v>4.3010000000000002</v>
      </c>
      <c r="L30" s="268">
        <v>4.3789999999999996</v>
      </c>
      <c r="M30" s="268">
        <v>3.8759999999999999</v>
      </c>
      <c r="N30" s="268">
        <v>4.1379999999999999</v>
      </c>
      <c r="O30" s="268">
        <v>3.5019999999999998</v>
      </c>
      <c r="P30" s="268">
        <v>3.3929999999999998</v>
      </c>
      <c r="Q30" s="268">
        <v>3.339</v>
      </c>
      <c r="R30" s="268">
        <v>3.4460000000000002</v>
      </c>
      <c r="S30" s="268">
        <v>3.218</v>
      </c>
      <c r="T30" s="268">
        <v>3.0619999999999998</v>
      </c>
      <c r="U30" s="268">
        <v>3.133</v>
      </c>
      <c r="V30" s="268">
        <v>3.2349999999999999</v>
      </c>
      <c r="W30" s="268">
        <v>3.1459999999999999</v>
      </c>
      <c r="X30" s="268">
        <v>3.1960000000000002</v>
      </c>
      <c r="Y30" s="268">
        <v>3.1829999999999998</v>
      </c>
      <c r="Z30" s="267">
        <v>3.244143134443557</v>
      </c>
      <c r="AA30" s="267">
        <v>3.2370370249757103</v>
      </c>
      <c r="AB30" s="267">
        <v>3.3223001768851614</v>
      </c>
      <c r="AC30" s="267">
        <v>3.448992354015874</v>
      </c>
      <c r="AD30" s="267">
        <v>3.576082566075633</v>
      </c>
      <c r="AE30" s="267">
        <v>3.6071993994426763</v>
      </c>
      <c r="AF30" s="267">
        <v>3.6802214515651084</v>
      </c>
      <c r="AG30" s="267">
        <v>3.7515697897189018</v>
      </c>
      <c r="AH30" s="267">
        <v>3.7652972187741405</v>
      </c>
      <c r="AI30" s="267">
        <v>1.994651449973188</v>
      </c>
      <c r="AJ30" s="267">
        <v>2.3228269452198154</v>
      </c>
      <c r="AK30" s="401">
        <v>3.1474720682159965</v>
      </c>
      <c r="AL30" s="196">
        <f t="shared" si="1"/>
        <v>35.501789089076652</v>
      </c>
      <c r="AM30" s="328" t="s">
        <v>18</v>
      </c>
    </row>
    <row r="31" spans="1:39" ht="12.75" customHeight="1">
      <c r="A31" s="76"/>
      <c r="B31" s="258" t="s">
        <v>17</v>
      </c>
      <c r="C31" s="261"/>
      <c r="D31" s="261"/>
      <c r="E31" s="262"/>
      <c r="F31" s="263"/>
      <c r="G31" s="263"/>
      <c r="H31" s="263"/>
      <c r="I31" s="263"/>
      <c r="J31" s="263">
        <v>14.441000000000001</v>
      </c>
      <c r="K31" s="263">
        <v>14.48</v>
      </c>
      <c r="L31" s="263">
        <v>13.468999999999999</v>
      </c>
      <c r="M31" s="263">
        <v>12.46</v>
      </c>
      <c r="N31" s="263">
        <v>11.353</v>
      </c>
      <c r="O31" s="264">
        <v>9.3174635000000006</v>
      </c>
      <c r="P31" s="264">
        <v>9.2456372200000008</v>
      </c>
      <c r="Q31" s="264">
        <v>9.2487883699999998</v>
      </c>
      <c r="R31" s="264">
        <v>8.7739943999999994</v>
      </c>
      <c r="S31" s="263">
        <v>8.8497632300000006</v>
      </c>
      <c r="T31" s="263">
        <v>8.5377824600000007</v>
      </c>
      <c r="U31" s="263">
        <v>8.6835740000000001</v>
      </c>
      <c r="V31" s="263">
        <v>8.6520620000000008</v>
      </c>
      <c r="W31" s="263">
        <v>7.4487155999999999</v>
      </c>
      <c r="X31" s="263">
        <v>5.3743368</v>
      </c>
      <c r="Y31" s="263">
        <v>5.2707794999999997</v>
      </c>
      <c r="Z31" s="263">
        <v>5.4770729099999995</v>
      </c>
      <c r="AA31" s="263">
        <v>5.4320914300000007</v>
      </c>
      <c r="AB31" s="263">
        <v>5.2574942</v>
      </c>
      <c r="AC31" s="263">
        <v>5.3532087200000005</v>
      </c>
      <c r="AD31" s="263">
        <v>5.3676304500000001</v>
      </c>
      <c r="AE31" s="263">
        <v>5.8909448900000001</v>
      </c>
      <c r="AF31" s="263">
        <v>5.9249999999999998</v>
      </c>
      <c r="AG31" s="263">
        <v>6.2389999999999999</v>
      </c>
      <c r="AH31" s="263">
        <v>6.1870000000000003</v>
      </c>
      <c r="AI31" s="263">
        <v>3.742</v>
      </c>
      <c r="AJ31" s="263">
        <v>3.22</v>
      </c>
      <c r="AK31" s="295">
        <v>4.3410000000000002</v>
      </c>
      <c r="AL31" s="286">
        <f t="shared" si="1"/>
        <v>34.813664596273298</v>
      </c>
      <c r="AM31" s="417" t="s">
        <v>17</v>
      </c>
    </row>
    <row r="32" spans="1:39" ht="12.75" customHeight="1">
      <c r="A32" s="76"/>
      <c r="B32" s="79" t="s">
        <v>33</v>
      </c>
      <c r="C32" s="80">
        <v>7.5</v>
      </c>
      <c r="D32" s="80">
        <v>8.5</v>
      </c>
      <c r="E32" s="268">
        <v>8.5</v>
      </c>
      <c r="F32" s="268">
        <v>8.1</v>
      </c>
      <c r="G32" s="268">
        <v>8</v>
      </c>
      <c r="H32" s="268">
        <v>8</v>
      </c>
      <c r="I32" s="268">
        <v>8</v>
      </c>
      <c r="J32" s="268">
        <v>8</v>
      </c>
      <c r="K32" s="268">
        <v>8</v>
      </c>
      <c r="L32" s="268">
        <v>8</v>
      </c>
      <c r="M32" s="268">
        <v>7.8</v>
      </c>
      <c r="N32" s="268">
        <v>7.6</v>
      </c>
      <c r="O32" s="268">
        <v>7.7</v>
      </c>
      <c r="P32" s="268">
        <v>7.7</v>
      </c>
      <c r="Q32" s="268">
        <v>7.7</v>
      </c>
      <c r="R32" s="268">
        <v>7.67</v>
      </c>
      <c r="S32" s="268">
        <v>7.6050000000000004</v>
      </c>
      <c r="T32" s="268">
        <v>7.54</v>
      </c>
      <c r="U32" s="268">
        <v>7.54</v>
      </c>
      <c r="V32" s="268">
        <v>7.54</v>
      </c>
      <c r="W32" s="268">
        <v>7.54</v>
      </c>
      <c r="X32" s="268">
        <v>7.54</v>
      </c>
      <c r="Y32" s="268">
        <v>7.54</v>
      </c>
      <c r="Z32" s="268">
        <v>7.54</v>
      </c>
      <c r="AA32" s="268">
        <v>7.54</v>
      </c>
      <c r="AB32" s="268">
        <v>7.54</v>
      </c>
      <c r="AC32" s="268">
        <v>7.54</v>
      </c>
      <c r="AD32" s="268">
        <v>7.54</v>
      </c>
      <c r="AE32" s="268">
        <v>8.2550000000000008</v>
      </c>
      <c r="AF32" s="268">
        <v>8.234</v>
      </c>
      <c r="AG32" s="268">
        <v>8</v>
      </c>
      <c r="AH32" s="268">
        <v>7.9</v>
      </c>
      <c r="AI32" s="268">
        <v>6.8</v>
      </c>
      <c r="AJ32" s="268">
        <v>6</v>
      </c>
      <c r="AK32" s="400">
        <v>6.8</v>
      </c>
      <c r="AL32" s="196">
        <f t="shared" si="1"/>
        <v>13.333333333333329</v>
      </c>
      <c r="AM32" s="328" t="s">
        <v>33</v>
      </c>
    </row>
    <row r="33" spans="1:39" ht="12.75" customHeight="1">
      <c r="A33" s="76"/>
      <c r="B33" s="258" t="s">
        <v>34</v>
      </c>
      <c r="C33" s="92">
        <v>5.5</v>
      </c>
      <c r="D33" s="270">
        <v>7.3</v>
      </c>
      <c r="E33" s="263">
        <v>9.6635653963577433</v>
      </c>
      <c r="F33" s="263">
        <v>9.6778711795402756</v>
      </c>
      <c r="G33" s="263">
        <v>9.6995793412478779</v>
      </c>
      <c r="H33" s="263">
        <v>9.4212064737659045</v>
      </c>
      <c r="I33" s="263">
        <v>9.5313567300668325</v>
      </c>
      <c r="J33" s="263">
        <v>9.7031829883458602</v>
      </c>
      <c r="K33" s="263">
        <v>9.8158816424687956</v>
      </c>
      <c r="L33" s="263">
        <v>9.8222182493582775</v>
      </c>
      <c r="M33" s="263">
        <v>9.7775213602288478</v>
      </c>
      <c r="N33" s="263">
        <v>9.7557506258374378</v>
      </c>
      <c r="O33" s="134">
        <v>9.2230444227136132</v>
      </c>
      <c r="P33" s="263">
        <v>9.2192596310104999</v>
      </c>
      <c r="Q33" s="263">
        <v>9.3052392262543311</v>
      </c>
      <c r="R33" s="263">
        <v>9.3257362557126697</v>
      </c>
      <c r="S33" s="263">
        <v>9.2551820468387564</v>
      </c>
      <c r="T33" s="263">
        <v>9.2535498290836973</v>
      </c>
      <c r="U33" s="263">
        <v>9.331866615030437</v>
      </c>
      <c r="V33" s="263">
        <v>9.4178025373407497</v>
      </c>
      <c r="W33" s="263">
        <v>9.1673647911625054</v>
      </c>
      <c r="X33" s="263">
        <v>9.2383966478199095</v>
      </c>
      <c r="Y33" s="263">
        <v>9.3730729788315781</v>
      </c>
      <c r="Z33" s="263">
        <v>9.6471220734088483</v>
      </c>
      <c r="AA33" s="263">
        <v>9.5288523682839266</v>
      </c>
      <c r="AB33" s="263">
        <v>9.7113928735350559</v>
      </c>
      <c r="AC33" s="263">
        <v>9.7010683032964113</v>
      </c>
      <c r="AD33" s="263">
        <v>9.8343049590790859</v>
      </c>
      <c r="AE33" s="263">
        <v>9.8555466474025639</v>
      </c>
      <c r="AF33" s="263">
        <v>9.9818419036292401</v>
      </c>
      <c r="AG33" s="281">
        <v>9.9853225765281586</v>
      </c>
      <c r="AH33" s="263">
        <v>10.057235667340001</v>
      </c>
      <c r="AI33" s="276">
        <v>8.9934283141840012</v>
      </c>
      <c r="AJ33" s="276">
        <v>8.8816859212946628</v>
      </c>
      <c r="AK33" s="409">
        <v>9.3621208341685431</v>
      </c>
      <c r="AL33" s="363">
        <f t="shared" si="1"/>
        <v>5.4092760893738898</v>
      </c>
      <c r="AM33" s="418" t="s">
        <v>34</v>
      </c>
    </row>
    <row r="34" spans="1:39" ht="12.75" customHeight="1">
      <c r="A34" s="76"/>
      <c r="B34" s="79" t="s">
        <v>5</v>
      </c>
      <c r="C34" s="240" t="s">
        <v>36</v>
      </c>
      <c r="D34" s="240" t="s">
        <v>36</v>
      </c>
      <c r="E34" s="241" t="s">
        <v>36</v>
      </c>
      <c r="F34" s="241" t="s">
        <v>36</v>
      </c>
      <c r="G34" s="241" t="s">
        <v>36</v>
      </c>
      <c r="H34" s="241" t="s">
        <v>36</v>
      </c>
      <c r="I34" s="241" t="s">
        <v>36</v>
      </c>
      <c r="J34" s="241">
        <v>0.38900000000000001</v>
      </c>
      <c r="K34" s="241">
        <v>0.40799999999999997</v>
      </c>
      <c r="L34" s="241">
        <v>0.433</v>
      </c>
      <c r="M34" s="241">
        <v>0.45800000000000002</v>
      </c>
      <c r="N34" s="241">
        <v>0.46800000000000003</v>
      </c>
      <c r="O34" s="241">
        <v>0.48499999999999999</v>
      </c>
      <c r="P34" s="241">
        <v>0.50800000000000001</v>
      </c>
      <c r="Q34" s="241">
        <v>0.52300000000000002</v>
      </c>
      <c r="R34" s="241">
        <v>0.53700000000000003</v>
      </c>
      <c r="S34" s="241">
        <v>0.55400000000000005</v>
      </c>
      <c r="T34" s="241">
        <v>0.58699999999999997</v>
      </c>
      <c r="U34" s="241">
        <v>0.622</v>
      </c>
      <c r="V34" s="241">
        <v>0.65300000000000002</v>
      </c>
      <c r="W34" s="241">
        <v>0.63600000000000001</v>
      </c>
      <c r="X34" s="241">
        <v>0.64400000000000002</v>
      </c>
      <c r="Y34" s="241">
        <v>0.63800000000000001</v>
      </c>
      <c r="Z34" s="241">
        <v>0.61499999999999999</v>
      </c>
      <c r="AA34" s="241">
        <v>0.622</v>
      </c>
      <c r="AB34" s="241">
        <v>0.64</v>
      </c>
      <c r="AC34" s="241">
        <v>0.67300000000000004</v>
      </c>
      <c r="AD34" s="241">
        <v>0.71799999999999997</v>
      </c>
      <c r="AE34" s="241">
        <v>0.83299999999999996</v>
      </c>
      <c r="AF34" s="241">
        <v>0.91200000000000003</v>
      </c>
      <c r="AG34" s="241">
        <v>0.93899999999999995</v>
      </c>
      <c r="AH34" s="241">
        <v>0.92800000000000005</v>
      </c>
      <c r="AI34" s="241">
        <v>0.72</v>
      </c>
      <c r="AJ34" s="268">
        <v>0.86199999999999999</v>
      </c>
      <c r="AK34" s="400">
        <v>0.94099999999999995</v>
      </c>
      <c r="AL34" s="288">
        <f t="shared" si="1"/>
        <v>9.1647331786542878</v>
      </c>
      <c r="AM34" s="328" t="s">
        <v>5</v>
      </c>
    </row>
    <row r="35" spans="1:39" ht="12.75" customHeight="1">
      <c r="A35" s="76"/>
      <c r="B35" s="258" t="s">
        <v>35</v>
      </c>
      <c r="C35" s="92">
        <v>3.726</v>
      </c>
      <c r="D35" s="92">
        <v>4.2569999999999997</v>
      </c>
      <c r="E35" s="263">
        <v>3.89</v>
      </c>
      <c r="F35" s="263">
        <v>3.9350000000000001</v>
      </c>
      <c r="G35" s="263">
        <v>3.9350000000000001</v>
      </c>
      <c r="H35" s="263">
        <v>3.9350000000000001</v>
      </c>
      <c r="I35" s="263">
        <v>4</v>
      </c>
      <c r="J35" s="263">
        <v>3.7519999999999998</v>
      </c>
      <c r="K35" s="263">
        <v>4.117</v>
      </c>
      <c r="L35" s="263">
        <v>4.2480000000000002</v>
      </c>
      <c r="M35" s="263">
        <v>4.2119999999999997</v>
      </c>
      <c r="N35" s="263">
        <v>4.1769999999999996</v>
      </c>
      <c r="O35" s="263">
        <v>4.141</v>
      </c>
      <c r="P35" s="263">
        <v>4.1050000000000004</v>
      </c>
      <c r="Q35" s="263">
        <v>4.125</v>
      </c>
      <c r="R35" s="263">
        <v>4.0049999999999999</v>
      </c>
      <c r="S35" s="263">
        <v>4.2309999999999999</v>
      </c>
      <c r="T35" s="263">
        <v>4.3120000000000003</v>
      </c>
      <c r="U35" s="263">
        <v>4.258</v>
      </c>
      <c r="V35" s="263">
        <v>4.2679999999999998</v>
      </c>
      <c r="W35" s="263">
        <v>4.3600000000000003</v>
      </c>
      <c r="X35" s="263">
        <v>4.4009999999999998</v>
      </c>
      <c r="Y35" s="263">
        <v>4.5060000000000002</v>
      </c>
      <c r="Z35" s="263">
        <v>4.7480000000000002</v>
      </c>
      <c r="AA35" s="263">
        <v>3.7879999999999998</v>
      </c>
      <c r="AB35" s="263">
        <v>3.738</v>
      </c>
      <c r="AC35" s="263">
        <v>3.7930000000000001</v>
      </c>
      <c r="AD35" s="263">
        <v>4.0730000000000004</v>
      </c>
      <c r="AE35" s="263">
        <v>4.2590000000000003</v>
      </c>
      <c r="AF35" s="263">
        <v>4.1580000000000004</v>
      </c>
      <c r="AG35" s="134">
        <v>4.2960000000000003</v>
      </c>
      <c r="AH35" s="263">
        <v>4.55</v>
      </c>
      <c r="AI35" s="263">
        <v>2.8410000000000002</v>
      </c>
      <c r="AJ35" s="263">
        <v>2.8959999999999999</v>
      </c>
      <c r="AK35" s="295">
        <v>3.2770000000000001</v>
      </c>
      <c r="AL35" s="286">
        <f t="shared" si="1"/>
        <v>13.156077348066304</v>
      </c>
      <c r="AM35" s="417" t="s">
        <v>35</v>
      </c>
    </row>
    <row r="36" spans="1:39" ht="12.75" customHeight="1">
      <c r="A36" s="76"/>
      <c r="B36" s="150" t="s">
        <v>6</v>
      </c>
      <c r="C36" s="242">
        <v>1.885</v>
      </c>
      <c r="D36" s="242">
        <v>2.4860000000000002</v>
      </c>
      <c r="E36" s="219">
        <v>3.3180000000000001</v>
      </c>
      <c r="F36" s="219">
        <v>3.6269999999999998</v>
      </c>
      <c r="G36" s="219">
        <v>3.5830000000000002</v>
      </c>
      <c r="H36" s="219">
        <v>3.5390000000000001</v>
      </c>
      <c r="I36" s="82">
        <v>3.5310000000000001</v>
      </c>
      <c r="J36" s="219">
        <v>5.5288000000000004</v>
      </c>
      <c r="K36" s="219">
        <v>5.4242999999999997</v>
      </c>
      <c r="L36" s="219">
        <v>5.3872999999999998</v>
      </c>
      <c r="M36" s="78">
        <v>4.7548000000000004</v>
      </c>
      <c r="N36" s="219">
        <v>4.7248999999999999</v>
      </c>
      <c r="O36" s="219">
        <v>4.7987000000000002</v>
      </c>
      <c r="P36" s="219">
        <v>4.8483000000000001</v>
      </c>
      <c r="Q36" s="219">
        <v>4.8609</v>
      </c>
      <c r="R36" s="219">
        <v>4.9941999999999993</v>
      </c>
      <c r="S36" s="219">
        <v>5.0577000000000005</v>
      </c>
      <c r="T36" s="219">
        <v>5.3114999999999997</v>
      </c>
      <c r="U36" s="219">
        <v>5.6021000000000001</v>
      </c>
      <c r="V36" s="219">
        <v>5.673</v>
      </c>
      <c r="W36" s="219">
        <v>5.3265000000000002</v>
      </c>
      <c r="X36" s="219">
        <v>5.4176910015999997</v>
      </c>
      <c r="Y36" s="219">
        <v>5.5076538815999996</v>
      </c>
      <c r="Z36" s="219">
        <v>5.6060850047999997</v>
      </c>
      <c r="AA36" s="219">
        <v>5.7069478847999999</v>
      </c>
      <c r="AB36" s="219">
        <v>5.7751977792</v>
      </c>
      <c r="AC36" s="219">
        <v>5.8559000000000001</v>
      </c>
      <c r="AD36" s="219">
        <v>6.0099260096</v>
      </c>
      <c r="AE36" s="219">
        <v>6.1306072383999997</v>
      </c>
      <c r="AF36" s="219">
        <v>6.1854253800000008</v>
      </c>
      <c r="AG36" s="219">
        <v>6.2600618623999997</v>
      </c>
      <c r="AH36" s="219">
        <v>6.52868783</v>
      </c>
      <c r="AI36" s="219">
        <v>5.3827707520000008</v>
      </c>
      <c r="AJ36" s="219">
        <v>5.7387723775999993</v>
      </c>
      <c r="AK36" s="335">
        <v>6.2624270016000008</v>
      </c>
      <c r="AL36" s="218">
        <f t="shared" si="1"/>
        <v>9.1248544034255161</v>
      </c>
      <c r="AM36" s="419" t="s">
        <v>6</v>
      </c>
    </row>
    <row r="37" spans="1:39" ht="12.75" customHeight="1">
      <c r="A37" s="76"/>
      <c r="B37" s="258" t="s">
        <v>124</v>
      </c>
      <c r="C37" s="92"/>
      <c r="D37" s="92"/>
      <c r="E37" s="263">
        <v>2.7370000000000001</v>
      </c>
      <c r="F37" s="263">
        <v>1.4790000000000001</v>
      </c>
      <c r="G37" s="263">
        <v>5.3999999999999999E-2</v>
      </c>
      <c r="H37" s="263">
        <v>1.0999999999999999E-2</v>
      </c>
      <c r="I37" s="263">
        <v>0.02</v>
      </c>
      <c r="J37" s="263">
        <v>0.112</v>
      </c>
      <c r="K37" s="263">
        <v>0.50800000000000001</v>
      </c>
      <c r="L37" s="263">
        <v>1.2370000000000001</v>
      </c>
      <c r="M37" s="263"/>
      <c r="N37" s="263"/>
      <c r="O37" s="263"/>
      <c r="P37" s="263"/>
      <c r="Q37" s="263"/>
      <c r="R37" s="263"/>
      <c r="S37" s="263"/>
      <c r="T37" s="263"/>
      <c r="U37" s="263"/>
      <c r="V37" s="263">
        <v>2.0379999999999998</v>
      </c>
      <c r="W37" s="263">
        <v>2.113</v>
      </c>
      <c r="X37" s="263">
        <v>1.9510000000000001</v>
      </c>
      <c r="Y37" s="264">
        <v>1.7025000000000001</v>
      </c>
      <c r="Z37" s="263">
        <v>1.454</v>
      </c>
      <c r="AA37" s="263">
        <v>1.9259999999999999</v>
      </c>
      <c r="AB37" s="263">
        <v>1.75</v>
      </c>
      <c r="AC37" s="263">
        <v>1.66</v>
      </c>
      <c r="AD37" s="263">
        <v>1.69</v>
      </c>
      <c r="AE37" s="263">
        <v>1.706</v>
      </c>
      <c r="AF37" s="263">
        <v>1.661</v>
      </c>
      <c r="AG37" s="263">
        <v>1.7150000000000001</v>
      </c>
      <c r="AH37" s="263">
        <v>1.732</v>
      </c>
      <c r="AI37" s="283">
        <v>0.71399999999999997</v>
      </c>
      <c r="AJ37" s="420">
        <v>0.8043259586770436</v>
      </c>
      <c r="AK37" s="296">
        <v>1.1000193082246694</v>
      </c>
      <c r="AL37" s="286">
        <f t="shared" si="1"/>
        <v>36.762875343969085</v>
      </c>
      <c r="AM37" s="417" t="s">
        <v>124</v>
      </c>
    </row>
    <row r="38" spans="1:39" ht="12.75" customHeight="1">
      <c r="A38" s="76"/>
      <c r="B38" s="79" t="s">
        <v>76</v>
      </c>
      <c r="C38" s="83"/>
      <c r="D38" s="83"/>
      <c r="E38" s="267"/>
      <c r="F38" s="267"/>
      <c r="G38" s="267"/>
      <c r="H38" s="267"/>
      <c r="I38" s="267"/>
      <c r="J38" s="267"/>
      <c r="K38" s="267"/>
      <c r="L38" s="267"/>
      <c r="M38" s="267"/>
      <c r="N38" s="267"/>
      <c r="O38" s="267"/>
      <c r="P38" s="267"/>
      <c r="Q38" s="267"/>
      <c r="R38" s="267"/>
      <c r="S38" s="267"/>
      <c r="T38" s="267"/>
      <c r="U38" s="267"/>
      <c r="V38" s="267"/>
      <c r="W38" s="268">
        <v>0.124</v>
      </c>
      <c r="X38" s="268">
        <v>0.10199999999999999</v>
      </c>
      <c r="Y38" s="268">
        <v>8.1000000000000003E-2</v>
      </c>
      <c r="Z38" s="268">
        <v>0.08</v>
      </c>
      <c r="AA38" s="268">
        <v>0.112</v>
      </c>
      <c r="AB38" s="268">
        <v>0.108802</v>
      </c>
      <c r="AC38" s="268">
        <v>0.108</v>
      </c>
      <c r="AD38" s="268">
        <v>0.109621</v>
      </c>
      <c r="AE38" s="268">
        <v>0.113798</v>
      </c>
      <c r="AF38" s="268">
        <v>0.11419600000000001</v>
      </c>
      <c r="AG38" s="268">
        <v>0.115</v>
      </c>
      <c r="AH38" s="268">
        <v>0.114</v>
      </c>
      <c r="AI38" s="268">
        <v>0.03</v>
      </c>
      <c r="AJ38" s="400">
        <v>3.2000000000000001E-2</v>
      </c>
      <c r="AK38" s="400">
        <v>5.0999999999999997E-2</v>
      </c>
      <c r="AL38" s="196">
        <f t="shared" si="1"/>
        <v>59.374999999999972</v>
      </c>
      <c r="AM38" s="328" t="s">
        <v>76</v>
      </c>
    </row>
    <row r="39" spans="1:39" ht="12.75" customHeight="1">
      <c r="A39" s="76"/>
      <c r="B39" s="258" t="s">
        <v>125</v>
      </c>
      <c r="C39" s="271"/>
      <c r="D39" s="271"/>
      <c r="E39" s="263"/>
      <c r="F39" s="263"/>
      <c r="G39" s="263"/>
      <c r="H39" s="263"/>
      <c r="I39" s="263"/>
      <c r="J39" s="263">
        <v>2.2653999999999996</v>
      </c>
      <c r="K39" s="263">
        <v>2.1088</v>
      </c>
      <c r="L39" s="263">
        <v>1.9092</v>
      </c>
      <c r="M39" s="263">
        <v>2.0361000000000002</v>
      </c>
      <c r="N39" s="263">
        <v>2.0869999999999997</v>
      </c>
      <c r="O39" s="263">
        <v>1.8351999999999999</v>
      </c>
      <c r="P39" s="263">
        <v>1.5038</v>
      </c>
      <c r="Q39" s="263">
        <v>1.9341999999999999</v>
      </c>
      <c r="R39" s="263">
        <v>2.2940999999999998</v>
      </c>
      <c r="S39" s="263">
        <v>2.6160000000000001</v>
      </c>
      <c r="T39" s="263">
        <v>2.7347000000000001</v>
      </c>
      <c r="U39" s="263">
        <v>2.8208999999999995</v>
      </c>
      <c r="V39" s="263">
        <v>3.1031999999999997</v>
      </c>
      <c r="W39" s="263">
        <v>3.2221000000000002</v>
      </c>
      <c r="X39" s="263">
        <v>2.8334000000000001</v>
      </c>
      <c r="Y39" s="263">
        <v>2.7634999999999996</v>
      </c>
      <c r="Z39" s="263">
        <v>3.0685000000000002</v>
      </c>
      <c r="AA39" s="263">
        <v>3.1756000000000002</v>
      </c>
      <c r="AB39" s="263">
        <v>3.3458999999999999</v>
      </c>
      <c r="AC39" s="263">
        <v>3.0872000000000002</v>
      </c>
      <c r="AD39" s="263">
        <v>3.2476000000000003</v>
      </c>
      <c r="AE39" s="263">
        <v>3.4211999999999998</v>
      </c>
      <c r="AF39" s="263">
        <v>3.5594000000000001</v>
      </c>
      <c r="AG39" s="263">
        <v>3.8271999999999999</v>
      </c>
      <c r="AH39" s="263">
        <v>4.0103</v>
      </c>
      <c r="AI39" s="263">
        <v>2.1075999999999997</v>
      </c>
      <c r="AJ39" s="295">
        <v>2.4754</v>
      </c>
      <c r="AK39" s="295">
        <v>3.2982</v>
      </c>
      <c r="AL39" s="286">
        <f t="shared" si="1"/>
        <v>33.23907247313565</v>
      </c>
      <c r="AM39" s="417" t="s">
        <v>125</v>
      </c>
    </row>
    <row r="40" spans="1:39" ht="12.75" customHeight="1">
      <c r="A40" s="76"/>
      <c r="B40" s="79" t="s">
        <v>3</v>
      </c>
      <c r="C40" s="421"/>
      <c r="D40" s="421"/>
      <c r="E40" s="422"/>
      <c r="F40" s="268"/>
      <c r="G40" s="268"/>
      <c r="H40" s="268"/>
      <c r="I40" s="268"/>
      <c r="J40" s="267">
        <v>0.9</v>
      </c>
      <c r="K40" s="267">
        <v>0.9</v>
      </c>
      <c r="L40" s="267">
        <v>0.9</v>
      </c>
      <c r="M40" s="267">
        <v>0.9</v>
      </c>
      <c r="N40" s="267">
        <v>0.9</v>
      </c>
      <c r="O40" s="267">
        <v>1.726</v>
      </c>
      <c r="P40" s="268">
        <v>1.6659999999999999</v>
      </c>
      <c r="Q40" s="267">
        <v>1.9039999999999999</v>
      </c>
      <c r="R40" s="268">
        <v>2.1469999999999998</v>
      </c>
      <c r="S40" s="268">
        <v>1.8220000000000001</v>
      </c>
      <c r="T40" s="268">
        <v>1.748</v>
      </c>
      <c r="U40" s="268">
        <v>1.581</v>
      </c>
      <c r="V40" s="268">
        <v>1.544</v>
      </c>
      <c r="W40" s="268">
        <v>1.7849999999999999</v>
      </c>
      <c r="X40" s="268">
        <v>1.7649999999999999</v>
      </c>
      <c r="Y40" s="268">
        <v>1.984</v>
      </c>
      <c r="Z40" s="268">
        <v>2.2080000000000002</v>
      </c>
      <c r="AA40" s="268">
        <v>1.994</v>
      </c>
      <c r="AB40" s="268">
        <v>1.98</v>
      </c>
      <c r="AC40" s="268">
        <v>2.4740000000000002</v>
      </c>
      <c r="AD40" s="268">
        <v>2.2759999999999998</v>
      </c>
      <c r="AE40" s="268">
        <v>2.069</v>
      </c>
      <c r="AF40" s="268">
        <v>2.331</v>
      </c>
      <c r="AG40" s="268">
        <v>2.2469999999999999</v>
      </c>
      <c r="AH40" s="268">
        <v>2.028</v>
      </c>
      <c r="AI40" s="268">
        <v>0.66200000000000003</v>
      </c>
      <c r="AJ40" s="400">
        <v>0.63100000000000001</v>
      </c>
      <c r="AK40" s="400">
        <v>1.03</v>
      </c>
      <c r="AL40" s="196">
        <f t="shared" si="1"/>
        <v>63.232963549920754</v>
      </c>
      <c r="AM40" s="328" t="s">
        <v>3</v>
      </c>
    </row>
    <row r="41" spans="1:39" ht="12.75" customHeight="1">
      <c r="A41" s="76"/>
      <c r="B41" s="258" t="s">
        <v>82</v>
      </c>
      <c r="C41" s="92">
        <v>0.77600000000000002</v>
      </c>
      <c r="D41" s="92">
        <v>1.421</v>
      </c>
      <c r="E41" s="171">
        <v>2.1739999999999999</v>
      </c>
      <c r="F41" s="171">
        <v>1.28</v>
      </c>
      <c r="G41" s="171">
        <v>0.51500000000000001</v>
      </c>
      <c r="H41" s="171">
        <v>0.307</v>
      </c>
      <c r="I41" s="171">
        <v>0.19700000000000001</v>
      </c>
      <c r="J41" s="171">
        <v>0.19600000000000001</v>
      </c>
      <c r="K41" s="171">
        <v>0.223</v>
      </c>
      <c r="L41" s="171">
        <v>0.19</v>
      </c>
      <c r="M41" s="171">
        <v>0.19</v>
      </c>
      <c r="N41" s="171">
        <v>0.221</v>
      </c>
      <c r="O41" s="171">
        <v>0.184</v>
      </c>
      <c r="P41" s="171">
        <v>0.19700000000000001</v>
      </c>
      <c r="Q41" s="171">
        <v>0.159</v>
      </c>
      <c r="R41" s="171">
        <v>0.17599999999999999</v>
      </c>
      <c r="S41" s="171">
        <v>0.14099999999999999</v>
      </c>
      <c r="T41" s="171">
        <v>0.28000000000000003</v>
      </c>
      <c r="U41" s="171">
        <v>0.48</v>
      </c>
      <c r="V41" s="171">
        <v>0.66300000000000003</v>
      </c>
      <c r="W41" s="171">
        <v>0.79</v>
      </c>
      <c r="X41" s="171">
        <v>1.302</v>
      </c>
      <c r="Y41" s="171">
        <v>2.37</v>
      </c>
      <c r="Z41" s="171">
        <v>1.254</v>
      </c>
      <c r="AA41" s="171">
        <v>0.98299999999999998</v>
      </c>
      <c r="AB41" s="171">
        <v>1.0629999999999999</v>
      </c>
      <c r="AC41" s="423">
        <v>1.1326680761099364</v>
      </c>
      <c r="AD41" s="423">
        <v>1.2130914544345939</v>
      </c>
      <c r="AE41" s="423">
        <v>1.319032466687682</v>
      </c>
      <c r="AF41" s="423">
        <v>1.2499558444672563</v>
      </c>
      <c r="AG41" s="423">
        <v>1.3220354619557584</v>
      </c>
      <c r="AH41" s="423">
        <v>1.3748463749838433</v>
      </c>
      <c r="AI41" s="423">
        <v>0.90898653590133138</v>
      </c>
      <c r="AJ41" s="295">
        <v>0.96809532535249299</v>
      </c>
      <c r="AK41" s="295">
        <v>1.2982780663065248</v>
      </c>
      <c r="AL41" s="286">
        <f t="shared" si="1"/>
        <v>34.10642860338254</v>
      </c>
      <c r="AM41" s="417" t="s">
        <v>82</v>
      </c>
    </row>
    <row r="42" spans="1:39" ht="12.75" customHeight="1">
      <c r="A42" s="76"/>
      <c r="B42" s="79" t="s">
        <v>77</v>
      </c>
      <c r="C42" s="421"/>
      <c r="D42" s="421"/>
      <c r="E42" s="422">
        <v>7.2489999999999997</v>
      </c>
      <c r="F42" s="268">
        <v>6.093</v>
      </c>
      <c r="G42" s="268">
        <v>6.3659999999999997</v>
      </c>
      <c r="H42" s="268">
        <v>5.5350000000000001</v>
      </c>
      <c r="I42" s="268">
        <v>3.9049999999999998</v>
      </c>
      <c r="J42" s="268">
        <v>3.7290000000000001</v>
      </c>
      <c r="K42" s="268">
        <v>4.5869999999999997</v>
      </c>
      <c r="L42" s="268">
        <v>3.4470000000000001</v>
      </c>
      <c r="M42" s="268">
        <v>3.7069999999999999</v>
      </c>
      <c r="N42" s="268">
        <v>2.5830000000000002</v>
      </c>
      <c r="O42" s="268">
        <v>3.056</v>
      </c>
      <c r="P42" s="268">
        <v>5.6349999999999998</v>
      </c>
      <c r="Q42" s="268">
        <v>5.1719999999999997</v>
      </c>
      <c r="R42" s="268">
        <v>3.8650000000000002</v>
      </c>
      <c r="S42" s="268">
        <v>3.6760000000000002</v>
      </c>
      <c r="T42" s="268">
        <v>4.82</v>
      </c>
      <c r="U42" s="268">
        <v>5.48</v>
      </c>
      <c r="V42" s="268">
        <v>4.4560000000000004</v>
      </c>
      <c r="W42" s="268">
        <v>4.7190000000000003</v>
      </c>
      <c r="X42" s="268">
        <v>4.5819999999999999</v>
      </c>
      <c r="Y42" s="268">
        <v>4.6529999999999996</v>
      </c>
      <c r="Z42" s="268">
        <v>4.6520000000000001</v>
      </c>
      <c r="AA42" s="268">
        <v>4.6399999999999997</v>
      </c>
      <c r="AB42" s="268">
        <v>4.6120000000000001</v>
      </c>
      <c r="AC42" s="268">
        <v>4.2229999999999999</v>
      </c>
      <c r="AD42" s="268">
        <v>4.601</v>
      </c>
      <c r="AE42" s="268">
        <v>4.282</v>
      </c>
      <c r="AF42" s="424">
        <v>4.2549999999999999</v>
      </c>
      <c r="AG42" s="424">
        <v>4.95</v>
      </c>
      <c r="AH42" s="424">
        <v>4.6619999999999999</v>
      </c>
      <c r="AI42" s="424">
        <v>3.0859999999999999</v>
      </c>
      <c r="AJ42" s="400">
        <v>3.5859999999999999</v>
      </c>
      <c r="AK42" s="400">
        <v>4.6520000000000001</v>
      </c>
      <c r="AL42" s="196">
        <f t="shared" si="1"/>
        <v>29.726715002788637</v>
      </c>
      <c r="AM42" s="328" t="s">
        <v>77</v>
      </c>
    </row>
    <row r="43" spans="1:39" ht="12.75" customHeight="1">
      <c r="A43" s="76"/>
      <c r="B43" s="258" t="s">
        <v>19</v>
      </c>
      <c r="C43" s="92" t="s">
        <v>36</v>
      </c>
      <c r="D43" s="92" t="s">
        <v>36</v>
      </c>
      <c r="E43" s="263" t="s">
        <v>36</v>
      </c>
      <c r="F43" s="263" t="s">
        <v>36</v>
      </c>
      <c r="G43" s="263" t="s">
        <v>36</v>
      </c>
      <c r="H43" s="263">
        <v>86.914000000000001</v>
      </c>
      <c r="I43" s="263">
        <v>79.17</v>
      </c>
      <c r="J43" s="263">
        <v>85.674000000000007</v>
      </c>
      <c r="K43" s="263">
        <v>91.658000000000001</v>
      </c>
      <c r="L43" s="263">
        <v>95.36</v>
      </c>
      <c r="M43" s="263">
        <v>94.914000000000001</v>
      </c>
      <c r="N43" s="263">
        <v>91.263000000000005</v>
      </c>
      <c r="O43" s="263">
        <v>87.391000000000005</v>
      </c>
      <c r="P43" s="263">
        <v>76.8</v>
      </c>
      <c r="Q43" s="264">
        <v>80</v>
      </c>
      <c r="R43" s="264">
        <v>81</v>
      </c>
      <c r="S43" s="264">
        <v>85</v>
      </c>
      <c r="T43" s="264">
        <v>95</v>
      </c>
      <c r="U43" s="264">
        <v>100</v>
      </c>
      <c r="V43" s="264">
        <v>105</v>
      </c>
      <c r="W43" s="264">
        <v>110</v>
      </c>
      <c r="X43" s="134">
        <v>88.426000000000002</v>
      </c>
      <c r="Y43" s="263">
        <v>89.055999999999997</v>
      </c>
      <c r="Z43" s="263">
        <v>95.334000000000003</v>
      </c>
      <c r="AA43" s="263">
        <v>96.558999999999997</v>
      </c>
      <c r="AB43" s="263">
        <v>94.846000000000004</v>
      </c>
      <c r="AC43" s="263">
        <v>93.918000000000006</v>
      </c>
      <c r="AD43" s="263">
        <v>90.838999999999999</v>
      </c>
      <c r="AE43" s="263">
        <v>86.998999999999995</v>
      </c>
      <c r="AF43" s="264">
        <v>87.498187873142228</v>
      </c>
      <c r="AG43" s="263">
        <v>99.24</v>
      </c>
      <c r="AH43" s="263">
        <v>99.084000000000003</v>
      </c>
      <c r="AI43" s="263">
        <v>73.69</v>
      </c>
      <c r="AJ43" s="296">
        <v>74.7816636353528</v>
      </c>
      <c r="AK43" s="296">
        <v>96.38121919056826</v>
      </c>
      <c r="AL43" s="286">
        <f t="shared" si="1"/>
        <v>28.883491627758247</v>
      </c>
      <c r="AM43" s="417" t="s">
        <v>19</v>
      </c>
    </row>
    <row r="44" spans="1:39" ht="12" customHeight="1">
      <c r="B44" s="150" t="s">
        <v>126</v>
      </c>
      <c r="C44" s="80"/>
      <c r="D44" s="80"/>
      <c r="E44" s="268"/>
      <c r="F44" s="268"/>
      <c r="G44" s="268"/>
      <c r="H44" s="268"/>
      <c r="I44" s="268"/>
      <c r="J44" s="268"/>
      <c r="K44" s="268"/>
      <c r="L44" s="268"/>
      <c r="M44" s="268"/>
      <c r="N44" s="268"/>
      <c r="O44" s="268">
        <v>28.829000000000001</v>
      </c>
      <c r="P44" s="268"/>
      <c r="Q44" s="267"/>
      <c r="R44" s="267"/>
      <c r="S44" s="267"/>
      <c r="T44" s="267">
        <v>52.491</v>
      </c>
      <c r="U44" s="267"/>
      <c r="V44" s="267"/>
      <c r="W44" s="267">
        <v>61.302999999999997</v>
      </c>
      <c r="X44" s="219" t="s">
        <v>127</v>
      </c>
      <c r="Y44" s="268">
        <v>58.350999999999999</v>
      </c>
      <c r="Z44" s="268">
        <v>51.497999999999998</v>
      </c>
      <c r="AA44" s="268">
        <v>59.308999999999997</v>
      </c>
      <c r="AB44" s="268">
        <v>56.640999999999998</v>
      </c>
      <c r="AC44" s="268">
        <v>49.002000000000002</v>
      </c>
      <c r="AD44" s="268">
        <v>40.679000000000002</v>
      </c>
      <c r="AE44" s="268">
        <v>40.451999999999998</v>
      </c>
      <c r="AF44" s="267">
        <v>41.527000000000001</v>
      </c>
      <c r="AG44" s="268">
        <v>40.365000000000002</v>
      </c>
      <c r="AH44" s="219">
        <v>39.286999999999999</v>
      </c>
      <c r="AI44" s="219">
        <v>22.545000000000002</v>
      </c>
      <c r="AJ44" s="425">
        <v>22.634312889720576</v>
      </c>
      <c r="AK44" s="425"/>
      <c r="AL44" s="218"/>
      <c r="AM44" s="419" t="s">
        <v>126</v>
      </c>
    </row>
    <row r="45" spans="1:39" ht="12.75" customHeight="1">
      <c r="B45" s="353" t="s">
        <v>23</v>
      </c>
      <c r="C45" s="426">
        <v>61.7</v>
      </c>
      <c r="D45" s="426">
        <v>53.7</v>
      </c>
      <c r="E45" s="427">
        <v>47.1</v>
      </c>
      <c r="F45" s="427">
        <v>45.2</v>
      </c>
      <c r="G45" s="427">
        <v>44</v>
      </c>
      <c r="H45" s="427">
        <v>45.3</v>
      </c>
      <c r="I45" s="427">
        <v>45.2</v>
      </c>
      <c r="J45" s="427">
        <v>44.8</v>
      </c>
      <c r="K45" s="427">
        <v>44.7</v>
      </c>
      <c r="L45" s="427">
        <v>45.5</v>
      </c>
      <c r="M45" s="427">
        <v>46.4</v>
      </c>
      <c r="N45" s="427">
        <v>47.7</v>
      </c>
      <c r="O45" s="427">
        <v>48</v>
      </c>
      <c r="P45" s="427">
        <v>48.04</v>
      </c>
      <c r="Q45" s="427">
        <v>42.1</v>
      </c>
      <c r="R45" s="428">
        <v>46.1</v>
      </c>
      <c r="S45" s="427">
        <v>42.526591183494219</v>
      </c>
      <c r="T45" s="427">
        <v>43.964015452538391</v>
      </c>
      <c r="U45" s="427">
        <v>41.970470057792525</v>
      </c>
      <c r="V45" s="427">
        <v>42.197936603376114</v>
      </c>
      <c r="W45" s="427">
        <v>44.709474844574544</v>
      </c>
      <c r="X45" s="427">
        <v>45.719121807781001</v>
      </c>
      <c r="Y45" s="427">
        <v>46.223324420997564</v>
      </c>
      <c r="Z45" s="427">
        <v>44.106906557188047</v>
      </c>
      <c r="AA45" s="427">
        <v>43.726286095378342</v>
      </c>
      <c r="AB45" s="427">
        <v>41.881469475441314</v>
      </c>
      <c r="AC45" s="427">
        <v>41.117834220330479</v>
      </c>
      <c r="AD45" s="427">
        <v>40.86814894142244</v>
      </c>
      <c r="AE45" s="427">
        <v>35.864239151523378</v>
      </c>
      <c r="AF45" s="427">
        <v>39.478844989944278</v>
      </c>
      <c r="AG45" s="427">
        <v>36.767402740460305</v>
      </c>
      <c r="AH45" s="427">
        <v>34.138842819872004</v>
      </c>
      <c r="AI45" s="427">
        <v>14.418042465098534</v>
      </c>
      <c r="AJ45" s="296">
        <v>18.726091660132109</v>
      </c>
      <c r="AK45" s="296">
        <v>25.203737698982472</v>
      </c>
      <c r="AL45" s="363">
        <f t="shared" si="1"/>
        <v>34.59155362697112</v>
      </c>
      <c r="AM45" s="353" t="s">
        <v>23</v>
      </c>
    </row>
    <row r="46" spans="1:39" s="73" customFormat="1" ht="12.75" customHeight="1">
      <c r="B46" s="246" t="s">
        <v>122</v>
      </c>
      <c r="C46" s="246"/>
      <c r="D46" s="246"/>
      <c r="E46" s="246"/>
      <c r="F46" s="246"/>
      <c r="G46" s="246"/>
      <c r="H46" s="246"/>
      <c r="I46" s="246"/>
      <c r="J46" s="246"/>
      <c r="K46" s="246"/>
      <c r="L46" s="246"/>
      <c r="M46" s="246"/>
      <c r="N46" s="246"/>
      <c r="O46" s="246"/>
      <c r="P46" s="246"/>
      <c r="Q46" s="246"/>
      <c r="R46" s="246"/>
      <c r="S46" s="246"/>
      <c r="T46" s="246"/>
      <c r="U46" s="246"/>
      <c r="V46" s="246"/>
      <c r="W46" s="246"/>
      <c r="X46" s="246"/>
      <c r="Y46" s="246"/>
      <c r="Z46" s="246"/>
      <c r="AA46" s="246"/>
      <c r="AB46" s="246"/>
      <c r="AC46" s="246"/>
      <c r="AD46" s="246"/>
      <c r="AE46" s="246"/>
      <c r="AF46" s="246"/>
      <c r="AG46" s="246"/>
      <c r="AH46" s="246"/>
      <c r="AI46" s="246"/>
      <c r="AJ46" s="246"/>
      <c r="AK46" s="246"/>
      <c r="AL46" s="247"/>
      <c r="AM46" s="366"/>
    </row>
    <row r="47" spans="1:39" s="73" customFormat="1" ht="12.75" customHeight="1">
      <c r="B47" s="75" t="s">
        <v>110</v>
      </c>
      <c r="C47" s="429"/>
      <c r="D47" s="74"/>
      <c r="E47" s="74"/>
      <c r="F47" s="74"/>
      <c r="G47" s="74"/>
      <c r="H47" s="430"/>
      <c r="I47" s="74"/>
      <c r="J47" s="74"/>
      <c r="K47" s="411"/>
      <c r="L47" s="74"/>
      <c r="M47" s="74"/>
      <c r="N47" s="74"/>
      <c r="O47" s="70"/>
      <c r="P47" s="70"/>
      <c r="Q47" s="70"/>
      <c r="R47" s="70"/>
      <c r="S47" s="70"/>
      <c r="T47" s="70"/>
      <c r="U47" s="70"/>
      <c r="V47" s="70"/>
      <c r="W47" s="70"/>
      <c r="X47" s="70"/>
      <c r="Y47" s="70"/>
      <c r="Z47" s="70"/>
      <c r="AA47" s="70"/>
      <c r="AB47" s="70"/>
      <c r="AC47" s="70"/>
      <c r="AD47" s="70"/>
      <c r="AE47" s="70"/>
      <c r="AF47" s="70"/>
      <c r="AG47" s="70"/>
      <c r="AH47" s="70"/>
      <c r="AI47" s="70"/>
      <c r="AJ47" s="70"/>
      <c r="AK47" s="70"/>
      <c r="AL47" s="77"/>
      <c r="AM47" s="70"/>
    </row>
    <row r="48" spans="1:39">
      <c r="B48" s="73" t="s">
        <v>144</v>
      </c>
      <c r="C48" s="73"/>
      <c r="D48" s="102"/>
      <c r="E48" s="102"/>
      <c r="F48" s="102"/>
      <c r="G48" s="102"/>
      <c r="H48" s="102"/>
      <c r="I48" s="102"/>
      <c r="J48" s="102"/>
      <c r="K48" s="102"/>
      <c r="L48" s="102"/>
      <c r="M48" s="102"/>
      <c r="N48" s="102"/>
      <c r="O48" s="131"/>
      <c r="P48" s="131"/>
      <c r="Q48" s="131"/>
      <c r="R48" s="131"/>
      <c r="S48" s="131"/>
      <c r="T48" s="131"/>
      <c r="U48" s="131"/>
      <c r="V48" s="131"/>
      <c r="W48" s="131"/>
      <c r="X48" s="131"/>
      <c r="Y48" s="131"/>
      <c r="Z48" s="131"/>
      <c r="AA48" s="131"/>
      <c r="AB48" s="131"/>
      <c r="AC48" s="131"/>
      <c r="AD48" s="131"/>
      <c r="AE48" s="131"/>
      <c r="AF48" s="131"/>
      <c r="AG48" s="131"/>
      <c r="AH48" s="131"/>
      <c r="AI48" s="131"/>
      <c r="AJ48" s="131"/>
      <c r="AK48" s="131"/>
      <c r="AL48" s="171"/>
      <c r="AM48" s="73"/>
    </row>
    <row r="49" spans="2:39">
      <c r="B49" s="590" t="s">
        <v>91</v>
      </c>
      <c r="C49" s="590"/>
      <c r="D49" s="590"/>
      <c r="E49" s="590"/>
      <c r="F49" s="590"/>
      <c r="G49" s="590"/>
      <c r="H49" s="590"/>
      <c r="I49" s="590"/>
      <c r="J49" s="590"/>
      <c r="K49" s="590"/>
      <c r="L49" s="590"/>
      <c r="M49" s="590"/>
      <c r="N49" s="590"/>
      <c r="O49" s="590"/>
      <c r="P49" s="590"/>
      <c r="Q49" s="590"/>
      <c r="R49" s="590"/>
      <c r="S49" s="590"/>
      <c r="T49" s="590"/>
      <c r="U49" s="590"/>
      <c r="V49" s="590"/>
      <c r="W49" s="590"/>
      <c r="X49" s="590"/>
      <c r="Y49" s="590"/>
      <c r="Z49" s="590"/>
      <c r="AA49" s="590"/>
      <c r="AB49" s="590"/>
      <c r="AC49" s="590"/>
      <c r="AD49" s="590"/>
      <c r="AE49" s="590"/>
      <c r="AF49" s="590"/>
      <c r="AG49" s="365"/>
      <c r="AH49" s="365"/>
      <c r="AI49" s="365"/>
      <c r="AJ49" s="365"/>
      <c r="AK49" s="365"/>
      <c r="AL49" s="172"/>
      <c r="AM49" s="73"/>
    </row>
    <row r="50" spans="2:39" s="73" customFormat="1" ht="11.25" customHeight="1">
      <c r="B50" s="70" t="s">
        <v>134</v>
      </c>
      <c r="C50" s="70"/>
      <c r="D50" s="70"/>
      <c r="E50" s="70"/>
      <c r="F50" s="70"/>
      <c r="G50" s="70"/>
      <c r="H50" s="70"/>
      <c r="I50" s="70"/>
      <c r="J50" s="70"/>
      <c r="K50" s="70"/>
      <c r="L50" s="70"/>
      <c r="M50" s="70"/>
      <c r="N50" s="70"/>
      <c r="O50" s="70"/>
      <c r="P50" s="70"/>
      <c r="Q50" s="70"/>
      <c r="R50" s="70"/>
      <c r="S50" s="70"/>
      <c r="T50" s="70"/>
      <c r="U50" s="70"/>
      <c r="V50" s="70"/>
      <c r="W50" s="70"/>
      <c r="X50" s="70"/>
      <c r="Y50" s="70"/>
      <c r="Z50" s="70"/>
      <c r="AA50" s="70"/>
      <c r="AB50" s="70"/>
      <c r="AC50" s="70"/>
      <c r="AD50" s="70"/>
      <c r="AE50" s="70"/>
      <c r="AF50" s="70"/>
      <c r="AG50" s="70"/>
      <c r="AH50" s="70"/>
      <c r="AI50" s="70"/>
      <c r="AJ50" s="70"/>
      <c r="AK50" s="70"/>
      <c r="AL50" s="77"/>
      <c r="AM50" s="70"/>
    </row>
    <row r="51" spans="2:39" ht="12.75" customHeight="1">
      <c r="B51" s="70" t="s">
        <v>87</v>
      </c>
    </row>
    <row r="52" spans="2:39" ht="15">
      <c r="B52" s="103" t="s">
        <v>133</v>
      </c>
      <c r="C52" s="73"/>
      <c r="D52" s="102"/>
      <c r="E52" s="102"/>
      <c r="F52" s="102"/>
      <c r="G52" s="102"/>
      <c r="H52" s="102"/>
      <c r="I52" s="102"/>
      <c r="J52" s="102"/>
      <c r="K52" s="102"/>
      <c r="L52" s="102"/>
      <c r="M52" s="102"/>
      <c r="N52" s="102"/>
      <c r="O52" s="368"/>
      <c r="P52" s="368"/>
      <c r="Q52" s="368"/>
      <c r="R52" s="368"/>
      <c r="S52" s="368"/>
      <c r="T52" s="368"/>
      <c r="U52" s="368"/>
      <c r="V52" s="368"/>
      <c r="W52" s="368"/>
      <c r="X52" s="368"/>
      <c r="Y52" s="368"/>
      <c r="Z52" s="368"/>
      <c r="AA52" s="368"/>
      <c r="AB52" s="368"/>
      <c r="AC52" s="368"/>
      <c r="AD52" s="368"/>
      <c r="AE52" s="368"/>
      <c r="AF52" s="368"/>
      <c r="AG52" s="368"/>
      <c r="AH52" s="368"/>
      <c r="AI52" s="368"/>
      <c r="AJ52" s="368"/>
      <c r="AK52" s="368"/>
    </row>
    <row r="53" spans="2:39" ht="12.75">
      <c r="B53" s="70" t="s">
        <v>83</v>
      </c>
      <c r="C53" s="100"/>
      <c r="D53" s="100"/>
      <c r="E53" s="100"/>
      <c r="F53" s="100"/>
      <c r="G53" s="100"/>
      <c r="H53" s="100"/>
      <c r="I53" s="100"/>
      <c r="J53" s="100"/>
      <c r="K53" s="100"/>
      <c r="L53" s="101"/>
      <c r="M53" s="101"/>
      <c r="N53" s="101"/>
      <c r="O53" s="102"/>
      <c r="P53" s="102"/>
      <c r="Q53" s="102"/>
      <c r="R53" s="102"/>
      <c r="S53" s="102"/>
      <c r="T53" s="102"/>
      <c r="U53" s="102"/>
      <c r="V53" s="102"/>
      <c r="W53" s="102"/>
      <c r="X53" s="102"/>
      <c r="Y53" s="102"/>
      <c r="Z53" s="102"/>
      <c r="AA53" s="102"/>
      <c r="AB53" s="102"/>
      <c r="AC53" s="102"/>
    </row>
    <row r="54" spans="2:39" ht="12" customHeight="1">
      <c r="B54" s="70" t="s">
        <v>89</v>
      </c>
      <c r="P54" s="355"/>
      <c r="Q54" s="355"/>
      <c r="R54" s="355"/>
      <c r="S54" s="355"/>
      <c r="T54" s="355"/>
      <c r="U54" s="355"/>
      <c r="V54" s="355"/>
      <c r="W54" s="355"/>
      <c r="X54" s="355"/>
      <c r="Y54" s="355"/>
      <c r="Z54" s="355"/>
      <c r="AA54" s="355"/>
      <c r="AB54" s="355"/>
      <c r="AC54" s="355"/>
      <c r="AD54" s="355"/>
      <c r="AE54" s="355"/>
      <c r="AF54" s="355"/>
      <c r="AG54" s="355"/>
      <c r="AH54" s="355"/>
      <c r="AI54" s="355"/>
      <c r="AJ54" s="355"/>
      <c r="AK54" s="355"/>
    </row>
    <row r="55" spans="2:39">
      <c r="B55" s="84" t="s">
        <v>132</v>
      </c>
      <c r="E55" s="132"/>
      <c r="F55" s="132"/>
      <c r="G55" s="132"/>
      <c r="H55" s="132"/>
      <c r="I55" s="132"/>
      <c r="J55" s="132"/>
      <c r="K55" s="132"/>
      <c r="L55" s="132"/>
      <c r="M55" s="132"/>
      <c r="N55" s="132"/>
      <c r="O55" s="132"/>
      <c r="P55" s="132"/>
      <c r="Q55" s="132"/>
      <c r="R55" s="132"/>
      <c r="S55" s="132"/>
    </row>
    <row r="56" spans="2:39">
      <c r="B56" s="70" t="s">
        <v>135</v>
      </c>
      <c r="T56" s="77"/>
      <c r="AB56" s="77"/>
      <c r="AC56" s="77"/>
    </row>
    <row r="57" spans="2:39">
      <c r="B57" s="70" t="s">
        <v>129</v>
      </c>
    </row>
    <row r="58" spans="2:39" ht="12.75">
      <c r="AG58" s="202"/>
      <c r="AH58" s="202"/>
      <c r="AL58" s="70"/>
      <c r="AM58" s="77"/>
    </row>
    <row r="59" spans="2:39" ht="12.75">
      <c r="AI59" s="198"/>
      <c r="AJ59" s="198"/>
      <c r="AK59" s="198"/>
      <c r="AL59" s="198"/>
      <c r="AM59" s="77"/>
    </row>
    <row r="60" spans="2:39">
      <c r="AL60" s="70"/>
      <c r="AM60" s="77"/>
    </row>
    <row r="61" spans="2:39">
      <c r="AL61" s="70"/>
      <c r="AM61" s="77"/>
    </row>
    <row r="62" spans="2:39">
      <c r="AL62" s="70"/>
      <c r="AM62" s="77"/>
    </row>
    <row r="63" spans="2:39">
      <c r="AL63" s="70"/>
      <c r="AM63" s="77"/>
    </row>
    <row r="64" spans="2:39">
      <c r="AL64" s="70"/>
      <c r="AM64" s="77"/>
    </row>
    <row r="66" spans="36:39" ht="12.75" customHeight="1">
      <c r="AL66" s="70"/>
      <c r="AM66" s="77"/>
    </row>
    <row r="67" spans="36:39">
      <c r="AJ67" s="205"/>
      <c r="AK67" s="205"/>
      <c r="AL67" s="205"/>
      <c r="AM67" s="77"/>
    </row>
    <row r="68" spans="36:39">
      <c r="AJ68" s="364"/>
      <c r="AK68" s="364"/>
      <c r="AL68" s="364"/>
      <c r="AM68" s="77"/>
    </row>
    <row r="69" spans="36:39">
      <c r="AJ69" s="364"/>
      <c r="AK69" s="364"/>
      <c r="AL69" s="364"/>
      <c r="AM69" s="77"/>
    </row>
    <row r="70" spans="36:39">
      <c r="AJ70" s="364"/>
      <c r="AK70" s="364"/>
      <c r="AL70" s="364"/>
      <c r="AM70" s="77"/>
    </row>
    <row r="71" spans="36:39">
      <c r="AJ71" s="364"/>
      <c r="AK71" s="364"/>
      <c r="AL71" s="364"/>
      <c r="AM71" s="77"/>
    </row>
    <row r="84" spans="15:37" ht="12.75">
      <c r="O84"/>
      <c r="P84"/>
      <c r="Q84"/>
      <c r="R84"/>
      <c r="S84"/>
      <c r="T84"/>
      <c r="U84"/>
      <c r="V84"/>
      <c r="W84"/>
      <c r="X84"/>
      <c r="Y84"/>
      <c r="AJ84"/>
      <c r="AK84"/>
    </row>
    <row r="87" spans="15:37">
      <c r="AA87" s="70" t="s">
        <v>145</v>
      </c>
    </row>
    <row r="91" spans="15:37">
      <c r="AB91" s="73"/>
      <c r="AC91" s="73"/>
      <c r="AD91" s="73"/>
      <c r="AE91" s="73"/>
    </row>
    <row r="92" spans="15:37" ht="12" thickBot="1">
      <c r="AB92" s="354"/>
      <c r="AC92" s="354"/>
      <c r="AD92" s="354"/>
      <c r="AE92" s="354"/>
    </row>
    <row r="93" spans="15:37">
      <c r="AA93" s="77"/>
    </row>
    <row r="94" spans="15:37">
      <c r="AA94" s="77"/>
    </row>
    <row r="95" spans="15:37">
      <c r="AA95" s="77"/>
    </row>
    <row r="96" spans="15:37">
      <c r="AA96" s="77"/>
    </row>
    <row r="97" spans="4:27">
      <c r="AA97" s="77"/>
    </row>
    <row r="110" spans="4:27" ht="12.75">
      <c r="F110" s="202"/>
      <c r="G110" s="202"/>
      <c r="H110" s="202"/>
      <c r="I110" s="202"/>
      <c r="J110" s="202"/>
      <c r="K110" s="202"/>
    </row>
    <row r="111" spans="4:27" ht="12.75">
      <c r="D111" s="587"/>
      <c r="M111" s="198"/>
      <c r="N111" s="198"/>
      <c r="O111" s="198"/>
    </row>
    <row r="112" spans="4:27">
      <c r="D112" s="587"/>
    </row>
    <row r="113" spans="4:15">
      <c r="D113" s="587"/>
    </row>
    <row r="114" spans="4:15">
      <c r="D114" s="587"/>
    </row>
    <row r="117" spans="4:15">
      <c r="N117" s="77"/>
    </row>
    <row r="118" spans="4:15">
      <c r="D118" s="197"/>
      <c r="E118" s="248"/>
      <c r="F118" s="206"/>
      <c r="G118" s="206"/>
      <c r="H118" s="206"/>
      <c r="I118" s="206"/>
      <c r="J118" s="206"/>
      <c r="K118" s="206"/>
      <c r="O118" s="206"/>
    </row>
    <row r="119" spans="4:15">
      <c r="E119" s="358"/>
      <c r="F119" s="208"/>
      <c r="G119" s="208"/>
      <c r="H119" s="208"/>
      <c r="I119" s="208"/>
      <c r="J119" s="208"/>
      <c r="K119" s="208"/>
      <c r="L119" s="208"/>
      <c r="M119" s="208"/>
      <c r="N119" s="205"/>
      <c r="O119" s="205"/>
    </row>
    <row r="120" spans="4:15">
      <c r="D120" s="588"/>
      <c r="E120" s="165"/>
      <c r="F120" s="133"/>
      <c r="G120" s="133"/>
      <c r="H120" s="133"/>
      <c r="I120" s="133"/>
      <c r="J120" s="133"/>
      <c r="K120" s="133"/>
      <c r="M120" s="364"/>
      <c r="N120" s="364"/>
      <c r="O120" s="587"/>
    </row>
    <row r="121" spans="4:15">
      <c r="D121" s="588"/>
      <c r="E121" s="165"/>
      <c r="F121" s="133"/>
      <c r="G121" s="133"/>
      <c r="H121" s="133"/>
      <c r="I121" s="133"/>
      <c r="J121" s="133"/>
      <c r="K121" s="133"/>
      <c r="M121" s="364"/>
      <c r="N121" s="364"/>
      <c r="O121" s="587"/>
    </row>
    <row r="122" spans="4:15">
      <c r="D122" s="588"/>
      <c r="E122" s="165"/>
      <c r="F122" s="133"/>
      <c r="G122" s="133"/>
      <c r="H122" s="133"/>
      <c r="I122" s="133"/>
      <c r="J122" s="133"/>
      <c r="K122" s="133"/>
      <c r="M122" s="364"/>
      <c r="N122" s="364"/>
      <c r="O122" s="587"/>
    </row>
    <row r="123" spans="4:15">
      <c r="D123" s="588"/>
      <c r="E123" s="359"/>
      <c r="F123" s="207"/>
      <c r="G123" s="207"/>
      <c r="H123" s="207"/>
      <c r="I123" s="207"/>
      <c r="J123" s="207"/>
      <c r="K123" s="207"/>
      <c r="M123" s="364"/>
      <c r="N123" s="364"/>
      <c r="O123" s="589"/>
    </row>
    <row r="124" spans="4:15">
      <c r="N124" s="77"/>
    </row>
    <row r="125" spans="4:15">
      <c r="N125" s="77"/>
    </row>
    <row r="126" spans="4:15">
      <c r="F126" s="204"/>
      <c r="G126" s="204"/>
      <c r="H126" s="204"/>
      <c r="I126" s="204"/>
      <c r="J126" s="204"/>
      <c r="K126" s="204"/>
      <c r="L126" s="204"/>
      <c r="M126" s="204"/>
      <c r="N126" s="77"/>
    </row>
    <row r="127" spans="4:15">
      <c r="N127" s="77"/>
    </row>
    <row r="128" spans="4:15">
      <c r="F128" s="203"/>
      <c r="G128" s="203"/>
      <c r="H128" s="203"/>
      <c r="I128" s="203"/>
      <c r="N128" s="77"/>
    </row>
    <row r="129" spans="6:14">
      <c r="N129" s="77"/>
    </row>
    <row r="130" spans="6:14">
      <c r="F130" s="133"/>
      <c r="G130" s="133"/>
      <c r="H130" s="133"/>
      <c r="I130" s="133"/>
      <c r="J130" s="133"/>
      <c r="K130" s="133"/>
      <c r="L130" s="133"/>
      <c r="M130" s="133"/>
      <c r="N130" s="77"/>
    </row>
    <row r="131" spans="6:14">
      <c r="F131" s="133"/>
      <c r="G131" s="133"/>
      <c r="H131" s="133"/>
      <c r="I131" s="133"/>
      <c r="J131" s="133"/>
      <c r="K131" s="133"/>
      <c r="L131" s="133"/>
      <c r="M131" s="133"/>
      <c r="N131" s="77"/>
    </row>
  </sheetData>
  <mergeCells count="6">
    <mergeCell ref="D111:D114"/>
    <mergeCell ref="D120:D123"/>
    <mergeCell ref="O120:O123"/>
    <mergeCell ref="B2:AM2"/>
    <mergeCell ref="B49:AF49"/>
    <mergeCell ref="AG3:AJ3"/>
  </mergeCells>
  <printOptions horizontalCentered="1"/>
  <pageMargins left="0.47244094488188981" right="0.47244094488188981"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16E8A-DA7B-4651-8F45-E7C82E4CF051}">
  <dimension ref="A1:AM97"/>
  <sheetViews>
    <sheetView zoomScaleNormal="100" workbookViewId="0">
      <selection activeCell="AN9" sqref="AN9"/>
    </sheetView>
  </sheetViews>
  <sheetFormatPr defaultRowHeight="11.25"/>
  <cols>
    <col min="1" max="1" width="2.7109375" style="76" customWidth="1"/>
    <col min="2" max="2" width="4" style="70" customWidth="1"/>
    <col min="3" max="20" width="6.7109375" style="70" customWidth="1"/>
    <col min="21" max="33" width="7.28515625" style="70" customWidth="1"/>
    <col min="34" max="36" width="6.85546875" style="70" customWidth="1"/>
    <col min="37" max="37" width="5.7109375" style="70" customWidth="1"/>
    <col min="38" max="38" width="7.42578125" style="77" customWidth="1"/>
    <col min="39" max="39" width="6" style="392" customWidth="1"/>
    <col min="40" max="16384" width="9.140625" style="70"/>
  </cols>
  <sheetData>
    <row r="1" spans="1:39" ht="14.25" customHeight="1">
      <c r="B1" s="388"/>
      <c r="C1" s="389"/>
      <c r="D1" s="389"/>
      <c r="E1" s="389"/>
      <c r="F1" s="389"/>
      <c r="G1" s="389"/>
      <c r="H1" s="389"/>
      <c r="I1" s="389"/>
      <c r="J1" s="389"/>
      <c r="K1" s="389"/>
      <c r="L1" s="389"/>
      <c r="M1" s="389"/>
      <c r="N1" s="389"/>
      <c r="O1" s="389"/>
      <c r="P1" s="389"/>
      <c r="Q1" s="390"/>
      <c r="T1" s="391"/>
      <c r="U1" s="391"/>
      <c r="V1" s="391"/>
      <c r="W1" s="391"/>
      <c r="X1" s="391"/>
      <c r="Y1" s="391"/>
      <c r="Z1" s="391"/>
      <c r="AA1" s="391"/>
      <c r="AB1" s="391"/>
      <c r="AC1" s="391"/>
      <c r="AD1" s="391"/>
      <c r="AE1" s="391"/>
      <c r="AF1" s="391"/>
      <c r="AG1" s="391"/>
      <c r="AH1" s="391"/>
      <c r="AI1" s="391"/>
      <c r="AJ1" s="391"/>
      <c r="AK1" s="391"/>
      <c r="AM1" s="391" t="s">
        <v>66</v>
      </c>
    </row>
    <row r="2" spans="1:39" s="73" customFormat="1" ht="30" customHeight="1">
      <c r="A2" s="119"/>
      <c r="B2" s="586" t="s">
        <v>101</v>
      </c>
      <c r="C2" s="586"/>
      <c r="D2" s="586"/>
      <c r="E2" s="586"/>
      <c r="F2" s="586"/>
      <c r="G2" s="586"/>
      <c r="H2" s="586"/>
      <c r="I2" s="586"/>
      <c r="J2" s="586"/>
      <c r="K2" s="586"/>
      <c r="L2" s="586"/>
      <c r="M2" s="586"/>
      <c r="N2" s="586"/>
      <c r="O2" s="586"/>
      <c r="P2" s="586"/>
      <c r="Q2" s="586"/>
      <c r="R2" s="586"/>
      <c r="S2" s="586"/>
      <c r="T2" s="586"/>
      <c r="U2" s="586"/>
      <c r="V2" s="586"/>
      <c r="W2" s="586"/>
      <c r="X2" s="586"/>
      <c r="Y2" s="586"/>
      <c r="Z2" s="586"/>
      <c r="AA2" s="586"/>
      <c r="AB2" s="586"/>
      <c r="AC2" s="586"/>
      <c r="AD2" s="586"/>
      <c r="AE2" s="586"/>
      <c r="AF2" s="586"/>
      <c r="AG2" s="586"/>
      <c r="AH2" s="586"/>
      <c r="AI2" s="586"/>
      <c r="AJ2" s="586"/>
      <c r="AK2" s="586"/>
      <c r="AL2" s="586"/>
      <c r="AM2" s="392"/>
    </row>
    <row r="3" spans="1:39" ht="15" customHeight="1">
      <c r="C3" s="392"/>
      <c r="D3" s="392"/>
      <c r="E3" s="392"/>
      <c r="F3" s="392"/>
      <c r="G3" s="392"/>
      <c r="H3" s="392"/>
      <c r="I3" s="392"/>
      <c r="J3" s="392"/>
      <c r="K3" s="392"/>
      <c r="L3" s="392"/>
      <c r="M3" s="392"/>
      <c r="N3" s="392"/>
      <c r="O3" s="392"/>
      <c r="P3" s="392"/>
      <c r="Q3" s="392"/>
      <c r="X3" s="392"/>
      <c r="Y3" s="392"/>
      <c r="Z3" s="392"/>
      <c r="AA3" s="392"/>
      <c r="AB3" s="392"/>
      <c r="AC3" s="392"/>
      <c r="AD3" s="392"/>
      <c r="AE3" s="392"/>
      <c r="AF3" s="392"/>
      <c r="AH3" s="477"/>
      <c r="AI3" s="477"/>
      <c r="AJ3" s="477"/>
      <c r="AK3" s="477" t="s">
        <v>78</v>
      </c>
      <c r="AL3" s="250"/>
    </row>
    <row r="4" spans="1:39" ht="20.100000000000001" customHeight="1">
      <c r="B4" s="256"/>
      <c r="C4" s="235">
        <v>1970</v>
      </c>
      <c r="D4" s="235">
        <v>1980</v>
      </c>
      <c r="E4" s="236">
        <v>1990</v>
      </c>
      <c r="F4" s="236">
        <v>1991</v>
      </c>
      <c r="G4" s="236">
        <v>1992</v>
      </c>
      <c r="H4" s="236">
        <v>1993</v>
      </c>
      <c r="I4" s="236">
        <v>1994</v>
      </c>
      <c r="J4" s="236">
        <v>1995</v>
      </c>
      <c r="K4" s="236">
        <v>1996</v>
      </c>
      <c r="L4" s="236">
        <v>1997</v>
      </c>
      <c r="M4" s="236">
        <v>1998</v>
      </c>
      <c r="N4" s="236">
        <v>1999</v>
      </c>
      <c r="O4" s="236">
        <v>2000</v>
      </c>
      <c r="P4" s="236">
        <v>2001</v>
      </c>
      <c r="Q4" s="236">
        <v>2002</v>
      </c>
      <c r="R4" s="236">
        <v>2003</v>
      </c>
      <c r="S4" s="236">
        <v>2004</v>
      </c>
      <c r="T4" s="236">
        <v>2005</v>
      </c>
      <c r="U4" s="236">
        <v>2006</v>
      </c>
      <c r="V4" s="236">
        <v>2007</v>
      </c>
      <c r="W4" s="236">
        <v>2008</v>
      </c>
      <c r="X4" s="236">
        <v>2009</v>
      </c>
      <c r="Y4" s="236">
        <v>2010</v>
      </c>
      <c r="Z4" s="236">
        <v>2011</v>
      </c>
      <c r="AA4" s="236">
        <v>2012</v>
      </c>
      <c r="AB4" s="236">
        <v>2013</v>
      </c>
      <c r="AC4" s="236">
        <v>2014</v>
      </c>
      <c r="AD4" s="236">
        <v>2015</v>
      </c>
      <c r="AE4" s="236">
        <v>2016</v>
      </c>
      <c r="AF4" s="236">
        <v>2017</v>
      </c>
      <c r="AG4" s="431">
        <v>2018</v>
      </c>
      <c r="AH4" s="431">
        <v>2019</v>
      </c>
      <c r="AI4" s="431">
        <v>2020</v>
      </c>
      <c r="AJ4" s="431">
        <v>2021</v>
      </c>
      <c r="AK4" s="432">
        <v>2022</v>
      </c>
      <c r="AL4" s="433" t="s">
        <v>138</v>
      </c>
    </row>
    <row r="5" spans="1:39" ht="9.9499999999999993" customHeight="1">
      <c r="B5" s="256"/>
      <c r="C5" s="111"/>
      <c r="D5" s="111"/>
      <c r="E5" s="257"/>
      <c r="F5" s="257"/>
      <c r="G5" s="257"/>
      <c r="H5" s="257"/>
      <c r="I5" s="257"/>
      <c r="J5" s="257"/>
      <c r="K5" s="257"/>
      <c r="L5" s="257"/>
      <c r="M5" s="257"/>
      <c r="N5" s="257"/>
      <c r="O5" s="257"/>
      <c r="P5" s="257"/>
      <c r="Q5" s="257"/>
      <c r="R5" s="257"/>
      <c r="S5" s="257"/>
      <c r="T5" s="257"/>
      <c r="U5" s="257"/>
      <c r="V5" s="257"/>
      <c r="W5" s="257"/>
      <c r="X5" s="257"/>
      <c r="Y5" s="257"/>
      <c r="Z5" s="257"/>
      <c r="AA5" s="257"/>
      <c r="AB5" s="257"/>
      <c r="AC5" s="257"/>
      <c r="AD5" s="257"/>
      <c r="AE5" s="257"/>
      <c r="AF5" s="257"/>
      <c r="AG5" s="434"/>
      <c r="AH5" s="434"/>
      <c r="AI5" s="434"/>
      <c r="AJ5" s="434"/>
      <c r="AK5" s="184"/>
      <c r="AL5" s="170" t="s">
        <v>37</v>
      </c>
    </row>
    <row r="6" spans="1:39" ht="12.75" customHeight="1">
      <c r="B6" s="141" t="s">
        <v>94</v>
      </c>
      <c r="C6" s="232"/>
      <c r="D6" s="232"/>
      <c r="E6" s="232"/>
      <c r="F6" s="232"/>
      <c r="G6" s="232"/>
      <c r="H6" s="232"/>
      <c r="I6" s="232"/>
      <c r="J6" s="234">
        <f>SUM(J7:J33)</f>
        <v>63.801627306091206</v>
      </c>
      <c r="K6" s="234">
        <f t="shared" ref="K6:AJ6" si="0">SUM(K7:K33)</f>
        <v>64.910128525276747</v>
      </c>
      <c r="L6" s="234">
        <f t="shared" si="0"/>
        <v>65.322641438807437</v>
      </c>
      <c r="M6" s="234">
        <f t="shared" si="0"/>
        <v>66.047922130725382</v>
      </c>
      <c r="N6" s="234">
        <f t="shared" si="0"/>
        <v>67.010399918778532</v>
      </c>
      <c r="O6" s="234">
        <f t="shared" si="0"/>
        <v>67.843840564744099</v>
      </c>
      <c r="P6" s="234">
        <f t="shared" si="0"/>
        <v>68.539656573900217</v>
      </c>
      <c r="Q6" s="234">
        <f t="shared" si="0"/>
        <v>69.374812774150158</v>
      </c>
      <c r="R6" s="234">
        <f t="shared" si="0"/>
        <v>70.18336190555614</v>
      </c>
      <c r="S6" s="234">
        <f t="shared" si="0"/>
        <v>72.445632887244102</v>
      </c>
      <c r="T6" s="234">
        <f t="shared" si="0"/>
        <v>73.154697458878715</v>
      </c>
      <c r="U6" s="234">
        <f t="shared" si="0"/>
        <v>74.583334218657839</v>
      </c>
      <c r="V6" s="234">
        <f t="shared" si="0"/>
        <v>76.350815575898523</v>
      </c>
      <c r="W6" s="234">
        <f t="shared" si="0"/>
        <v>79.124684832482046</v>
      </c>
      <c r="X6" s="234">
        <f t="shared" si="0"/>
        <v>78.491058768954531</v>
      </c>
      <c r="Y6" s="234">
        <f t="shared" si="0"/>
        <v>80.818824573023448</v>
      </c>
      <c r="Z6" s="234">
        <f t="shared" si="0"/>
        <v>81.212759154899217</v>
      </c>
      <c r="AA6" s="234">
        <f t="shared" si="0"/>
        <v>82.300482448189484</v>
      </c>
      <c r="AB6" s="234">
        <f t="shared" si="0"/>
        <v>82.489193949141509</v>
      </c>
      <c r="AC6" s="234">
        <f t="shared" si="0"/>
        <v>82.772681334256603</v>
      </c>
      <c r="AD6" s="234">
        <f t="shared" si="0"/>
        <v>80.793703886067945</v>
      </c>
      <c r="AE6" s="234">
        <f t="shared" si="0"/>
        <v>83.25790903425947</v>
      </c>
      <c r="AF6" s="234">
        <f t="shared" si="0"/>
        <v>85.063391371363309</v>
      </c>
      <c r="AG6" s="234">
        <f>SUM(AG7:AG33)</f>
        <v>87.046447035955296</v>
      </c>
      <c r="AH6" s="234">
        <f t="shared" si="0"/>
        <v>87.094829635050871</v>
      </c>
      <c r="AI6" s="234">
        <f t="shared" si="0"/>
        <v>51.418459168238556</v>
      </c>
      <c r="AJ6" s="234">
        <f t="shared" si="0"/>
        <v>54.444374823752028</v>
      </c>
      <c r="AK6" s="234">
        <f>SUM(AK7:AK33)</f>
        <v>69.154563193651299</v>
      </c>
      <c r="AL6" s="166">
        <f>AK6/AJ6*100-100</f>
        <v>27.01874788262198</v>
      </c>
      <c r="AM6" s="141" t="s">
        <v>94</v>
      </c>
    </row>
    <row r="7" spans="1:39" ht="12.75" customHeight="1">
      <c r="B7" s="258" t="s">
        <v>24</v>
      </c>
      <c r="C7" s="92">
        <v>0.86</v>
      </c>
      <c r="D7" s="92">
        <v>0.77</v>
      </c>
      <c r="E7" s="263">
        <v>0.74</v>
      </c>
      <c r="F7" s="263">
        <v>0.75</v>
      </c>
      <c r="G7" s="263">
        <v>0.76</v>
      </c>
      <c r="H7" s="263">
        <v>0.77</v>
      </c>
      <c r="I7" s="263">
        <v>0.79</v>
      </c>
      <c r="J7" s="263">
        <v>0.8</v>
      </c>
      <c r="K7" s="263">
        <v>0.81</v>
      </c>
      <c r="L7" s="263">
        <v>0.82</v>
      </c>
      <c r="M7" s="263">
        <v>0.82</v>
      </c>
      <c r="N7" s="263">
        <v>0.82</v>
      </c>
      <c r="O7" s="263">
        <v>0.87</v>
      </c>
      <c r="P7" s="263">
        <v>0.876</v>
      </c>
      <c r="Q7" s="264">
        <v>0.89</v>
      </c>
      <c r="R7" s="264">
        <v>0.9</v>
      </c>
      <c r="S7" s="264">
        <v>0.91</v>
      </c>
      <c r="T7" s="264">
        <v>0.93</v>
      </c>
      <c r="U7" s="264">
        <v>0.95</v>
      </c>
      <c r="V7" s="264">
        <v>0.97</v>
      </c>
      <c r="W7" s="264">
        <v>1</v>
      </c>
      <c r="X7" s="264">
        <v>1</v>
      </c>
      <c r="Y7" s="264">
        <v>1.07</v>
      </c>
      <c r="Z7" s="264">
        <f>Y7*329.9/311.6</f>
        <v>1.1328401797175867</v>
      </c>
      <c r="AA7" s="264">
        <f>Z7*(132.4+123.5)/(125.8+112.1)</f>
        <v>1.2185531819660802</v>
      </c>
      <c r="AB7" s="264">
        <f>AA7*354.8/348.8</f>
        <v>1.2395145325732948</v>
      </c>
      <c r="AC7" s="264">
        <f>AB7*(133.4+131.3)/(138.3+128.9)</f>
        <v>1.227917278338889</v>
      </c>
      <c r="AD7" s="264">
        <v>1.2423087473855829</v>
      </c>
      <c r="AE7" s="264">
        <v>1.2673777579830499</v>
      </c>
      <c r="AF7" s="251">
        <v>1.3964367384663054</v>
      </c>
      <c r="AG7" s="264">
        <v>1.4247554356227032</v>
      </c>
      <c r="AH7" s="264">
        <v>1.4721080111956963</v>
      </c>
      <c r="AI7" s="264">
        <v>0.94590885701171845</v>
      </c>
      <c r="AJ7" s="264">
        <f>AI7+AI7*AJ54/100</f>
        <v>0.94590885701171845</v>
      </c>
      <c r="AK7" s="404">
        <v>1.1672515295524606</v>
      </c>
      <c r="AL7" s="286">
        <f>AK7/AJ7*100-100</f>
        <v>23.400000000000006</v>
      </c>
      <c r="AM7" s="258" t="s">
        <v>24</v>
      </c>
    </row>
    <row r="8" spans="1:39" ht="12.75" customHeight="1">
      <c r="B8" s="88" t="s">
        <v>7</v>
      </c>
      <c r="C8" s="90"/>
      <c r="D8" s="90"/>
      <c r="E8" s="259">
        <v>0.58599999999999997</v>
      </c>
      <c r="F8" s="259">
        <v>0.45400000000000001</v>
      </c>
      <c r="G8" s="259">
        <v>0.52400000000000002</v>
      </c>
      <c r="H8" s="259">
        <v>0.28299999999999997</v>
      </c>
      <c r="I8" s="259">
        <v>0.25</v>
      </c>
      <c r="J8" s="259">
        <v>0.28299999999999997</v>
      </c>
      <c r="K8" s="259">
        <v>0.29599999999999999</v>
      </c>
      <c r="L8" s="118">
        <v>0.308</v>
      </c>
      <c r="M8" s="259">
        <v>0.44400000000000001</v>
      </c>
      <c r="N8" s="259">
        <v>0.46</v>
      </c>
      <c r="O8" s="259">
        <v>0.41899999999999998</v>
      </c>
      <c r="P8" s="259">
        <v>0.46899999999999997</v>
      </c>
      <c r="Q8" s="259">
        <v>0.436</v>
      </c>
      <c r="R8" s="259">
        <v>0.48599999999999999</v>
      </c>
      <c r="S8" s="259">
        <v>0.44</v>
      </c>
      <c r="T8" s="259">
        <v>0.434</v>
      </c>
      <c r="U8" s="259">
        <v>0.44600000000000001</v>
      </c>
      <c r="V8" s="259">
        <v>0.443</v>
      </c>
      <c r="W8" s="259">
        <v>0.48599999999999999</v>
      </c>
      <c r="X8" s="259">
        <v>0.68799999999999994</v>
      </c>
      <c r="Y8" s="259">
        <f>0.909</f>
        <v>0.90900000000000003</v>
      </c>
      <c r="Z8" s="259">
        <v>0.872</v>
      </c>
      <c r="AA8" s="259">
        <v>1.02</v>
      </c>
      <c r="AB8" s="259">
        <v>1.01</v>
      </c>
      <c r="AC8" s="259">
        <v>0.72899999999999998</v>
      </c>
      <c r="AD8" s="259">
        <v>0.74047799999999997</v>
      </c>
      <c r="AE8" s="259">
        <v>0.81499999999999995</v>
      </c>
      <c r="AF8" s="259">
        <v>1.07</v>
      </c>
      <c r="AG8" s="259">
        <v>1.085</v>
      </c>
      <c r="AH8" s="259">
        <v>1.054</v>
      </c>
      <c r="AI8" s="259">
        <v>0.69</v>
      </c>
      <c r="AJ8" s="259">
        <f>0.75</f>
        <v>0.75</v>
      </c>
      <c r="AK8" s="435">
        <v>0.96</v>
      </c>
      <c r="AL8" s="167">
        <f t="shared" ref="AL8:AL45" si="1">AK8/AJ8*100-100</f>
        <v>28</v>
      </c>
      <c r="AM8" s="88" t="s">
        <v>7</v>
      </c>
    </row>
    <row r="9" spans="1:39" ht="12.75" customHeight="1">
      <c r="B9" s="258" t="s">
        <v>9</v>
      </c>
      <c r="C9" s="108"/>
      <c r="D9" s="108"/>
      <c r="E9" s="265"/>
      <c r="F9" s="265"/>
      <c r="G9" s="265"/>
      <c r="H9" s="265" t="s">
        <v>36</v>
      </c>
      <c r="I9" s="265" t="s">
        <v>36</v>
      </c>
      <c r="J9" s="265">
        <v>7.6879999999999997</v>
      </c>
      <c r="K9" s="265">
        <v>7.7910000000000004</v>
      </c>
      <c r="L9" s="265">
        <v>7.8630000000000004</v>
      </c>
      <c r="M9" s="265">
        <v>7.8550000000000004</v>
      </c>
      <c r="N9" s="265">
        <v>8.1539999999999999</v>
      </c>
      <c r="O9" s="265">
        <v>8.0679999999999996</v>
      </c>
      <c r="P9" s="265">
        <v>8.2270000000000003</v>
      </c>
      <c r="Q9" s="265">
        <v>8.3070000000000004</v>
      </c>
      <c r="R9" s="265">
        <v>8.5633999999999997</v>
      </c>
      <c r="S9" s="265">
        <f>4.8847+3.8408</f>
        <v>8.7255000000000003</v>
      </c>
      <c r="T9" s="265">
        <f>4.769+3.1652</f>
        <v>7.9342000000000006</v>
      </c>
      <c r="U9" s="265">
        <f>4.5344+3.2644</f>
        <v>7.7988</v>
      </c>
      <c r="V9" s="265">
        <f>4.4489+3.3015</f>
        <v>7.7504</v>
      </c>
      <c r="W9" s="265">
        <f>4.678+4.4648</f>
        <v>9.1428000000000011</v>
      </c>
      <c r="X9" s="265">
        <v>8.9867000000000008</v>
      </c>
      <c r="Y9" s="265">
        <f>4.624+4.373</f>
        <v>8.9969999999999999</v>
      </c>
      <c r="Z9" s="265">
        <f>4.461+4.255</f>
        <v>8.7160000000000011</v>
      </c>
      <c r="AA9" s="265">
        <f>4.465+5.037</f>
        <v>9.5019999999999989</v>
      </c>
      <c r="AB9" s="109">
        <v>9.5809000000000015</v>
      </c>
      <c r="AC9" s="265">
        <f>3.981+5.243</f>
        <v>9.2240000000000002</v>
      </c>
      <c r="AD9" s="265">
        <v>9.4256999999999991</v>
      </c>
      <c r="AE9" s="265">
        <v>10.3674</v>
      </c>
      <c r="AF9" s="265">
        <v>10.7432</v>
      </c>
      <c r="AG9" s="265">
        <v>10.7348</v>
      </c>
      <c r="AH9" s="265">
        <v>11.098799999999999</v>
      </c>
      <c r="AI9" s="265">
        <v>3.7545000000000002</v>
      </c>
      <c r="AJ9" s="265">
        <v>3.6139000000000001</v>
      </c>
      <c r="AK9" s="436">
        <v>4.7729999999999997</v>
      </c>
      <c r="AL9" s="286">
        <f t="shared" si="1"/>
        <v>32.073383325493239</v>
      </c>
      <c r="AM9" s="258" t="s">
        <v>9</v>
      </c>
    </row>
    <row r="10" spans="1:39" ht="12.75" customHeight="1">
      <c r="B10" s="88" t="s">
        <v>20</v>
      </c>
      <c r="C10" s="90" t="s">
        <v>38</v>
      </c>
      <c r="D10" s="90" t="s">
        <v>38</v>
      </c>
      <c r="E10" s="259" t="s">
        <v>38</v>
      </c>
      <c r="F10" s="259" t="s">
        <v>38</v>
      </c>
      <c r="G10" s="259" t="s">
        <v>38</v>
      </c>
      <c r="H10" s="259" t="s">
        <v>38</v>
      </c>
      <c r="I10" s="259" t="s">
        <v>38</v>
      </c>
      <c r="J10" s="259" t="s">
        <v>38</v>
      </c>
      <c r="K10" s="259" t="s">
        <v>38</v>
      </c>
      <c r="L10" s="259" t="s">
        <v>38</v>
      </c>
      <c r="M10" s="259" t="s">
        <v>38</v>
      </c>
      <c r="N10" s="259" t="s">
        <v>38</v>
      </c>
      <c r="O10" s="259" t="s">
        <v>38</v>
      </c>
      <c r="P10" s="259" t="s">
        <v>38</v>
      </c>
      <c r="Q10" s="259">
        <v>8.9999999999999993E-3</v>
      </c>
      <c r="R10" s="259">
        <v>6.7000000000000004E-2</v>
      </c>
      <c r="S10" s="259">
        <v>0.128</v>
      </c>
      <c r="T10" s="259">
        <v>0.16200000000000001</v>
      </c>
      <c r="U10" s="259">
        <v>0.16400000000000001</v>
      </c>
      <c r="V10" s="259">
        <v>0.17699999999999999</v>
      </c>
      <c r="W10" s="259">
        <v>0.19500000000000001</v>
      </c>
      <c r="X10" s="259">
        <v>0.215</v>
      </c>
      <c r="Y10" s="259">
        <v>0.23899999999999999</v>
      </c>
      <c r="Z10" s="259">
        <v>0.27800000000000002</v>
      </c>
      <c r="AA10" s="259">
        <v>0.27400000000000002</v>
      </c>
      <c r="AB10" s="259">
        <v>0.28399999999999997</v>
      </c>
      <c r="AC10" s="259">
        <v>0.29499999999999998</v>
      </c>
      <c r="AD10" s="259">
        <v>0.30199999999999999</v>
      </c>
      <c r="AE10" s="259">
        <v>0.32100000000000001</v>
      </c>
      <c r="AF10" s="259">
        <v>0.34100000000000003</v>
      </c>
      <c r="AG10" s="259">
        <v>0.35199999999999998</v>
      </c>
      <c r="AH10" s="259">
        <v>0.4</v>
      </c>
      <c r="AI10" s="259">
        <v>0.28899999999999998</v>
      </c>
      <c r="AJ10" s="259">
        <f>0.331</f>
        <v>0.33100000000000002</v>
      </c>
      <c r="AK10" s="435">
        <v>0.48199999999999998</v>
      </c>
      <c r="AL10" s="167">
        <f t="shared" si="1"/>
        <v>45.619335347432013</v>
      </c>
      <c r="AM10" s="88" t="s">
        <v>20</v>
      </c>
    </row>
    <row r="11" spans="1:39" ht="12.75" customHeight="1">
      <c r="B11" s="258" t="s">
        <v>25</v>
      </c>
      <c r="C11" s="117">
        <v>14.63</v>
      </c>
      <c r="D11" s="117">
        <v>13.84</v>
      </c>
      <c r="E11" s="437">
        <v>15.1</v>
      </c>
      <c r="F11" s="437">
        <v>15.14</v>
      </c>
      <c r="G11" s="437">
        <v>14.43</v>
      </c>
      <c r="H11" s="437">
        <v>14.62</v>
      </c>
      <c r="I11" s="437">
        <v>14.47</v>
      </c>
      <c r="J11" s="437">
        <v>14.43</v>
      </c>
      <c r="K11" s="437">
        <v>14.47</v>
      </c>
      <c r="L11" s="437">
        <v>14.5</v>
      </c>
      <c r="M11" s="437">
        <v>14.4</v>
      </c>
      <c r="N11" s="437">
        <v>14.5</v>
      </c>
      <c r="O11" s="437">
        <v>14.6</v>
      </c>
      <c r="P11" s="437">
        <v>14.7</v>
      </c>
      <c r="Q11" s="265">
        <v>14.74</v>
      </c>
      <c r="R11" s="265">
        <v>14.75</v>
      </c>
      <c r="S11" s="265">
        <v>14.986000000000001</v>
      </c>
      <c r="T11" s="265">
        <v>15.484999999999999</v>
      </c>
      <c r="U11" s="265">
        <v>15.568</v>
      </c>
      <c r="V11" s="265">
        <v>15.92</v>
      </c>
      <c r="W11" s="265">
        <v>15.991</v>
      </c>
      <c r="X11" s="265">
        <v>16.495999999999999</v>
      </c>
      <c r="Y11" s="265">
        <f>16.349</f>
        <v>16.349</v>
      </c>
      <c r="Z11" s="265">
        <v>16.600000000000001</v>
      </c>
      <c r="AA11" s="265">
        <v>16.600000000000001</v>
      </c>
      <c r="AB11" s="265">
        <v>16.7</v>
      </c>
      <c r="AC11" s="265">
        <v>16.600000000000001</v>
      </c>
      <c r="AD11" s="265">
        <v>16.7</v>
      </c>
      <c r="AE11" s="265">
        <v>17</v>
      </c>
      <c r="AF11" s="265">
        <v>17.2</v>
      </c>
      <c r="AG11" s="265">
        <v>17.600000000000001</v>
      </c>
      <c r="AH11" s="265">
        <v>17.600000000000001</v>
      </c>
      <c r="AI11" s="265">
        <v>11.7</v>
      </c>
      <c r="AJ11" s="265">
        <f>11.2</f>
        <v>11.2</v>
      </c>
      <c r="AK11" s="436">
        <v>14.5</v>
      </c>
      <c r="AL11" s="286">
        <f t="shared" si="1"/>
        <v>29.464285714285722</v>
      </c>
      <c r="AM11" s="258" t="s">
        <v>25</v>
      </c>
    </row>
    <row r="12" spans="1:39" ht="12.75" customHeight="1">
      <c r="B12" s="88" t="s">
        <v>10</v>
      </c>
      <c r="C12" s="90" t="s">
        <v>36</v>
      </c>
      <c r="D12" s="90" t="s">
        <v>36</v>
      </c>
      <c r="E12" s="259" t="s">
        <v>36</v>
      </c>
      <c r="F12" s="259" t="s">
        <v>36</v>
      </c>
      <c r="G12" s="259" t="s">
        <v>36</v>
      </c>
      <c r="H12" s="259" t="s">
        <v>36</v>
      </c>
      <c r="I12" s="259" t="s">
        <v>36</v>
      </c>
      <c r="J12" s="260">
        <f>0.0352*3</f>
        <v>0.1056</v>
      </c>
      <c r="K12" s="260">
        <f>0.0356*3</f>
        <v>0.10680000000000001</v>
      </c>
      <c r="L12" s="260">
        <f>0.0369*3</f>
        <v>0.11070000000000001</v>
      </c>
      <c r="M12" s="260">
        <f>0.0306*3</f>
        <v>9.1799999999999993E-2</v>
      </c>
      <c r="N12" s="260">
        <f>0.0293*3</f>
        <v>8.7900000000000006E-2</v>
      </c>
      <c r="O12" s="260">
        <f>0.0349*3</f>
        <v>0.1047</v>
      </c>
      <c r="P12" s="260">
        <f>0.0292*3</f>
        <v>8.7599999999999997E-2</v>
      </c>
      <c r="Q12" s="260">
        <f>0.0308*3</f>
        <v>9.240000000000001E-2</v>
      </c>
      <c r="R12" s="260">
        <f>0.0311*3</f>
        <v>9.3299999999999994E-2</v>
      </c>
      <c r="S12" s="260">
        <f>0.0278*3</f>
        <v>8.3400000000000002E-2</v>
      </c>
      <c r="T12" s="260">
        <f>0.0251*3</f>
        <v>7.5300000000000006E-2</v>
      </c>
      <c r="U12" s="260">
        <f>0.0262*3</f>
        <v>7.8600000000000003E-2</v>
      </c>
      <c r="V12" s="260">
        <f>0.0264*3</f>
        <v>7.9199999999999993E-2</v>
      </c>
      <c r="W12" s="260">
        <v>7.1846999999999994E-2</v>
      </c>
      <c r="X12" s="260">
        <v>7.1846999999999994E-2</v>
      </c>
      <c r="Y12" s="260">
        <v>7.1846999999999994E-2</v>
      </c>
      <c r="Z12" s="260">
        <v>6.4848000000000003E-2</v>
      </c>
      <c r="AA12" s="260">
        <v>9.2400999999999997E-2</v>
      </c>
      <c r="AB12" s="260">
        <v>7.5763999999999998E-2</v>
      </c>
      <c r="AC12" s="260">
        <v>5.8518000000000001E-2</v>
      </c>
      <c r="AD12" s="260">
        <v>5.5146000000000001E-2</v>
      </c>
      <c r="AE12" s="260">
        <v>5.7034000000000001E-2</v>
      </c>
      <c r="AF12" s="260">
        <v>5.9604999999999998E-2</v>
      </c>
      <c r="AG12" s="260">
        <v>8.3891999999999994E-2</v>
      </c>
      <c r="AH12" s="260">
        <v>8.7347999999999995E-2</v>
      </c>
      <c r="AI12" s="260">
        <v>7.8575000000000006E-2</v>
      </c>
      <c r="AJ12" s="260">
        <v>6.5716999999999998E-2</v>
      </c>
      <c r="AK12" s="395">
        <v>8.6238999999999996E-2</v>
      </c>
      <c r="AL12" s="331">
        <f t="shared" si="1"/>
        <v>31.22784058919305</v>
      </c>
      <c r="AM12" s="332" t="s">
        <v>10</v>
      </c>
    </row>
    <row r="13" spans="1:39" ht="12.75" customHeight="1">
      <c r="B13" s="258" t="s">
        <v>28</v>
      </c>
      <c r="C13" s="92" t="s">
        <v>38</v>
      </c>
      <c r="D13" s="92" t="s">
        <v>38</v>
      </c>
      <c r="E13" s="263" t="s">
        <v>38</v>
      </c>
      <c r="F13" s="263" t="s">
        <v>38</v>
      </c>
      <c r="G13" s="263" t="s">
        <v>38</v>
      </c>
      <c r="H13" s="263" t="s">
        <v>38</v>
      </c>
      <c r="I13" s="263" t="s">
        <v>38</v>
      </c>
      <c r="J13" s="263" t="s">
        <v>38</v>
      </c>
      <c r="K13" s="263" t="s">
        <v>38</v>
      </c>
      <c r="L13" s="263" t="s">
        <v>38</v>
      </c>
      <c r="M13" s="263" t="s">
        <v>38</v>
      </c>
      <c r="N13" s="263" t="s">
        <v>38</v>
      </c>
      <c r="O13" s="263" t="s">
        <v>38</v>
      </c>
      <c r="P13" s="263" t="s">
        <v>38</v>
      </c>
      <c r="Q13" s="263" t="s">
        <v>38</v>
      </c>
      <c r="R13" s="263" t="s">
        <v>38</v>
      </c>
      <c r="S13" s="264">
        <v>0.05</v>
      </c>
      <c r="T13" s="264">
        <v>0.11</v>
      </c>
      <c r="U13" s="263">
        <f>0.06713+0.04598</f>
        <v>0.11310999999999999</v>
      </c>
      <c r="V13" s="263">
        <f>0.107+0.068</f>
        <v>0.17499999999999999</v>
      </c>
      <c r="W13" s="263">
        <f>0.083+0.058</f>
        <v>0.14100000000000001</v>
      </c>
      <c r="X13" s="263">
        <f>0.079+0.053</f>
        <v>0.13200000000000001</v>
      </c>
      <c r="Y13" s="263">
        <f>0.069+0.062</f>
        <v>0.13100000000000001</v>
      </c>
      <c r="Z13" s="263">
        <f>0.073+0.065</f>
        <v>0.13800000000000001</v>
      </c>
      <c r="AA13" s="263">
        <f>0.0711+0.0729</f>
        <v>0.14400000000000002</v>
      </c>
      <c r="AB13" s="263">
        <v>0.14982472999999999</v>
      </c>
      <c r="AC13" s="263">
        <f>0.07929535+0.080777584</f>
        <v>0.160072934</v>
      </c>
      <c r="AD13" s="263">
        <v>0.179667682</v>
      </c>
      <c r="AE13" s="263">
        <v>0.183548355</v>
      </c>
      <c r="AF13" s="263">
        <v>0.18489926700000001</v>
      </c>
      <c r="AG13" s="263">
        <v>0.317</v>
      </c>
      <c r="AH13" s="263">
        <v>0.30504789300000001</v>
      </c>
      <c r="AI13" s="263">
        <v>0.120308179</v>
      </c>
      <c r="AJ13" s="263">
        <v>0.12165362</v>
      </c>
      <c r="AK13" s="404">
        <v>0.16494067789947636</v>
      </c>
      <c r="AL13" s="286">
        <f t="shared" si="1"/>
        <v>35.582219336733544</v>
      </c>
      <c r="AM13" s="258" t="s">
        <v>28</v>
      </c>
    </row>
    <row r="14" spans="1:39" ht="12.75" customHeight="1">
      <c r="B14" s="88" t="s">
        <v>21</v>
      </c>
      <c r="C14" s="93">
        <v>0.63</v>
      </c>
      <c r="D14" s="93">
        <v>0.68</v>
      </c>
      <c r="E14" s="260">
        <v>0.83</v>
      </c>
      <c r="F14" s="260">
        <v>0.81</v>
      </c>
      <c r="G14" s="260">
        <v>0.79</v>
      </c>
      <c r="H14" s="260">
        <v>0.77</v>
      </c>
      <c r="I14" s="260">
        <v>0.72</v>
      </c>
      <c r="J14" s="260">
        <v>0.74</v>
      </c>
      <c r="K14" s="260">
        <v>0.74</v>
      </c>
      <c r="L14" s="260">
        <v>0.75</v>
      </c>
      <c r="M14" s="260">
        <v>0.8</v>
      </c>
      <c r="N14" s="260">
        <v>0.81</v>
      </c>
      <c r="O14" s="260">
        <v>1.19</v>
      </c>
      <c r="P14" s="260">
        <v>1.33</v>
      </c>
      <c r="Q14" s="260">
        <v>1.35</v>
      </c>
      <c r="R14" s="260">
        <v>1.4</v>
      </c>
      <c r="S14" s="260">
        <v>1.5</v>
      </c>
      <c r="T14" s="260">
        <v>1.5</v>
      </c>
      <c r="U14" s="260">
        <v>1.55</v>
      </c>
      <c r="V14" s="260">
        <v>1.6</v>
      </c>
      <c r="W14" s="260">
        <v>1.66</v>
      </c>
      <c r="X14" s="260">
        <v>1.671</v>
      </c>
      <c r="Y14" s="260">
        <v>1.6927464982806519</v>
      </c>
      <c r="Z14" s="260">
        <f>AVERAGE(W14:Y14)</f>
        <v>1.6745821660935505</v>
      </c>
      <c r="AA14" s="260">
        <v>1.6693892905336882</v>
      </c>
      <c r="AB14" s="260">
        <v>1.6640104964628029</v>
      </c>
      <c r="AC14" s="260">
        <v>1.662268977961797</v>
      </c>
      <c r="AD14" s="260">
        <v>1.6739048608075293</v>
      </c>
      <c r="AE14" s="260">
        <v>1.6538180024778391</v>
      </c>
      <c r="AF14" s="260">
        <v>1.6885481805298734</v>
      </c>
      <c r="AG14" s="260">
        <v>1.6954635632585058</v>
      </c>
      <c r="AH14" s="260">
        <v>1.677868538823281</v>
      </c>
      <c r="AI14" s="260">
        <v>1.0884600413566914</v>
      </c>
      <c r="AJ14" s="260">
        <f>AI14+AI14*([1]bus_coach!AJ14/[1]bus_coach!AI14*100-100)/100</f>
        <v>1.1257800102126505</v>
      </c>
      <c r="AK14" s="438">
        <v>1.4451867471854141</v>
      </c>
      <c r="AL14" s="196">
        <f t="shared" si="1"/>
        <v>28.372038415607534</v>
      </c>
      <c r="AM14" s="79" t="s">
        <v>21</v>
      </c>
    </row>
    <row r="15" spans="1:39" ht="12.75" customHeight="1">
      <c r="B15" s="258" t="s">
        <v>26</v>
      </c>
      <c r="C15" s="92">
        <v>3.67</v>
      </c>
      <c r="D15" s="92">
        <v>3.88</v>
      </c>
      <c r="E15" s="263">
        <v>4.38</v>
      </c>
      <c r="F15" s="263">
        <v>4.3</v>
      </c>
      <c r="G15" s="263">
        <v>4.25</v>
      </c>
      <c r="H15" s="263">
        <v>4.2</v>
      </c>
      <c r="I15" s="263">
        <v>4.1500000000000004</v>
      </c>
      <c r="J15" s="263">
        <v>4.25</v>
      </c>
      <c r="K15" s="263">
        <v>4.49</v>
      </c>
      <c r="L15" s="263">
        <v>4.57</v>
      </c>
      <c r="M15" s="263">
        <v>4.84</v>
      </c>
      <c r="N15" s="264">
        <v>5.0599999999999996</v>
      </c>
      <c r="O15" s="264">
        <v>5.23</v>
      </c>
      <c r="P15" s="264">
        <v>5.34</v>
      </c>
      <c r="Q15" s="264">
        <v>5.5</v>
      </c>
      <c r="R15" s="264">
        <v>5.6</v>
      </c>
      <c r="S15" s="264">
        <v>5.8</v>
      </c>
      <c r="T15" s="264">
        <v>6</v>
      </c>
      <c r="U15" s="264">
        <v>6.2</v>
      </c>
      <c r="V15" s="264">
        <v>6.4</v>
      </c>
      <c r="W15" s="264">
        <v>6.5</v>
      </c>
      <c r="X15" s="264">
        <v>6.2725</v>
      </c>
      <c r="Y15" s="134">
        <v>7.5889000000000006</v>
      </c>
      <c r="Z15" s="263">
        <v>7.6311</v>
      </c>
      <c r="AA15" s="263">
        <v>7.3169000000000004</v>
      </c>
      <c r="AB15" s="263">
        <v>6.9699000000000018</v>
      </c>
      <c r="AC15" s="263">
        <v>7.1527000000000012</v>
      </c>
      <c r="AD15" s="263">
        <v>7.2018999999999993</v>
      </c>
      <c r="AE15" s="263">
        <v>7.4863000000000008</v>
      </c>
      <c r="AF15" s="263">
        <v>7.6830999999999996</v>
      </c>
      <c r="AG15" s="263">
        <v>8.7296000000000014</v>
      </c>
      <c r="AH15" s="263">
        <v>7.9737999999999989</v>
      </c>
      <c r="AI15" s="263">
        <v>4.2483999999999993</v>
      </c>
      <c r="AJ15" s="263">
        <v>5.3364000000000011</v>
      </c>
      <c r="AK15" s="403">
        <v>6.9900000000000011</v>
      </c>
      <c r="AL15" s="286">
        <f t="shared" si="1"/>
        <v>30.987182370137162</v>
      </c>
      <c r="AM15" s="258" t="s">
        <v>26</v>
      </c>
    </row>
    <row r="16" spans="1:39" ht="12.75" customHeight="1">
      <c r="B16" s="88" t="s">
        <v>27</v>
      </c>
      <c r="C16" s="90">
        <v>6.5</v>
      </c>
      <c r="D16" s="116">
        <v>7.7</v>
      </c>
      <c r="E16" s="115">
        <v>6.7916433688952624</v>
      </c>
      <c r="F16" s="259">
        <v>6.6810831952516683</v>
      </c>
      <c r="G16" s="259">
        <v>6.8105236505752522</v>
      </c>
      <c r="H16" s="259">
        <v>6.8398282690606607</v>
      </c>
      <c r="I16" s="259">
        <v>6.9041412695368169</v>
      </c>
      <c r="J16" s="259">
        <v>6.2209381278531444</v>
      </c>
      <c r="K16" s="259">
        <v>6.4868554828526834</v>
      </c>
      <c r="L16" s="259">
        <v>6.7044719166616762</v>
      </c>
      <c r="M16" s="259">
        <v>7.0459199684197653</v>
      </c>
      <c r="N16" s="259">
        <v>7.3159006836586409</v>
      </c>
      <c r="O16" s="115">
        <v>7.724043149006512</v>
      </c>
      <c r="P16" s="259">
        <v>7.7695880121263032</v>
      </c>
      <c r="Q16" s="259">
        <v>7.9772892893022069</v>
      </c>
      <c r="R16" s="259">
        <v>8.1554573582894871</v>
      </c>
      <c r="S16" s="259">
        <v>9.0939084975150912</v>
      </c>
      <c r="T16" s="259">
        <v>9.375830458217731</v>
      </c>
      <c r="U16" s="259">
        <v>9.7173314868784608</v>
      </c>
      <c r="V16" s="259">
        <v>9.797521313198633</v>
      </c>
      <c r="W16" s="259">
        <v>10.452132712643687</v>
      </c>
      <c r="X16" s="259">
        <v>9.568455624774991</v>
      </c>
      <c r="Y16" s="259">
        <v>9.8063450079108705</v>
      </c>
      <c r="Z16" s="118">
        <v>9.9302983452846831</v>
      </c>
      <c r="AA16" s="259">
        <v>10.465358973566957</v>
      </c>
      <c r="AB16" s="259">
        <v>10.704861136223224</v>
      </c>
      <c r="AC16" s="259">
        <v>10.948744205250524</v>
      </c>
      <c r="AD16" s="259">
        <v>11.042604368561836</v>
      </c>
      <c r="AE16" s="259">
        <v>11.133917120043149</v>
      </c>
      <c r="AF16" s="259">
        <v>11.306016654712989</v>
      </c>
      <c r="AG16" s="259">
        <v>11.661627571265637</v>
      </c>
      <c r="AH16" s="259">
        <v>11.404560736958604</v>
      </c>
      <c r="AI16" s="259">
        <v>6.1530741569347338</v>
      </c>
      <c r="AJ16" s="259">
        <v>7.9107060877238435</v>
      </c>
      <c r="AK16" s="435">
        <v>10.071721038235079</v>
      </c>
      <c r="AL16" s="330">
        <f t="shared" si="1"/>
        <v>27.317598790135648</v>
      </c>
      <c r="AM16" s="209" t="s">
        <v>27</v>
      </c>
    </row>
    <row r="17" spans="2:39" ht="12.75" customHeight="1">
      <c r="B17" s="258" t="s">
        <v>39</v>
      </c>
      <c r="C17" s="92"/>
      <c r="D17" s="439"/>
      <c r="E17" s="440"/>
      <c r="F17" s="263"/>
      <c r="G17" s="263"/>
      <c r="H17" s="264">
        <v>0.54662699999999997</v>
      </c>
      <c r="I17" s="264">
        <v>0.542601</v>
      </c>
      <c r="J17" s="264">
        <v>0.52539599999999997</v>
      </c>
      <c r="K17" s="264">
        <v>0.48687899999999995</v>
      </c>
      <c r="L17" s="264">
        <v>0.49809300000000001</v>
      </c>
      <c r="M17" s="264">
        <v>0.487896</v>
      </c>
      <c r="N17" s="264">
        <v>0.48726600000000003</v>
      </c>
      <c r="O17" s="264">
        <v>0.50417100000000004</v>
      </c>
      <c r="P17" s="264">
        <v>0.53174399999999999</v>
      </c>
      <c r="Q17" s="264">
        <v>0.53473799999999994</v>
      </c>
      <c r="R17" s="264">
        <v>0.55030800000000002</v>
      </c>
      <c r="S17" s="264">
        <v>0.52908299999999997</v>
      </c>
      <c r="T17" s="264">
        <v>0.53316600000000003</v>
      </c>
      <c r="U17" s="264">
        <v>0.55977300000000008</v>
      </c>
      <c r="V17" s="264">
        <v>0.66095999999999999</v>
      </c>
      <c r="W17" s="264">
        <v>0.62360400000000005</v>
      </c>
      <c r="X17" s="264">
        <v>0.57882</v>
      </c>
      <c r="Y17" s="264">
        <v>0.54935699999999998</v>
      </c>
      <c r="Z17" s="264">
        <v>0.51953099999999997</v>
      </c>
      <c r="AA17" s="264">
        <f>0.174139*3</f>
        <v>0.52241699999999991</v>
      </c>
      <c r="AB17" s="264">
        <f>0.177596*3</f>
        <v>0.53278800000000004</v>
      </c>
      <c r="AC17" s="264">
        <f>0.191899*3</f>
        <v>0.5756969999999999</v>
      </c>
      <c r="AD17" s="264">
        <v>0.597966</v>
      </c>
      <c r="AE17" s="264">
        <v>0.608985</v>
      </c>
      <c r="AF17" s="264">
        <v>0.60798300000000005</v>
      </c>
      <c r="AG17" s="264">
        <v>0.57616500000000004</v>
      </c>
      <c r="AH17" s="264">
        <v>0.55037999999999998</v>
      </c>
      <c r="AI17" s="264">
        <v>0.39428400000000002</v>
      </c>
      <c r="AJ17" s="264">
        <v>0.35901300000000003</v>
      </c>
      <c r="AK17" s="404">
        <v>0.359205</v>
      </c>
      <c r="AL17" s="286">
        <f t="shared" si="1"/>
        <v>5.3479957550280233E-2</v>
      </c>
      <c r="AM17" s="258" t="s">
        <v>39</v>
      </c>
    </row>
    <row r="18" spans="2:39" ht="12.75" customHeight="1">
      <c r="B18" s="79" t="s">
        <v>29</v>
      </c>
      <c r="C18" s="80">
        <v>2.21</v>
      </c>
      <c r="D18" s="80">
        <v>3.66</v>
      </c>
      <c r="E18" s="268">
        <f>2.58+1.629</f>
        <v>4.2089999999999996</v>
      </c>
      <c r="F18" s="268">
        <v>5.3280000000000003</v>
      </c>
      <c r="G18" s="268">
        <v>5.4</v>
      </c>
      <c r="H18" s="268">
        <v>5.5</v>
      </c>
      <c r="I18" s="268">
        <v>5.0999999999999996</v>
      </c>
      <c r="J18" s="268">
        <f>4.038+1.1136</f>
        <v>5.1516000000000002</v>
      </c>
      <c r="K18" s="268">
        <v>5.282</v>
      </c>
      <c r="L18" s="268">
        <v>5.319</v>
      </c>
      <c r="M18" s="268">
        <v>5.2510000000000003</v>
      </c>
      <c r="N18" s="268">
        <f>4.167+1.072</f>
        <v>5.2389999999999999</v>
      </c>
      <c r="O18" s="268">
        <f>4.503+1.1057</f>
        <v>5.6086999999999998</v>
      </c>
      <c r="P18" s="268">
        <f>4.506+1.083</f>
        <v>5.5890000000000004</v>
      </c>
      <c r="Q18" s="268">
        <f>4.843+1.042</f>
        <v>5.8849999999999998</v>
      </c>
      <c r="R18" s="268">
        <f>4.935+1.05</f>
        <v>5.9849999999999994</v>
      </c>
      <c r="S18" s="268">
        <f>4.954+1.051</f>
        <v>6.0049999999999999</v>
      </c>
      <c r="T18" s="268">
        <f>4.982+1.053</f>
        <v>6.0350000000000001</v>
      </c>
      <c r="U18" s="268">
        <f>5.204+1.075</f>
        <v>6.2789999999999999</v>
      </c>
      <c r="V18" s="268">
        <f>5.637+1.088</f>
        <v>6.7249999999999996</v>
      </c>
      <c r="W18" s="268">
        <f>5.777+1.107</f>
        <v>6.8840000000000003</v>
      </c>
      <c r="X18" s="268">
        <f>1.108+5.84</f>
        <v>6.9480000000000004</v>
      </c>
      <c r="Y18" s="268">
        <f>5.948+1.135</f>
        <v>7.0830000000000002</v>
      </c>
      <c r="Z18" s="268">
        <f>5.849+1.246</f>
        <v>7.0950000000000006</v>
      </c>
      <c r="AA18" s="268">
        <f>1.243+5.295</f>
        <v>6.5380000000000003</v>
      </c>
      <c r="AB18" s="268">
        <f>1.228+5.356</f>
        <v>6.5839999999999996</v>
      </c>
      <c r="AC18" s="268">
        <f>1.266+5.388</f>
        <v>6.6539999999999999</v>
      </c>
      <c r="AD18" s="268">
        <v>6.8280000000000003</v>
      </c>
      <c r="AE18" s="268">
        <v>6.9489999999999998</v>
      </c>
      <c r="AF18" s="268">
        <f>(1426+5853)/1000</f>
        <v>7.2789999999999999</v>
      </c>
      <c r="AG18" s="268">
        <f>(1426+5853)/1000</f>
        <v>7.2789999999999999</v>
      </c>
      <c r="AH18" s="268">
        <f>(1562+6052)/1000</f>
        <v>7.6139999999999999</v>
      </c>
      <c r="AI18" s="268">
        <f>(3396+997)/1000</f>
        <v>4.3929999999999998</v>
      </c>
      <c r="AJ18" s="268">
        <f>(1099+3940)/1000</f>
        <v>5.0389999999999997</v>
      </c>
      <c r="AK18" s="367">
        <v>6.2869999999999999</v>
      </c>
      <c r="AL18" s="196">
        <f t="shared" si="1"/>
        <v>24.766818813256592</v>
      </c>
      <c r="AM18" s="79" t="s">
        <v>29</v>
      </c>
    </row>
    <row r="19" spans="2:39" ht="12.75" customHeight="1">
      <c r="B19" s="258" t="s">
        <v>8</v>
      </c>
      <c r="C19" s="92" t="s">
        <v>38</v>
      </c>
      <c r="D19" s="92" t="s">
        <v>38</v>
      </c>
      <c r="E19" s="263" t="s">
        <v>38</v>
      </c>
      <c r="F19" s="263" t="s">
        <v>38</v>
      </c>
      <c r="G19" s="263" t="s">
        <v>38</v>
      </c>
      <c r="H19" s="263" t="s">
        <v>38</v>
      </c>
      <c r="I19" s="263" t="s">
        <v>38</v>
      </c>
      <c r="J19" s="263" t="s">
        <v>38</v>
      </c>
      <c r="K19" s="263" t="s">
        <v>38</v>
      </c>
      <c r="L19" s="263" t="s">
        <v>38</v>
      </c>
      <c r="M19" s="263" t="s">
        <v>38</v>
      </c>
      <c r="N19" s="263" t="s">
        <v>38</v>
      </c>
      <c r="O19" s="263" t="s">
        <v>38</v>
      </c>
      <c r="P19" s="263" t="s">
        <v>38</v>
      </c>
      <c r="Q19" s="263" t="s">
        <v>38</v>
      </c>
      <c r="R19" s="263" t="s">
        <v>38</v>
      </c>
      <c r="S19" s="263" t="s">
        <v>38</v>
      </c>
      <c r="T19" s="263" t="s">
        <v>38</v>
      </c>
      <c r="U19" s="263" t="s">
        <v>38</v>
      </c>
      <c r="V19" s="263" t="s">
        <v>38</v>
      </c>
      <c r="W19" s="263" t="s">
        <v>38</v>
      </c>
      <c r="X19" s="263" t="s">
        <v>38</v>
      </c>
      <c r="Y19" s="263" t="s">
        <v>38</v>
      </c>
      <c r="Z19" s="263" t="s">
        <v>38</v>
      </c>
      <c r="AA19" s="263" t="s">
        <v>38</v>
      </c>
      <c r="AB19" s="263" t="s">
        <v>38</v>
      </c>
      <c r="AC19" s="263" t="s">
        <v>38</v>
      </c>
      <c r="AD19" s="263" t="s">
        <v>38</v>
      </c>
      <c r="AE19" s="263" t="s">
        <v>38</v>
      </c>
      <c r="AF19" s="263" t="s">
        <v>38</v>
      </c>
      <c r="AG19" s="263" t="s">
        <v>38</v>
      </c>
      <c r="AH19" s="263" t="s">
        <v>38</v>
      </c>
      <c r="AI19" s="263" t="s">
        <v>38</v>
      </c>
      <c r="AJ19" s="263" t="s">
        <v>38</v>
      </c>
      <c r="AK19" s="403" t="s">
        <v>38</v>
      </c>
      <c r="AL19" s="441" t="s">
        <v>38</v>
      </c>
      <c r="AM19" s="258" t="s">
        <v>8</v>
      </c>
    </row>
    <row r="20" spans="2:39" ht="12.75" customHeight="1">
      <c r="B20" s="79" t="s">
        <v>12</v>
      </c>
      <c r="C20" s="80" t="s">
        <v>36</v>
      </c>
      <c r="D20" s="80" t="s">
        <v>36</v>
      </c>
      <c r="E20" s="267">
        <f>0.2431*3</f>
        <v>0.72930000000000006</v>
      </c>
      <c r="F20" s="267">
        <f>0.2516*3</f>
        <v>0.75479999999999992</v>
      </c>
      <c r="G20" s="267">
        <f>0.1937*3</f>
        <v>0.58110000000000006</v>
      </c>
      <c r="H20" s="267">
        <f>0.1149*3</f>
        <v>0.34470000000000001</v>
      </c>
      <c r="I20" s="267">
        <f>0.1128*3</f>
        <v>0.33839999999999998</v>
      </c>
      <c r="J20" s="267">
        <f>0.1012*3</f>
        <v>0.30359999999999998</v>
      </c>
      <c r="K20" s="267">
        <f>0.0795*3</f>
        <v>0.23849999999999999</v>
      </c>
      <c r="L20" s="267">
        <f>0.0884*3</f>
        <v>0.26519999999999999</v>
      </c>
      <c r="M20" s="267">
        <f>0.098*3</f>
        <v>0.29400000000000004</v>
      </c>
      <c r="N20" s="267">
        <f>0.0938*3</f>
        <v>0.28139999999999998</v>
      </c>
      <c r="O20" s="267">
        <f>0.0889*3</f>
        <v>0.26670000000000005</v>
      </c>
      <c r="P20" s="267">
        <f>0.0869*3</f>
        <v>0.26070000000000004</v>
      </c>
      <c r="Q20" s="267">
        <f>0.0882*3</f>
        <v>0.2646</v>
      </c>
      <c r="R20" s="267">
        <f>0.0846*3</f>
        <v>0.25379999999999997</v>
      </c>
      <c r="S20" s="267">
        <f>0.0879*3</f>
        <v>0.26370000000000005</v>
      </c>
      <c r="T20" s="267">
        <f>0.0909*3</f>
        <v>0.2727</v>
      </c>
      <c r="U20" s="267">
        <f>0.0931*3</f>
        <v>0.27929999999999999</v>
      </c>
      <c r="V20" s="267">
        <f>0.0932*3</f>
        <v>0.27960000000000002</v>
      </c>
      <c r="W20" s="267">
        <f>0.0861*3</f>
        <v>0.25829999999999997</v>
      </c>
      <c r="X20" s="114">
        <f>0.057*3</f>
        <v>0.17100000000000001</v>
      </c>
      <c r="Y20" s="268">
        <v>0.36450199999999999</v>
      </c>
      <c r="Z20" s="268">
        <v>0.37563800000000003</v>
      </c>
      <c r="AA20" s="268">
        <v>0.35237200000000002</v>
      </c>
      <c r="AB20" s="268">
        <v>0.37700800000000001</v>
      </c>
      <c r="AC20" s="268">
        <v>0.38471</v>
      </c>
      <c r="AD20" s="268">
        <v>0.35569000000000001</v>
      </c>
      <c r="AE20" s="268">
        <v>0.33763900000000002</v>
      </c>
      <c r="AF20" s="268">
        <v>0.34163900000000003</v>
      </c>
      <c r="AG20" s="268">
        <v>0.35619299999999998</v>
      </c>
      <c r="AH20" s="268">
        <v>0.336231</v>
      </c>
      <c r="AI20" s="268">
        <v>0.201657</v>
      </c>
      <c r="AJ20" s="401">
        <f>3*(14678+3457+1369)/1000000</f>
        <v>5.8512000000000002E-2</v>
      </c>
      <c r="AK20" s="252">
        <v>7.4530461985331503E-2</v>
      </c>
      <c r="AL20" s="442">
        <f t="shared" si="1"/>
        <v>27.376370633940894</v>
      </c>
      <c r="AM20" s="79" t="s">
        <v>12</v>
      </c>
    </row>
    <row r="21" spans="2:39" ht="12.75" customHeight="1">
      <c r="B21" s="258" t="s">
        <v>13</v>
      </c>
      <c r="C21" s="92" t="s">
        <v>38</v>
      </c>
      <c r="D21" s="92" t="s">
        <v>38</v>
      </c>
      <c r="E21" s="263" t="s">
        <v>38</v>
      </c>
      <c r="F21" s="263" t="s">
        <v>38</v>
      </c>
      <c r="G21" s="263" t="s">
        <v>38</v>
      </c>
      <c r="H21" s="263" t="s">
        <v>38</v>
      </c>
      <c r="I21" s="263" t="s">
        <v>38</v>
      </c>
      <c r="J21" s="263" t="s">
        <v>38</v>
      </c>
      <c r="K21" s="263" t="s">
        <v>38</v>
      </c>
      <c r="L21" s="263" t="s">
        <v>38</v>
      </c>
      <c r="M21" s="263" t="s">
        <v>38</v>
      </c>
      <c r="N21" s="263" t="s">
        <v>38</v>
      </c>
      <c r="O21" s="263" t="s">
        <v>38</v>
      </c>
      <c r="P21" s="263" t="s">
        <v>38</v>
      </c>
      <c r="Q21" s="263" t="s">
        <v>38</v>
      </c>
      <c r="R21" s="263" t="s">
        <v>38</v>
      </c>
      <c r="S21" s="263" t="s">
        <v>38</v>
      </c>
      <c r="T21" s="263" t="s">
        <v>38</v>
      </c>
      <c r="U21" s="263" t="s">
        <v>38</v>
      </c>
      <c r="V21" s="263" t="s">
        <v>38</v>
      </c>
      <c r="W21" s="263" t="s">
        <v>38</v>
      </c>
      <c r="X21" s="263" t="s">
        <v>38</v>
      </c>
      <c r="Y21" s="263" t="s">
        <v>38</v>
      </c>
      <c r="Z21" s="263" t="s">
        <v>38</v>
      </c>
      <c r="AA21" s="263" t="s">
        <v>38</v>
      </c>
      <c r="AB21" s="263" t="s">
        <v>38</v>
      </c>
      <c r="AC21" s="263" t="s">
        <v>38</v>
      </c>
      <c r="AD21" s="263" t="s">
        <v>38</v>
      </c>
      <c r="AE21" s="263" t="s">
        <v>38</v>
      </c>
      <c r="AF21" s="263" t="s">
        <v>38</v>
      </c>
      <c r="AG21" s="263" t="s">
        <v>38</v>
      </c>
      <c r="AH21" s="263" t="s">
        <v>38</v>
      </c>
      <c r="AI21" s="263" t="s">
        <v>38</v>
      </c>
      <c r="AJ21" s="263" t="s">
        <v>38</v>
      </c>
      <c r="AK21" s="403" t="s">
        <v>38</v>
      </c>
      <c r="AL21" s="263" t="s">
        <v>38</v>
      </c>
      <c r="AM21" s="258" t="s">
        <v>13</v>
      </c>
    </row>
    <row r="22" spans="2:39" ht="12.75" customHeight="1">
      <c r="B22" s="79" t="s">
        <v>30</v>
      </c>
      <c r="C22" s="80" t="s">
        <v>38</v>
      </c>
      <c r="D22" s="80" t="s">
        <v>38</v>
      </c>
      <c r="E22" s="268" t="s">
        <v>38</v>
      </c>
      <c r="F22" s="268" t="s">
        <v>38</v>
      </c>
      <c r="G22" s="268" t="s">
        <v>38</v>
      </c>
      <c r="H22" s="268" t="s">
        <v>38</v>
      </c>
      <c r="I22" s="268" t="s">
        <v>38</v>
      </c>
      <c r="J22" s="268" t="s">
        <v>38</v>
      </c>
      <c r="K22" s="268" t="s">
        <v>38</v>
      </c>
      <c r="L22" s="268" t="s">
        <v>38</v>
      </c>
      <c r="M22" s="268" t="s">
        <v>38</v>
      </c>
      <c r="N22" s="268" t="s">
        <v>38</v>
      </c>
      <c r="O22" s="268" t="s">
        <v>38</v>
      </c>
      <c r="P22" s="268" t="s">
        <v>38</v>
      </c>
      <c r="Q22" s="268" t="s">
        <v>38</v>
      </c>
      <c r="R22" s="268" t="s">
        <v>38</v>
      </c>
      <c r="S22" s="268" t="s">
        <v>38</v>
      </c>
      <c r="T22" s="268" t="s">
        <v>38</v>
      </c>
      <c r="U22" s="268" t="s">
        <v>38</v>
      </c>
      <c r="V22" s="268" t="s">
        <v>38</v>
      </c>
      <c r="W22" s="268" t="s">
        <v>38</v>
      </c>
      <c r="X22" s="268" t="s">
        <v>38</v>
      </c>
      <c r="Y22" s="268" t="s">
        <v>38</v>
      </c>
      <c r="Z22" s="268" t="s">
        <v>38</v>
      </c>
      <c r="AA22" s="268" t="s">
        <v>38</v>
      </c>
      <c r="AB22" s="268" t="s">
        <v>38</v>
      </c>
      <c r="AC22" s="268" t="s">
        <v>38</v>
      </c>
      <c r="AD22" s="268" t="s">
        <v>38</v>
      </c>
      <c r="AE22" s="268" t="s">
        <v>38</v>
      </c>
      <c r="AF22" s="268" t="s">
        <v>38</v>
      </c>
      <c r="AG22" s="267">
        <v>1.95E-2</v>
      </c>
      <c r="AH22" s="267">
        <v>3.1199999999999999E-2</v>
      </c>
      <c r="AI22" s="267">
        <v>3.1731711504470649E-2</v>
      </c>
      <c r="AJ22" s="267">
        <f>AI22+AI22*([1]bus_coach!AJ22/[1]bus_coach!AI22*100-100)/100</f>
        <v>3.4132344320536787E-2</v>
      </c>
      <c r="AK22" s="252">
        <v>6.0599999999999994E-2</v>
      </c>
      <c r="AL22" s="442">
        <f t="shared" si="1"/>
        <v>77.544206840601106</v>
      </c>
      <c r="AM22" s="79" t="s">
        <v>30</v>
      </c>
    </row>
    <row r="23" spans="2:39" ht="12.75" customHeight="1">
      <c r="B23" s="258" t="s">
        <v>11</v>
      </c>
      <c r="C23" s="92" t="s">
        <v>36</v>
      </c>
      <c r="D23" s="92" t="s">
        <v>36</v>
      </c>
      <c r="E23" s="263" t="s">
        <v>36</v>
      </c>
      <c r="F23" s="263" t="s">
        <v>36</v>
      </c>
      <c r="G23" s="263" t="s">
        <v>36</v>
      </c>
      <c r="H23" s="263" t="s">
        <v>36</v>
      </c>
      <c r="I23" s="263" t="s">
        <v>36</v>
      </c>
      <c r="J23" s="264">
        <v>2.5</v>
      </c>
      <c r="K23" s="264">
        <v>2.5</v>
      </c>
      <c r="L23" s="264">
        <v>2.5</v>
      </c>
      <c r="M23" s="264">
        <v>2.5499999999999998</v>
      </c>
      <c r="N23" s="263">
        <f>1.193+1.327</f>
        <v>2.52</v>
      </c>
      <c r="O23" s="263">
        <f>1.212+1.358</f>
        <v>2.5700000000000003</v>
      </c>
      <c r="P23" s="263">
        <f>1.214+1.357</f>
        <v>2.5709999999999997</v>
      </c>
      <c r="Q23" s="263">
        <f>1.201+1.335</f>
        <v>2.536</v>
      </c>
      <c r="R23" s="263">
        <f>1.193+1.323</f>
        <v>2.516</v>
      </c>
      <c r="S23" s="263">
        <f>1.169+1.251</f>
        <v>2.42</v>
      </c>
      <c r="T23" s="263">
        <f>1.144+1.209</f>
        <v>2.3529999999999998</v>
      </c>
      <c r="U23" s="263">
        <f>1.113+1.17</f>
        <v>2.2829999999999999</v>
      </c>
      <c r="V23" s="263">
        <f>1.104+1.176</f>
        <v>2.2800000000000002</v>
      </c>
      <c r="W23" s="263">
        <f>1.095+1.24</f>
        <v>2.335</v>
      </c>
      <c r="X23" s="263">
        <f>1.185+1.339</f>
        <v>2.524</v>
      </c>
      <c r="Y23" s="263">
        <f>1.15+1.339</f>
        <v>2.4889999999999999</v>
      </c>
      <c r="Z23" s="263">
        <f>1.161535+1.342378</f>
        <v>2.5039129999999998</v>
      </c>
      <c r="AA23" s="263">
        <v>2.4990787000000001</v>
      </c>
      <c r="AB23" s="263">
        <v>2.5104894</v>
      </c>
      <c r="AC23" s="263">
        <f>2819469.2/1000000</f>
        <v>2.8194692000000003</v>
      </c>
      <c r="AD23" s="263">
        <v>2.9466693999999998</v>
      </c>
      <c r="AE23" s="263">
        <v>3.0627040999999999</v>
      </c>
      <c r="AF23" s="263">
        <v>3.0456327000000001</v>
      </c>
      <c r="AG23" s="263">
        <v>2.7077</v>
      </c>
      <c r="AH23" s="263">
        <v>2.8073303999999997</v>
      </c>
      <c r="AI23" s="263">
        <v>1.845</v>
      </c>
      <c r="AJ23" s="263">
        <f>(862112.7+904672)/1000000</f>
        <v>1.7667846999999999</v>
      </c>
      <c r="AK23" s="403">
        <v>2.3191282000000002</v>
      </c>
      <c r="AL23" s="441">
        <f t="shared" si="1"/>
        <v>31.262637716978219</v>
      </c>
      <c r="AM23" s="258" t="s">
        <v>11</v>
      </c>
    </row>
    <row r="24" spans="2:39" ht="12.75" customHeight="1">
      <c r="B24" s="79" t="s">
        <v>14</v>
      </c>
      <c r="C24" s="80" t="s">
        <v>38</v>
      </c>
      <c r="D24" s="80" t="s">
        <v>38</v>
      </c>
      <c r="E24" s="268" t="s">
        <v>38</v>
      </c>
      <c r="F24" s="268" t="s">
        <v>38</v>
      </c>
      <c r="G24" s="268" t="s">
        <v>38</v>
      </c>
      <c r="H24" s="268" t="s">
        <v>38</v>
      </c>
      <c r="I24" s="268" t="s">
        <v>38</v>
      </c>
      <c r="J24" s="268" t="s">
        <v>38</v>
      </c>
      <c r="K24" s="268" t="s">
        <v>38</v>
      </c>
      <c r="L24" s="268" t="s">
        <v>38</v>
      </c>
      <c r="M24" s="268" t="s">
        <v>38</v>
      </c>
      <c r="N24" s="268" t="s">
        <v>38</v>
      </c>
      <c r="O24" s="268" t="s">
        <v>38</v>
      </c>
      <c r="P24" s="268" t="s">
        <v>38</v>
      </c>
      <c r="Q24" s="268" t="s">
        <v>38</v>
      </c>
      <c r="R24" s="268" t="s">
        <v>38</v>
      </c>
      <c r="S24" s="268" t="s">
        <v>38</v>
      </c>
      <c r="T24" s="268" t="s">
        <v>38</v>
      </c>
      <c r="U24" s="268" t="s">
        <v>38</v>
      </c>
      <c r="V24" s="268" t="s">
        <v>38</v>
      </c>
      <c r="W24" s="268" t="s">
        <v>38</v>
      </c>
      <c r="X24" s="268" t="s">
        <v>38</v>
      </c>
      <c r="Y24" s="268" t="s">
        <v>38</v>
      </c>
      <c r="Z24" s="268" t="s">
        <v>38</v>
      </c>
      <c r="AA24" s="268" t="s">
        <v>38</v>
      </c>
      <c r="AB24" s="268" t="s">
        <v>38</v>
      </c>
      <c r="AC24" s="268" t="s">
        <v>38</v>
      </c>
      <c r="AD24" s="268" t="s">
        <v>38</v>
      </c>
      <c r="AE24" s="268" t="s">
        <v>38</v>
      </c>
      <c r="AF24" s="268" t="s">
        <v>38</v>
      </c>
      <c r="AG24" s="268" t="s">
        <v>38</v>
      </c>
      <c r="AH24" s="268" t="s">
        <v>38</v>
      </c>
      <c r="AI24" s="268" t="s">
        <v>38</v>
      </c>
      <c r="AJ24" s="268" t="s">
        <v>38</v>
      </c>
      <c r="AK24" s="367" t="s">
        <v>38</v>
      </c>
      <c r="AL24" s="268" t="s">
        <v>38</v>
      </c>
      <c r="AM24" s="79" t="s">
        <v>14</v>
      </c>
    </row>
    <row r="25" spans="2:39" ht="12.75" customHeight="1">
      <c r="B25" s="258" t="s">
        <v>22</v>
      </c>
      <c r="C25" s="92">
        <v>1.24</v>
      </c>
      <c r="D25" s="92">
        <v>1.35</v>
      </c>
      <c r="E25" s="263">
        <v>1.26</v>
      </c>
      <c r="F25" s="263">
        <v>1.29</v>
      </c>
      <c r="G25" s="263">
        <v>1.32</v>
      </c>
      <c r="H25" s="263">
        <v>1.34</v>
      </c>
      <c r="I25" s="263">
        <v>1.39</v>
      </c>
      <c r="J25" s="263">
        <v>1.38</v>
      </c>
      <c r="K25" s="263">
        <v>1.39</v>
      </c>
      <c r="L25" s="264">
        <v>1.4</v>
      </c>
      <c r="M25" s="264">
        <v>1.4</v>
      </c>
      <c r="N25" s="264">
        <v>1.42</v>
      </c>
      <c r="O25" s="106">
        <v>0.66920240257135821</v>
      </c>
      <c r="P25" s="264">
        <v>0.6847210123896893</v>
      </c>
      <c r="Q25" s="264">
        <v>0.66353207777210854</v>
      </c>
      <c r="R25" s="264">
        <v>0.68664863736082971</v>
      </c>
      <c r="S25" s="264">
        <v>0.72726197782688473</v>
      </c>
      <c r="T25" s="264">
        <v>0.7464064132044701</v>
      </c>
      <c r="U25" s="264">
        <v>0.77799993045455174</v>
      </c>
      <c r="V25" s="264">
        <v>0.79498608407233573</v>
      </c>
      <c r="W25" s="264">
        <v>0.82532326498806596</v>
      </c>
      <c r="X25" s="264">
        <v>0.8248953383354507</v>
      </c>
      <c r="Y25" s="106">
        <v>0.85392506122981326</v>
      </c>
      <c r="Z25" s="264">
        <v>0.88990345909689639</v>
      </c>
      <c r="AA25" s="264">
        <v>0.81613047027735097</v>
      </c>
      <c r="AB25" s="264">
        <v>0.85355956538376276</v>
      </c>
      <c r="AC25" s="264">
        <v>0.85324253790568616</v>
      </c>
      <c r="AD25" s="264">
        <v>0.91644568886166289</v>
      </c>
      <c r="AE25" s="264">
        <v>0.92542674380315026</v>
      </c>
      <c r="AF25" s="280">
        <v>0.88160200214086182</v>
      </c>
      <c r="AG25" s="264">
        <v>1.0294941387934067</v>
      </c>
      <c r="AH25" s="264">
        <v>1.0294941387934067</v>
      </c>
      <c r="AI25" s="264">
        <v>0.45931276961551992</v>
      </c>
      <c r="AJ25" s="264">
        <v>0.55434299781183416</v>
      </c>
      <c r="AK25" s="404">
        <v>0.79</v>
      </c>
      <c r="AL25" s="441">
        <f t="shared" si="1"/>
        <v>42.511045168492814</v>
      </c>
      <c r="AM25" s="258" t="s">
        <v>22</v>
      </c>
    </row>
    <row r="26" spans="2:39" ht="12.75" customHeight="1">
      <c r="B26" s="79" t="s">
        <v>31</v>
      </c>
      <c r="C26" s="80">
        <v>1.5</v>
      </c>
      <c r="D26" s="80">
        <v>1.65</v>
      </c>
      <c r="E26" s="267">
        <v>4.2442128983351068</v>
      </c>
      <c r="F26" s="267">
        <v>4.6251253039658984</v>
      </c>
      <c r="G26" s="267">
        <v>4.720742575409969</v>
      </c>
      <c r="H26" s="267">
        <v>4.6971417071642572</v>
      </c>
      <c r="I26" s="267">
        <v>4.8920301285804797</v>
      </c>
      <c r="J26" s="267">
        <v>5.1272031782380516</v>
      </c>
      <c r="K26" s="267">
        <v>5.5820940424240515</v>
      </c>
      <c r="L26" s="267">
        <v>5.6763765221457625</v>
      </c>
      <c r="M26" s="267">
        <v>5.7708421623056294</v>
      </c>
      <c r="N26" s="267">
        <v>5.8654912351198902</v>
      </c>
      <c r="O26" s="267">
        <v>5.9603240131662325</v>
      </c>
      <c r="P26" s="267">
        <v>6.0553407693842383</v>
      </c>
      <c r="Q26" s="267">
        <v>6.150541777075853</v>
      </c>
      <c r="R26" s="267">
        <v>6.2459273099058166</v>
      </c>
      <c r="S26" s="267">
        <v>6.3414976419021301</v>
      </c>
      <c r="T26" s="267">
        <v>6.4372530474565073</v>
      </c>
      <c r="U26" s="267">
        <v>6.5331938013248179</v>
      </c>
      <c r="V26" s="267">
        <v>6.6293201786275553</v>
      </c>
      <c r="W26" s="267">
        <v>6.7256324548502837</v>
      </c>
      <c r="X26" s="267">
        <v>6.8221309058440927</v>
      </c>
      <c r="Y26" s="267">
        <v>6.9188158078260598</v>
      </c>
      <c r="Z26" s="268">
        <v>7.0156874373796958</v>
      </c>
      <c r="AA26" s="268">
        <v>7.1127460714554109</v>
      </c>
      <c r="AB26" s="268">
        <v>7.2099919873709704</v>
      </c>
      <c r="AC26" s="268">
        <v>7.0100583629872597</v>
      </c>
      <c r="AD26" s="268">
        <v>7.1820429883220598</v>
      </c>
      <c r="AE26" s="268">
        <v>7.1853302929799696</v>
      </c>
      <c r="AF26" s="268">
        <v>7.1890000000000001</v>
      </c>
      <c r="AG26" s="268">
        <v>7.1919542940482737</v>
      </c>
      <c r="AH26" s="268">
        <v>7.3689999999999998</v>
      </c>
      <c r="AI26" s="268">
        <f>5895/1000</f>
        <v>5.8949999999999996</v>
      </c>
      <c r="AJ26" s="268">
        <f>6190/1000</f>
        <v>6.19</v>
      </c>
      <c r="AK26" s="367">
        <v>6.5519999999999996</v>
      </c>
      <c r="AL26" s="442">
        <f t="shared" si="1"/>
        <v>5.8481421647818905</v>
      </c>
      <c r="AM26" s="79" t="s">
        <v>31</v>
      </c>
    </row>
    <row r="27" spans="2:39" ht="12.75" customHeight="1">
      <c r="B27" s="258" t="s">
        <v>15</v>
      </c>
      <c r="C27" s="92" t="s">
        <v>36</v>
      </c>
      <c r="D27" s="92" t="s">
        <v>36</v>
      </c>
      <c r="E27" s="263" t="s">
        <v>36</v>
      </c>
      <c r="F27" s="263" t="s">
        <v>36</v>
      </c>
      <c r="G27" s="263" t="s">
        <v>36</v>
      </c>
      <c r="H27" s="263" t="s">
        <v>36</v>
      </c>
      <c r="I27" s="263" t="s">
        <v>36</v>
      </c>
      <c r="J27" s="264">
        <v>5</v>
      </c>
      <c r="K27" s="264">
        <v>4.9000000000000004</v>
      </c>
      <c r="L27" s="264">
        <v>4.8499999999999996</v>
      </c>
      <c r="M27" s="264">
        <v>4.8</v>
      </c>
      <c r="N27" s="264">
        <v>4.75</v>
      </c>
      <c r="O27" s="264">
        <v>4.7</v>
      </c>
      <c r="P27" s="264">
        <v>4.6500000000000004</v>
      </c>
      <c r="Q27" s="264">
        <v>4.62</v>
      </c>
      <c r="R27" s="264">
        <v>4.5</v>
      </c>
      <c r="S27" s="264">
        <v>4.5</v>
      </c>
      <c r="T27" s="264">
        <v>4.4000000000000004</v>
      </c>
      <c r="U27" s="264">
        <v>4.45</v>
      </c>
      <c r="V27" s="264">
        <v>4.5999999999999996</v>
      </c>
      <c r="W27" s="264">
        <v>4.5999999999999996</v>
      </c>
      <c r="X27" s="264">
        <v>4.32</v>
      </c>
      <c r="Y27" s="264">
        <f>4.34</f>
        <v>4.34</v>
      </c>
      <c r="Z27" s="264">
        <v>4.4037127814014561</v>
      </c>
      <c r="AA27" s="264">
        <v>4.3922452068246658</v>
      </c>
      <c r="AB27" s="264">
        <f>AA27*(3620.9+113.1)/(3867.5+132.5)</f>
        <v>4.1001609005708248</v>
      </c>
      <c r="AC27" s="264">
        <f>AB27*(3711.1+147.7)/(3620.9+113.1)</f>
        <v>4.2371989510237542</v>
      </c>
      <c r="AD27" s="264">
        <v>4.2203986131076503</v>
      </c>
      <c r="AE27" s="264">
        <v>4.3373421417393576</v>
      </c>
      <c r="AF27" s="264">
        <v>4.3114278950190927</v>
      </c>
      <c r="AG27" s="264">
        <v>4.3522747351298046</v>
      </c>
      <c r="AH27" s="264">
        <v>4.4278194286678954</v>
      </c>
      <c r="AI27" s="264">
        <v>2.61057425707574</v>
      </c>
      <c r="AJ27" s="264">
        <f>AI27*(2501+117)/(2270.8+106.7)</f>
        <v>2.8746512744581647</v>
      </c>
      <c r="AK27" s="404">
        <v>3.8989801046921007</v>
      </c>
      <c r="AL27" s="441">
        <f t="shared" si="1"/>
        <v>35.633151030710991</v>
      </c>
      <c r="AM27" s="258" t="s">
        <v>15</v>
      </c>
    </row>
    <row r="28" spans="2:39" ht="12.75" customHeight="1">
      <c r="B28" s="79" t="s">
        <v>32</v>
      </c>
      <c r="C28" s="80">
        <v>0.93</v>
      </c>
      <c r="D28" s="80">
        <v>0.74</v>
      </c>
      <c r="E28" s="268">
        <v>0.67</v>
      </c>
      <c r="F28" s="268">
        <v>0.65</v>
      </c>
      <c r="G28" s="268">
        <v>0.63</v>
      </c>
      <c r="H28" s="268">
        <v>0.61</v>
      </c>
      <c r="I28" s="268">
        <v>0.57999999999999996</v>
      </c>
      <c r="J28" s="268">
        <v>0.53</v>
      </c>
      <c r="K28" s="268">
        <v>0.54</v>
      </c>
      <c r="L28" s="268">
        <v>0.5</v>
      </c>
      <c r="M28" s="268">
        <v>0.5</v>
      </c>
      <c r="N28" s="268">
        <v>0.5</v>
      </c>
      <c r="O28" s="268">
        <v>0.53</v>
      </c>
      <c r="P28" s="268">
        <v>0.54500000000000004</v>
      </c>
      <c r="Q28" s="268">
        <v>0.55000000000000004</v>
      </c>
      <c r="R28" s="268">
        <v>0.77</v>
      </c>
      <c r="S28" s="268">
        <v>0.84699999999999998</v>
      </c>
      <c r="T28" s="268">
        <f>0.80121+0.046506</f>
        <v>0.84771600000000003</v>
      </c>
      <c r="U28" s="268">
        <f>0.785327+0.202473</f>
        <v>0.98780000000000001</v>
      </c>
      <c r="V28" s="268">
        <f>0.803969+0.245921</f>
        <v>1.04989</v>
      </c>
      <c r="W28" s="268">
        <f>0.8354+0.259361</f>
        <v>1.0947610000000001</v>
      </c>
      <c r="X28" s="268">
        <f>0.829067+0.261117</f>
        <v>1.090184</v>
      </c>
      <c r="Y28" s="268">
        <f>0.866169+0.267064</f>
        <v>1.1332329999999999</v>
      </c>
      <c r="Z28" s="268">
        <v>1.1479999999999999</v>
      </c>
      <c r="AA28" s="268">
        <f>0.745589+0.28248</f>
        <v>1.0280689999999999</v>
      </c>
      <c r="AB28" s="268">
        <f>0.655705+0.285591</f>
        <v>0.94129599999999991</v>
      </c>
      <c r="AC28" s="268">
        <f>0.650711+0.288136+0.027714</f>
        <v>0.966561</v>
      </c>
      <c r="AD28" s="268">
        <v>1.0086520000000001</v>
      </c>
      <c r="AE28" s="268">
        <v>1.061299</v>
      </c>
      <c r="AF28" s="268">
        <v>1.1210770000000001</v>
      </c>
      <c r="AG28" s="268">
        <v>1.1759999999999999</v>
      </c>
      <c r="AH28" s="268">
        <v>1.2916639999999999</v>
      </c>
      <c r="AI28" s="268">
        <v>0.66549999999999998</v>
      </c>
      <c r="AJ28" s="268">
        <v>0.64965399999999995</v>
      </c>
      <c r="AK28" s="367">
        <v>1.1008169999999999</v>
      </c>
      <c r="AL28" s="442">
        <f t="shared" si="1"/>
        <v>69.446659298642032</v>
      </c>
      <c r="AM28" s="79" t="s">
        <v>32</v>
      </c>
    </row>
    <row r="29" spans="2:39" ht="12.75" customHeight="1">
      <c r="B29" s="258" t="s">
        <v>16</v>
      </c>
      <c r="C29" s="92"/>
      <c r="D29" s="92"/>
      <c r="E29" s="263"/>
      <c r="F29" s="263"/>
      <c r="G29" s="263"/>
      <c r="H29" s="263"/>
      <c r="I29" s="263"/>
      <c r="J29" s="264">
        <v>6</v>
      </c>
      <c r="K29" s="264">
        <v>6</v>
      </c>
      <c r="L29" s="264">
        <v>6</v>
      </c>
      <c r="M29" s="264">
        <v>6</v>
      </c>
      <c r="N29" s="264">
        <v>6</v>
      </c>
      <c r="O29" s="264">
        <v>6</v>
      </c>
      <c r="P29" s="264">
        <v>6</v>
      </c>
      <c r="Q29" s="264">
        <v>6</v>
      </c>
      <c r="R29" s="263">
        <v>5.777215</v>
      </c>
      <c r="S29" s="263">
        <v>6.1920450000000002</v>
      </c>
      <c r="T29" s="263">
        <v>6.5969080000000009</v>
      </c>
      <c r="U29" s="264">
        <v>6.8</v>
      </c>
      <c r="V29" s="264">
        <v>6.9</v>
      </c>
      <c r="W29" s="264">
        <v>7</v>
      </c>
      <c r="X29" s="264">
        <v>7.0469999999999997</v>
      </c>
      <c r="Y29" s="264">
        <v>7.1387100977760349</v>
      </c>
      <c r="Z29" s="264">
        <f>AVERAGE(W29:Y29)</f>
        <v>7.0619033659253452</v>
      </c>
      <c r="AA29" s="264">
        <v>7.548372713565322</v>
      </c>
      <c r="AB29" s="264">
        <v>7.7517181005566318</v>
      </c>
      <c r="AC29" s="280">
        <v>8</v>
      </c>
      <c r="AD29" s="264">
        <v>4.9077016000000002</v>
      </c>
      <c r="AE29" s="264">
        <v>5.0683648999999997</v>
      </c>
      <c r="AF29" s="264">
        <v>5.1236129999999998</v>
      </c>
      <c r="AG29" s="264">
        <v>5.001557</v>
      </c>
      <c r="AH29" s="264">
        <v>4.9292309999999997</v>
      </c>
      <c r="AI29" s="264">
        <v>3.4361090000000001</v>
      </c>
      <c r="AJ29" s="264">
        <v>3.2026129999999999</v>
      </c>
      <c r="AK29" s="404">
        <v>4.0582480000000007</v>
      </c>
      <c r="AL29" s="441">
        <f t="shared" si="1"/>
        <v>26.716777831102306</v>
      </c>
      <c r="AM29" s="258" t="s">
        <v>16</v>
      </c>
    </row>
    <row r="30" spans="2:39" ht="12.75" customHeight="1">
      <c r="B30" s="79" t="s">
        <v>18</v>
      </c>
      <c r="C30" s="80" t="s">
        <v>38</v>
      </c>
      <c r="D30" s="80" t="s">
        <v>38</v>
      </c>
      <c r="E30" s="268" t="s">
        <v>38</v>
      </c>
      <c r="F30" s="268" t="s">
        <v>38</v>
      </c>
      <c r="G30" s="268" t="s">
        <v>38</v>
      </c>
      <c r="H30" s="268" t="s">
        <v>38</v>
      </c>
      <c r="I30" s="268" t="s">
        <v>38</v>
      </c>
      <c r="J30" s="268" t="s">
        <v>38</v>
      </c>
      <c r="K30" s="268" t="s">
        <v>38</v>
      </c>
      <c r="L30" s="268" t="s">
        <v>38</v>
      </c>
      <c r="M30" s="268" t="s">
        <v>38</v>
      </c>
      <c r="N30" s="268" t="s">
        <v>38</v>
      </c>
      <c r="O30" s="268" t="s">
        <v>38</v>
      </c>
      <c r="P30" s="268" t="s">
        <v>38</v>
      </c>
      <c r="Q30" s="268" t="s">
        <v>38</v>
      </c>
      <c r="R30" s="268" t="s">
        <v>38</v>
      </c>
      <c r="S30" s="268" t="s">
        <v>38</v>
      </c>
      <c r="T30" s="268" t="s">
        <v>38</v>
      </c>
      <c r="U30" s="268" t="s">
        <v>38</v>
      </c>
      <c r="V30" s="268" t="s">
        <v>38</v>
      </c>
      <c r="W30" s="268" t="s">
        <v>38</v>
      </c>
      <c r="X30" s="268" t="s">
        <v>38</v>
      </c>
      <c r="Y30" s="268" t="s">
        <v>38</v>
      </c>
      <c r="Z30" s="268" t="s">
        <v>38</v>
      </c>
      <c r="AA30" s="268" t="s">
        <v>38</v>
      </c>
      <c r="AB30" s="268" t="s">
        <v>38</v>
      </c>
      <c r="AC30" s="268" t="s">
        <v>38</v>
      </c>
      <c r="AD30" s="268" t="s">
        <v>38</v>
      </c>
      <c r="AE30" s="268" t="s">
        <v>38</v>
      </c>
      <c r="AF30" s="268" t="s">
        <v>38</v>
      </c>
      <c r="AG30" s="268" t="s">
        <v>38</v>
      </c>
      <c r="AH30" s="268" t="s">
        <v>38</v>
      </c>
      <c r="AI30" s="268" t="s">
        <v>38</v>
      </c>
      <c r="AJ30" s="268" t="s">
        <v>38</v>
      </c>
      <c r="AK30" s="367" t="s">
        <v>38</v>
      </c>
      <c r="AL30" s="268" t="s">
        <v>38</v>
      </c>
      <c r="AM30" s="79" t="s">
        <v>18</v>
      </c>
    </row>
    <row r="31" spans="2:39" ht="12.75" customHeight="1">
      <c r="B31" s="258" t="s">
        <v>17</v>
      </c>
      <c r="C31" s="92"/>
      <c r="D31" s="92"/>
      <c r="E31" s="263"/>
      <c r="F31" s="263"/>
      <c r="G31" s="263"/>
      <c r="H31" s="263" t="s">
        <v>36</v>
      </c>
      <c r="I31" s="263" t="s">
        <v>36</v>
      </c>
      <c r="J31" s="264">
        <f>0.14623*3</f>
        <v>0.43869000000000002</v>
      </c>
      <c r="K31" s="264">
        <v>0.42</v>
      </c>
      <c r="L31" s="264">
        <v>0.4</v>
      </c>
      <c r="M31" s="264">
        <f>0.126488*3</f>
        <v>0.37946399999999997</v>
      </c>
      <c r="N31" s="264">
        <f>0.117714*3</f>
        <v>0.35314200000000001</v>
      </c>
      <c r="O31" s="264">
        <v>0.35</v>
      </c>
      <c r="P31" s="264">
        <v>0.35736277999999999</v>
      </c>
      <c r="Q31" s="264">
        <v>0.35821163</v>
      </c>
      <c r="R31" s="264">
        <v>0.36700559999999993</v>
      </c>
      <c r="S31" s="264">
        <v>0.36223677000000004</v>
      </c>
      <c r="T31" s="264">
        <v>0.38621753999999997</v>
      </c>
      <c r="U31" s="264">
        <v>0.38442599999999999</v>
      </c>
      <c r="V31" s="264">
        <f>0.109705*3.6</f>
        <v>0.39493800000000001</v>
      </c>
      <c r="W31" s="264">
        <f>0.10708*3.43</f>
        <v>0.36728440000000001</v>
      </c>
      <c r="X31" s="264">
        <v>0.29252590000000001</v>
      </c>
      <c r="Y31" s="264">
        <v>0.2834431</v>
      </c>
      <c r="Z31" s="264">
        <f>2.81*0.109182</f>
        <v>0.30680141999999999</v>
      </c>
      <c r="AA31" s="264">
        <f>0.098788*2.93</f>
        <v>0.28944884000000004</v>
      </c>
      <c r="AB31" s="264">
        <f>3.1*88.841/1000</f>
        <v>0.27540710000000002</v>
      </c>
      <c r="AC31" s="264">
        <f>87.672*2.93/1000</f>
        <v>0.25687895999999999</v>
      </c>
      <c r="AD31" s="264">
        <v>0.25080015</v>
      </c>
      <c r="AE31" s="264">
        <v>0.30123875999999999</v>
      </c>
      <c r="AF31" s="264">
        <v>0.28485303000000001</v>
      </c>
      <c r="AG31" s="264">
        <v>0.28074900000000003</v>
      </c>
      <c r="AH31" s="264">
        <v>0.27840905000801414</v>
      </c>
      <c r="AI31" s="264">
        <v>0.16838640134636962</v>
      </c>
      <c r="AJ31" s="264">
        <f>AI31+AI31*[1]bus_coach!AL31/100</f>
        <v>0.22700787833682937</v>
      </c>
      <c r="AK31" s="404">
        <v>0.30603763970812931</v>
      </c>
      <c r="AL31" s="441">
        <f t="shared" si="1"/>
        <v>34.813664596273298</v>
      </c>
      <c r="AM31" s="258" t="s">
        <v>17</v>
      </c>
    </row>
    <row r="32" spans="2:39" ht="12.75" customHeight="1">
      <c r="B32" s="79" t="s">
        <v>33</v>
      </c>
      <c r="C32" s="80">
        <v>0.1</v>
      </c>
      <c r="D32" s="80">
        <v>0.13</v>
      </c>
      <c r="E32" s="268">
        <v>0.35</v>
      </c>
      <c r="F32" s="268">
        <v>0.34</v>
      </c>
      <c r="G32" s="268">
        <v>0.34499999999999997</v>
      </c>
      <c r="H32" s="268">
        <f>0.0993+0.2581</f>
        <v>0.3574</v>
      </c>
      <c r="I32" s="268">
        <v>0.37</v>
      </c>
      <c r="J32" s="268">
        <f>0.1091+0.2785</f>
        <v>0.38760000000000006</v>
      </c>
      <c r="K32" s="268">
        <v>0.4</v>
      </c>
      <c r="L32" s="268">
        <f>0.1162+0.3006</f>
        <v>0.41679999999999995</v>
      </c>
      <c r="M32" s="268">
        <v>0.439</v>
      </c>
      <c r="N32" s="268">
        <f>0.1205+0.3598</f>
        <v>0.4803</v>
      </c>
      <c r="O32" s="268">
        <f>0.118+0.379</f>
        <v>0.497</v>
      </c>
      <c r="P32" s="268">
        <f>0.1193+0.3853</f>
        <v>0.50459999999999994</v>
      </c>
      <c r="Q32" s="268">
        <f>0.1167+0.4008</f>
        <v>0.51749999999999996</v>
      </c>
      <c r="R32" s="268">
        <f>0.1182+0.4041</f>
        <v>0.52229999999999999</v>
      </c>
      <c r="S32" s="268">
        <f>0.119+0.404</f>
        <v>0.52300000000000002</v>
      </c>
      <c r="T32" s="268">
        <f>0.117+0.409</f>
        <v>0.52600000000000002</v>
      </c>
      <c r="U32" s="268">
        <f>0.11+0.414</f>
        <v>0.52400000000000002</v>
      </c>
      <c r="V32" s="268">
        <f>0.11+0.41</f>
        <v>0.52</v>
      </c>
      <c r="W32" s="268">
        <f>0.112+0.42</f>
        <v>0.53200000000000003</v>
      </c>
      <c r="X32" s="268">
        <v>0.53200000000000003</v>
      </c>
      <c r="Y32" s="268">
        <f>0.113+0.417</f>
        <v>0.53</v>
      </c>
      <c r="Z32" s="268">
        <f>0.397+0.118</f>
        <v>0.51500000000000001</v>
      </c>
      <c r="AA32" s="268">
        <f>0.401+0.125</f>
        <v>0.52600000000000002</v>
      </c>
      <c r="AB32" s="268">
        <f>0.124+0.401</f>
        <v>0.52500000000000002</v>
      </c>
      <c r="AC32" s="267">
        <f>(62.1+55.5)/(63.5+56.7)*AB32</f>
        <v>0.51364392678868553</v>
      </c>
      <c r="AD32" s="267">
        <v>0.51582778702163057</v>
      </c>
      <c r="AE32" s="267">
        <v>0.52718386023294506</v>
      </c>
      <c r="AF32" s="267">
        <v>0.55775790349417642</v>
      </c>
      <c r="AG32" s="267">
        <v>0.65472129783693855</v>
      </c>
      <c r="AH32" s="267">
        <v>0.6525374376039933</v>
      </c>
      <c r="AI32" s="267">
        <v>0.56167779439331067</v>
      </c>
      <c r="AJ32" s="267">
        <f>+AI32+AI32*([1]bus_coach!AJ32/[1]bus_coach!AI32*100-100)/100</f>
        <v>0.49559805387645062</v>
      </c>
      <c r="AK32" s="252">
        <v>0.56167779439331067</v>
      </c>
      <c r="AL32" s="442">
        <f t="shared" si="1"/>
        <v>13.333333333333329</v>
      </c>
      <c r="AM32" s="79" t="s">
        <v>33</v>
      </c>
    </row>
    <row r="33" spans="1:39" ht="12.75" customHeight="1">
      <c r="B33" s="273" t="s">
        <v>34</v>
      </c>
      <c r="C33" s="274">
        <v>1.44</v>
      </c>
      <c r="D33" s="274">
        <v>1.97</v>
      </c>
      <c r="E33" s="276">
        <v>2.0099999999999998</v>
      </c>
      <c r="F33" s="276">
        <v>1.93</v>
      </c>
      <c r="G33" s="276">
        <v>1.91</v>
      </c>
      <c r="H33" s="276">
        <v>1.91</v>
      </c>
      <c r="I33" s="276">
        <v>1.89</v>
      </c>
      <c r="J33" s="276">
        <v>1.94</v>
      </c>
      <c r="K33" s="281">
        <v>1.98</v>
      </c>
      <c r="L33" s="276">
        <f>1.496+0.375</f>
        <v>1.871</v>
      </c>
      <c r="M33" s="276">
        <f>1.505+0.374</f>
        <v>1.879</v>
      </c>
      <c r="N33" s="276">
        <f>1.526+0.38</f>
        <v>1.9060000000000001</v>
      </c>
      <c r="O33" s="276">
        <f>1.588+0.394</f>
        <v>1.9820000000000002</v>
      </c>
      <c r="P33" s="276">
        <f>1.581+0.41</f>
        <v>1.9909999999999999</v>
      </c>
      <c r="Q33" s="276">
        <f>1.578+0.415</f>
        <v>1.9930000000000001</v>
      </c>
      <c r="R33" s="276">
        <f>1.558+0.436</f>
        <v>1.994</v>
      </c>
      <c r="S33" s="276">
        <f>1.556+0.462</f>
        <v>2.0180000000000002</v>
      </c>
      <c r="T33" s="276">
        <f>1.541+0.473</f>
        <v>2.0139999999999998</v>
      </c>
      <c r="U33" s="276">
        <f>1.657+0.482</f>
        <v>2.1390000000000002</v>
      </c>
      <c r="V33" s="276">
        <f>1.69+0.514</f>
        <v>2.2039999999999997</v>
      </c>
      <c r="W33" s="276">
        <f>1.715+0.524</f>
        <v>2.2389999999999999</v>
      </c>
      <c r="X33" s="276">
        <f>1.715+0.524</f>
        <v>2.2389999999999999</v>
      </c>
      <c r="Y33" s="276">
        <f>1.731+0.549</f>
        <v>2.2800000000000002</v>
      </c>
      <c r="Z33" s="276">
        <f>1.725+0.615</f>
        <v>2.34</v>
      </c>
      <c r="AA33" s="276">
        <f>1.796+0.577</f>
        <v>2.3730000000000002</v>
      </c>
      <c r="AB33" s="276">
        <v>2.4489999999999998</v>
      </c>
      <c r="AC33" s="276">
        <v>2.4430000000000001</v>
      </c>
      <c r="AD33" s="276">
        <v>2.4998</v>
      </c>
      <c r="AE33" s="276">
        <v>2.6080000000000001</v>
      </c>
      <c r="AF33" s="276">
        <v>2.6470000000000002</v>
      </c>
      <c r="AG33" s="276">
        <v>2.7370000000000001</v>
      </c>
      <c r="AH33" s="276">
        <v>2.7040000000000002</v>
      </c>
      <c r="AI33" s="276">
        <v>1.6879999999999999</v>
      </c>
      <c r="AJ33" s="382">
        <f>(1137+455)/1000</f>
        <v>1.5920000000000001</v>
      </c>
      <c r="AK33" s="443">
        <v>2.1459999999999999</v>
      </c>
      <c r="AL33" s="444">
        <f t="shared" si="1"/>
        <v>34.798994974874347</v>
      </c>
      <c r="AM33" s="273" t="s">
        <v>34</v>
      </c>
    </row>
    <row r="34" spans="1:39" ht="12.75" customHeight="1">
      <c r="B34" s="79" t="s">
        <v>5</v>
      </c>
      <c r="C34" s="240" t="s">
        <v>38</v>
      </c>
      <c r="D34" s="240" t="s">
        <v>38</v>
      </c>
      <c r="E34" s="241" t="s">
        <v>38</v>
      </c>
      <c r="F34" s="241" t="s">
        <v>38</v>
      </c>
      <c r="G34" s="241" t="s">
        <v>38</v>
      </c>
      <c r="H34" s="241" t="s">
        <v>38</v>
      </c>
      <c r="I34" s="241" t="s">
        <v>38</v>
      </c>
      <c r="J34" s="241" t="s">
        <v>38</v>
      </c>
      <c r="K34" s="241" t="s">
        <v>38</v>
      </c>
      <c r="L34" s="241" t="s">
        <v>38</v>
      </c>
      <c r="M34" s="241" t="s">
        <v>38</v>
      </c>
      <c r="N34" s="241" t="s">
        <v>38</v>
      </c>
      <c r="O34" s="241" t="s">
        <v>38</v>
      </c>
      <c r="P34" s="241" t="s">
        <v>38</v>
      </c>
      <c r="Q34" s="241" t="s">
        <v>38</v>
      </c>
      <c r="R34" s="241" t="s">
        <v>38</v>
      </c>
      <c r="S34" s="241" t="s">
        <v>38</v>
      </c>
      <c r="T34" s="241" t="s">
        <v>38</v>
      </c>
      <c r="U34" s="241" t="s">
        <v>38</v>
      </c>
      <c r="V34" s="241" t="s">
        <v>38</v>
      </c>
      <c r="W34" s="241" t="s">
        <v>38</v>
      </c>
      <c r="X34" s="241" t="s">
        <v>38</v>
      </c>
      <c r="Y34" s="241" t="s">
        <v>38</v>
      </c>
      <c r="Z34" s="241" t="s">
        <v>38</v>
      </c>
      <c r="AA34" s="241" t="s">
        <v>38</v>
      </c>
      <c r="AB34" s="241" t="s">
        <v>38</v>
      </c>
      <c r="AC34" s="241" t="s">
        <v>38</v>
      </c>
      <c r="AD34" s="241" t="s">
        <v>38</v>
      </c>
      <c r="AE34" s="241" t="s">
        <v>38</v>
      </c>
      <c r="AF34" s="241" t="s">
        <v>38</v>
      </c>
      <c r="AG34" s="241" t="s">
        <v>38</v>
      </c>
      <c r="AH34" s="241" t="s">
        <v>38</v>
      </c>
      <c r="AI34" s="241" t="s">
        <v>38</v>
      </c>
      <c r="AJ34" s="241" t="s">
        <v>38</v>
      </c>
      <c r="AK34" s="445" t="s">
        <v>38</v>
      </c>
      <c r="AL34" s="241" t="s">
        <v>38</v>
      </c>
      <c r="AM34" s="79" t="s">
        <v>5</v>
      </c>
    </row>
    <row r="35" spans="1:39" ht="12.75" customHeight="1">
      <c r="B35" s="258" t="s">
        <v>35</v>
      </c>
      <c r="C35" s="92">
        <v>0.42799999999999999</v>
      </c>
      <c r="D35" s="92">
        <v>0.501</v>
      </c>
      <c r="E35" s="263">
        <v>0.41899999999999998</v>
      </c>
      <c r="F35" s="163">
        <v>0.42</v>
      </c>
      <c r="G35" s="263">
        <v>0.34899999999999998</v>
      </c>
      <c r="H35" s="263">
        <v>0.37</v>
      </c>
      <c r="I35" s="263">
        <v>0.375</v>
      </c>
      <c r="J35" s="263">
        <v>0.38100000000000001</v>
      </c>
      <c r="K35" s="263">
        <v>0.41899999999999998</v>
      </c>
      <c r="L35" s="263">
        <v>0.42699999999999999</v>
      </c>
      <c r="M35" s="263">
        <v>0.46899999999999997</v>
      </c>
      <c r="N35" s="263">
        <v>0.50700000000000001</v>
      </c>
      <c r="O35" s="263">
        <v>0.496</v>
      </c>
      <c r="P35" s="263">
        <v>0.50800000000000001</v>
      </c>
      <c r="Q35" s="263">
        <v>0.498</v>
      </c>
      <c r="R35" s="263">
        <v>0.47599999999999998</v>
      </c>
      <c r="S35" s="263">
        <v>0.45800000000000002</v>
      </c>
      <c r="T35" s="263">
        <v>0.51800000000000002</v>
      </c>
      <c r="U35" s="263">
        <v>0.50800000000000001</v>
      </c>
      <c r="V35" s="263">
        <v>0.53500000000000003</v>
      </c>
      <c r="W35" s="263">
        <v>0.57199999999999995</v>
      </c>
      <c r="X35" s="263">
        <v>0.58799999999999997</v>
      </c>
      <c r="Y35" s="263">
        <v>0.62</v>
      </c>
      <c r="Z35" s="263">
        <v>0.63100000000000001</v>
      </c>
      <c r="AA35" s="263">
        <v>0.66038399999999997</v>
      </c>
      <c r="AB35" s="263">
        <v>0.72891899999999998</v>
      </c>
      <c r="AC35" s="263">
        <v>0.752</v>
      </c>
      <c r="AD35" s="263">
        <v>0.80900000000000005</v>
      </c>
      <c r="AE35" s="263">
        <v>0.88300000000000001</v>
      </c>
      <c r="AF35" s="263">
        <v>0.95799999999999996</v>
      </c>
      <c r="AG35" s="263">
        <v>0.996</v>
      </c>
      <c r="AH35" s="263">
        <v>1.0009999999999999</v>
      </c>
      <c r="AI35" s="263">
        <v>0.53</v>
      </c>
      <c r="AJ35" s="263">
        <f>0.562</f>
        <v>0.56200000000000006</v>
      </c>
      <c r="AK35" s="403">
        <v>0.72499999999999998</v>
      </c>
      <c r="AL35" s="441">
        <f t="shared" si="1"/>
        <v>29.0035587188612</v>
      </c>
      <c r="AM35" s="258" t="s">
        <v>35</v>
      </c>
    </row>
    <row r="36" spans="1:39" ht="12.75" customHeight="1">
      <c r="B36" s="150" t="s">
        <v>6</v>
      </c>
      <c r="C36" s="242"/>
      <c r="D36" s="242"/>
      <c r="E36" s="219"/>
      <c r="F36" s="219"/>
      <c r="G36" s="219"/>
      <c r="H36" s="219"/>
      <c r="I36" s="219"/>
      <c r="J36" s="219">
        <v>1.5002</v>
      </c>
      <c r="K36" s="219">
        <v>1.5463</v>
      </c>
      <c r="L36" s="219">
        <v>1.5072000000000001</v>
      </c>
      <c r="M36" s="219">
        <v>1.3951</v>
      </c>
      <c r="N36" s="219">
        <v>1.403</v>
      </c>
      <c r="O36" s="219">
        <v>1.403</v>
      </c>
      <c r="P36" s="219">
        <v>1.4358</v>
      </c>
      <c r="Q36" s="219">
        <v>1.4478</v>
      </c>
      <c r="R36" s="219">
        <v>1.4394</v>
      </c>
      <c r="S36" s="82">
        <v>1.4695</v>
      </c>
      <c r="T36" s="219">
        <v>0.78149999999999997</v>
      </c>
      <c r="U36" s="219">
        <v>0.78639999999999999</v>
      </c>
      <c r="V36" s="219">
        <v>0.8226</v>
      </c>
      <c r="W36" s="219">
        <v>0.90310000000000001</v>
      </c>
      <c r="X36" s="219">
        <v>0.93459999999999999</v>
      </c>
      <c r="Y36" s="219">
        <v>0.97819999999999996</v>
      </c>
      <c r="Z36" s="219">
        <v>1.0706</v>
      </c>
      <c r="AA36" s="219">
        <v>1.1303000000000001</v>
      </c>
      <c r="AB36" s="219">
        <v>1.1200000000000001</v>
      </c>
      <c r="AC36" s="219">
        <v>1.1303000000000001</v>
      </c>
      <c r="AD36" s="219">
        <v>1.1533</v>
      </c>
      <c r="AE36" s="219">
        <v>1.1751</v>
      </c>
      <c r="AF36" s="219">
        <v>1.177</v>
      </c>
      <c r="AG36" s="219">
        <v>1.175</v>
      </c>
      <c r="AH36" s="219">
        <v>1.1859999999999999</v>
      </c>
      <c r="AI36" s="219">
        <v>0.79</v>
      </c>
      <c r="AJ36" s="268">
        <f>0.814</f>
        <v>0.81399999999999995</v>
      </c>
      <c r="AK36" s="367">
        <v>0.99</v>
      </c>
      <c r="AL36" s="446">
        <f t="shared" si="1"/>
        <v>21.621621621621628</v>
      </c>
      <c r="AM36" s="150" t="s">
        <v>6</v>
      </c>
    </row>
    <row r="37" spans="1:39" ht="12.75" customHeight="1">
      <c r="A37" s="174"/>
      <c r="B37" s="447" t="s">
        <v>124</v>
      </c>
      <c r="C37" s="448"/>
      <c r="D37" s="448"/>
      <c r="E37" s="263"/>
      <c r="F37" s="263"/>
      <c r="G37" s="263"/>
      <c r="H37" s="263"/>
      <c r="I37" s="263"/>
      <c r="J37" s="263"/>
      <c r="K37" s="263"/>
      <c r="L37" s="263"/>
      <c r="M37" s="263"/>
      <c r="N37" s="263"/>
      <c r="O37" s="263"/>
      <c r="P37" s="263"/>
      <c r="Q37" s="263"/>
      <c r="R37" s="263"/>
      <c r="S37" s="263"/>
      <c r="T37" s="263"/>
      <c r="U37" s="263"/>
      <c r="V37" s="263"/>
      <c r="W37" s="263"/>
      <c r="X37" s="263"/>
      <c r="Y37" s="263"/>
      <c r="Z37" s="263"/>
      <c r="AA37" s="263"/>
      <c r="AB37" s="263"/>
      <c r="AC37" s="263"/>
      <c r="AD37" s="263"/>
      <c r="AE37" s="264">
        <v>0.127188</v>
      </c>
      <c r="AF37" s="264">
        <v>0.125583</v>
      </c>
      <c r="AG37" s="264">
        <v>0.125385</v>
      </c>
      <c r="AH37" s="264">
        <v>0.11826</v>
      </c>
      <c r="AI37" s="263">
        <f>AH37+AH37*[1]bus_coach!AH47/100</f>
        <v>0.11826</v>
      </c>
      <c r="AJ37" s="326">
        <f>AI37+AI37*[1]bus_coach!AL37/100</f>
        <v>0.16173577638177783</v>
      </c>
      <c r="AK37" s="449">
        <v>0.2211944982396114</v>
      </c>
      <c r="AL37" s="450">
        <f t="shared" si="1"/>
        <v>36.762875343969085</v>
      </c>
      <c r="AM37" s="447" t="s">
        <v>124</v>
      </c>
    </row>
    <row r="38" spans="1:39" ht="12.75" customHeight="1">
      <c r="A38" s="174"/>
      <c r="B38" s="79" t="s">
        <v>76</v>
      </c>
      <c r="C38" s="80" t="s">
        <v>38</v>
      </c>
      <c r="D38" s="80" t="s">
        <v>38</v>
      </c>
      <c r="E38" s="268" t="s">
        <v>38</v>
      </c>
      <c r="F38" s="268" t="s">
        <v>38</v>
      </c>
      <c r="G38" s="268" t="s">
        <v>38</v>
      </c>
      <c r="H38" s="268" t="s">
        <v>38</v>
      </c>
      <c r="I38" s="268" t="s">
        <v>38</v>
      </c>
      <c r="J38" s="268" t="s">
        <v>38</v>
      </c>
      <c r="K38" s="268" t="s">
        <v>38</v>
      </c>
      <c r="L38" s="268" t="s">
        <v>38</v>
      </c>
      <c r="M38" s="268" t="s">
        <v>38</v>
      </c>
      <c r="N38" s="268" t="s">
        <v>38</v>
      </c>
      <c r="O38" s="268" t="s">
        <v>38</v>
      </c>
      <c r="P38" s="268" t="s">
        <v>38</v>
      </c>
      <c r="Q38" s="268" t="s">
        <v>38</v>
      </c>
      <c r="R38" s="268" t="s">
        <v>38</v>
      </c>
      <c r="S38" s="268" t="s">
        <v>38</v>
      </c>
      <c r="T38" s="268" t="s">
        <v>38</v>
      </c>
      <c r="U38" s="268" t="s">
        <v>38</v>
      </c>
      <c r="V38" s="268" t="s">
        <v>38</v>
      </c>
      <c r="W38" s="268" t="s">
        <v>38</v>
      </c>
      <c r="X38" s="268" t="s">
        <v>38</v>
      </c>
      <c r="Y38" s="268" t="s">
        <v>38</v>
      </c>
      <c r="Z38" s="268" t="s">
        <v>38</v>
      </c>
      <c r="AA38" s="268" t="s">
        <v>38</v>
      </c>
      <c r="AB38" s="268" t="s">
        <v>38</v>
      </c>
      <c r="AC38" s="268" t="s">
        <v>38</v>
      </c>
      <c r="AD38" s="268" t="s">
        <v>38</v>
      </c>
      <c r="AE38" s="268" t="s">
        <v>38</v>
      </c>
      <c r="AF38" s="268" t="s">
        <v>38</v>
      </c>
      <c r="AG38" s="268" t="s">
        <v>38</v>
      </c>
      <c r="AH38" s="268" t="s">
        <v>38</v>
      </c>
      <c r="AI38" s="268" t="s">
        <v>38</v>
      </c>
      <c r="AJ38" s="268" t="s">
        <v>38</v>
      </c>
      <c r="AK38" s="367" t="s">
        <v>38</v>
      </c>
      <c r="AL38" s="268" t="s">
        <v>38</v>
      </c>
      <c r="AM38" s="79" t="s">
        <v>76</v>
      </c>
    </row>
    <row r="39" spans="1:39" ht="12.75" customHeight="1">
      <c r="B39" s="258" t="s">
        <v>125</v>
      </c>
      <c r="C39" s="92" t="s">
        <v>38</v>
      </c>
      <c r="D39" s="92" t="s">
        <v>38</v>
      </c>
      <c r="E39" s="263" t="s">
        <v>38</v>
      </c>
      <c r="F39" s="263" t="s">
        <v>38</v>
      </c>
      <c r="G39" s="263" t="s">
        <v>38</v>
      </c>
      <c r="H39" s="263" t="s">
        <v>38</v>
      </c>
      <c r="I39" s="263" t="s">
        <v>38</v>
      </c>
      <c r="J39" s="263" t="s">
        <v>38</v>
      </c>
      <c r="K39" s="263" t="s">
        <v>38</v>
      </c>
      <c r="L39" s="263" t="s">
        <v>38</v>
      </c>
      <c r="M39" s="263" t="s">
        <v>38</v>
      </c>
      <c r="N39" s="263" t="s">
        <v>38</v>
      </c>
      <c r="O39" s="263" t="s">
        <v>38</v>
      </c>
      <c r="P39" s="263" t="s">
        <v>38</v>
      </c>
      <c r="Q39" s="263" t="s">
        <v>38</v>
      </c>
      <c r="R39" s="263" t="s">
        <v>38</v>
      </c>
      <c r="S39" s="263" t="s">
        <v>38</v>
      </c>
      <c r="T39" s="263" t="s">
        <v>38</v>
      </c>
      <c r="U39" s="263" t="s">
        <v>38</v>
      </c>
      <c r="V39" s="263" t="s">
        <v>38</v>
      </c>
      <c r="W39" s="263" t="s">
        <v>38</v>
      </c>
      <c r="X39" s="263" t="s">
        <v>38</v>
      </c>
      <c r="Y39" s="263" t="s">
        <v>38</v>
      </c>
      <c r="Z39" s="263" t="s">
        <v>38</v>
      </c>
      <c r="AA39" s="263" t="s">
        <v>38</v>
      </c>
      <c r="AB39" s="263" t="s">
        <v>38</v>
      </c>
      <c r="AC39" s="263" t="s">
        <v>38</v>
      </c>
      <c r="AD39" s="263" t="s">
        <v>38</v>
      </c>
      <c r="AE39" s="263" t="s">
        <v>38</v>
      </c>
      <c r="AF39" s="263" t="s">
        <v>38</v>
      </c>
      <c r="AG39" s="263" t="s">
        <v>38</v>
      </c>
      <c r="AH39" s="263" t="s">
        <v>38</v>
      </c>
      <c r="AI39" s="263" t="s">
        <v>38</v>
      </c>
      <c r="AJ39" s="263" t="s">
        <v>38</v>
      </c>
      <c r="AK39" s="403" t="s">
        <v>38</v>
      </c>
      <c r="AL39" s="263" t="s">
        <v>38</v>
      </c>
      <c r="AM39" s="258" t="s">
        <v>125</v>
      </c>
    </row>
    <row r="40" spans="1:39" ht="12.75" customHeight="1">
      <c r="B40" s="79" t="s">
        <v>3</v>
      </c>
      <c r="C40" s="80" t="s">
        <v>38</v>
      </c>
      <c r="D40" s="80" t="s">
        <v>38</v>
      </c>
      <c r="E40" s="268" t="s">
        <v>38</v>
      </c>
      <c r="F40" s="268" t="s">
        <v>38</v>
      </c>
      <c r="G40" s="268" t="s">
        <v>38</v>
      </c>
      <c r="H40" s="267" t="s">
        <v>38</v>
      </c>
      <c r="I40" s="267" t="s">
        <v>38</v>
      </c>
      <c r="J40" s="267" t="s">
        <v>38</v>
      </c>
      <c r="K40" s="267" t="s">
        <v>38</v>
      </c>
      <c r="L40" s="267" t="s">
        <v>38</v>
      </c>
      <c r="M40" s="267" t="s">
        <v>38</v>
      </c>
      <c r="N40" s="267" t="s">
        <v>38</v>
      </c>
      <c r="O40" s="267" t="s">
        <v>38</v>
      </c>
      <c r="P40" s="267" t="s">
        <v>38</v>
      </c>
      <c r="Q40" s="267" t="s">
        <v>38</v>
      </c>
      <c r="R40" s="267" t="s">
        <v>38</v>
      </c>
      <c r="S40" s="267" t="s">
        <v>38</v>
      </c>
      <c r="T40" s="267" t="s">
        <v>38</v>
      </c>
      <c r="U40" s="267" t="s">
        <v>38</v>
      </c>
      <c r="V40" s="267" t="s">
        <v>38</v>
      </c>
      <c r="W40" s="267" t="s">
        <v>38</v>
      </c>
      <c r="X40" s="267" t="s">
        <v>38</v>
      </c>
      <c r="Y40" s="267" t="s">
        <v>38</v>
      </c>
      <c r="Z40" s="267" t="s">
        <v>38</v>
      </c>
      <c r="AA40" s="267" t="s">
        <v>38</v>
      </c>
      <c r="AB40" s="267" t="s">
        <v>38</v>
      </c>
      <c r="AC40" s="267" t="s">
        <v>38</v>
      </c>
      <c r="AD40" s="267" t="s">
        <v>38</v>
      </c>
      <c r="AE40" s="267" t="s">
        <v>38</v>
      </c>
      <c r="AF40" s="267" t="s">
        <v>38</v>
      </c>
      <c r="AG40" s="267" t="s">
        <v>38</v>
      </c>
      <c r="AH40" s="267" t="s">
        <v>38</v>
      </c>
      <c r="AI40" s="267" t="s">
        <v>38</v>
      </c>
      <c r="AJ40" s="267" t="s">
        <v>38</v>
      </c>
      <c r="AK40" s="252" t="s">
        <v>38</v>
      </c>
      <c r="AL40" s="267" t="s">
        <v>38</v>
      </c>
      <c r="AM40" s="79" t="s">
        <v>3</v>
      </c>
    </row>
    <row r="41" spans="1:39" ht="12.75" customHeight="1">
      <c r="B41" s="258" t="s">
        <v>82</v>
      </c>
      <c r="C41" s="92" t="s">
        <v>38</v>
      </c>
      <c r="D41" s="92" t="s">
        <v>38</v>
      </c>
      <c r="E41" s="263" t="s">
        <v>38</v>
      </c>
      <c r="F41" s="263" t="s">
        <v>38</v>
      </c>
      <c r="G41" s="263" t="s">
        <v>38</v>
      </c>
      <c r="H41" s="263" t="s">
        <v>38</v>
      </c>
      <c r="I41" s="263" t="s">
        <v>38</v>
      </c>
      <c r="J41" s="263" t="s">
        <v>38</v>
      </c>
      <c r="K41" s="263" t="s">
        <v>38</v>
      </c>
      <c r="L41" s="263" t="s">
        <v>38</v>
      </c>
      <c r="M41" s="263" t="s">
        <v>38</v>
      </c>
      <c r="N41" s="263" t="s">
        <v>38</v>
      </c>
      <c r="O41" s="263" t="s">
        <v>38</v>
      </c>
      <c r="P41" s="263" t="s">
        <v>38</v>
      </c>
      <c r="Q41" s="263" t="s">
        <v>38</v>
      </c>
      <c r="R41" s="263" t="s">
        <v>38</v>
      </c>
      <c r="S41" s="263" t="s">
        <v>38</v>
      </c>
      <c r="T41" s="263" t="s">
        <v>38</v>
      </c>
      <c r="U41" s="263" t="s">
        <v>38</v>
      </c>
      <c r="V41" s="263" t="s">
        <v>38</v>
      </c>
      <c r="W41" s="263" t="s">
        <v>38</v>
      </c>
      <c r="X41" s="263" t="s">
        <v>38</v>
      </c>
      <c r="Y41" s="263" t="s">
        <v>38</v>
      </c>
      <c r="Z41" s="263" t="s">
        <v>38</v>
      </c>
      <c r="AA41" s="263" t="s">
        <v>38</v>
      </c>
      <c r="AB41" s="263" t="s">
        <v>38</v>
      </c>
      <c r="AC41" s="263" t="s">
        <v>38</v>
      </c>
      <c r="AD41" s="263" t="s">
        <v>38</v>
      </c>
      <c r="AE41" s="263" t="s">
        <v>38</v>
      </c>
      <c r="AF41" s="263" t="s">
        <v>38</v>
      </c>
      <c r="AG41" s="263" t="s">
        <v>38</v>
      </c>
      <c r="AH41" s="263" t="s">
        <v>38</v>
      </c>
      <c r="AI41" s="263" t="s">
        <v>38</v>
      </c>
      <c r="AJ41" s="263" t="s">
        <v>38</v>
      </c>
      <c r="AK41" s="403" t="s">
        <v>38</v>
      </c>
      <c r="AL41" s="263" t="s">
        <v>38</v>
      </c>
      <c r="AM41" s="258" t="s">
        <v>82</v>
      </c>
    </row>
    <row r="42" spans="1:39" ht="12.75" customHeight="1">
      <c r="B42" s="79" t="s">
        <v>77</v>
      </c>
      <c r="C42" s="80"/>
      <c r="D42" s="80"/>
      <c r="E42" s="268"/>
      <c r="F42" s="268"/>
      <c r="G42" s="268"/>
      <c r="H42" s="268"/>
      <c r="I42" s="268"/>
      <c r="J42" s="268"/>
      <c r="K42" s="268"/>
      <c r="L42" s="268"/>
      <c r="M42" s="268"/>
      <c r="N42" s="268"/>
      <c r="O42" s="268"/>
      <c r="P42" s="268"/>
      <c r="Q42" s="268"/>
      <c r="R42" s="268"/>
      <c r="S42" s="268"/>
      <c r="T42" s="268"/>
      <c r="U42" s="268"/>
      <c r="V42" s="268"/>
      <c r="W42" s="267"/>
      <c r="X42" s="267"/>
      <c r="Y42" s="267">
        <v>0.43019567558770144</v>
      </c>
      <c r="Z42" s="267">
        <v>0.43539520546182431</v>
      </c>
      <c r="AA42" s="267">
        <v>0.45043191350042133</v>
      </c>
      <c r="AB42" s="267">
        <v>0.46382932349263195</v>
      </c>
      <c r="AC42" s="267">
        <v>0.46490978492133023</v>
      </c>
      <c r="AD42" s="267">
        <v>0.42586941274663298</v>
      </c>
      <c r="AE42" s="267">
        <v>0.48753510761497898</v>
      </c>
      <c r="AF42" s="267">
        <v>0.63100000000000001</v>
      </c>
      <c r="AG42" s="267">
        <v>0.64700000000000002</v>
      </c>
      <c r="AH42" s="267">
        <v>0.64300000000000002</v>
      </c>
      <c r="AI42" s="267">
        <v>0.55400000000000005</v>
      </c>
      <c r="AJ42" s="267">
        <f>AI42+AI42*[1]bus_coach!AL42/100</f>
        <v>0.71868600111544911</v>
      </c>
      <c r="AK42" s="252">
        <v>0.93232774043197708</v>
      </c>
      <c r="AL42" s="442">
        <f t="shared" si="1"/>
        <v>29.726715002788637</v>
      </c>
      <c r="AM42" s="79" t="s">
        <v>77</v>
      </c>
    </row>
    <row r="43" spans="1:39" ht="12.75" customHeight="1">
      <c r="B43" s="258" t="s">
        <v>19</v>
      </c>
      <c r="C43" s="92"/>
      <c r="D43" s="92"/>
      <c r="E43" s="263"/>
      <c r="F43" s="263"/>
      <c r="G43" s="263"/>
      <c r="H43" s="263"/>
      <c r="I43" s="263"/>
      <c r="J43" s="263"/>
      <c r="K43" s="263"/>
      <c r="L43" s="263"/>
      <c r="M43" s="263"/>
      <c r="N43" s="263"/>
      <c r="O43" s="263"/>
      <c r="P43" s="263"/>
      <c r="Q43" s="263"/>
      <c r="R43" s="263"/>
      <c r="S43" s="263"/>
      <c r="T43" s="263"/>
      <c r="U43" s="263"/>
      <c r="V43" s="263"/>
      <c r="W43" s="263"/>
      <c r="X43" s="263"/>
      <c r="Y43" s="263"/>
      <c r="Z43" s="263"/>
      <c r="AA43" s="263"/>
      <c r="AB43" s="263"/>
      <c r="AC43" s="263"/>
      <c r="AD43" s="263"/>
      <c r="AE43" s="263"/>
      <c r="AF43" s="263"/>
      <c r="AG43" s="263"/>
      <c r="AH43" s="263"/>
      <c r="AI43" s="263"/>
      <c r="AJ43" s="263"/>
      <c r="AK43" s="403"/>
      <c r="AL43" s="441"/>
      <c r="AM43" s="258" t="s">
        <v>19</v>
      </c>
    </row>
    <row r="44" spans="1:39" ht="12.75" customHeight="1">
      <c r="B44" s="79" t="s">
        <v>126</v>
      </c>
      <c r="C44" s="80"/>
      <c r="D44" s="80"/>
      <c r="E44" s="268"/>
      <c r="F44" s="268"/>
      <c r="G44" s="268"/>
      <c r="H44" s="268"/>
      <c r="I44" s="268"/>
      <c r="J44" s="268"/>
      <c r="K44" s="268"/>
      <c r="L44" s="268"/>
      <c r="M44" s="268"/>
      <c r="N44" s="268"/>
      <c r="O44" s="268"/>
      <c r="P44" s="268"/>
      <c r="Q44" s="268"/>
      <c r="R44" s="268"/>
      <c r="S44" s="268"/>
      <c r="T44" s="268"/>
      <c r="U44" s="268"/>
      <c r="V44" s="268"/>
      <c r="W44" s="268"/>
      <c r="X44" s="268"/>
      <c r="Y44" s="268">
        <v>9.7610460000000003</v>
      </c>
      <c r="Z44" s="268">
        <v>10.357121999999999</v>
      </c>
      <c r="AA44" s="268">
        <v>10.369558000000001</v>
      </c>
      <c r="AB44" s="268">
        <v>10.059136000000001</v>
      </c>
      <c r="AC44" s="268">
        <v>9.8542880000000004</v>
      </c>
      <c r="AD44" s="268">
        <v>9.604906999999999</v>
      </c>
      <c r="AE44" s="268">
        <v>9.3453790000000012</v>
      </c>
      <c r="AF44" s="268">
        <v>9.4308119999999995</v>
      </c>
      <c r="AG44" s="268">
        <v>9.4788560000000004</v>
      </c>
      <c r="AH44" s="268">
        <v>9.2069989999999997</v>
      </c>
      <c r="AI44" s="267">
        <f>AH44+AH44*[1]bus_coach!AH48/100</f>
        <v>9.2069989999999997</v>
      </c>
      <c r="AJ44" s="219">
        <f>AI44+AI44*[1]bus_coach!AL44/100</f>
        <v>9.2069989999999997</v>
      </c>
      <c r="AK44" s="451"/>
      <c r="AL44" s="446"/>
      <c r="AM44" s="150" t="s">
        <v>126</v>
      </c>
    </row>
    <row r="45" spans="1:39" ht="12.75" customHeight="1">
      <c r="B45" s="353" t="s">
        <v>23</v>
      </c>
      <c r="C45" s="405">
        <v>5.2</v>
      </c>
      <c r="D45" s="405">
        <v>4.3</v>
      </c>
      <c r="E45" s="406">
        <v>6.5</v>
      </c>
      <c r="F45" s="406">
        <v>6.24</v>
      </c>
      <c r="G45" s="406">
        <v>6.15</v>
      </c>
      <c r="H45" s="406">
        <v>6.24</v>
      </c>
      <c r="I45" s="406">
        <v>6.5069999999999997</v>
      </c>
      <c r="J45" s="406">
        <v>6.8109999999999999</v>
      </c>
      <c r="K45" s="406">
        <v>6.6479999999999997</v>
      </c>
      <c r="L45" s="406">
        <v>6.9980000000000002</v>
      </c>
      <c r="M45" s="406">
        <f>6.716+0.632</f>
        <v>7.3479999999999999</v>
      </c>
      <c r="N45" s="406">
        <f>7.171+0.714</f>
        <v>7.8849999999999998</v>
      </c>
      <c r="O45" s="406">
        <f>7.47+0.869</f>
        <v>8.3390000000000004</v>
      </c>
      <c r="P45" s="406">
        <f>7.451+0.895</f>
        <v>8.3460000000000001</v>
      </c>
      <c r="Q45" s="406">
        <f>7.367+0.961</f>
        <v>8.3279999999999994</v>
      </c>
      <c r="R45" s="406">
        <f>7.34+0.96</f>
        <v>8.3000000000000007</v>
      </c>
      <c r="S45" s="406">
        <f>7.606+1.079</f>
        <v>8.6850000000000005</v>
      </c>
      <c r="T45" s="406">
        <f>7.586+1.1</f>
        <v>8.6859999999999999</v>
      </c>
      <c r="U45" s="406">
        <f>7.947+1.177</f>
        <v>9.1240000000000006</v>
      </c>
      <c r="V45" s="406">
        <f>8.352+1.1244</f>
        <v>9.4763999999999999</v>
      </c>
      <c r="W45" s="406">
        <f>8.646+1.251</f>
        <v>9.8970000000000002</v>
      </c>
      <c r="X45" s="406">
        <f>8.457+1.271</f>
        <v>9.7280000000000015</v>
      </c>
      <c r="Y45" s="406">
        <f>8.875+1.31</f>
        <v>10.185</v>
      </c>
      <c r="Z45" s="406">
        <f>9.519+0.8249*1.60934+0.0412</f>
        <v>10.887744566</v>
      </c>
      <c r="AA45" s="406">
        <f>10.099+0.0402+0.8822*1.609</f>
        <v>11.558659800000001</v>
      </c>
      <c r="AB45" s="452">
        <f>10.422+0.0406+1.4845</f>
        <v>11.947100000000001</v>
      </c>
      <c r="AC45" s="452">
        <f>10.847+0.0414+1.6047+0.009</f>
        <v>12.502099999999999</v>
      </c>
      <c r="AD45" s="452">
        <v>13.258800000000001</v>
      </c>
      <c r="AE45" s="452">
        <v>13.7242</v>
      </c>
      <c r="AF45" s="452">
        <v>14.4969</v>
      </c>
      <c r="AG45" s="452">
        <v>14.118799999999998</v>
      </c>
      <c r="AH45" s="452">
        <v>13.6631</v>
      </c>
      <c r="AI45" s="452">
        <v>3.2084999999999999</v>
      </c>
      <c r="AJ45" s="452">
        <v>7.8865569052927693</v>
      </c>
      <c r="AK45" s="453">
        <v>10.614639466508711</v>
      </c>
      <c r="AL45" s="454">
        <f t="shared" si="1"/>
        <v>34.59155362697112</v>
      </c>
      <c r="AM45" s="353" t="s">
        <v>23</v>
      </c>
    </row>
    <row r="46" spans="1:39" ht="12.75" customHeight="1">
      <c r="B46" s="592" t="s">
        <v>95</v>
      </c>
      <c r="C46" s="592"/>
      <c r="D46" s="592"/>
      <c r="E46" s="592"/>
      <c r="F46" s="592"/>
      <c r="G46" s="592"/>
      <c r="H46" s="592"/>
      <c r="I46" s="592"/>
      <c r="J46" s="592"/>
      <c r="K46" s="592"/>
      <c r="L46" s="592"/>
      <c r="M46" s="592"/>
      <c r="N46" s="592"/>
      <c r="O46" s="592"/>
      <c r="P46" s="592"/>
      <c r="Q46" s="592"/>
      <c r="R46" s="592"/>
      <c r="S46" s="592"/>
      <c r="T46" s="592"/>
      <c r="U46" s="592"/>
      <c r="V46" s="592"/>
      <c r="W46" s="592"/>
      <c r="X46" s="592"/>
      <c r="Y46" s="592"/>
      <c r="Z46" s="592"/>
      <c r="AA46" s="592"/>
      <c r="AB46" s="592"/>
      <c r="AC46" s="592"/>
      <c r="AD46" s="592"/>
      <c r="AE46" s="592"/>
      <c r="AF46" s="592"/>
      <c r="AG46" s="592"/>
      <c r="AH46" s="592"/>
      <c r="AI46" s="592"/>
      <c r="AJ46" s="592"/>
      <c r="AK46" s="592"/>
      <c r="AL46" s="592"/>
    </row>
    <row r="47" spans="1:39" ht="17.25" customHeight="1">
      <c r="B47" s="75" t="s">
        <v>111</v>
      </c>
      <c r="P47" s="255"/>
      <c r="R47" s="455"/>
    </row>
    <row r="48" spans="1:39" ht="12.75" customHeight="1">
      <c r="B48" s="73" t="s">
        <v>146</v>
      </c>
      <c r="C48" s="73"/>
      <c r="D48" s="73"/>
      <c r="E48" s="73"/>
      <c r="F48" s="73"/>
      <c r="G48" s="73"/>
      <c r="H48" s="73"/>
      <c r="I48" s="73"/>
      <c r="J48" s="73"/>
      <c r="K48" s="73"/>
      <c r="L48" s="73"/>
      <c r="O48" s="73"/>
      <c r="P48" s="73"/>
      <c r="Q48" s="73"/>
      <c r="R48" s="73"/>
      <c r="S48" s="456"/>
      <c r="T48" s="456"/>
      <c r="U48" s="456"/>
      <c r="V48" s="456"/>
      <c r="W48" s="456"/>
      <c r="X48" s="456"/>
      <c r="Y48" s="456"/>
      <c r="Z48" s="456"/>
      <c r="AA48" s="456"/>
      <c r="AB48" s="456"/>
      <c r="AC48" s="456"/>
      <c r="AD48" s="456"/>
      <c r="AE48" s="456"/>
      <c r="AF48" s="456"/>
      <c r="AG48" s="72"/>
      <c r="AL48" s="70"/>
    </row>
    <row r="49" spans="1:39" ht="12.75" customHeight="1">
      <c r="B49" s="73" t="s">
        <v>114</v>
      </c>
      <c r="C49" s="73"/>
      <c r="D49" s="73"/>
      <c r="E49" s="73"/>
      <c r="F49" s="73"/>
      <c r="G49" s="73"/>
      <c r="H49" s="73"/>
      <c r="I49" s="73"/>
      <c r="J49" s="73"/>
      <c r="K49" s="73"/>
      <c r="L49" s="73"/>
      <c r="O49" s="73"/>
      <c r="P49" s="73"/>
      <c r="Q49" s="73"/>
      <c r="R49" s="73"/>
      <c r="S49" s="456"/>
      <c r="T49" s="456"/>
      <c r="U49" s="456"/>
      <c r="V49" s="456"/>
      <c r="W49" s="456"/>
      <c r="X49" s="456"/>
      <c r="Y49" s="456"/>
      <c r="Z49" s="456"/>
      <c r="AA49" s="456"/>
      <c r="AB49" s="456"/>
      <c r="AC49" s="456"/>
      <c r="AD49" s="456"/>
      <c r="AE49" s="456"/>
      <c r="AF49" s="456"/>
      <c r="AG49" s="72"/>
      <c r="AH49" s="72"/>
      <c r="AI49" s="72"/>
      <c r="AJ49" s="72"/>
      <c r="AK49" s="72"/>
      <c r="AL49" s="457"/>
    </row>
    <row r="50" spans="1:39" ht="12.75" customHeight="1">
      <c r="B50" s="72" t="s">
        <v>130</v>
      </c>
      <c r="O50" s="112"/>
      <c r="P50" s="112"/>
      <c r="Q50" s="112"/>
      <c r="R50" s="112"/>
      <c r="S50" s="112"/>
      <c r="T50" s="140"/>
      <c r="U50" s="140"/>
      <c r="V50" s="140"/>
      <c r="W50" s="140"/>
      <c r="X50" s="140"/>
      <c r="Y50" s="140"/>
      <c r="Z50" s="140"/>
      <c r="AA50" s="140"/>
      <c r="AB50" s="140"/>
      <c r="AC50" s="140"/>
      <c r="AD50" s="456"/>
      <c r="AE50" s="456"/>
      <c r="AF50" s="456"/>
      <c r="AG50" s="72"/>
      <c r="AH50" s="72"/>
      <c r="AI50" s="72"/>
      <c r="AJ50" s="72"/>
      <c r="AK50" s="72"/>
      <c r="AL50" s="169"/>
    </row>
    <row r="51" spans="1:39" ht="12.75" customHeight="1">
      <c r="B51" s="72" t="s">
        <v>86</v>
      </c>
      <c r="C51" s="73"/>
      <c r="D51" s="73"/>
      <c r="E51" s="73"/>
      <c r="F51" s="73"/>
      <c r="G51" s="73"/>
      <c r="H51" s="73"/>
      <c r="I51" s="73"/>
      <c r="J51" s="69"/>
      <c r="K51" s="69"/>
      <c r="L51" s="69"/>
      <c r="M51" s="69"/>
      <c r="N51" s="69"/>
      <c r="O51" s="69"/>
      <c r="P51" s="73"/>
      <c r="Q51" s="73"/>
      <c r="R51" s="73"/>
      <c r="S51" s="369"/>
      <c r="T51" s="369"/>
      <c r="U51" s="369"/>
      <c r="V51" s="369"/>
      <c r="W51" s="369"/>
      <c r="X51" s="369"/>
      <c r="Y51" s="369"/>
      <c r="Z51" s="369"/>
      <c r="AA51" s="458"/>
      <c r="AB51" s="369"/>
      <c r="AC51" s="369"/>
      <c r="AD51" s="369"/>
      <c r="AE51" s="369"/>
      <c r="AF51" s="369"/>
      <c r="AG51" s="72"/>
      <c r="AH51" s="72"/>
      <c r="AI51" s="72"/>
      <c r="AJ51" s="72"/>
      <c r="AK51" s="72"/>
      <c r="AL51" s="458"/>
    </row>
    <row r="52" spans="1:39" ht="12.75" customHeight="1">
      <c r="A52" s="70"/>
      <c r="B52" s="73" t="s">
        <v>85</v>
      </c>
      <c r="V52" s="369"/>
      <c r="W52" s="369"/>
      <c r="X52" s="369"/>
      <c r="Y52" s="369"/>
      <c r="Z52" s="369"/>
      <c r="AA52" s="458"/>
      <c r="AB52" s="369"/>
      <c r="AC52" s="369"/>
      <c r="AD52" s="369"/>
      <c r="AE52" s="369"/>
      <c r="AF52" s="369"/>
      <c r="AG52" s="72"/>
      <c r="AH52" s="72"/>
      <c r="AI52" s="72"/>
      <c r="AJ52" s="72"/>
      <c r="AK52" s="72"/>
      <c r="AL52" s="458"/>
      <c r="AM52" s="458"/>
    </row>
    <row r="53" spans="1:39">
      <c r="A53" s="70"/>
      <c r="B53" s="84" t="s">
        <v>88</v>
      </c>
      <c r="V53" s="369"/>
      <c r="W53" s="369"/>
      <c r="X53" s="369"/>
      <c r="Y53" s="369"/>
      <c r="Z53" s="369"/>
      <c r="AA53" s="458"/>
      <c r="AB53" s="369"/>
      <c r="AC53" s="369"/>
      <c r="AD53" s="369"/>
      <c r="AE53" s="369"/>
      <c r="AF53" s="369"/>
      <c r="AG53" s="72"/>
      <c r="AH53" s="72"/>
      <c r="AI53" s="72"/>
      <c r="AJ53" s="72"/>
      <c r="AK53" s="72"/>
      <c r="AL53" s="458"/>
    </row>
    <row r="54" spans="1:39">
      <c r="A54" s="70"/>
      <c r="B54" s="84" t="s">
        <v>90</v>
      </c>
      <c r="V54" s="369"/>
      <c r="W54" s="369"/>
      <c r="X54" s="369"/>
      <c r="Y54" s="369"/>
      <c r="Z54" s="369"/>
    </row>
    <row r="59" spans="1:39" ht="15.75">
      <c r="Q59" s="459"/>
      <c r="R59" s="459"/>
      <c r="S59" s="459"/>
      <c r="T59" s="459"/>
      <c r="U59" s="459"/>
      <c r="V59" s="459"/>
      <c r="W59" s="459"/>
      <c r="X59" s="459"/>
      <c r="Y59" s="459"/>
      <c r="Z59" s="459"/>
      <c r="AA59" s="459"/>
      <c r="AB59" s="459"/>
      <c r="AC59" s="459"/>
      <c r="AD59" s="459"/>
      <c r="AE59" s="459"/>
      <c r="AF59" s="459"/>
      <c r="AG59" s="459"/>
      <c r="AH59" s="459"/>
      <c r="AI59" s="459"/>
      <c r="AJ59" s="459"/>
      <c r="AK59" s="459"/>
      <c r="AL59" s="459"/>
    </row>
    <row r="73" spans="4:32">
      <c r="AB73" s="369"/>
      <c r="AC73" s="369"/>
      <c r="AD73" s="369"/>
      <c r="AE73" s="369"/>
      <c r="AF73" s="369"/>
    </row>
    <row r="75" spans="4:32">
      <c r="Y75" s="133"/>
      <c r="Z75" s="133"/>
      <c r="AA75" s="133"/>
      <c r="AB75" s="133"/>
      <c r="AC75" s="133"/>
      <c r="AD75" s="133"/>
      <c r="AE75" s="133"/>
      <c r="AF75" s="133"/>
    </row>
    <row r="76" spans="4:32">
      <c r="D76" s="355"/>
      <c r="E76" s="355"/>
      <c r="F76" s="355"/>
      <c r="G76" s="355"/>
      <c r="H76" s="355"/>
      <c r="I76" s="355"/>
      <c r="Y76" s="133"/>
      <c r="Z76" s="133"/>
      <c r="AA76" s="133"/>
      <c r="AB76" s="133"/>
      <c r="AC76" s="133"/>
      <c r="AD76" s="133"/>
      <c r="AE76" s="133"/>
      <c r="AF76" s="133"/>
    </row>
    <row r="77" spans="4:32">
      <c r="D77" s="355"/>
      <c r="E77" s="355"/>
      <c r="F77" s="355"/>
      <c r="G77" s="355"/>
      <c r="H77" s="355"/>
      <c r="I77" s="355"/>
      <c r="Y77" s="133"/>
      <c r="Z77" s="133"/>
      <c r="AA77" s="133"/>
      <c r="AB77" s="133"/>
      <c r="AC77" s="133"/>
      <c r="AD77" s="133"/>
      <c r="AE77" s="133"/>
      <c r="AF77" s="133"/>
    </row>
    <row r="78" spans="4:32">
      <c r="D78" s="355"/>
      <c r="E78" s="355"/>
      <c r="F78" s="355"/>
      <c r="G78" s="355"/>
      <c r="H78" s="355"/>
      <c r="I78" s="355"/>
      <c r="Y78" s="133"/>
      <c r="Z78" s="133"/>
      <c r="AA78" s="133"/>
      <c r="AB78" s="133"/>
      <c r="AC78" s="133"/>
      <c r="AD78" s="133"/>
      <c r="AE78" s="133"/>
      <c r="AF78" s="133"/>
    </row>
    <row r="79" spans="4:32">
      <c r="D79" s="355"/>
      <c r="E79" s="355"/>
      <c r="F79" s="355"/>
      <c r="G79" s="355"/>
      <c r="H79" s="355"/>
      <c r="I79" s="355"/>
      <c r="Y79" s="133"/>
      <c r="Z79" s="133"/>
      <c r="AA79" s="133"/>
      <c r="AB79" s="133"/>
      <c r="AC79" s="133"/>
      <c r="AD79" s="133"/>
      <c r="AE79" s="133"/>
      <c r="AF79" s="133"/>
    </row>
    <row r="80" spans="4:32">
      <c r="D80" s="355"/>
      <c r="E80" s="355"/>
      <c r="F80" s="355"/>
      <c r="G80" s="355"/>
      <c r="H80" s="355"/>
      <c r="I80" s="355"/>
      <c r="Y80" s="133"/>
      <c r="Z80" s="133"/>
      <c r="AA80" s="133"/>
      <c r="AB80" s="133"/>
      <c r="AC80" s="133"/>
      <c r="AD80" s="133"/>
      <c r="AE80" s="133"/>
      <c r="AF80" s="133"/>
    </row>
    <row r="81" spans="4:32">
      <c r="D81" s="355"/>
      <c r="E81" s="355"/>
      <c r="F81" s="355"/>
      <c r="G81" s="355"/>
      <c r="H81" s="355"/>
      <c r="I81" s="355"/>
      <c r="Y81" s="133"/>
      <c r="Z81" s="133"/>
      <c r="AA81" s="133"/>
      <c r="AB81" s="133"/>
      <c r="AC81" s="133"/>
      <c r="AD81" s="133"/>
      <c r="AE81" s="133"/>
      <c r="AF81" s="133"/>
    </row>
    <row r="82" spans="4:32">
      <c r="D82" s="355"/>
      <c r="E82" s="355"/>
      <c r="F82" s="355"/>
      <c r="G82" s="355"/>
      <c r="H82" s="355"/>
      <c r="I82" s="355"/>
      <c r="Y82" s="133"/>
      <c r="Z82" s="133"/>
      <c r="AA82" s="133"/>
      <c r="AB82" s="133"/>
      <c r="AC82" s="133"/>
      <c r="AD82" s="133"/>
      <c r="AE82" s="133"/>
      <c r="AF82" s="133"/>
    </row>
    <row r="83" spans="4:32">
      <c r="Y83" s="133"/>
      <c r="Z83" s="133"/>
      <c r="AA83" s="133"/>
      <c r="AB83" s="133"/>
      <c r="AC83" s="133"/>
      <c r="AD83" s="133"/>
      <c r="AE83" s="133"/>
      <c r="AF83" s="133"/>
    </row>
    <row r="84" spans="4:32">
      <c r="Y84" s="133"/>
      <c r="Z84" s="133"/>
      <c r="AA84" s="133"/>
      <c r="AB84" s="133"/>
      <c r="AC84" s="133"/>
      <c r="AD84" s="133"/>
      <c r="AE84" s="133"/>
    </row>
    <row r="85" spans="4:32">
      <c r="Y85" s="133"/>
      <c r="Z85" s="133"/>
      <c r="AA85" s="133"/>
      <c r="AB85" s="133"/>
      <c r="AC85" s="133"/>
      <c r="AD85" s="133"/>
      <c r="AE85" s="133"/>
    </row>
    <row r="86" spans="4:32">
      <c r="D86" s="133"/>
      <c r="E86" s="133"/>
      <c r="F86" s="133"/>
      <c r="G86" s="133"/>
      <c r="H86" s="133"/>
      <c r="I86" s="133"/>
      <c r="J86" s="133"/>
      <c r="K86" s="133"/>
      <c r="L86" s="133"/>
      <c r="M86" s="133"/>
      <c r="N86" s="133"/>
      <c r="O86" s="133"/>
      <c r="P86" s="133"/>
      <c r="Y86" s="133"/>
      <c r="Z86" s="133"/>
      <c r="AA86" s="133"/>
      <c r="AB86" s="133"/>
      <c r="AC86" s="133"/>
      <c r="AD86" s="133"/>
      <c r="AE86" s="133"/>
    </row>
    <row r="87" spans="4:32">
      <c r="Y87" s="133"/>
      <c r="Z87" s="133"/>
      <c r="AA87" s="133"/>
      <c r="AB87" s="133"/>
      <c r="AC87" s="133"/>
      <c r="AD87" s="133"/>
      <c r="AE87" s="133"/>
    </row>
    <row r="88" spans="4:32">
      <c r="Y88" s="133"/>
      <c r="Z88" s="133"/>
      <c r="AA88" s="133"/>
      <c r="AB88" s="133"/>
      <c r="AC88" s="133"/>
      <c r="AD88" s="133"/>
      <c r="AE88" s="133"/>
    </row>
    <row r="89" spans="4:32">
      <c r="Y89" s="133"/>
      <c r="Z89" s="133"/>
      <c r="AA89" s="133"/>
      <c r="AB89" s="133"/>
      <c r="AC89" s="133"/>
      <c r="AD89" s="133"/>
      <c r="AE89" s="133"/>
    </row>
    <row r="93" spans="4:32">
      <c r="W93" s="370"/>
      <c r="X93" s="370"/>
      <c r="Y93" s="370"/>
      <c r="Z93" s="370"/>
      <c r="AA93" s="370"/>
      <c r="AB93" s="370"/>
      <c r="AC93" s="370"/>
      <c r="AD93" s="370"/>
      <c r="AE93" s="370"/>
    </row>
    <row r="94" spans="4:32">
      <c r="W94" s="370"/>
      <c r="X94" s="370"/>
      <c r="Y94" s="370"/>
      <c r="Z94" s="370"/>
      <c r="AA94" s="370"/>
      <c r="AB94" s="370"/>
      <c r="AC94" s="370"/>
      <c r="AD94" s="370"/>
      <c r="AE94" s="370"/>
    </row>
    <row r="95" spans="4:32">
      <c r="W95" s="370"/>
      <c r="X95" s="370"/>
      <c r="Y95" s="370"/>
      <c r="Z95" s="370"/>
      <c r="AA95" s="370"/>
      <c r="AB95" s="370"/>
      <c r="AC95" s="370"/>
      <c r="AD95" s="370"/>
      <c r="AE95" s="370"/>
    </row>
    <row r="96" spans="4:32">
      <c r="W96" s="370"/>
      <c r="X96" s="370"/>
      <c r="Y96" s="370"/>
      <c r="Z96" s="370"/>
      <c r="AA96" s="370"/>
      <c r="AB96" s="370"/>
      <c r="AC96" s="370"/>
      <c r="AD96" s="370"/>
      <c r="AE96" s="370"/>
    </row>
    <row r="97" spans="23:31">
      <c r="W97" s="370"/>
      <c r="X97" s="370"/>
      <c r="Y97" s="370"/>
      <c r="Z97" s="370"/>
      <c r="AA97" s="370"/>
      <c r="AB97" s="370"/>
      <c r="AC97" s="370"/>
      <c r="AD97" s="370"/>
      <c r="AE97" s="370"/>
    </row>
  </sheetData>
  <mergeCells count="2">
    <mergeCell ref="B2:AL2"/>
    <mergeCell ref="B46:AL46"/>
  </mergeCells>
  <hyperlinks>
    <hyperlink ref="AP23" r:id="rId1" display="https://transports.public.lu/fr/contexte/situation-actuelle/chiffres-cles.html, nb of psg *3 km" xr:uid="{8AB197E9-3DB2-459D-8FA0-4BB5C08283A1}"/>
    <hyperlink ref="AO23" r:id="rId2" display="https://transports.public.lu/fr/contexte/situation-actuelle/chiffres-cles.html, nb of psg *3 km" xr:uid="{BD66A71E-2C03-49E4-AC02-639C0DC45846}"/>
  </hyperlinks>
  <pageMargins left="0.7" right="0.7" top="0.75" bottom="0.75" header="0.3" footer="0.3"/>
  <pageSetup paperSize="9" orientation="portrait" verticalDpi="1200"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5"/>
  <dimension ref="A1:AX73"/>
  <sheetViews>
    <sheetView topLeftCell="C1" zoomScaleNormal="100" workbookViewId="0">
      <selection activeCell="B48" sqref="B48:AX48"/>
    </sheetView>
  </sheetViews>
  <sheetFormatPr defaultRowHeight="11.25"/>
  <cols>
    <col min="1" max="1" width="2.7109375" style="70" customWidth="1"/>
    <col min="2" max="2" width="4.7109375" style="70" customWidth="1"/>
    <col min="3" max="20" width="6.7109375" style="70" customWidth="1"/>
    <col min="21" max="24" width="7.28515625" style="70" customWidth="1"/>
    <col min="25" max="25" width="6.28515625" style="70" customWidth="1"/>
    <col min="26" max="35" width="7.28515625" style="70" customWidth="1"/>
    <col min="36" max="37" width="6.28515625" style="70" customWidth="1"/>
    <col min="38" max="47" width="9" style="70" hidden="1" customWidth="1"/>
    <col min="48" max="48" width="7.140625" style="70" customWidth="1"/>
    <col min="49" max="49" width="6" style="176" customWidth="1"/>
    <col min="50" max="50" width="4.85546875" style="70" customWidth="1"/>
    <col min="51" max="16384" width="9.140625" style="70"/>
  </cols>
  <sheetData>
    <row r="1" spans="1:50" ht="14.25" customHeight="1">
      <c r="B1" s="388"/>
      <c r="C1" s="389"/>
      <c r="D1" s="389"/>
      <c r="E1" s="389"/>
      <c r="F1" s="389"/>
      <c r="G1" s="389"/>
      <c r="H1" s="389"/>
      <c r="I1" s="389"/>
      <c r="J1" s="389"/>
      <c r="K1" s="389"/>
      <c r="L1" s="389"/>
      <c r="M1" s="389"/>
      <c r="N1" s="389"/>
      <c r="O1" s="389"/>
      <c r="P1" s="389"/>
      <c r="Q1" s="122"/>
      <c r="U1" s="391"/>
      <c r="V1" s="391"/>
      <c r="W1" s="391"/>
      <c r="X1" s="391"/>
      <c r="Y1" s="391"/>
      <c r="Z1" s="391"/>
      <c r="AA1" s="391"/>
      <c r="AB1" s="391"/>
      <c r="AC1" s="391"/>
      <c r="AD1" s="391"/>
      <c r="AE1" s="391"/>
      <c r="AF1" s="391"/>
      <c r="AG1" s="391"/>
      <c r="AH1" s="391"/>
      <c r="AI1" s="391"/>
      <c r="AJ1" s="391"/>
      <c r="AK1" s="391"/>
      <c r="AL1" s="391"/>
      <c r="AM1" s="391"/>
      <c r="AN1" s="391"/>
      <c r="AO1" s="391"/>
      <c r="AP1" s="391"/>
      <c r="AQ1" s="391"/>
      <c r="AR1" s="391"/>
      <c r="AS1" s="391"/>
      <c r="AT1" s="391"/>
      <c r="AU1" s="391"/>
      <c r="AV1" s="391"/>
      <c r="AX1" s="391" t="s">
        <v>67</v>
      </c>
    </row>
    <row r="2" spans="1:50" s="73" customFormat="1" ht="30" customHeight="1">
      <c r="B2" s="586" t="s">
        <v>42</v>
      </c>
      <c r="C2" s="586"/>
      <c r="D2" s="586"/>
      <c r="E2" s="586"/>
      <c r="F2" s="586"/>
      <c r="G2" s="586"/>
      <c r="H2" s="586"/>
      <c r="I2" s="586"/>
      <c r="J2" s="586"/>
      <c r="K2" s="586"/>
      <c r="L2" s="586"/>
      <c r="M2" s="586"/>
      <c r="N2" s="586"/>
      <c r="O2" s="586"/>
      <c r="P2" s="586"/>
      <c r="Q2" s="586"/>
      <c r="R2" s="586"/>
      <c r="S2" s="586"/>
      <c r="T2" s="586"/>
      <c r="U2" s="586"/>
      <c r="V2" s="586"/>
      <c r="W2" s="586"/>
      <c r="X2" s="586"/>
      <c r="Y2" s="586"/>
      <c r="Z2" s="586"/>
      <c r="AA2" s="586"/>
      <c r="AB2" s="586"/>
      <c r="AC2" s="586"/>
      <c r="AD2" s="586"/>
      <c r="AE2" s="586"/>
      <c r="AF2" s="586"/>
      <c r="AG2" s="586"/>
      <c r="AH2" s="586"/>
      <c r="AI2" s="586"/>
      <c r="AJ2" s="586"/>
      <c r="AK2" s="586"/>
      <c r="AL2" s="586"/>
      <c r="AM2" s="586"/>
      <c r="AN2" s="586"/>
      <c r="AO2" s="586"/>
      <c r="AP2" s="586"/>
      <c r="AQ2" s="586"/>
      <c r="AR2" s="586"/>
      <c r="AS2" s="586"/>
      <c r="AT2" s="586"/>
      <c r="AU2" s="586"/>
      <c r="AV2" s="586"/>
      <c r="AW2" s="586"/>
      <c r="AX2" s="586"/>
    </row>
    <row r="3" spans="1:50" ht="14.25" customHeight="1">
      <c r="C3" s="392"/>
      <c r="D3" s="392"/>
      <c r="E3" s="392"/>
      <c r="F3" s="392"/>
      <c r="G3" s="392"/>
      <c r="H3" s="392"/>
      <c r="I3" s="392"/>
      <c r="J3" s="392"/>
      <c r="K3" s="392"/>
      <c r="L3" s="392"/>
      <c r="M3" s="392"/>
      <c r="N3" s="392"/>
      <c r="O3" s="392"/>
      <c r="P3" s="392"/>
      <c r="Q3" s="392"/>
      <c r="R3" s="392"/>
      <c r="Y3" s="392"/>
      <c r="Z3" s="392"/>
      <c r="AA3" s="392"/>
      <c r="AB3" s="392"/>
      <c r="AF3" s="392"/>
      <c r="AG3" s="477"/>
      <c r="AH3" s="477"/>
      <c r="AI3" s="477"/>
      <c r="AJ3" s="477"/>
      <c r="AK3" s="477" t="s">
        <v>78</v>
      </c>
      <c r="AL3" s="392"/>
      <c r="AM3" s="392"/>
      <c r="AN3" s="392"/>
      <c r="AO3" s="392"/>
      <c r="AP3" s="392"/>
      <c r="AQ3" s="392"/>
      <c r="AR3" s="392"/>
      <c r="AS3" s="392"/>
      <c r="AT3" s="392"/>
      <c r="AU3" s="392"/>
      <c r="AV3" s="392"/>
      <c r="AW3" s="177"/>
      <c r="AX3" s="392"/>
    </row>
    <row r="4" spans="1:50" ht="24.75" customHeight="1">
      <c r="B4" s="256"/>
      <c r="C4" s="235">
        <v>1970</v>
      </c>
      <c r="D4" s="235">
        <v>1980</v>
      </c>
      <c r="E4" s="236">
        <v>1990</v>
      </c>
      <c r="F4" s="236">
        <v>1991</v>
      </c>
      <c r="G4" s="236">
        <v>1992</v>
      </c>
      <c r="H4" s="236">
        <v>1993</v>
      </c>
      <c r="I4" s="236">
        <v>1994</v>
      </c>
      <c r="J4" s="236">
        <v>1995</v>
      </c>
      <c r="K4" s="236">
        <v>1996</v>
      </c>
      <c r="L4" s="236">
        <v>1997</v>
      </c>
      <c r="M4" s="236">
        <v>1998</v>
      </c>
      <c r="N4" s="236">
        <v>1999</v>
      </c>
      <c r="O4" s="236">
        <v>2000</v>
      </c>
      <c r="P4" s="236">
        <v>2001</v>
      </c>
      <c r="Q4" s="236">
        <v>2002</v>
      </c>
      <c r="R4" s="236">
        <v>2003</v>
      </c>
      <c r="S4" s="236">
        <v>2004</v>
      </c>
      <c r="T4" s="236">
        <v>2005</v>
      </c>
      <c r="U4" s="236">
        <v>2006</v>
      </c>
      <c r="V4" s="236">
        <v>2007</v>
      </c>
      <c r="W4" s="236">
        <v>2008</v>
      </c>
      <c r="X4" s="236">
        <v>2009</v>
      </c>
      <c r="Y4" s="236">
        <v>2010</v>
      </c>
      <c r="Z4" s="236">
        <v>2011</v>
      </c>
      <c r="AA4" s="236">
        <v>2012</v>
      </c>
      <c r="AB4" s="236">
        <v>2013</v>
      </c>
      <c r="AC4" s="236">
        <v>2014</v>
      </c>
      <c r="AD4" s="236">
        <v>2015</v>
      </c>
      <c r="AE4" s="236">
        <v>2016</v>
      </c>
      <c r="AF4" s="236">
        <v>2017</v>
      </c>
      <c r="AG4" s="236">
        <v>2018</v>
      </c>
      <c r="AH4" s="236">
        <v>2019</v>
      </c>
      <c r="AI4" s="236">
        <v>2020</v>
      </c>
      <c r="AJ4" s="236">
        <v>2021</v>
      </c>
      <c r="AK4" s="236">
        <v>2022</v>
      </c>
      <c r="AL4" s="594"/>
      <c r="AM4" s="594"/>
      <c r="AN4" s="594"/>
      <c r="AO4" s="594"/>
      <c r="AP4" s="594"/>
      <c r="AQ4" s="594"/>
      <c r="AR4" s="594"/>
      <c r="AS4" s="594"/>
      <c r="AT4" s="594"/>
      <c r="AU4" s="478"/>
      <c r="AV4" s="460" t="s">
        <v>81</v>
      </c>
      <c r="AW4" s="287" t="s">
        <v>138</v>
      </c>
      <c r="AX4" s="285"/>
    </row>
    <row r="5" spans="1:50" ht="13.5" customHeight="1">
      <c r="B5" s="394"/>
      <c r="C5" s="237"/>
      <c r="D5" s="237"/>
      <c r="E5" s="238"/>
      <c r="F5" s="238"/>
      <c r="G5" s="238"/>
      <c r="H5" s="238"/>
      <c r="I5" s="238"/>
      <c r="J5" s="238"/>
      <c r="K5" s="238"/>
      <c r="L5" s="238"/>
      <c r="M5" s="238"/>
      <c r="N5" s="238"/>
      <c r="O5" s="238"/>
      <c r="P5" s="238"/>
      <c r="Q5" s="238"/>
      <c r="R5" s="238"/>
      <c r="S5" s="238"/>
      <c r="T5" s="238"/>
      <c r="U5" s="238"/>
      <c r="V5" s="238"/>
      <c r="W5" s="238"/>
      <c r="X5" s="238"/>
      <c r="Y5" s="238"/>
      <c r="Z5" s="238"/>
      <c r="AA5" s="238"/>
      <c r="AB5" s="238"/>
      <c r="AC5" s="238"/>
      <c r="AD5" s="238"/>
      <c r="AE5" s="238"/>
      <c r="AF5" s="238"/>
      <c r="AG5" s="238"/>
      <c r="AH5" s="238"/>
      <c r="AI5" s="238"/>
      <c r="AJ5" s="238"/>
      <c r="AK5" s="238"/>
      <c r="AL5" s="461">
        <v>2012</v>
      </c>
      <c r="AM5" s="461">
        <v>2013</v>
      </c>
      <c r="AN5" s="462">
        <v>2014</v>
      </c>
      <c r="AO5" s="462">
        <v>2015</v>
      </c>
      <c r="AP5" s="462">
        <v>2016</v>
      </c>
      <c r="AQ5" s="462">
        <v>2017</v>
      </c>
      <c r="AR5" s="462">
        <v>2018</v>
      </c>
      <c r="AS5" s="462">
        <v>2019</v>
      </c>
      <c r="AT5" s="462">
        <v>2020</v>
      </c>
      <c r="AU5" s="135">
        <v>2021</v>
      </c>
      <c r="AV5" s="462">
        <v>2022</v>
      </c>
      <c r="AW5" s="175" t="s">
        <v>37</v>
      </c>
      <c r="AX5" s="285"/>
    </row>
    <row r="6" spans="1:50" ht="12.75" customHeight="1">
      <c r="B6" s="141" t="s">
        <v>94</v>
      </c>
      <c r="C6" s="142">
        <v>289.6509999999999</v>
      </c>
      <c r="D6" s="142">
        <v>330.68900000000008</v>
      </c>
      <c r="E6" s="232">
        <v>362.053</v>
      </c>
      <c r="F6" s="232">
        <f t="shared" ref="F6:W6" si="0">SUM(F7:F33)</f>
        <v>345.55400000000003</v>
      </c>
      <c r="G6" s="232">
        <f t="shared" si="0"/>
        <v>334.85500000000002</v>
      </c>
      <c r="H6" s="232">
        <f t="shared" si="0"/>
        <v>311.09099999999995</v>
      </c>
      <c r="I6" s="232">
        <f t="shared" si="0"/>
        <v>306.49</v>
      </c>
      <c r="J6" s="232">
        <f t="shared" si="0"/>
        <v>312.65000000000009</v>
      </c>
      <c r="K6" s="232">
        <f t="shared" si="0"/>
        <v>315.47100000000012</v>
      </c>
      <c r="L6" s="232">
        <f t="shared" si="0"/>
        <v>313.14999999999992</v>
      </c>
      <c r="M6" s="232">
        <f t="shared" si="0"/>
        <v>311.64800000000008</v>
      </c>
      <c r="N6" s="232">
        <f t="shared" si="0"/>
        <v>316.50700000000001</v>
      </c>
      <c r="O6" s="232">
        <f t="shared" si="0"/>
        <v>338.5492942433919</v>
      </c>
      <c r="P6" s="232">
        <f t="shared" si="0"/>
        <v>339.85423003620963</v>
      </c>
      <c r="Q6" s="232">
        <f t="shared" si="0"/>
        <v>331.87130258876675</v>
      </c>
      <c r="R6" s="232">
        <f t="shared" si="0"/>
        <v>326.78981919138573</v>
      </c>
      <c r="S6" s="232">
        <f t="shared" si="0"/>
        <v>331.96472419578271</v>
      </c>
      <c r="T6" s="232">
        <f t="shared" si="0"/>
        <v>339.86117761653077</v>
      </c>
      <c r="U6" s="232">
        <f t="shared" si="0"/>
        <v>349.36454643728189</v>
      </c>
      <c r="V6" s="232">
        <f t="shared" si="0"/>
        <v>353.306658274612</v>
      </c>
      <c r="W6" s="232">
        <f t="shared" si="0"/>
        <v>366.58763470008745</v>
      </c>
      <c r="X6" s="232">
        <f>SUM(X7:X33)</f>
        <v>359.20293199360975</v>
      </c>
      <c r="Y6" s="232">
        <f t="shared" ref="Y6:AF6" si="1">SUM(Y7:Y33)</f>
        <v>358.18149044346626</v>
      </c>
      <c r="Z6" s="232">
        <f t="shared" si="1"/>
        <v>364.01529480885858</v>
      </c>
      <c r="AA6" s="232">
        <f t="shared" si="1"/>
        <v>367.34201354598179</v>
      </c>
      <c r="AB6" s="232">
        <f t="shared" si="1"/>
        <v>371.81891998741401</v>
      </c>
      <c r="AC6" s="232">
        <f t="shared" si="1"/>
        <v>376.26055450514656</v>
      </c>
      <c r="AD6" s="232">
        <f t="shared" si="1"/>
        <v>381.70938029315397</v>
      </c>
      <c r="AE6" s="232">
        <f t="shared" si="1"/>
        <v>386.5098593638204</v>
      </c>
      <c r="AF6" s="232">
        <f t="shared" si="1"/>
        <v>400.76366037000008</v>
      </c>
      <c r="AG6" s="232">
        <f>SUM(AG7:AG33)</f>
        <v>408.33592323400001</v>
      </c>
      <c r="AH6" s="232">
        <f>SUM(AH7:AH33)</f>
        <v>421.82972433000003</v>
      </c>
      <c r="AI6" s="232">
        <f>SUM(AI7:AI33)</f>
        <v>227.716228075</v>
      </c>
      <c r="AJ6" s="232">
        <f t="shared" ref="AJ6:AK6" si="2">SUM(AJ7:AJ33)</f>
        <v>265.95270534299999</v>
      </c>
      <c r="AK6" s="232">
        <f t="shared" si="2"/>
        <v>402.23847362000009</v>
      </c>
      <c r="AL6" s="233"/>
      <c r="AM6" s="233"/>
      <c r="AN6" s="233"/>
      <c r="AO6" s="233"/>
      <c r="AP6" s="233"/>
      <c r="AQ6" s="233"/>
      <c r="AR6" s="233">
        <v>58.960652550819781</v>
      </c>
      <c r="AS6" s="233">
        <v>59.954833746956183</v>
      </c>
      <c r="AT6" s="233">
        <v>65.816837913296169</v>
      </c>
      <c r="AU6" s="233">
        <v>59.955389489972625</v>
      </c>
      <c r="AV6" s="233">
        <v>60.650567590002723</v>
      </c>
      <c r="AW6" s="166">
        <f>AK6/AJ6*100-100</f>
        <v>51.24436245205024</v>
      </c>
      <c r="AX6" s="141" t="s">
        <v>94</v>
      </c>
    </row>
    <row r="7" spans="1:50" ht="12.75" customHeight="1">
      <c r="A7" s="76"/>
      <c r="B7" s="258" t="s">
        <v>24</v>
      </c>
      <c r="C7" s="91">
        <v>8.26</v>
      </c>
      <c r="D7" s="91">
        <v>6.9630000000000001</v>
      </c>
      <c r="E7" s="263">
        <v>6.5389999999999997</v>
      </c>
      <c r="F7" s="263">
        <v>6.77</v>
      </c>
      <c r="G7" s="263">
        <v>6.798</v>
      </c>
      <c r="H7" s="263">
        <v>6.694</v>
      </c>
      <c r="I7" s="263">
        <v>6.6379999999999999</v>
      </c>
      <c r="J7" s="263">
        <v>6.7569999999999997</v>
      </c>
      <c r="K7" s="263">
        <v>6.7880000000000003</v>
      </c>
      <c r="L7" s="263">
        <v>6.98</v>
      </c>
      <c r="M7" s="263">
        <v>7.0970000000000004</v>
      </c>
      <c r="N7" s="263">
        <v>7.3540000000000001</v>
      </c>
      <c r="O7" s="263">
        <v>7.734</v>
      </c>
      <c r="P7" s="263">
        <v>8.0380000000000003</v>
      </c>
      <c r="Q7" s="263">
        <v>8.26</v>
      </c>
      <c r="R7" s="263">
        <v>8.2650000000000006</v>
      </c>
      <c r="S7" s="263">
        <v>9.2249999999999996</v>
      </c>
      <c r="T7" s="263">
        <v>8.51</v>
      </c>
      <c r="U7" s="263">
        <v>8.9640000000000004</v>
      </c>
      <c r="V7" s="497">
        <v>9.4030000000000005</v>
      </c>
      <c r="W7" s="263">
        <v>10.138999999999999</v>
      </c>
      <c r="X7" s="263">
        <v>10.237</v>
      </c>
      <c r="Y7" s="263">
        <v>10.497999999999999</v>
      </c>
      <c r="Z7" s="263">
        <v>10.669</v>
      </c>
      <c r="AA7" s="282">
        <v>10.856999999999999</v>
      </c>
      <c r="AB7" s="283">
        <v>10.885999999999999</v>
      </c>
      <c r="AC7" s="283">
        <v>10.974</v>
      </c>
      <c r="AD7" s="283">
        <v>10.53</v>
      </c>
      <c r="AE7" s="263">
        <v>10.025</v>
      </c>
      <c r="AF7" s="497">
        <v>10.364000000000001</v>
      </c>
      <c r="AG7" s="497">
        <v>11.797000000000001</v>
      </c>
      <c r="AH7" s="263">
        <v>12</v>
      </c>
      <c r="AI7" s="263">
        <v>7.8529999999999998</v>
      </c>
      <c r="AJ7" s="263">
        <v>7.8742999999999999</v>
      </c>
      <c r="AK7" s="263">
        <v>11.4483</v>
      </c>
      <c r="AL7" s="463">
        <v>11.064</v>
      </c>
      <c r="AM7" s="463">
        <v>89.334925592504135</v>
      </c>
      <c r="AN7" s="463">
        <v>90.4</v>
      </c>
      <c r="AO7" s="463"/>
      <c r="AP7" s="227"/>
      <c r="AQ7" s="227"/>
      <c r="AR7" s="227">
        <v>86.199881325760785</v>
      </c>
      <c r="AS7" s="463">
        <v>90.408333333333331</v>
      </c>
      <c r="AT7" s="227">
        <v>94.193301922832035</v>
      </c>
      <c r="AU7" s="121">
        <v>88.503105037908128</v>
      </c>
      <c r="AV7" s="120">
        <v>84.588978276250629</v>
      </c>
      <c r="AW7" s="286">
        <f t="shared" ref="AW7:AW45" si="3">AK7/AJ7*100-100</f>
        <v>45.388161487370297</v>
      </c>
      <c r="AX7" s="258" t="s">
        <v>24</v>
      </c>
    </row>
    <row r="8" spans="1:50" ht="12.75" customHeight="1">
      <c r="A8" s="76"/>
      <c r="B8" s="88" t="s">
        <v>7</v>
      </c>
      <c r="C8" s="89">
        <v>6.2240000000000002</v>
      </c>
      <c r="D8" s="89">
        <v>7.0549999999999997</v>
      </c>
      <c r="E8" s="259">
        <v>7.7930000000000001</v>
      </c>
      <c r="F8" s="259">
        <v>4.8659999999999997</v>
      </c>
      <c r="G8" s="259">
        <v>5.3929999999999998</v>
      </c>
      <c r="H8" s="259">
        <v>5.8369999999999997</v>
      </c>
      <c r="I8" s="259">
        <v>5.0590000000000002</v>
      </c>
      <c r="J8" s="259">
        <v>4.6929999999999996</v>
      </c>
      <c r="K8" s="259">
        <v>5.0650000000000004</v>
      </c>
      <c r="L8" s="259">
        <v>5.8860000000000001</v>
      </c>
      <c r="M8" s="259">
        <v>4.74</v>
      </c>
      <c r="N8" s="259">
        <v>3.819</v>
      </c>
      <c r="O8" s="259">
        <v>3.472</v>
      </c>
      <c r="P8" s="259">
        <v>2.99</v>
      </c>
      <c r="Q8" s="259">
        <v>2.5979999999999999</v>
      </c>
      <c r="R8" s="259">
        <v>2.5169999999999999</v>
      </c>
      <c r="S8" s="259">
        <v>2.4039999999999999</v>
      </c>
      <c r="T8" s="259">
        <v>2.3889999999999998</v>
      </c>
      <c r="U8" s="259">
        <v>2.411</v>
      </c>
      <c r="V8" s="259">
        <v>2.4039999999999999</v>
      </c>
      <c r="W8" s="259">
        <v>2.3170000000000002</v>
      </c>
      <c r="X8" s="259">
        <v>2.1379999999999999</v>
      </c>
      <c r="Y8" s="259">
        <v>2.09</v>
      </c>
      <c r="Z8" s="259">
        <v>2.0590000000000002</v>
      </c>
      <c r="AA8" s="259">
        <v>1.87</v>
      </c>
      <c r="AB8" s="259">
        <v>1.821</v>
      </c>
      <c r="AC8" s="259">
        <v>1.698</v>
      </c>
      <c r="AD8" s="259">
        <v>1.5489999999999999</v>
      </c>
      <c r="AE8" s="259">
        <v>1.4550000000000001</v>
      </c>
      <c r="AF8" s="259">
        <v>1.4339999999999999</v>
      </c>
      <c r="AG8" s="259">
        <v>1.476</v>
      </c>
      <c r="AH8" s="259">
        <v>1.52</v>
      </c>
      <c r="AI8" s="259">
        <v>1.1180000000000001</v>
      </c>
      <c r="AJ8" s="259">
        <v>1.2030000000000001</v>
      </c>
      <c r="AK8" s="259">
        <v>1.6</v>
      </c>
      <c r="AL8" s="463">
        <v>85.273416350839199</v>
      </c>
      <c r="AM8" s="463">
        <v>88.083470620538165</v>
      </c>
      <c r="AN8" s="463">
        <v>91.2</v>
      </c>
      <c r="AO8" s="463">
        <v>94.150238371343903</v>
      </c>
      <c r="AP8" s="463">
        <f>0.921942520063104*100</f>
        <v>92.194252006310393</v>
      </c>
      <c r="AQ8" s="463">
        <v>94.150238371343903</v>
      </c>
      <c r="AR8" s="463">
        <v>98.485872651074757</v>
      </c>
      <c r="AS8" s="463">
        <v>98.11655072844205</v>
      </c>
      <c r="AT8" s="463">
        <v>99.383543285982327</v>
      </c>
      <c r="AU8" s="121">
        <v>99.634126060202917</v>
      </c>
      <c r="AV8" s="120">
        <v>97.187051705856675</v>
      </c>
      <c r="AW8" s="167">
        <f t="shared" si="3"/>
        <v>33.000831255195351</v>
      </c>
      <c r="AX8" s="88" t="s">
        <v>7</v>
      </c>
    </row>
    <row r="9" spans="1:50" ht="12.75" customHeight="1">
      <c r="A9" s="76"/>
      <c r="B9" s="258" t="s">
        <v>9</v>
      </c>
      <c r="C9" s="95"/>
      <c r="D9" s="95"/>
      <c r="E9" s="265">
        <v>13.313000000000001</v>
      </c>
      <c r="F9" s="437">
        <v>12.5</v>
      </c>
      <c r="G9" s="265">
        <v>11.147</v>
      </c>
      <c r="H9" s="265">
        <v>8.548</v>
      </c>
      <c r="I9" s="265">
        <v>8.4809999999999999</v>
      </c>
      <c r="J9" s="265">
        <v>8.0229999999999997</v>
      </c>
      <c r="K9" s="265">
        <v>8.1110000000000007</v>
      </c>
      <c r="L9" s="265">
        <v>7.71</v>
      </c>
      <c r="M9" s="265">
        <v>7.0010000000000003</v>
      </c>
      <c r="N9" s="265">
        <v>6.9290000000000003</v>
      </c>
      <c r="O9" s="265">
        <v>7.3</v>
      </c>
      <c r="P9" s="265">
        <v>7.2990000000000004</v>
      </c>
      <c r="Q9" s="265">
        <v>6.5970000000000004</v>
      </c>
      <c r="R9" s="265">
        <v>6.5179999999999998</v>
      </c>
      <c r="S9" s="265">
        <v>6.58</v>
      </c>
      <c r="T9" s="265">
        <v>6.6669999999999998</v>
      </c>
      <c r="U9" s="265">
        <v>6.9219999999999997</v>
      </c>
      <c r="V9" s="265">
        <v>6.8979999999999997</v>
      </c>
      <c r="W9" s="265">
        <v>6.7729999999999997</v>
      </c>
      <c r="X9" s="265">
        <v>6.4720000000000004</v>
      </c>
      <c r="Y9" s="265">
        <v>6.5590000000000002</v>
      </c>
      <c r="Z9" s="265">
        <v>6.6689999999999996</v>
      </c>
      <c r="AA9" s="265">
        <v>7.1959999999999997</v>
      </c>
      <c r="AB9" s="265">
        <v>7.5119999999999996</v>
      </c>
      <c r="AC9" s="265">
        <v>7.6440000000000001</v>
      </c>
      <c r="AD9" s="265">
        <v>8.125</v>
      </c>
      <c r="AE9" s="265">
        <v>8.7379999999999995</v>
      </c>
      <c r="AF9" s="265">
        <v>9.4030000000000005</v>
      </c>
      <c r="AG9" s="265">
        <v>10.220000000000001</v>
      </c>
      <c r="AH9" s="265">
        <v>10.856</v>
      </c>
      <c r="AI9" s="265">
        <v>6.6230000000000002</v>
      </c>
      <c r="AJ9" s="265">
        <v>6.7519999999999998</v>
      </c>
      <c r="AK9" s="265">
        <v>9.3940000000000001</v>
      </c>
      <c r="AL9" s="463">
        <v>92.307692307692307</v>
      </c>
      <c r="AM9" s="463"/>
      <c r="AN9" s="463">
        <v>93.2</v>
      </c>
      <c r="AO9" s="463">
        <v>99.998794919380103</v>
      </c>
      <c r="AP9" s="463">
        <f>0.949903878774172*100</f>
        <v>94.990387877417206</v>
      </c>
      <c r="AQ9" s="463">
        <v>84.3</v>
      </c>
      <c r="AR9" s="463">
        <v>85.827338129496411</v>
      </c>
      <c r="AS9" s="463">
        <v>86.41428649845389</v>
      </c>
      <c r="AT9" s="463">
        <v>92.071402122932597</v>
      </c>
      <c r="AU9" s="121">
        <v>91.57050483130746</v>
      </c>
      <c r="AV9" s="120">
        <v>92.146541741235922</v>
      </c>
      <c r="AW9" s="286">
        <f t="shared" si="3"/>
        <v>39.129146919431292</v>
      </c>
      <c r="AX9" s="258" t="s">
        <v>9</v>
      </c>
    </row>
    <row r="10" spans="1:50" ht="12.75" customHeight="1">
      <c r="A10" s="76"/>
      <c r="B10" s="88" t="s">
        <v>20</v>
      </c>
      <c r="C10" s="89">
        <v>3.8980000000000001</v>
      </c>
      <c r="D10" s="89">
        <v>3.8029999999999999</v>
      </c>
      <c r="E10" s="259">
        <v>5.0510000000000002</v>
      </c>
      <c r="F10" s="259">
        <v>4.9130000000000003</v>
      </c>
      <c r="G10" s="259">
        <v>4.9740000000000002</v>
      </c>
      <c r="H10" s="259">
        <v>4.9390000000000001</v>
      </c>
      <c r="I10" s="259">
        <v>5.0519999999999996</v>
      </c>
      <c r="J10" s="259">
        <v>4.8879999999999999</v>
      </c>
      <c r="K10" s="259">
        <v>4.8209999999999997</v>
      </c>
      <c r="L10" s="259">
        <v>5.173</v>
      </c>
      <c r="M10" s="259">
        <v>5.3650000000000002</v>
      </c>
      <c r="N10" s="259">
        <v>5.31</v>
      </c>
      <c r="O10" s="259">
        <v>5.5369999999999999</v>
      </c>
      <c r="P10" s="259">
        <v>5.7210000000000001</v>
      </c>
      <c r="Q10" s="259">
        <v>5.7450000000000001</v>
      </c>
      <c r="R10" s="259">
        <v>5.8259999999999996</v>
      </c>
      <c r="S10" s="259">
        <v>5.9459999999999997</v>
      </c>
      <c r="T10" s="259">
        <v>5.9740000000000002</v>
      </c>
      <c r="U10" s="259">
        <v>6.11</v>
      </c>
      <c r="V10" s="259">
        <v>6.1760000000000002</v>
      </c>
      <c r="W10" s="259">
        <v>6.28</v>
      </c>
      <c r="X10" s="259">
        <v>6.1520000000000001</v>
      </c>
      <c r="Y10" s="259">
        <v>6.3380000000000001</v>
      </c>
      <c r="Z10" s="259">
        <v>6.3650000000000002</v>
      </c>
      <c r="AA10" s="259">
        <v>6.5170000000000003</v>
      </c>
      <c r="AB10" s="259">
        <v>6.5510000000000002</v>
      </c>
      <c r="AC10" s="259">
        <v>6.5129999999999999</v>
      </c>
      <c r="AD10" s="259">
        <v>6.5060000000000002</v>
      </c>
      <c r="AE10" s="259">
        <f>6.653-0.321</f>
        <v>6.3319999999999999</v>
      </c>
      <c r="AF10" s="259">
        <v>6.28</v>
      </c>
      <c r="AG10" s="259">
        <f>6.197</f>
        <v>6.1970000000000001</v>
      </c>
      <c r="AH10" s="259">
        <v>6.1740000000000004</v>
      </c>
      <c r="AI10" s="259">
        <v>3.94</v>
      </c>
      <c r="AJ10" s="259">
        <v>4.181</v>
      </c>
      <c r="AK10" s="259">
        <v>6.3760000000000003</v>
      </c>
      <c r="AL10" s="463">
        <v>90.592086535724448</v>
      </c>
      <c r="AM10" s="463">
        <v>95.972300734878459</v>
      </c>
      <c r="AN10" s="463">
        <v>100</v>
      </c>
      <c r="AO10" s="463">
        <v>100</v>
      </c>
      <c r="AP10" s="463">
        <v>100</v>
      </c>
      <c r="AQ10" s="463"/>
      <c r="AR10" s="463">
        <v>100</v>
      </c>
      <c r="AS10" s="463">
        <v>100</v>
      </c>
      <c r="AT10" s="463">
        <v>100</v>
      </c>
      <c r="AU10" s="121">
        <v>100</v>
      </c>
      <c r="AV10" s="120">
        <v>100</v>
      </c>
      <c r="AW10" s="167">
        <f t="shared" si="3"/>
        <v>52.499402056924168</v>
      </c>
      <c r="AX10" s="88" t="s">
        <v>20</v>
      </c>
    </row>
    <row r="11" spans="1:50" ht="12.75" customHeight="1">
      <c r="A11" s="76"/>
      <c r="B11" s="258" t="s">
        <v>25</v>
      </c>
      <c r="C11" s="95">
        <v>62.4</v>
      </c>
      <c r="D11" s="95">
        <v>62.499000000000002</v>
      </c>
      <c r="E11" s="265">
        <v>61.024000000000001</v>
      </c>
      <c r="F11" s="265">
        <v>67.31</v>
      </c>
      <c r="G11" s="109">
        <v>67.55</v>
      </c>
      <c r="H11" s="265">
        <v>63.360999999999997</v>
      </c>
      <c r="I11" s="265">
        <v>65.2</v>
      </c>
      <c r="J11" s="265">
        <v>70.977000000000004</v>
      </c>
      <c r="K11" s="265">
        <v>71.73</v>
      </c>
      <c r="L11" s="265">
        <v>72.402999999999992</v>
      </c>
      <c r="M11" s="265">
        <v>72.665999999999997</v>
      </c>
      <c r="N11" s="265">
        <v>73.795999999999992</v>
      </c>
      <c r="O11" s="265">
        <v>75.403999999999996</v>
      </c>
      <c r="P11" s="265">
        <v>75.753999999999991</v>
      </c>
      <c r="Q11" s="265">
        <v>70.819000000000003</v>
      </c>
      <c r="R11" s="265">
        <v>71.293000000000006</v>
      </c>
      <c r="S11" s="265">
        <v>72.900000000000006</v>
      </c>
      <c r="T11" s="265">
        <v>76.8</v>
      </c>
      <c r="U11" s="265">
        <v>79</v>
      </c>
      <c r="V11" s="265">
        <v>79.106999999999999</v>
      </c>
      <c r="W11" s="265">
        <v>82.538825000000003</v>
      </c>
      <c r="X11" s="265">
        <v>82.254000000000005</v>
      </c>
      <c r="Y11" s="265">
        <v>83.891999999999996</v>
      </c>
      <c r="Z11" s="265">
        <v>85.412999999999997</v>
      </c>
      <c r="AA11" s="265">
        <v>88.795000000000002</v>
      </c>
      <c r="AB11" s="265">
        <v>89.614999999999995</v>
      </c>
      <c r="AC11" s="265">
        <v>90.975999999999999</v>
      </c>
      <c r="AD11" s="265">
        <v>91.709000000000003</v>
      </c>
      <c r="AE11" s="265">
        <v>94.195999999999998</v>
      </c>
      <c r="AF11" s="265">
        <v>95.55</v>
      </c>
      <c r="AG11" s="265">
        <v>98.2</v>
      </c>
      <c r="AH11" s="265">
        <v>100.252</v>
      </c>
      <c r="AI11" s="265">
        <v>57.786999999999999</v>
      </c>
      <c r="AJ11" s="265">
        <v>57.518000000000001</v>
      </c>
      <c r="AK11" s="265">
        <v>92.313000000000002</v>
      </c>
      <c r="AL11" s="463"/>
      <c r="AM11" s="463">
        <v>60.311042341965873</v>
      </c>
      <c r="AN11" s="463">
        <v>60.1</v>
      </c>
      <c r="AO11" s="463">
        <v>59.391965255157444</v>
      </c>
      <c r="AP11" s="463">
        <f>0.585263157894737*100</f>
        <v>58.526315789473706</v>
      </c>
      <c r="AQ11" s="463">
        <v>58.6</v>
      </c>
      <c r="AR11" s="463">
        <v>56.856856856856851</v>
      </c>
      <c r="AS11" s="463">
        <v>56.073858114674444</v>
      </c>
      <c r="AT11" s="463">
        <v>59.663865546218489</v>
      </c>
      <c r="AU11" s="121">
        <v>56.423611111111114</v>
      </c>
      <c r="AV11" s="120">
        <v>55.484558040468578</v>
      </c>
      <c r="AW11" s="286">
        <f t="shared" si="3"/>
        <v>60.494106192843986</v>
      </c>
      <c r="AX11" s="258" t="s">
        <v>25</v>
      </c>
    </row>
    <row r="12" spans="1:50" ht="12.75" customHeight="1">
      <c r="A12" s="76"/>
      <c r="B12" s="88" t="s">
        <v>10</v>
      </c>
      <c r="C12" s="89">
        <v>1.2310000000000001</v>
      </c>
      <c r="D12" s="89">
        <v>1.5529999999999999</v>
      </c>
      <c r="E12" s="259">
        <v>1.51</v>
      </c>
      <c r="F12" s="259">
        <v>1.2729999999999999</v>
      </c>
      <c r="G12" s="259">
        <v>0.95</v>
      </c>
      <c r="H12" s="259">
        <v>0.72199999999999998</v>
      </c>
      <c r="I12" s="259">
        <v>0.53700000000000003</v>
      </c>
      <c r="J12" s="259">
        <v>0.42099999999999999</v>
      </c>
      <c r="K12" s="259">
        <v>0.309</v>
      </c>
      <c r="L12" s="259">
        <v>0.26200000000000001</v>
      </c>
      <c r="M12" s="259">
        <v>0.23599999999999999</v>
      </c>
      <c r="N12" s="259">
        <v>0.23799999999999999</v>
      </c>
      <c r="O12" s="259">
        <v>0.26100000000000001</v>
      </c>
      <c r="P12" s="259">
        <v>0.18264900000000001</v>
      </c>
      <c r="Q12" s="259">
        <v>0.17695</v>
      </c>
      <c r="R12" s="259">
        <v>0.181814</v>
      </c>
      <c r="S12" s="259">
        <v>0.193</v>
      </c>
      <c r="T12" s="259">
        <v>0.248</v>
      </c>
      <c r="U12" s="259">
        <v>0.25700000000000001</v>
      </c>
      <c r="V12" s="259">
        <v>0.27400000000000002</v>
      </c>
      <c r="W12" s="259">
        <v>0.27400000000000002</v>
      </c>
      <c r="X12" s="259">
        <v>0.249</v>
      </c>
      <c r="Y12" s="259">
        <v>0.247</v>
      </c>
      <c r="Z12" s="259">
        <v>0.24299999999999999</v>
      </c>
      <c r="AA12" s="259">
        <v>0.23499999999999999</v>
      </c>
      <c r="AB12" s="259">
        <v>0.223</v>
      </c>
      <c r="AC12" s="259">
        <v>0.28000000000000003</v>
      </c>
      <c r="AD12" s="259">
        <v>0.28599999999999998</v>
      </c>
      <c r="AE12" s="259">
        <v>0.316</v>
      </c>
      <c r="AF12" s="259">
        <v>0.36599999999999999</v>
      </c>
      <c r="AG12" s="259">
        <v>0.41699999999999998</v>
      </c>
      <c r="AH12" s="259">
        <v>0.39200000000000002</v>
      </c>
      <c r="AI12" s="259">
        <v>0.26300000000000001</v>
      </c>
      <c r="AJ12" s="259">
        <v>0.28999999999999998</v>
      </c>
      <c r="AK12" s="259">
        <v>0.38200000000000001</v>
      </c>
      <c r="AL12" s="463">
        <v>92.765957446808514</v>
      </c>
      <c r="AM12" s="463">
        <v>90.016143497757838</v>
      </c>
      <c r="AN12" s="463">
        <v>93.4</v>
      </c>
      <c r="AO12" s="463">
        <v>100</v>
      </c>
      <c r="AP12" s="463">
        <f>0.940057088487155*100</f>
        <v>94.0057088487155</v>
      </c>
      <c r="AQ12" s="463">
        <v>94.4</v>
      </c>
      <c r="AR12" s="463">
        <v>95.406854744695735</v>
      </c>
      <c r="AS12" s="463">
        <v>94.803229061553992</v>
      </c>
      <c r="AT12" s="463">
        <v>100</v>
      </c>
      <c r="AU12" s="121">
        <v>100</v>
      </c>
      <c r="AV12" s="120">
        <v>100</v>
      </c>
      <c r="AW12" s="167">
        <f t="shared" si="3"/>
        <v>31.724137931034505</v>
      </c>
      <c r="AX12" s="88" t="s">
        <v>10</v>
      </c>
    </row>
    <row r="13" spans="1:50" ht="12.75" customHeight="1">
      <c r="A13" s="76"/>
      <c r="B13" s="258" t="s">
        <v>28</v>
      </c>
      <c r="C13" s="91">
        <v>0.58199999999999996</v>
      </c>
      <c r="D13" s="91">
        <v>1.032</v>
      </c>
      <c r="E13" s="263">
        <v>1.226</v>
      </c>
      <c r="F13" s="263">
        <v>1.29</v>
      </c>
      <c r="G13" s="263">
        <v>1.226</v>
      </c>
      <c r="H13" s="263">
        <v>1.274</v>
      </c>
      <c r="I13" s="263">
        <v>1.26</v>
      </c>
      <c r="J13" s="263">
        <v>1.2909999999999999</v>
      </c>
      <c r="K13" s="263">
        <v>1.2949999999999999</v>
      </c>
      <c r="L13" s="263">
        <v>1.387</v>
      </c>
      <c r="M13" s="263">
        <v>1.421</v>
      </c>
      <c r="N13" s="263">
        <v>1.458</v>
      </c>
      <c r="O13" s="263">
        <v>1.389</v>
      </c>
      <c r="P13" s="263">
        <v>1.5149999999999999</v>
      </c>
      <c r="Q13" s="263">
        <v>1.6279999999999999</v>
      </c>
      <c r="R13" s="263">
        <v>1.601</v>
      </c>
      <c r="S13" s="263">
        <v>1.5820000000000001</v>
      </c>
      <c r="T13" s="263">
        <v>1.7809999999999999</v>
      </c>
      <c r="U13" s="263">
        <v>1.8720000000000001</v>
      </c>
      <c r="V13" s="263">
        <v>2.0070000000000001</v>
      </c>
      <c r="W13" s="263">
        <v>1.976</v>
      </c>
      <c r="X13" s="263">
        <v>1.6830000000000001</v>
      </c>
      <c r="Y13" s="263">
        <v>1.6779999999999999</v>
      </c>
      <c r="Z13" s="263">
        <v>1.6379999999999999</v>
      </c>
      <c r="AA13" s="263">
        <v>1.5780000000000001</v>
      </c>
      <c r="AB13" s="263">
        <v>1.569</v>
      </c>
      <c r="AC13" s="263">
        <v>1.728</v>
      </c>
      <c r="AD13" s="263">
        <v>1.9179999999999999</v>
      </c>
      <c r="AE13" s="263">
        <v>1.9910000000000001</v>
      </c>
      <c r="AF13" s="263">
        <v>2.1219999999999999</v>
      </c>
      <c r="AG13" s="263">
        <v>2.2810000000000001</v>
      </c>
      <c r="AH13" s="263">
        <v>2.399</v>
      </c>
      <c r="AI13" s="263">
        <v>0.83399999999999996</v>
      </c>
      <c r="AJ13" s="263">
        <v>0.87</v>
      </c>
      <c r="AK13" s="263">
        <v>1.748</v>
      </c>
      <c r="AL13" s="463">
        <v>93.931731984829327</v>
      </c>
      <c r="AM13" s="463">
        <v>100</v>
      </c>
      <c r="AN13" s="463"/>
      <c r="AO13" s="463"/>
      <c r="AP13" s="463">
        <f>0.953065134099617*100</f>
        <v>95.306513409961696</v>
      </c>
      <c r="AQ13" s="463">
        <v>100</v>
      </c>
      <c r="AR13" s="463">
        <v>100</v>
      </c>
      <c r="AS13" s="463">
        <v>100</v>
      </c>
      <c r="AT13" s="463">
        <v>100</v>
      </c>
      <c r="AU13" s="121">
        <v>100</v>
      </c>
      <c r="AV13" s="120">
        <v>100</v>
      </c>
      <c r="AW13" s="286">
        <f t="shared" si="3"/>
        <v>100.91954022988509</v>
      </c>
      <c r="AX13" s="258" t="s">
        <v>28</v>
      </c>
    </row>
    <row r="14" spans="1:50" ht="12.75" customHeight="1">
      <c r="A14" s="76"/>
      <c r="B14" s="88" t="s">
        <v>21</v>
      </c>
      <c r="C14" s="89">
        <v>1.9510000000000001</v>
      </c>
      <c r="D14" s="89">
        <v>1.464</v>
      </c>
      <c r="E14" s="259">
        <v>1.9770000000000001</v>
      </c>
      <c r="F14" s="259">
        <v>1.9950000000000001</v>
      </c>
      <c r="G14" s="259">
        <v>2.0459999999999998</v>
      </c>
      <c r="H14" s="259">
        <v>1.726</v>
      </c>
      <c r="I14" s="259">
        <v>1.599</v>
      </c>
      <c r="J14" s="259">
        <v>1.5680000000000001</v>
      </c>
      <c r="K14" s="259">
        <v>1.7509999999999999</v>
      </c>
      <c r="L14" s="259">
        <v>1.8839999999999999</v>
      </c>
      <c r="M14" s="259">
        <v>1.552</v>
      </c>
      <c r="N14" s="259">
        <v>1.583</v>
      </c>
      <c r="O14" s="259">
        <v>1.8859999999999999</v>
      </c>
      <c r="P14" s="259">
        <v>1.7470000000000001</v>
      </c>
      <c r="Q14" s="259">
        <v>1.8360000000000001</v>
      </c>
      <c r="R14" s="259">
        <v>1.5740000000000001</v>
      </c>
      <c r="S14" s="259">
        <v>1.6679999999999999</v>
      </c>
      <c r="T14" s="259">
        <v>1.8540000000000001</v>
      </c>
      <c r="U14" s="259">
        <v>1.8109999999999999</v>
      </c>
      <c r="V14" s="259">
        <v>1.93</v>
      </c>
      <c r="W14" s="259">
        <v>1.657</v>
      </c>
      <c r="X14" s="259">
        <v>1.4670000000000001</v>
      </c>
      <c r="Y14" s="259">
        <v>1.383</v>
      </c>
      <c r="Z14" s="259">
        <v>0.95799999999999996</v>
      </c>
      <c r="AA14" s="259">
        <v>0.83199999999999996</v>
      </c>
      <c r="AB14" s="259">
        <v>1.056</v>
      </c>
      <c r="AC14" s="259">
        <v>1.0720000000000001</v>
      </c>
      <c r="AD14" s="259">
        <v>1.2629999999999999</v>
      </c>
      <c r="AE14" s="259">
        <v>1.1919999999999999</v>
      </c>
      <c r="AF14" s="259">
        <v>1.1120000000000001</v>
      </c>
      <c r="AG14" s="259">
        <v>1.1040000000000001</v>
      </c>
      <c r="AH14" s="259">
        <v>1.252</v>
      </c>
      <c r="AI14" s="259">
        <v>0.64</v>
      </c>
      <c r="AJ14" s="259">
        <v>0.65300000000000002</v>
      </c>
      <c r="AK14" s="259">
        <v>1.117</v>
      </c>
      <c r="AL14" s="463">
        <v>100</v>
      </c>
      <c r="AM14" s="463"/>
      <c r="AN14" s="463"/>
      <c r="AO14" s="463">
        <v>93.013861386138615</v>
      </c>
      <c r="AP14" s="463">
        <f>0.972830188679245*100</f>
        <v>97.283018867924497</v>
      </c>
      <c r="AQ14" s="463">
        <v>97.5</v>
      </c>
      <c r="AR14" s="464">
        <v>97.52830351741423</v>
      </c>
      <c r="AS14" s="463">
        <v>93.76956554936244</v>
      </c>
      <c r="AT14" s="463">
        <v>95.105740181268885</v>
      </c>
      <c r="AU14" s="121">
        <v>94.050410316529891</v>
      </c>
      <c r="AV14" s="120">
        <v>95.453768586566383</v>
      </c>
      <c r="AW14" s="167">
        <f t="shared" si="3"/>
        <v>71.056661562021446</v>
      </c>
      <c r="AX14" s="88" t="s">
        <v>21</v>
      </c>
    </row>
    <row r="15" spans="1:50" ht="12.75" customHeight="1">
      <c r="A15" s="76"/>
      <c r="B15" s="258" t="s">
        <v>26</v>
      </c>
      <c r="C15" s="91">
        <v>14.013</v>
      </c>
      <c r="D15" s="91">
        <v>13.526999999999999</v>
      </c>
      <c r="E15" s="263">
        <v>16.733000000000001</v>
      </c>
      <c r="F15" s="263">
        <v>16.356999999999999</v>
      </c>
      <c r="G15" s="263">
        <v>17.422000000000001</v>
      </c>
      <c r="H15" s="263">
        <v>16.486000000000001</v>
      </c>
      <c r="I15" s="263">
        <v>16.138999999999999</v>
      </c>
      <c r="J15" s="263">
        <v>16.594000000000001</v>
      </c>
      <c r="K15" s="264">
        <v>16.8</v>
      </c>
      <c r="L15" s="264">
        <v>17.878</v>
      </c>
      <c r="M15" s="264">
        <v>18.869</v>
      </c>
      <c r="N15" s="263">
        <v>19.655000000000001</v>
      </c>
      <c r="O15" s="263">
        <v>20.143999999999998</v>
      </c>
      <c r="P15" s="263">
        <v>20.827999999999999</v>
      </c>
      <c r="Q15" s="263">
        <v>21.210999999999999</v>
      </c>
      <c r="R15" s="263">
        <v>21.126999999999999</v>
      </c>
      <c r="S15" s="263">
        <v>20.385999999999999</v>
      </c>
      <c r="T15" s="263">
        <v>21.623999999999999</v>
      </c>
      <c r="U15" s="263">
        <v>22.105</v>
      </c>
      <c r="V15" s="263">
        <v>21.856999999999999</v>
      </c>
      <c r="W15" s="263">
        <v>23.969000000000001</v>
      </c>
      <c r="X15" s="263">
        <v>23.137</v>
      </c>
      <c r="Y15" s="263">
        <v>22.456</v>
      </c>
      <c r="Z15" s="263">
        <v>22.795000000000002</v>
      </c>
      <c r="AA15" s="263">
        <v>22.475999999999999</v>
      </c>
      <c r="AB15" s="263">
        <v>23.788</v>
      </c>
      <c r="AC15" s="263">
        <v>25.071999999999999</v>
      </c>
      <c r="AD15" s="263">
        <v>26.141999999999999</v>
      </c>
      <c r="AE15" s="263">
        <v>26.670100000000001</v>
      </c>
      <c r="AF15" s="263">
        <v>27.515999999999998</v>
      </c>
      <c r="AG15" s="263">
        <v>28.42</v>
      </c>
      <c r="AH15" s="263">
        <v>28.847000000000001</v>
      </c>
      <c r="AI15" s="263">
        <v>12.06</v>
      </c>
      <c r="AJ15" s="263">
        <v>17.001999999999999</v>
      </c>
      <c r="AK15" s="263">
        <v>27.489000000000001</v>
      </c>
      <c r="AL15" s="463">
        <v>50.858063904427794</v>
      </c>
      <c r="AM15" s="463"/>
      <c r="AN15" s="463"/>
      <c r="AO15" s="463"/>
      <c r="AP15" s="463">
        <f>0.430469336918271*100</f>
        <v>43.0469336918271</v>
      </c>
      <c r="AQ15" s="463">
        <v>43.1</v>
      </c>
      <c r="AR15" s="463">
        <v>43.151015558278566</v>
      </c>
      <c r="AS15" s="463">
        <v>42.508800234672925</v>
      </c>
      <c r="AT15" s="463">
        <v>52.4443650013406</v>
      </c>
      <c r="AU15" s="121">
        <v>44.770230073453533</v>
      </c>
      <c r="AV15" s="120">
        <v>44.356572761398013</v>
      </c>
      <c r="AW15" s="286">
        <f t="shared" si="3"/>
        <v>61.680978708387272</v>
      </c>
      <c r="AX15" s="258" t="s">
        <v>26</v>
      </c>
    </row>
    <row r="16" spans="1:50" ht="12.75" customHeight="1">
      <c r="A16" s="76"/>
      <c r="B16" s="88" t="s">
        <v>27</v>
      </c>
      <c r="C16" s="89">
        <v>40.978999999999999</v>
      </c>
      <c r="D16" s="89">
        <v>54.496000000000002</v>
      </c>
      <c r="E16" s="259">
        <v>53.8</v>
      </c>
      <c r="F16" s="259">
        <v>52.5</v>
      </c>
      <c r="G16" s="259">
        <v>53.1</v>
      </c>
      <c r="H16" s="259">
        <v>48.7</v>
      </c>
      <c r="I16" s="259">
        <v>49.7</v>
      </c>
      <c r="J16" s="259">
        <v>46.8</v>
      </c>
      <c r="K16" s="259">
        <v>50.7</v>
      </c>
      <c r="L16" s="259">
        <v>52.2</v>
      </c>
      <c r="M16" s="259">
        <v>55.7</v>
      </c>
      <c r="N16" s="259">
        <v>57</v>
      </c>
      <c r="O16" s="259">
        <v>74.86250921848368</v>
      </c>
      <c r="P16" s="259">
        <v>76.759649726768089</v>
      </c>
      <c r="Q16" s="259">
        <v>78.563499974962141</v>
      </c>
      <c r="R16" s="259">
        <v>76.610871628032299</v>
      </c>
      <c r="S16" s="259">
        <v>80.217724195782694</v>
      </c>
      <c r="T16" s="259">
        <v>82.337177616530681</v>
      </c>
      <c r="U16" s="259">
        <v>85.785546437281866</v>
      </c>
      <c r="V16" s="259">
        <v>87.850658274611959</v>
      </c>
      <c r="W16" s="259">
        <v>93.201809700087381</v>
      </c>
      <c r="X16" s="259">
        <v>92.252931993609693</v>
      </c>
      <c r="Y16" s="259">
        <v>92.360490443466375</v>
      </c>
      <c r="Z16" s="259">
        <v>95.665294808858604</v>
      </c>
      <c r="AA16" s="259">
        <v>95.846013545981748</v>
      </c>
      <c r="AB16" s="259">
        <v>95.12491998741406</v>
      </c>
      <c r="AC16" s="259">
        <v>94.38455450514661</v>
      </c>
      <c r="AD16" s="259">
        <v>94.660380293154006</v>
      </c>
      <c r="AE16" s="259">
        <v>93.986694363820391</v>
      </c>
      <c r="AF16" s="259">
        <v>100.14666036999999</v>
      </c>
      <c r="AG16" s="259">
        <v>97.143923233999999</v>
      </c>
      <c r="AH16" s="259">
        <v>101.91872433</v>
      </c>
      <c r="AI16" s="259">
        <v>59.309228075</v>
      </c>
      <c r="AJ16" s="259">
        <v>79.255405343000007</v>
      </c>
      <c r="AK16" s="259">
        <v>108.66717362</v>
      </c>
      <c r="AL16" s="463">
        <v>37.609649122807014</v>
      </c>
      <c r="AM16" s="463">
        <v>37.086092715231786</v>
      </c>
      <c r="AN16" s="463">
        <v>38.200000000000003</v>
      </c>
      <c r="AO16" s="463">
        <v>37.655068573860099</v>
      </c>
      <c r="AP16" s="463">
        <f>0.380275452814313*100</f>
        <v>38.027545281431301</v>
      </c>
      <c r="AQ16" s="463">
        <v>40.4</v>
      </c>
      <c r="AR16" s="464">
        <v>35.047704712647374</v>
      </c>
      <c r="AS16" s="463">
        <v>41.266284523189164</v>
      </c>
      <c r="AT16" s="463">
        <v>41.460462135507534</v>
      </c>
      <c r="AU16" s="121">
        <v>32.076619033140773</v>
      </c>
      <c r="AV16" s="120">
        <v>39.177049564504159</v>
      </c>
      <c r="AW16" s="113">
        <f t="shared" si="3"/>
        <v>37.110110218618303</v>
      </c>
      <c r="AX16" s="284" t="s">
        <v>27</v>
      </c>
    </row>
    <row r="17" spans="1:50" ht="12.75" customHeight="1">
      <c r="A17" s="76"/>
      <c r="B17" s="258" t="s">
        <v>39</v>
      </c>
      <c r="C17" s="91">
        <v>3.7320000000000002</v>
      </c>
      <c r="D17" s="91">
        <v>3.6190000000000002</v>
      </c>
      <c r="E17" s="263">
        <v>3.4289999999999998</v>
      </c>
      <c r="F17" s="263">
        <v>1.427</v>
      </c>
      <c r="G17" s="263">
        <v>1.145</v>
      </c>
      <c r="H17" s="263">
        <v>1.0940000000000001</v>
      </c>
      <c r="I17" s="263">
        <v>1.1819999999999999</v>
      </c>
      <c r="J17" s="263">
        <v>1.139</v>
      </c>
      <c r="K17" s="263">
        <v>1.2050000000000001</v>
      </c>
      <c r="L17" s="263">
        <v>1.1579999999999999</v>
      </c>
      <c r="M17" s="263">
        <v>1.0920000000000001</v>
      </c>
      <c r="N17" s="263">
        <v>1.137</v>
      </c>
      <c r="O17" s="263">
        <v>1.252</v>
      </c>
      <c r="P17" s="263">
        <v>1.2410000000000001</v>
      </c>
      <c r="Q17" s="263">
        <v>1.1950000000000001</v>
      </c>
      <c r="R17" s="263">
        <v>1.163</v>
      </c>
      <c r="S17" s="263">
        <v>1.169</v>
      </c>
      <c r="T17" s="263">
        <v>1.2270000000000001</v>
      </c>
      <c r="U17" s="263">
        <v>1.3220000000000001</v>
      </c>
      <c r="V17" s="263">
        <v>1.573</v>
      </c>
      <c r="W17" s="263">
        <v>1.7689999999999999</v>
      </c>
      <c r="X17" s="263">
        <v>1.802</v>
      </c>
      <c r="Y17" s="263">
        <v>1.7110000000000001</v>
      </c>
      <c r="Z17" s="263">
        <v>1.4570000000000001</v>
      </c>
      <c r="AA17" s="263">
        <v>1.08</v>
      </c>
      <c r="AB17" s="263">
        <v>0.93500000000000005</v>
      </c>
      <c r="AC17" s="263">
        <v>0.91700000000000004</v>
      </c>
      <c r="AD17" s="263">
        <v>0.94099999999999995</v>
      </c>
      <c r="AE17" s="263">
        <v>0.82699999999999996</v>
      </c>
      <c r="AF17" s="263">
        <v>0.73599999999999999</v>
      </c>
      <c r="AG17" s="263">
        <v>0.747</v>
      </c>
      <c r="AH17" s="263">
        <v>0.72399999999999998</v>
      </c>
      <c r="AI17" s="263">
        <v>0.44800000000000001</v>
      </c>
      <c r="AJ17" s="263">
        <v>0.53800000000000003</v>
      </c>
      <c r="AK17" s="263">
        <v>0.81200000000000006</v>
      </c>
      <c r="AL17" s="463"/>
      <c r="AM17" s="463">
        <v>100</v>
      </c>
      <c r="AN17" s="463">
        <v>100</v>
      </c>
      <c r="AO17" s="463">
        <v>100</v>
      </c>
      <c r="AP17" s="463">
        <v>100</v>
      </c>
      <c r="AQ17" s="463">
        <v>99.2</v>
      </c>
      <c r="AR17" s="463">
        <v>98.80952380952381</v>
      </c>
      <c r="AS17" s="463">
        <v>99.862068965517238</v>
      </c>
      <c r="AT17" s="463">
        <v>99.331848552338528</v>
      </c>
      <c r="AU17" s="121">
        <v>90.18518518518519</v>
      </c>
      <c r="AV17" s="120">
        <v>92.428518836667081</v>
      </c>
      <c r="AW17" s="286">
        <f t="shared" si="3"/>
        <v>50.929368029739777</v>
      </c>
      <c r="AX17" s="258" t="s">
        <v>39</v>
      </c>
    </row>
    <row r="18" spans="1:50" ht="12.75" customHeight="1">
      <c r="A18" s="76"/>
      <c r="B18" s="79" t="s">
        <v>29</v>
      </c>
      <c r="C18" s="81">
        <v>32.457000000000001</v>
      </c>
      <c r="D18" s="81">
        <v>39.587000000000003</v>
      </c>
      <c r="E18" s="268">
        <v>44.709000000000003</v>
      </c>
      <c r="F18" s="268">
        <v>45.064999999999998</v>
      </c>
      <c r="G18" s="268">
        <v>44.408999999999999</v>
      </c>
      <c r="H18" s="268">
        <v>42.72</v>
      </c>
      <c r="I18" s="86">
        <v>43.375</v>
      </c>
      <c r="J18" s="268">
        <f>43.859+2.792</f>
        <v>46.651000000000003</v>
      </c>
      <c r="K18" s="268">
        <f>44.78+2.8</f>
        <v>47.58</v>
      </c>
      <c r="L18" s="268">
        <f>43.591+2.8</f>
        <v>46.390999999999998</v>
      </c>
      <c r="M18" s="268">
        <f>41.391+2.8</f>
        <v>44.190999999999995</v>
      </c>
      <c r="N18" s="268">
        <f>43.424+2.878</f>
        <v>46.302</v>
      </c>
      <c r="O18" s="268">
        <f>47.133+2.439</f>
        <v>49.572000000000003</v>
      </c>
      <c r="P18" s="268">
        <f>46.752+3.324</f>
        <v>50.076000000000001</v>
      </c>
      <c r="Q18" s="268">
        <f>45.956+3.348</f>
        <v>49.304000000000002</v>
      </c>
      <c r="R18" s="268">
        <f>45.222+3.475</f>
        <v>48.697000000000003</v>
      </c>
      <c r="S18" s="268">
        <v>49.253999999999998</v>
      </c>
      <c r="T18" s="268">
        <v>50.088000000000001</v>
      </c>
      <c r="U18" s="268">
        <v>50.185000000000002</v>
      </c>
      <c r="V18" s="268">
        <v>49.78</v>
      </c>
      <c r="W18" s="268">
        <v>49.524000000000001</v>
      </c>
      <c r="X18" s="268">
        <v>48.124000000000002</v>
      </c>
      <c r="Y18" s="268">
        <v>47.171999999999997</v>
      </c>
      <c r="Z18" s="268">
        <v>46.844999999999999</v>
      </c>
      <c r="AA18" s="268">
        <v>46.759</v>
      </c>
      <c r="AB18" s="268">
        <v>48.738999999999997</v>
      </c>
      <c r="AC18" s="268">
        <v>49.957000000000001</v>
      </c>
      <c r="AD18" s="268">
        <v>52.207000000000001</v>
      </c>
      <c r="AE18" s="268">
        <v>52.178064999999997</v>
      </c>
      <c r="AF18" s="268">
        <v>53.231000000000002</v>
      </c>
      <c r="AG18" s="268">
        <v>55.493000000000002</v>
      </c>
      <c r="AH18" s="268">
        <v>56.585999999999999</v>
      </c>
      <c r="AI18" s="268">
        <v>22.268999999999998</v>
      </c>
      <c r="AJ18" s="268">
        <v>27.693000000000001</v>
      </c>
      <c r="AK18" s="268">
        <v>46.497999999999998</v>
      </c>
      <c r="AL18" s="463">
        <v>51.367123467313611</v>
      </c>
      <c r="AM18" s="463">
        <v>61.089518687367381</v>
      </c>
      <c r="AN18" s="463">
        <v>66.7</v>
      </c>
      <c r="AO18" s="463">
        <v>60.161833826318691</v>
      </c>
      <c r="AP18" s="463">
        <f>0.566308941822644*100</f>
        <v>56.630894182264399</v>
      </c>
      <c r="AQ18" s="463">
        <v>57.3</v>
      </c>
      <c r="AR18" s="463">
        <v>55.934376085173668</v>
      </c>
      <c r="AS18" s="463">
        <v>55.465390333224548</v>
      </c>
      <c r="AT18" s="463">
        <v>64.644838505993661</v>
      </c>
      <c r="AU18" s="121">
        <v>54.57499819455478</v>
      </c>
      <c r="AV18" s="120">
        <v>50.200223665533997</v>
      </c>
      <c r="AW18" s="113">
        <f t="shared" si="3"/>
        <v>67.90524681327409</v>
      </c>
      <c r="AX18" s="284" t="s">
        <v>29</v>
      </c>
    </row>
    <row r="19" spans="1:50" ht="12.75" customHeight="1">
      <c r="A19" s="76"/>
      <c r="B19" s="258" t="s">
        <v>8</v>
      </c>
      <c r="C19" s="465" t="s">
        <v>38</v>
      </c>
      <c r="D19" s="465" t="s">
        <v>38</v>
      </c>
      <c r="E19" s="176" t="s">
        <v>38</v>
      </c>
      <c r="F19" s="176" t="s">
        <v>38</v>
      </c>
      <c r="G19" s="176" t="s">
        <v>38</v>
      </c>
      <c r="H19" s="176" t="s">
        <v>38</v>
      </c>
      <c r="I19" s="176" t="s">
        <v>38</v>
      </c>
      <c r="J19" s="176" t="s">
        <v>38</v>
      </c>
      <c r="K19" s="176" t="s">
        <v>38</v>
      </c>
      <c r="L19" s="176" t="s">
        <v>38</v>
      </c>
      <c r="M19" s="176" t="s">
        <v>38</v>
      </c>
      <c r="N19" s="176" t="s">
        <v>38</v>
      </c>
      <c r="O19" s="176" t="s">
        <v>38</v>
      </c>
      <c r="P19" s="176" t="s">
        <v>38</v>
      </c>
      <c r="Q19" s="176" t="s">
        <v>38</v>
      </c>
      <c r="R19" s="176" t="s">
        <v>38</v>
      </c>
      <c r="S19" s="176" t="s">
        <v>38</v>
      </c>
      <c r="T19" s="176" t="s">
        <v>38</v>
      </c>
      <c r="U19" s="176" t="s">
        <v>38</v>
      </c>
      <c r="V19" s="176" t="s">
        <v>38</v>
      </c>
      <c r="W19" s="176" t="s">
        <v>38</v>
      </c>
      <c r="X19" s="176" t="s">
        <v>38</v>
      </c>
      <c r="Y19" s="176" t="s">
        <v>38</v>
      </c>
      <c r="Z19" s="176" t="s">
        <v>38</v>
      </c>
      <c r="AA19" s="176" t="s">
        <v>38</v>
      </c>
      <c r="AB19" s="176" t="s">
        <v>38</v>
      </c>
      <c r="AC19" s="176" t="s">
        <v>38</v>
      </c>
      <c r="AD19" s="176" t="s">
        <v>38</v>
      </c>
      <c r="AE19" s="176" t="s">
        <v>38</v>
      </c>
      <c r="AF19" s="176" t="s">
        <v>38</v>
      </c>
      <c r="AG19" s="176" t="s">
        <v>38</v>
      </c>
      <c r="AH19" s="176" t="s">
        <v>38</v>
      </c>
      <c r="AI19" s="176" t="s">
        <v>38</v>
      </c>
      <c r="AJ19" s="176" t="s">
        <v>38</v>
      </c>
      <c r="AK19" s="176" t="s">
        <v>38</v>
      </c>
      <c r="AL19" s="463" t="s">
        <v>38</v>
      </c>
      <c r="AM19" s="463" t="s">
        <v>38</v>
      </c>
      <c r="AN19" s="463" t="s">
        <v>38</v>
      </c>
      <c r="AO19" s="463" t="s">
        <v>38</v>
      </c>
      <c r="AP19" s="463" t="s">
        <v>38</v>
      </c>
      <c r="AQ19" s="463" t="s">
        <v>38</v>
      </c>
      <c r="AR19" s="463" t="s">
        <v>38</v>
      </c>
      <c r="AS19" s="463" t="s">
        <v>38</v>
      </c>
      <c r="AT19" s="463" t="s">
        <v>38</v>
      </c>
      <c r="AU19" s="463" t="s">
        <v>38</v>
      </c>
      <c r="AV19" s="463" t="s">
        <v>38</v>
      </c>
      <c r="AW19" s="286" t="s">
        <v>38</v>
      </c>
      <c r="AX19" s="258" t="s">
        <v>8</v>
      </c>
    </row>
    <row r="20" spans="1:50" ht="12.75" customHeight="1">
      <c r="A20" s="76"/>
      <c r="B20" s="79" t="s">
        <v>12</v>
      </c>
      <c r="C20" s="81">
        <v>3.7469999999999999</v>
      </c>
      <c r="D20" s="81">
        <v>4.6870000000000003</v>
      </c>
      <c r="E20" s="268">
        <v>5.3659999999999997</v>
      </c>
      <c r="F20" s="268">
        <v>3.93</v>
      </c>
      <c r="G20" s="268">
        <v>3.6560000000000001</v>
      </c>
      <c r="H20" s="268">
        <v>2.359</v>
      </c>
      <c r="I20" s="268">
        <v>1.794</v>
      </c>
      <c r="J20" s="268">
        <v>1.373</v>
      </c>
      <c r="K20" s="268">
        <v>1.149</v>
      </c>
      <c r="L20" s="268">
        <v>1.1539999999999999</v>
      </c>
      <c r="M20" s="268">
        <v>1.0589999999999999</v>
      </c>
      <c r="N20" s="268">
        <v>0.98399999999999999</v>
      </c>
      <c r="O20" s="268">
        <v>0.71499999999999997</v>
      </c>
      <c r="P20" s="268">
        <v>0.70599999999999996</v>
      </c>
      <c r="Q20" s="268">
        <v>0.74399999999999999</v>
      </c>
      <c r="R20" s="268">
        <v>0.76200000000000001</v>
      </c>
      <c r="S20" s="268">
        <v>0.80600000000000005</v>
      </c>
      <c r="T20" s="268">
        <v>0.88900000000000001</v>
      </c>
      <c r="U20" s="268">
        <v>0.98599999999999999</v>
      </c>
      <c r="V20" s="268">
        <v>0.97499999999999998</v>
      </c>
      <c r="W20" s="268">
        <v>0.94099999999999995</v>
      </c>
      <c r="X20" s="268">
        <v>0.748</v>
      </c>
      <c r="Y20" s="268">
        <v>0.74099999999999999</v>
      </c>
      <c r="Z20" s="268">
        <v>0.73299999999999998</v>
      </c>
      <c r="AA20" s="268">
        <v>0.71699999999999997</v>
      </c>
      <c r="AB20" s="268">
        <v>0.72099999999999997</v>
      </c>
      <c r="AC20" s="268">
        <v>0.64400000000000002</v>
      </c>
      <c r="AD20" s="268">
        <v>0.59</v>
      </c>
      <c r="AE20" s="268">
        <v>0.58399999999999996</v>
      </c>
      <c r="AF20" s="268">
        <v>0.59599999999999997</v>
      </c>
      <c r="AG20" s="259">
        <v>0.624</v>
      </c>
      <c r="AH20" s="259">
        <v>0.64300000000000002</v>
      </c>
      <c r="AI20" s="259">
        <v>0.41299999999999998</v>
      </c>
      <c r="AJ20" s="259">
        <v>0.36099999999999999</v>
      </c>
      <c r="AK20" s="259">
        <v>0.54100000000000004</v>
      </c>
      <c r="AL20" s="463">
        <v>88.275862068965523</v>
      </c>
      <c r="AM20" s="463">
        <v>88.520055325034576</v>
      </c>
      <c r="AN20" s="463">
        <v>89.8</v>
      </c>
      <c r="AO20" s="463">
        <v>91.832148900169202</v>
      </c>
      <c r="AP20" s="463">
        <f>0.931258549931601*100</f>
        <v>93.12585499316009</v>
      </c>
      <c r="AQ20" s="463">
        <v>92.9</v>
      </c>
      <c r="AR20" s="463">
        <v>93.304501041166105</v>
      </c>
      <c r="AS20" s="463">
        <v>93.600497048772922</v>
      </c>
      <c r="AT20" s="463">
        <v>99.007984514880235</v>
      </c>
      <c r="AU20" s="121">
        <v>100</v>
      </c>
      <c r="AV20" s="120">
        <v>100</v>
      </c>
      <c r="AW20" s="196">
        <f t="shared" si="3"/>
        <v>49.86149584487535</v>
      </c>
      <c r="AX20" s="79" t="s">
        <v>12</v>
      </c>
    </row>
    <row r="21" spans="1:50" ht="12.75" customHeight="1">
      <c r="A21" s="76"/>
      <c r="B21" s="258" t="s">
        <v>13</v>
      </c>
      <c r="C21" s="91">
        <v>2.1320000000000001</v>
      </c>
      <c r="D21" s="91">
        <v>3.258</v>
      </c>
      <c r="E21" s="263">
        <v>3.64</v>
      </c>
      <c r="F21" s="263">
        <v>3.2250000000000001</v>
      </c>
      <c r="G21" s="263">
        <v>2.74</v>
      </c>
      <c r="H21" s="263">
        <v>2.7</v>
      </c>
      <c r="I21" s="263">
        <v>1.5740000000000001</v>
      </c>
      <c r="J21" s="263">
        <v>1.1299999999999999</v>
      </c>
      <c r="K21" s="263">
        <v>0.95399999999999996</v>
      </c>
      <c r="L21" s="263">
        <v>0.84199999999999997</v>
      </c>
      <c r="M21" s="263">
        <v>0.8</v>
      </c>
      <c r="N21" s="263">
        <v>0.745</v>
      </c>
      <c r="O21" s="263">
        <v>0.61099999999999999</v>
      </c>
      <c r="P21" s="263">
        <v>0.53300000000000003</v>
      </c>
      <c r="Q21" s="263">
        <v>0.498</v>
      </c>
      <c r="R21" s="263">
        <v>0.432</v>
      </c>
      <c r="S21" s="263">
        <v>0.44400000000000001</v>
      </c>
      <c r="T21" s="263">
        <v>0.28000000000000003</v>
      </c>
      <c r="U21" s="263">
        <v>0.26800000000000002</v>
      </c>
      <c r="V21" s="263">
        <v>0.246</v>
      </c>
      <c r="W21" s="263">
        <v>0.25800000000000001</v>
      </c>
      <c r="X21" s="263">
        <v>0.23100000000000001</v>
      </c>
      <c r="Y21" s="263">
        <v>0.24399999999999999</v>
      </c>
      <c r="Z21" s="263">
        <v>0.26900000000000002</v>
      </c>
      <c r="AA21" s="263">
        <v>0.27800000000000002</v>
      </c>
      <c r="AB21" s="263">
        <v>0.27800000000000002</v>
      </c>
      <c r="AC21" s="263">
        <v>0.27</v>
      </c>
      <c r="AD21" s="263">
        <v>0.26200000000000001</v>
      </c>
      <c r="AE21" s="263">
        <v>0.28000000000000003</v>
      </c>
      <c r="AF21" s="263">
        <v>0.315</v>
      </c>
      <c r="AG21" s="263">
        <v>0.35399999999999998</v>
      </c>
      <c r="AH21" s="263">
        <v>0.35899999999999999</v>
      </c>
      <c r="AI21" s="263">
        <v>0.23699999999999999</v>
      </c>
      <c r="AJ21" s="263">
        <v>0.28699999999999998</v>
      </c>
      <c r="AK21" s="263">
        <v>0.38200000000000001</v>
      </c>
      <c r="AL21" s="463">
        <v>100</v>
      </c>
      <c r="AM21" s="136">
        <v>64.514066496163679</v>
      </c>
      <c r="AN21" s="463">
        <v>67.2</v>
      </c>
      <c r="AO21" s="463">
        <v>68.69806094182826</v>
      </c>
      <c r="AP21" s="463">
        <f>0.674242424242424*100</f>
        <v>67.424242424242394</v>
      </c>
      <c r="AQ21" s="463">
        <v>71.3</v>
      </c>
      <c r="AR21" s="463">
        <v>72.441785943174537</v>
      </c>
      <c r="AS21" s="463">
        <v>71.189979123173273</v>
      </c>
      <c r="AT21" s="463">
        <v>90</v>
      </c>
      <c r="AU21" s="121">
        <v>87.2340425531915</v>
      </c>
      <c r="AV21" s="120">
        <v>88.153632577510407</v>
      </c>
      <c r="AW21" s="286">
        <f t="shared" si="3"/>
        <v>33.101045296167257</v>
      </c>
      <c r="AX21" s="258" t="s">
        <v>13</v>
      </c>
    </row>
    <row r="22" spans="1:50" ht="12.75" customHeight="1">
      <c r="A22" s="76"/>
      <c r="B22" s="79" t="s">
        <v>30</v>
      </c>
      <c r="C22" s="81">
        <v>0.25600000000000001</v>
      </c>
      <c r="D22" s="81">
        <v>0.246</v>
      </c>
      <c r="E22" s="268">
        <v>0.20799999999999999</v>
      </c>
      <c r="F22" s="268">
        <v>0.22</v>
      </c>
      <c r="G22" s="268">
        <v>0.255</v>
      </c>
      <c r="H22" s="268">
        <v>0.26200000000000001</v>
      </c>
      <c r="I22" s="268">
        <v>0.28899999999999998</v>
      </c>
      <c r="J22" s="268">
        <v>0.28699999999999998</v>
      </c>
      <c r="K22" s="268">
        <v>0.28399999999999997</v>
      </c>
      <c r="L22" s="268">
        <v>0.29499999999999998</v>
      </c>
      <c r="M22" s="268">
        <v>0.3</v>
      </c>
      <c r="N22" s="268">
        <v>0.31</v>
      </c>
      <c r="O22" s="268">
        <v>0.33200000000000002</v>
      </c>
      <c r="P22" s="268">
        <v>0.34599999999999997</v>
      </c>
      <c r="Q22" s="268">
        <v>0.26800000000000002</v>
      </c>
      <c r="R22" s="268">
        <v>0.26200000000000001</v>
      </c>
      <c r="S22" s="268">
        <v>0.253</v>
      </c>
      <c r="T22" s="268">
        <v>0.26700000000000002</v>
      </c>
      <c r="U22" s="268">
        <v>0.29799999999999999</v>
      </c>
      <c r="V22" s="268">
        <v>0.316</v>
      </c>
      <c r="W22" s="268">
        <v>0.34499999999999997</v>
      </c>
      <c r="X22" s="268">
        <v>0.33300000000000002</v>
      </c>
      <c r="Y22" s="268">
        <v>0.34699999999999998</v>
      </c>
      <c r="Z22" s="268">
        <f>0.349</f>
        <v>0.34899999999999998</v>
      </c>
      <c r="AA22" s="268">
        <v>0.373</v>
      </c>
      <c r="AB22" s="268">
        <v>0.39400000000000002</v>
      </c>
      <c r="AC22" s="268">
        <v>0.36599999999999999</v>
      </c>
      <c r="AD22" s="268">
        <v>0.41799999999999998</v>
      </c>
      <c r="AE22" s="268">
        <v>0.41699999999999998</v>
      </c>
      <c r="AF22" s="268">
        <v>0.438</v>
      </c>
      <c r="AG22" s="259">
        <v>0.443</v>
      </c>
      <c r="AH22" s="259">
        <v>0.46300000000000002</v>
      </c>
      <c r="AI22" s="259">
        <v>0.26800000000000002</v>
      </c>
      <c r="AJ22" s="259">
        <v>0.30399999999999999</v>
      </c>
      <c r="AK22" s="259">
        <v>0.38900000000000001</v>
      </c>
      <c r="AL22" s="464"/>
      <c r="AM22" s="463">
        <v>100</v>
      </c>
      <c r="AN22" s="463">
        <v>100</v>
      </c>
      <c r="AO22" s="463"/>
      <c r="AP22" s="463"/>
      <c r="AQ22" s="463"/>
      <c r="AR22" s="463">
        <v>100.22624434389141</v>
      </c>
      <c r="AS22" s="463" t="e">
        <v>#DIV/0!</v>
      </c>
      <c r="AT22" s="463">
        <v>100</v>
      </c>
      <c r="AU22" s="121">
        <v>100</v>
      </c>
      <c r="AV22" s="120">
        <v>100</v>
      </c>
      <c r="AW22" s="196">
        <f t="shared" si="3"/>
        <v>27.960526315789494</v>
      </c>
      <c r="AX22" s="79" t="s">
        <v>30</v>
      </c>
    </row>
    <row r="23" spans="1:50" ht="12.75" customHeight="1">
      <c r="A23" s="76"/>
      <c r="B23" s="258" t="s">
        <v>11</v>
      </c>
      <c r="C23" s="91">
        <v>16.350000000000001</v>
      </c>
      <c r="D23" s="91">
        <v>13.544</v>
      </c>
      <c r="E23" s="263">
        <v>11.403</v>
      </c>
      <c r="F23" s="263">
        <v>9.8610000000000007</v>
      </c>
      <c r="G23" s="263">
        <v>9.1829999999999998</v>
      </c>
      <c r="H23" s="263">
        <v>8.4320000000000004</v>
      </c>
      <c r="I23" s="263">
        <v>8.5079999999999991</v>
      </c>
      <c r="J23" s="263">
        <v>8.4410000000000007</v>
      </c>
      <c r="K23" s="263">
        <v>8.5820000000000007</v>
      </c>
      <c r="L23" s="263">
        <v>8.6690000000000005</v>
      </c>
      <c r="M23" s="263">
        <v>8.8840000000000003</v>
      </c>
      <c r="N23" s="263">
        <v>9.5139999999999993</v>
      </c>
      <c r="O23" s="263">
        <v>9.6929999999999996</v>
      </c>
      <c r="P23" s="263">
        <v>10.005000000000001</v>
      </c>
      <c r="Q23" s="263">
        <v>10.531000000000001</v>
      </c>
      <c r="R23" s="263">
        <v>10.286</v>
      </c>
      <c r="S23" s="263">
        <v>10.164999999999999</v>
      </c>
      <c r="T23" s="263">
        <v>9.8510000000000009</v>
      </c>
      <c r="U23" s="263">
        <v>9.6579999999999995</v>
      </c>
      <c r="V23" s="263">
        <v>8.7520000000000007</v>
      </c>
      <c r="W23" s="263">
        <v>8.2919999999999998</v>
      </c>
      <c r="X23" s="263">
        <v>8.0719999999999992</v>
      </c>
      <c r="Y23" s="263">
        <v>7.681</v>
      </c>
      <c r="Z23" s="263">
        <v>7.7629999999999999</v>
      </c>
      <c r="AA23" s="263">
        <v>7.806</v>
      </c>
      <c r="AB23" s="263">
        <v>7.8419999999999996</v>
      </c>
      <c r="AC23" s="263">
        <v>7.7380000000000004</v>
      </c>
      <c r="AD23" s="263">
        <v>7.609</v>
      </c>
      <c r="AE23" s="263">
        <v>7.6529999999999996</v>
      </c>
      <c r="AF23" s="263">
        <v>7.7309999999999999</v>
      </c>
      <c r="AG23" s="263">
        <v>7.77</v>
      </c>
      <c r="AH23" s="263">
        <f>7752/1000</f>
        <v>7.7519999999999998</v>
      </c>
      <c r="AI23" s="263">
        <v>4.8540000000000001</v>
      </c>
      <c r="AJ23" s="263">
        <v>5.4349999999999996</v>
      </c>
      <c r="AK23" s="263">
        <v>7.8170000000000002</v>
      </c>
      <c r="AL23" s="463">
        <v>94.260089686098652</v>
      </c>
      <c r="AM23" s="463">
        <v>95.349135169762974</v>
      </c>
      <c r="AN23" s="463">
        <v>95.5</v>
      </c>
      <c r="AO23" s="463">
        <v>95.088271969547804</v>
      </c>
      <c r="AP23" s="463">
        <f>0.953600836491962*100</f>
        <v>95.360083649196199</v>
      </c>
      <c r="AQ23" s="463">
        <v>95.3</v>
      </c>
      <c r="AR23" s="463">
        <v>99.055231622710465</v>
      </c>
      <c r="AS23" s="463">
        <v>99.224756204530223</v>
      </c>
      <c r="AT23" s="463">
        <v>99.355157708234628</v>
      </c>
      <c r="AU23" s="121">
        <v>99.285022715424134</v>
      </c>
      <c r="AV23" s="120">
        <v>68.211937472817056</v>
      </c>
      <c r="AW23" s="286">
        <f t="shared" si="3"/>
        <v>43.827046918123301</v>
      </c>
      <c r="AX23" s="258" t="s">
        <v>11</v>
      </c>
    </row>
    <row r="24" spans="1:50" ht="12.75" customHeight="1">
      <c r="A24" s="76"/>
      <c r="B24" s="79" t="s">
        <v>14</v>
      </c>
      <c r="C24" s="113" t="s">
        <v>38</v>
      </c>
      <c r="D24" s="113" t="s">
        <v>38</v>
      </c>
      <c r="E24" s="466" t="s">
        <v>38</v>
      </c>
      <c r="F24" s="466" t="s">
        <v>38</v>
      </c>
      <c r="G24" s="466" t="s">
        <v>38</v>
      </c>
      <c r="H24" s="466" t="s">
        <v>38</v>
      </c>
      <c r="I24" s="466" t="s">
        <v>38</v>
      </c>
      <c r="J24" s="466" t="s">
        <v>38</v>
      </c>
      <c r="K24" s="466" t="s">
        <v>38</v>
      </c>
      <c r="L24" s="466" t="s">
        <v>38</v>
      </c>
      <c r="M24" s="466" t="s">
        <v>38</v>
      </c>
      <c r="N24" s="466" t="s">
        <v>38</v>
      </c>
      <c r="O24" s="466" t="s">
        <v>38</v>
      </c>
      <c r="P24" s="466" t="s">
        <v>38</v>
      </c>
      <c r="Q24" s="466" t="s">
        <v>38</v>
      </c>
      <c r="R24" s="466" t="s">
        <v>38</v>
      </c>
      <c r="S24" s="466" t="s">
        <v>38</v>
      </c>
      <c r="T24" s="466" t="s">
        <v>38</v>
      </c>
      <c r="U24" s="466" t="s">
        <v>38</v>
      </c>
      <c r="V24" s="466" t="s">
        <v>38</v>
      </c>
      <c r="W24" s="466" t="s">
        <v>38</v>
      </c>
      <c r="X24" s="466" t="s">
        <v>38</v>
      </c>
      <c r="Y24" s="466" t="s">
        <v>38</v>
      </c>
      <c r="Z24" s="466" t="s">
        <v>38</v>
      </c>
      <c r="AA24" s="466" t="s">
        <v>38</v>
      </c>
      <c r="AB24" s="466" t="s">
        <v>38</v>
      </c>
      <c r="AC24" s="466" t="s">
        <v>38</v>
      </c>
      <c r="AD24" s="466" t="s">
        <v>38</v>
      </c>
      <c r="AE24" s="466" t="s">
        <v>38</v>
      </c>
      <c r="AF24" s="466" t="s">
        <v>38</v>
      </c>
      <c r="AG24" s="466" t="s">
        <v>38</v>
      </c>
      <c r="AH24" s="466" t="s">
        <v>38</v>
      </c>
      <c r="AI24" s="466" t="s">
        <v>38</v>
      </c>
      <c r="AJ24" s="466" t="s">
        <v>38</v>
      </c>
      <c r="AK24" s="466" t="s">
        <v>38</v>
      </c>
      <c r="AL24" s="463" t="s">
        <v>38</v>
      </c>
      <c r="AM24" s="463" t="s">
        <v>38</v>
      </c>
      <c r="AN24" s="463" t="s">
        <v>38</v>
      </c>
      <c r="AO24" s="463" t="s">
        <v>38</v>
      </c>
      <c r="AP24" s="463" t="s">
        <v>38</v>
      </c>
      <c r="AQ24" s="463" t="s">
        <v>38</v>
      </c>
      <c r="AR24" s="463" t="s">
        <v>38</v>
      </c>
      <c r="AS24" s="463" t="s">
        <v>38</v>
      </c>
      <c r="AT24" s="463" t="s">
        <v>38</v>
      </c>
      <c r="AU24" s="463" t="s">
        <v>38</v>
      </c>
      <c r="AV24" s="463" t="s">
        <v>38</v>
      </c>
      <c r="AW24" s="196" t="s">
        <v>38</v>
      </c>
      <c r="AX24" s="79" t="s">
        <v>14</v>
      </c>
    </row>
    <row r="25" spans="1:50" ht="12.75" customHeight="1">
      <c r="A25" s="76"/>
      <c r="B25" s="258" t="s">
        <v>22</v>
      </c>
      <c r="C25" s="91">
        <v>8.0109999999999992</v>
      </c>
      <c r="D25" s="91">
        <v>8.91</v>
      </c>
      <c r="E25" s="263">
        <v>11.06</v>
      </c>
      <c r="F25" s="263">
        <v>15.195</v>
      </c>
      <c r="G25" s="263">
        <v>15.35</v>
      </c>
      <c r="H25" s="263">
        <v>15.244999999999999</v>
      </c>
      <c r="I25" s="263">
        <v>14.439</v>
      </c>
      <c r="J25" s="263">
        <v>16.350000000000001</v>
      </c>
      <c r="K25" s="263">
        <v>14.092000000000001</v>
      </c>
      <c r="L25" s="263">
        <v>13.875</v>
      </c>
      <c r="M25" s="263">
        <v>14.106999999999999</v>
      </c>
      <c r="N25" s="263">
        <v>14.281000000000001</v>
      </c>
      <c r="O25" s="263">
        <v>14.666</v>
      </c>
      <c r="P25" s="263">
        <v>14.391999999999999</v>
      </c>
      <c r="Q25" s="263">
        <v>14.288</v>
      </c>
      <c r="R25" s="263">
        <v>13.848000000000001</v>
      </c>
      <c r="S25" s="263">
        <v>14.509</v>
      </c>
      <c r="T25" s="263">
        <v>15.153</v>
      </c>
      <c r="U25" s="263">
        <v>15.888999999999999</v>
      </c>
      <c r="V25" s="263">
        <v>16.324999999999999</v>
      </c>
      <c r="W25" s="263">
        <v>16.343</v>
      </c>
      <c r="X25" s="263">
        <v>16.454999999999998</v>
      </c>
      <c r="Y25" s="263">
        <v>16.899999999999999</v>
      </c>
      <c r="Z25" s="263">
        <v>17.478999999999999</v>
      </c>
      <c r="AA25" s="263">
        <v>17.771000000000001</v>
      </c>
      <c r="AB25" s="263">
        <v>19.044</v>
      </c>
      <c r="AC25" s="263">
        <v>20.004999999999999</v>
      </c>
      <c r="AD25" s="263">
        <v>17.523</v>
      </c>
      <c r="AE25" s="263">
        <v>17.98</v>
      </c>
      <c r="AF25" s="263">
        <v>18.437000000000001</v>
      </c>
      <c r="AG25" s="263">
        <v>18.895</v>
      </c>
      <c r="AH25" s="263">
        <f>19353/1000</f>
        <v>19.353000000000002</v>
      </c>
      <c r="AI25" s="263">
        <v>9.1649999999999991</v>
      </c>
      <c r="AJ25" s="263">
        <v>10.853</v>
      </c>
      <c r="AK25" s="263">
        <v>17.105</v>
      </c>
      <c r="AL25" s="463"/>
      <c r="AM25" s="463">
        <v>96.315580961005153</v>
      </c>
      <c r="AN25" s="463">
        <v>94.7</v>
      </c>
      <c r="AO25" s="463">
        <v>100</v>
      </c>
      <c r="AP25" s="463"/>
      <c r="AQ25" s="463">
        <v>99.5</v>
      </c>
      <c r="AR25" s="463">
        <v>100</v>
      </c>
      <c r="AS25" s="463">
        <v>100</v>
      </c>
      <c r="AT25" s="463">
        <v>100</v>
      </c>
      <c r="AU25" s="121">
        <v>99.969921796671343</v>
      </c>
      <c r="AV25" s="120">
        <v>99.919093851132686</v>
      </c>
      <c r="AW25" s="286">
        <f t="shared" si="3"/>
        <v>57.606191836358619</v>
      </c>
      <c r="AX25" s="258" t="s">
        <v>22</v>
      </c>
    </row>
    <row r="26" spans="1:50" ht="12.75" customHeight="1">
      <c r="A26" s="76"/>
      <c r="B26" s="79" t="s">
        <v>31</v>
      </c>
      <c r="C26" s="81">
        <v>6.4379999999999997</v>
      </c>
      <c r="D26" s="81">
        <v>7.5860000000000003</v>
      </c>
      <c r="E26" s="268">
        <v>8.9120000000000008</v>
      </c>
      <c r="F26" s="268">
        <v>9.59</v>
      </c>
      <c r="G26" s="268">
        <v>9.9570000000000007</v>
      </c>
      <c r="H26" s="268">
        <v>9.7639999999999993</v>
      </c>
      <c r="I26" s="268">
        <v>9.9489999999999998</v>
      </c>
      <c r="J26" s="268">
        <v>10.124000000000001</v>
      </c>
      <c r="K26" s="268">
        <v>10.222</v>
      </c>
      <c r="L26" s="268">
        <v>8.7089999999999996</v>
      </c>
      <c r="M26" s="268">
        <v>8.5370000000000008</v>
      </c>
      <c r="N26" s="268">
        <v>8.5540000000000003</v>
      </c>
      <c r="O26" s="268">
        <v>8.73978502490829</v>
      </c>
      <c r="P26" s="268">
        <v>8.7609313094415793</v>
      </c>
      <c r="Q26" s="268">
        <v>8.8098526138045195</v>
      </c>
      <c r="R26" s="268">
        <v>8.6731335633535007</v>
      </c>
      <c r="S26" s="268">
        <v>8.2739999999999991</v>
      </c>
      <c r="T26" s="268">
        <v>8.6850000000000005</v>
      </c>
      <c r="U26" s="268">
        <v>8.907</v>
      </c>
      <c r="V26" s="268">
        <v>9.1669999999999998</v>
      </c>
      <c r="W26" s="268">
        <v>10.365</v>
      </c>
      <c r="X26" s="268">
        <v>10.183999999999999</v>
      </c>
      <c r="Y26" s="268">
        <v>10.263</v>
      </c>
      <c r="Z26" s="268">
        <v>10.778</v>
      </c>
      <c r="AA26" s="268">
        <v>11.211</v>
      </c>
      <c r="AB26" s="268">
        <v>11.804</v>
      </c>
      <c r="AC26" s="268">
        <v>11.981</v>
      </c>
      <c r="AD26" s="268">
        <f>12.104</f>
        <v>12.103999999999999</v>
      </c>
      <c r="AE26" s="268">
        <f>12.497</f>
        <v>12.497</v>
      </c>
      <c r="AF26" s="268">
        <f>12.562</f>
        <v>12.561999999999999</v>
      </c>
      <c r="AG26" s="259">
        <f>13.122</f>
        <v>13.122</v>
      </c>
      <c r="AH26" s="259">
        <f>13252/1000</f>
        <v>13.252000000000001</v>
      </c>
      <c r="AI26" s="259">
        <f>7375/1000</f>
        <v>7.375</v>
      </c>
      <c r="AJ26" s="259">
        <v>8.3800000000000008</v>
      </c>
      <c r="AK26" s="259">
        <v>12.855</v>
      </c>
      <c r="AL26" s="464"/>
      <c r="AM26" s="464"/>
      <c r="AN26" s="463">
        <v>71.099999999999994</v>
      </c>
      <c r="AO26" s="463">
        <v>69.107289107289105</v>
      </c>
      <c r="AP26" s="463">
        <f>0.693914218706523*100</f>
        <v>69.391421870652309</v>
      </c>
      <c r="AQ26" s="463">
        <v>67.8</v>
      </c>
      <c r="AR26" s="463">
        <v>66.882901616864814</v>
      </c>
      <c r="AS26" s="463">
        <v>64.788237580541477</v>
      </c>
      <c r="AT26" s="463">
        <v>86.313689007536851</v>
      </c>
      <c r="AU26" s="121">
        <v>85.515123707337736</v>
      </c>
      <c r="AV26" s="120">
        <v>66.410606446238916</v>
      </c>
      <c r="AW26" s="196">
        <f t="shared" si="3"/>
        <v>53.400954653937958</v>
      </c>
      <c r="AX26" s="79" t="s">
        <v>31</v>
      </c>
    </row>
    <row r="27" spans="1:50" ht="12.75" customHeight="1">
      <c r="A27" s="76"/>
      <c r="B27" s="258" t="s">
        <v>15</v>
      </c>
      <c r="C27" s="91">
        <v>36.890999999999998</v>
      </c>
      <c r="D27" s="91">
        <v>46.323999999999998</v>
      </c>
      <c r="E27" s="263">
        <v>50.372999999999998</v>
      </c>
      <c r="F27" s="263">
        <v>40.115000000000002</v>
      </c>
      <c r="G27" s="263">
        <v>32.570999999999998</v>
      </c>
      <c r="H27" s="263">
        <v>30.864999999999998</v>
      </c>
      <c r="I27" s="263">
        <v>27.61</v>
      </c>
      <c r="J27" s="263">
        <v>26.635000000000002</v>
      </c>
      <c r="K27" s="263">
        <v>26.568999999999999</v>
      </c>
      <c r="L27" s="263">
        <v>25.806000000000001</v>
      </c>
      <c r="M27" s="263">
        <v>25.664000000000001</v>
      </c>
      <c r="N27" s="263">
        <v>26.198</v>
      </c>
      <c r="O27" s="263">
        <v>24.091999999999999</v>
      </c>
      <c r="P27" s="263">
        <v>22.469000000000001</v>
      </c>
      <c r="Q27" s="263">
        <v>20.748999999999999</v>
      </c>
      <c r="R27" s="263">
        <v>19.638000000000002</v>
      </c>
      <c r="S27" s="263">
        <v>18.690000000000001</v>
      </c>
      <c r="T27" s="263">
        <v>18.157</v>
      </c>
      <c r="U27" s="263">
        <v>18.552</v>
      </c>
      <c r="V27" s="263">
        <v>19.859000000000002</v>
      </c>
      <c r="W27" s="263">
        <v>20.195</v>
      </c>
      <c r="X27" s="263">
        <v>18.637</v>
      </c>
      <c r="Y27" s="263">
        <v>17.920999999999999</v>
      </c>
      <c r="Z27" s="263">
        <v>18.177</v>
      </c>
      <c r="AA27" s="263">
        <v>17.826000000000001</v>
      </c>
      <c r="AB27" s="263">
        <v>16.797000000000001</v>
      </c>
      <c r="AC27" s="263">
        <v>16.015000000000001</v>
      </c>
      <c r="AD27" s="263">
        <v>17.367000000000001</v>
      </c>
      <c r="AE27" s="263">
        <v>19.175000000000001</v>
      </c>
      <c r="AF27" s="263">
        <v>20.318999999999999</v>
      </c>
      <c r="AG27" s="263">
        <v>21.042999999999999</v>
      </c>
      <c r="AH27" s="263">
        <f>22056/1000</f>
        <v>22.056000000000001</v>
      </c>
      <c r="AI27" s="263">
        <f>12557/1000</f>
        <v>12.557</v>
      </c>
      <c r="AJ27" s="263">
        <f>15917/1000</f>
        <v>15.917</v>
      </c>
      <c r="AK27" s="263">
        <f>23827/1000</f>
        <v>23.827000000000002</v>
      </c>
      <c r="AL27" s="463">
        <v>81.909772752714645</v>
      </c>
      <c r="AM27" s="463">
        <v>86.513510296393278</v>
      </c>
      <c r="AN27" s="463">
        <v>86.2</v>
      </c>
      <c r="AO27" s="463">
        <v>82.21272664279941</v>
      </c>
      <c r="AP27" s="463">
        <f>0.854388116653039*100</f>
        <v>85.438811665303902</v>
      </c>
      <c r="AQ27" s="463">
        <v>88.9</v>
      </c>
      <c r="AR27" s="463">
        <v>88.556721725166327</v>
      </c>
      <c r="AS27" s="463">
        <v>88.153744357631012</v>
      </c>
      <c r="AT27" s="463">
        <v>90.842024527749885</v>
      </c>
      <c r="AU27" s="121">
        <v>90.797879742431718</v>
      </c>
      <c r="AV27" s="120">
        <v>92.204274911239096</v>
      </c>
      <c r="AW27" s="286">
        <f t="shared" si="3"/>
        <v>49.695294339385583</v>
      </c>
      <c r="AX27" s="258" t="s">
        <v>15</v>
      </c>
    </row>
    <row r="28" spans="1:50" ht="12.75" customHeight="1">
      <c r="A28" s="76"/>
      <c r="B28" s="79" t="s">
        <v>32</v>
      </c>
      <c r="C28" s="81">
        <v>3.5459999999999998</v>
      </c>
      <c r="D28" s="81">
        <v>6.0759999999999996</v>
      </c>
      <c r="E28" s="268">
        <v>5.6639999999999997</v>
      </c>
      <c r="F28" s="268">
        <v>5.6920000000000002</v>
      </c>
      <c r="G28" s="268">
        <v>5.694</v>
      </c>
      <c r="H28" s="268">
        <v>5.3970000000000002</v>
      </c>
      <c r="I28" s="268">
        <v>5.1100000000000003</v>
      </c>
      <c r="J28" s="268">
        <v>4.8090000000000002</v>
      </c>
      <c r="K28" s="268">
        <v>4.5019999999999998</v>
      </c>
      <c r="L28" s="268">
        <v>4.5679999999999996</v>
      </c>
      <c r="M28" s="268">
        <v>4.601</v>
      </c>
      <c r="N28" s="268">
        <v>4.3289999999999997</v>
      </c>
      <c r="O28" s="267">
        <v>4.032</v>
      </c>
      <c r="P28" s="267">
        <v>3.992</v>
      </c>
      <c r="Q28" s="268">
        <v>3.9249999999999998</v>
      </c>
      <c r="R28" s="268">
        <v>3.7530000000000001</v>
      </c>
      <c r="S28" s="268">
        <v>3.7519999999999998</v>
      </c>
      <c r="T28" s="268">
        <v>3.8090000000000002</v>
      </c>
      <c r="U28" s="268">
        <v>3.8759999999999999</v>
      </c>
      <c r="V28" s="268">
        <v>3.9870000000000001</v>
      </c>
      <c r="W28" s="268">
        <v>4.2130000000000001</v>
      </c>
      <c r="X28" s="268">
        <v>4.2130000000000001</v>
      </c>
      <c r="Y28" s="268">
        <v>4.1109999999999998</v>
      </c>
      <c r="Z28" s="268">
        <v>4.2370000000000001</v>
      </c>
      <c r="AA28" s="268">
        <v>3.8029999999999999</v>
      </c>
      <c r="AB28" s="268">
        <v>3.649</v>
      </c>
      <c r="AC28" s="268">
        <v>3.8519999999999999</v>
      </c>
      <c r="AD28" s="268">
        <v>3.9569999999999999</v>
      </c>
      <c r="AE28" s="268">
        <v>4.266</v>
      </c>
      <c r="AF28" s="268">
        <v>4.516</v>
      </c>
      <c r="AG28" s="259">
        <v>4.57</v>
      </c>
      <c r="AH28" s="259">
        <v>5.0549999999999997</v>
      </c>
      <c r="AI28" s="259">
        <v>2.5630000000000002</v>
      </c>
      <c r="AJ28" s="259">
        <v>2.9119999999999999</v>
      </c>
      <c r="AK28" s="259">
        <v>4.4189999999999996</v>
      </c>
      <c r="AL28" s="463"/>
      <c r="AM28" s="463">
        <v>67.753424657534239</v>
      </c>
      <c r="AN28" s="463">
        <v>65</v>
      </c>
      <c r="AO28" s="463"/>
      <c r="AP28" s="463"/>
      <c r="AQ28" s="463">
        <v>8.1999999999999993</v>
      </c>
      <c r="AR28" s="464">
        <v>85.276155663531398</v>
      </c>
      <c r="AS28" s="463">
        <v>10.521219945134742</v>
      </c>
      <c r="AT28" s="463">
        <v>90.275437840379254</v>
      </c>
      <c r="AU28" s="121">
        <v>80.30219780219781</v>
      </c>
      <c r="AV28" s="120"/>
      <c r="AW28" s="196">
        <f t="shared" si="3"/>
        <v>51.751373626373606</v>
      </c>
      <c r="AX28" s="79" t="s">
        <v>32</v>
      </c>
    </row>
    <row r="29" spans="1:50" ht="12.75" customHeight="1">
      <c r="A29" s="76"/>
      <c r="B29" s="258" t="s">
        <v>16</v>
      </c>
      <c r="C29" s="91">
        <v>17.792999999999999</v>
      </c>
      <c r="D29" s="91">
        <v>23.22</v>
      </c>
      <c r="E29" s="263">
        <v>30.582000000000001</v>
      </c>
      <c r="F29" s="263">
        <v>25.428999999999998</v>
      </c>
      <c r="G29" s="263">
        <v>24.268999999999998</v>
      </c>
      <c r="H29" s="263">
        <v>19.402000000000001</v>
      </c>
      <c r="I29" s="263">
        <v>18.312999999999999</v>
      </c>
      <c r="J29" s="263">
        <v>18.879000000000001</v>
      </c>
      <c r="K29" s="263">
        <v>18.356000000000002</v>
      </c>
      <c r="L29" s="263">
        <v>15.794</v>
      </c>
      <c r="M29" s="263">
        <v>13.422000000000001</v>
      </c>
      <c r="N29" s="263">
        <v>12.304</v>
      </c>
      <c r="O29" s="263">
        <v>11.632</v>
      </c>
      <c r="P29" s="263">
        <v>10.965</v>
      </c>
      <c r="Q29" s="263">
        <v>8.5020000000000007</v>
      </c>
      <c r="R29" s="263">
        <v>8.4969999999999999</v>
      </c>
      <c r="S29" s="263">
        <v>8.6379999999999999</v>
      </c>
      <c r="T29" s="263">
        <v>7.9850000000000003</v>
      </c>
      <c r="U29" s="263">
        <v>8.0920000000000005</v>
      </c>
      <c r="V29" s="263">
        <v>7.476</v>
      </c>
      <c r="W29" s="263">
        <v>6.9580000000000002</v>
      </c>
      <c r="X29" s="263">
        <v>6.1280000000000001</v>
      </c>
      <c r="Y29" s="263">
        <v>5.4370000000000003</v>
      </c>
      <c r="Z29" s="263">
        <v>5.0730000000000004</v>
      </c>
      <c r="AA29" s="263">
        <v>4.5709999999999997</v>
      </c>
      <c r="AB29" s="263">
        <v>4.4109999999999996</v>
      </c>
      <c r="AC29" s="263">
        <v>4.976</v>
      </c>
      <c r="AD29" s="263">
        <v>5.149</v>
      </c>
      <c r="AE29" s="263">
        <v>4.9880000000000004</v>
      </c>
      <c r="AF29" s="263">
        <v>5.6630000000000003</v>
      </c>
      <c r="AG29" s="263">
        <v>5.577</v>
      </c>
      <c r="AH29" s="263">
        <v>5.9059999999999997</v>
      </c>
      <c r="AI29" s="263">
        <v>3.72</v>
      </c>
      <c r="AJ29" s="263">
        <v>4.2709999999999999</v>
      </c>
      <c r="AK29" s="263">
        <v>5.7949999999999999</v>
      </c>
      <c r="AL29" s="463">
        <v>94.597550306211716</v>
      </c>
      <c r="AM29" s="463">
        <v>96.425379803395899</v>
      </c>
      <c r="AN29" s="463">
        <v>95.4</v>
      </c>
      <c r="AO29" s="463">
        <v>100</v>
      </c>
      <c r="AP29" s="463">
        <v>100</v>
      </c>
      <c r="AQ29" s="463"/>
      <c r="AR29" s="463"/>
      <c r="AS29" s="463"/>
      <c r="AT29" s="463">
        <v>100</v>
      </c>
      <c r="AU29" s="121">
        <v>210.74614760746147</v>
      </c>
      <c r="AV29" s="120"/>
      <c r="AW29" s="286">
        <f t="shared" si="3"/>
        <v>35.682509950831189</v>
      </c>
      <c r="AX29" s="258" t="s">
        <v>16</v>
      </c>
    </row>
    <row r="30" spans="1:50" ht="12.75" customHeight="1">
      <c r="A30" s="76"/>
      <c r="B30" s="79" t="s">
        <v>18</v>
      </c>
      <c r="C30" s="81">
        <v>1.38</v>
      </c>
      <c r="D30" s="81">
        <v>1.4359999999999999</v>
      </c>
      <c r="E30" s="268">
        <v>1.429</v>
      </c>
      <c r="F30" s="268">
        <v>0.81399999999999995</v>
      </c>
      <c r="G30" s="268">
        <v>0.54700000000000004</v>
      </c>
      <c r="H30" s="268">
        <v>0.56599999999999995</v>
      </c>
      <c r="I30" s="268">
        <v>0.59</v>
      </c>
      <c r="J30" s="268">
        <v>0.59499999999999997</v>
      </c>
      <c r="K30" s="268">
        <v>0.61299999999999999</v>
      </c>
      <c r="L30" s="268">
        <v>0.61599999999999999</v>
      </c>
      <c r="M30" s="268">
        <v>0.64500000000000002</v>
      </c>
      <c r="N30" s="268">
        <v>0.623</v>
      </c>
      <c r="O30" s="268">
        <v>0.70499999999999996</v>
      </c>
      <c r="P30" s="268">
        <v>0.71499999999999997</v>
      </c>
      <c r="Q30" s="268">
        <v>0.749</v>
      </c>
      <c r="R30" s="268">
        <v>0.77700000000000002</v>
      </c>
      <c r="S30" s="268">
        <v>0.69499999999999995</v>
      </c>
      <c r="T30" s="268">
        <v>0.71599999999999997</v>
      </c>
      <c r="U30" s="268">
        <v>0.72399999999999998</v>
      </c>
      <c r="V30" s="268">
        <v>0.74</v>
      </c>
      <c r="W30" s="268">
        <v>0.76500000000000001</v>
      </c>
      <c r="X30" s="268">
        <v>0.77300000000000002</v>
      </c>
      <c r="Y30" s="268">
        <v>0.72899999999999998</v>
      </c>
      <c r="Z30" s="268">
        <v>0.68899999999999995</v>
      </c>
      <c r="AA30" s="268">
        <v>0.65900000000000003</v>
      </c>
      <c r="AB30" s="268">
        <v>0.67900000000000005</v>
      </c>
      <c r="AC30" s="268">
        <v>0.62</v>
      </c>
      <c r="AD30" s="268">
        <v>0.628</v>
      </c>
      <c r="AE30" s="268">
        <v>0.61099999999999999</v>
      </c>
      <c r="AF30" s="268">
        <v>0.56999999999999995</v>
      </c>
      <c r="AG30" s="259">
        <v>0.56799999999999995</v>
      </c>
      <c r="AH30" s="259">
        <v>0.57199999999999995</v>
      </c>
      <c r="AI30" s="259">
        <v>0.33800000000000002</v>
      </c>
      <c r="AJ30" s="259">
        <v>0.504</v>
      </c>
      <c r="AK30" s="259">
        <v>0.64500000000000002</v>
      </c>
      <c r="AL30" s="463">
        <v>83.870967741935488</v>
      </c>
      <c r="AM30" s="136">
        <v>98.291721419185279</v>
      </c>
      <c r="AN30" s="463">
        <v>98.5</v>
      </c>
      <c r="AO30" s="463">
        <v>94.555712270803951</v>
      </c>
      <c r="AP30" s="463">
        <v>97.412145272754003</v>
      </c>
      <c r="AQ30" s="463">
        <v>98.4</v>
      </c>
      <c r="AR30" s="463">
        <v>98.475377344107329</v>
      </c>
      <c r="AS30" s="463"/>
      <c r="AT30" s="463">
        <v>90.929705215419503</v>
      </c>
      <c r="AU30" s="121">
        <v>99.333209853676607</v>
      </c>
      <c r="AV30" s="120">
        <v>98.659003831417621</v>
      </c>
      <c r="AW30" s="196">
        <f t="shared" si="3"/>
        <v>27.976190476190482</v>
      </c>
      <c r="AX30" s="79" t="s">
        <v>18</v>
      </c>
    </row>
    <row r="31" spans="1:50" ht="12.75" customHeight="1">
      <c r="A31" s="76"/>
      <c r="B31" s="258" t="s">
        <v>17</v>
      </c>
      <c r="C31" s="91"/>
      <c r="D31" s="91"/>
      <c r="E31" s="263">
        <v>6.3810000000000002</v>
      </c>
      <c r="F31" s="263">
        <v>6.0019999999999998</v>
      </c>
      <c r="G31" s="263">
        <v>5.4530000000000003</v>
      </c>
      <c r="H31" s="263">
        <v>4.569</v>
      </c>
      <c r="I31" s="263">
        <v>4.548</v>
      </c>
      <c r="J31" s="263">
        <v>4.202</v>
      </c>
      <c r="K31" s="263">
        <v>3.7690000000000001</v>
      </c>
      <c r="L31" s="263">
        <v>3.0950000000000002</v>
      </c>
      <c r="M31" s="263">
        <v>3.0920000000000001</v>
      </c>
      <c r="N31" s="263">
        <v>2.968</v>
      </c>
      <c r="O31" s="263">
        <v>2.87</v>
      </c>
      <c r="P31" s="263">
        <v>2.8050000000000002</v>
      </c>
      <c r="Q31" s="263">
        <v>2.6819999999999999</v>
      </c>
      <c r="R31" s="263">
        <v>2.3159999999999998</v>
      </c>
      <c r="S31" s="263">
        <v>2.2280000000000002</v>
      </c>
      <c r="T31" s="263">
        <v>2.1819999999999999</v>
      </c>
      <c r="U31" s="263">
        <v>2.2130000000000001</v>
      </c>
      <c r="V31" s="263">
        <v>2.165</v>
      </c>
      <c r="W31" s="263">
        <v>2.2959999999999998</v>
      </c>
      <c r="X31" s="263">
        <v>2.2639999999999998</v>
      </c>
      <c r="Y31" s="263">
        <v>2.3090000000000002</v>
      </c>
      <c r="Z31" s="263">
        <v>2.431</v>
      </c>
      <c r="AA31" s="263">
        <v>2.4590000000000001</v>
      </c>
      <c r="AB31" s="263">
        <v>2.4849999999999999</v>
      </c>
      <c r="AC31" s="263">
        <v>2.5830000000000002</v>
      </c>
      <c r="AD31" s="263">
        <v>3.411</v>
      </c>
      <c r="AE31" s="263">
        <v>3.484</v>
      </c>
      <c r="AF31" s="263">
        <v>3.754</v>
      </c>
      <c r="AG31" s="263">
        <v>3.7919999999999998</v>
      </c>
      <c r="AH31" s="263">
        <v>3.9569999999999999</v>
      </c>
      <c r="AI31" s="263">
        <v>2.133</v>
      </c>
      <c r="AJ31" s="263">
        <v>1.9690000000000001</v>
      </c>
      <c r="AK31" s="263">
        <v>3.1680000000000001</v>
      </c>
      <c r="AL31" s="463">
        <v>92.288557213930346</v>
      </c>
      <c r="AM31" s="463">
        <v>90.214698596201487</v>
      </c>
      <c r="AN31" s="463">
        <v>91</v>
      </c>
      <c r="AO31" s="463">
        <v>99.7</v>
      </c>
      <c r="AP31" s="463">
        <v>91.718960107575072</v>
      </c>
      <c r="AQ31" s="463">
        <v>93.6</v>
      </c>
      <c r="AR31" s="463">
        <v>91.489892687796356</v>
      </c>
      <c r="AS31" s="463">
        <v>3593.3014354066981</v>
      </c>
      <c r="AT31" s="463">
        <v>97.042233492913681</v>
      </c>
      <c r="AU31" s="121">
        <v>99.308614155485003</v>
      </c>
      <c r="AV31" s="120">
        <v>95.125352505500629</v>
      </c>
      <c r="AW31" s="286">
        <f t="shared" si="3"/>
        <v>60.89385474860336</v>
      </c>
      <c r="AX31" s="258" t="s">
        <v>17</v>
      </c>
    </row>
    <row r="32" spans="1:50" ht="12.75" customHeight="1">
      <c r="A32" s="76"/>
      <c r="B32" s="79" t="s">
        <v>33</v>
      </c>
      <c r="C32" s="81">
        <v>2.1560000000000001</v>
      </c>
      <c r="D32" s="81">
        <v>3.2160000000000002</v>
      </c>
      <c r="E32" s="268">
        <v>3.331</v>
      </c>
      <c r="F32" s="268">
        <v>3.23</v>
      </c>
      <c r="G32" s="268">
        <v>3.0569999999999999</v>
      </c>
      <c r="H32" s="268">
        <v>3.0070000000000001</v>
      </c>
      <c r="I32" s="268">
        <v>3.0369999999999999</v>
      </c>
      <c r="J32" s="268">
        <v>3.1840000000000002</v>
      </c>
      <c r="K32" s="268">
        <v>3.254</v>
      </c>
      <c r="L32" s="268">
        <v>3.3759999999999999</v>
      </c>
      <c r="M32" s="268">
        <v>3.3769999999999998</v>
      </c>
      <c r="N32" s="268">
        <v>3.415</v>
      </c>
      <c r="O32" s="268">
        <v>3.4049999999999998</v>
      </c>
      <c r="P32" s="268">
        <v>3.282</v>
      </c>
      <c r="Q32" s="268">
        <v>3.3180000000000001</v>
      </c>
      <c r="R32" s="268">
        <v>3.3380000000000001</v>
      </c>
      <c r="S32" s="268">
        <v>3.3519999999999999</v>
      </c>
      <c r="T32" s="268">
        <v>3.4780000000000002</v>
      </c>
      <c r="U32" s="268">
        <v>3.54</v>
      </c>
      <c r="V32" s="268">
        <v>3.778</v>
      </c>
      <c r="W32" s="268">
        <v>4.0519999999999996</v>
      </c>
      <c r="X32" s="268">
        <v>3.8759999999999999</v>
      </c>
      <c r="Y32" s="268">
        <v>3.9590000000000001</v>
      </c>
      <c r="Z32" s="268">
        <v>3.8820000000000001</v>
      </c>
      <c r="AA32" s="268">
        <v>4.0350000000000001</v>
      </c>
      <c r="AB32" s="268">
        <v>4.0529999999999999</v>
      </c>
      <c r="AC32" s="268">
        <v>3.8740000000000001</v>
      </c>
      <c r="AD32" s="268">
        <v>4.1139999999999999</v>
      </c>
      <c r="AE32" s="268">
        <v>3.8679999999999999</v>
      </c>
      <c r="AF32" s="268">
        <v>4.2709999999999999</v>
      </c>
      <c r="AG32" s="259">
        <v>4.5350000000000001</v>
      </c>
      <c r="AH32" s="259">
        <v>4.9240000000000004</v>
      </c>
      <c r="AI32" s="259">
        <v>2.82</v>
      </c>
      <c r="AJ32" s="259">
        <v>2.903</v>
      </c>
      <c r="AK32" s="259">
        <v>4.5720000000000001</v>
      </c>
      <c r="AL32" s="463">
        <f>0.968277571251549*100</f>
        <v>96.827757125154903</v>
      </c>
      <c r="AM32" s="463">
        <f>0.961756723414754*100</f>
        <v>96.175672341475405</v>
      </c>
      <c r="AN32" s="463">
        <v>96.5</v>
      </c>
      <c r="AO32" s="463">
        <v>97.301239970824213</v>
      </c>
      <c r="AP32" s="463">
        <f>0.969751809720786*100</f>
        <v>96.975180972078604</v>
      </c>
      <c r="AQ32" s="463">
        <v>96.7</v>
      </c>
      <c r="AR32" s="463">
        <v>96.846747519294368</v>
      </c>
      <c r="AS32" s="463">
        <v>96.649065800162475</v>
      </c>
      <c r="AT32" s="463">
        <v>98.900709219858157</v>
      </c>
      <c r="AU32" s="121">
        <v>40.406476059249052</v>
      </c>
      <c r="AV32" s="120">
        <v>46.264044943820224</v>
      </c>
      <c r="AW32" s="196">
        <f t="shared" si="3"/>
        <v>57.492249397175357</v>
      </c>
      <c r="AX32" s="79" t="s">
        <v>33</v>
      </c>
    </row>
    <row r="33" spans="1:50" ht="12.75" customHeight="1">
      <c r="A33" s="76"/>
      <c r="B33" s="273" t="s">
        <v>34</v>
      </c>
      <c r="C33" s="467">
        <v>4.6399999999999997</v>
      </c>
      <c r="D33" s="467">
        <v>6.9980000000000002</v>
      </c>
      <c r="E33" s="276">
        <v>6.6</v>
      </c>
      <c r="F33" s="276">
        <v>5.9850000000000003</v>
      </c>
      <c r="G33" s="276">
        <v>5.9630000000000001</v>
      </c>
      <c r="H33" s="276">
        <v>6.4219999999999997</v>
      </c>
      <c r="I33" s="276">
        <v>6.5069999999999997</v>
      </c>
      <c r="J33" s="276">
        <v>6.8390000000000004</v>
      </c>
      <c r="K33" s="276">
        <v>6.97</v>
      </c>
      <c r="L33" s="276">
        <v>7.0389999999999997</v>
      </c>
      <c r="M33" s="276">
        <v>7.23</v>
      </c>
      <c r="N33" s="276">
        <v>7.7009999999999996</v>
      </c>
      <c r="O33" s="276">
        <v>8.2430000000000003</v>
      </c>
      <c r="P33" s="276">
        <v>8.7319999999999993</v>
      </c>
      <c r="Q33" s="276">
        <v>8.8740000000000006</v>
      </c>
      <c r="R33" s="276">
        <v>8.8339999999999996</v>
      </c>
      <c r="S33" s="276">
        <v>8.6340000000000003</v>
      </c>
      <c r="T33" s="276">
        <v>8.91</v>
      </c>
      <c r="U33" s="276">
        <v>9.6170000000000009</v>
      </c>
      <c r="V33" s="276">
        <v>10.260999999999999</v>
      </c>
      <c r="W33" s="276">
        <v>11.146000000000001</v>
      </c>
      <c r="X33" s="276">
        <v>11.321</v>
      </c>
      <c r="Y33" s="276">
        <v>11.154999999999999</v>
      </c>
      <c r="Z33" s="276">
        <v>11.379</v>
      </c>
      <c r="AA33" s="276">
        <v>11.792</v>
      </c>
      <c r="AB33" s="276">
        <v>11.842000000000001</v>
      </c>
      <c r="AC33" s="276">
        <v>12.121</v>
      </c>
      <c r="AD33" s="276">
        <v>12.741</v>
      </c>
      <c r="AE33" s="276">
        <v>12.8</v>
      </c>
      <c r="AF33" s="276">
        <v>13.331</v>
      </c>
      <c r="AG33" s="276">
        <v>13.547000000000001</v>
      </c>
      <c r="AH33" s="276">
        <v>14.617000000000001</v>
      </c>
      <c r="AI33" s="276">
        <v>8.1289999999999996</v>
      </c>
      <c r="AJ33" s="276">
        <v>8.0269999999999992</v>
      </c>
      <c r="AK33" s="276">
        <v>12.879</v>
      </c>
      <c r="AL33" s="228">
        <v>46.530332848464106</v>
      </c>
      <c r="AM33" s="228">
        <v>50</v>
      </c>
      <c r="AN33" s="228">
        <v>49.8</v>
      </c>
      <c r="AO33" s="228">
        <v>49.941134918766188</v>
      </c>
      <c r="AP33" s="228">
        <f>0.494453125*100</f>
        <v>49.4453125</v>
      </c>
      <c r="AQ33" s="228">
        <v>51.3</v>
      </c>
      <c r="AR33" s="228">
        <v>50.313722595408571</v>
      </c>
      <c r="AS33" s="228">
        <v>53.027296982965041</v>
      </c>
      <c r="AT33" s="228">
        <v>61.114528232254898</v>
      </c>
      <c r="AU33" s="479">
        <v>55.014326647564474</v>
      </c>
      <c r="AV33" s="350">
        <v>57.271527292491655</v>
      </c>
      <c r="AW33" s="363">
        <f t="shared" si="3"/>
        <v>60.445994767659158</v>
      </c>
      <c r="AX33" s="273" t="s">
        <v>34</v>
      </c>
    </row>
    <row r="34" spans="1:50" ht="12.75" customHeight="1">
      <c r="A34" s="76"/>
      <c r="B34" s="79" t="s">
        <v>5</v>
      </c>
      <c r="C34" s="468" t="s">
        <v>38</v>
      </c>
      <c r="D34" s="468" t="s">
        <v>38</v>
      </c>
      <c r="E34" s="469" t="s">
        <v>38</v>
      </c>
      <c r="F34" s="469" t="s">
        <v>38</v>
      </c>
      <c r="G34" s="469" t="s">
        <v>38</v>
      </c>
      <c r="H34" s="469" t="s">
        <v>38</v>
      </c>
      <c r="I34" s="469" t="s">
        <v>38</v>
      </c>
      <c r="J34" s="469" t="s">
        <v>38</v>
      </c>
      <c r="K34" s="469" t="s">
        <v>38</v>
      </c>
      <c r="L34" s="469" t="s">
        <v>38</v>
      </c>
      <c r="M34" s="469" t="s">
        <v>38</v>
      </c>
      <c r="N34" s="469" t="s">
        <v>38</v>
      </c>
      <c r="O34" s="469" t="s">
        <v>38</v>
      </c>
      <c r="P34" s="469" t="s">
        <v>38</v>
      </c>
      <c r="Q34" s="469" t="s">
        <v>38</v>
      </c>
      <c r="R34" s="469" t="s">
        <v>38</v>
      </c>
      <c r="S34" s="469" t="s">
        <v>38</v>
      </c>
      <c r="T34" s="469" t="s">
        <v>38</v>
      </c>
      <c r="U34" s="469" t="s">
        <v>38</v>
      </c>
      <c r="V34" s="469" t="s">
        <v>38</v>
      </c>
      <c r="W34" s="469" t="s">
        <v>38</v>
      </c>
      <c r="X34" s="469" t="s">
        <v>38</v>
      </c>
      <c r="Y34" s="469" t="s">
        <v>38</v>
      </c>
      <c r="Z34" s="469" t="s">
        <v>38</v>
      </c>
      <c r="AA34" s="469" t="s">
        <v>38</v>
      </c>
      <c r="AB34" s="469" t="s">
        <v>38</v>
      </c>
      <c r="AC34" s="469" t="s">
        <v>38</v>
      </c>
      <c r="AD34" s="469" t="s">
        <v>38</v>
      </c>
      <c r="AE34" s="469" t="s">
        <v>38</v>
      </c>
      <c r="AF34" s="466" t="s">
        <v>38</v>
      </c>
      <c r="AG34" s="466" t="s">
        <v>38</v>
      </c>
      <c r="AH34" s="466" t="s">
        <v>38</v>
      </c>
      <c r="AI34" s="466" t="s">
        <v>38</v>
      </c>
      <c r="AJ34" s="469" t="s">
        <v>38</v>
      </c>
      <c r="AK34" s="469" t="s">
        <v>38</v>
      </c>
      <c r="AL34" s="227" t="s">
        <v>38</v>
      </c>
      <c r="AM34" s="227" t="s">
        <v>38</v>
      </c>
      <c r="AN34" s="227" t="s">
        <v>38</v>
      </c>
      <c r="AO34" s="227" t="s">
        <v>38</v>
      </c>
      <c r="AP34" s="227" t="s">
        <v>38</v>
      </c>
      <c r="AQ34" s="227" t="s">
        <v>38</v>
      </c>
      <c r="AR34" s="227" t="s">
        <v>38</v>
      </c>
      <c r="AS34" s="227" t="s">
        <v>38</v>
      </c>
      <c r="AT34" s="227" t="s">
        <v>38</v>
      </c>
      <c r="AU34" s="227" t="s">
        <v>38</v>
      </c>
      <c r="AV34" s="227" t="s">
        <v>38</v>
      </c>
      <c r="AW34" s="196" t="s">
        <v>38</v>
      </c>
      <c r="AX34" s="79" t="s">
        <v>5</v>
      </c>
    </row>
    <row r="35" spans="1:50" ht="12.75" customHeight="1">
      <c r="A35" s="76"/>
      <c r="B35" s="258" t="s">
        <v>35</v>
      </c>
      <c r="C35" s="91">
        <v>1.86</v>
      </c>
      <c r="D35" s="91">
        <v>2.3940000000000001</v>
      </c>
      <c r="E35" s="263">
        <v>2.1040000000000001</v>
      </c>
      <c r="F35" s="263">
        <v>2.15</v>
      </c>
      <c r="G35" s="263">
        <v>2.2559999999999998</v>
      </c>
      <c r="H35" s="263">
        <v>2.3159999999999998</v>
      </c>
      <c r="I35" s="263">
        <v>2.3980000000000001</v>
      </c>
      <c r="J35" s="263">
        <v>2.3809999999999998</v>
      </c>
      <c r="K35" s="263">
        <v>2.4489999999999998</v>
      </c>
      <c r="L35" s="263">
        <v>2.5609999999999999</v>
      </c>
      <c r="M35" s="263">
        <v>2.59</v>
      </c>
      <c r="N35" s="263">
        <v>2.6739999999999999</v>
      </c>
      <c r="O35" s="263">
        <v>2.6349999999999998</v>
      </c>
      <c r="P35" s="263">
        <v>2.677</v>
      </c>
      <c r="Q35" s="263">
        <v>2.4769999999999999</v>
      </c>
      <c r="R35" s="263">
        <v>2.3809999999999998</v>
      </c>
      <c r="S35" s="263">
        <v>2.62</v>
      </c>
      <c r="T35" s="263">
        <v>2.7229999999999999</v>
      </c>
      <c r="U35" s="263">
        <v>2.8330000000000002</v>
      </c>
      <c r="V35" s="263">
        <v>2.9580000000000002</v>
      </c>
      <c r="W35" s="263">
        <v>3.1230000000000002</v>
      </c>
      <c r="X35" s="263">
        <v>3.08</v>
      </c>
      <c r="Y35" s="263">
        <v>3.1859999999999999</v>
      </c>
      <c r="Z35" s="263">
        <v>3.0760000000000001</v>
      </c>
      <c r="AA35" s="263">
        <v>3.0920000000000001</v>
      </c>
      <c r="AB35" s="263">
        <v>3.26</v>
      </c>
      <c r="AC35" s="263">
        <v>3.44</v>
      </c>
      <c r="AD35" s="263">
        <v>3.5550000000000002</v>
      </c>
      <c r="AE35" s="263">
        <v>3.6949999999999998</v>
      </c>
      <c r="AF35" s="263">
        <v>3.605</v>
      </c>
      <c r="AG35" s="263">
        <v>3.7589999999999999</v>
      </c>
      <c r="AH35" s="263">
        <f>3811/1000</f>
        <v>3.8109999999999999</v>
      </c>
      <c r="AI35" s="263">
        <v>1.8009999999999999</v>
      </c>
      <c r="AJ35" s="263">
        <v>1.78</v>
      </c>
      <c r="AK35" s="263">
        <v>3.0790000000000002</v>
      </c>
      <c r="AL35" s="463">
        <v>74.141161773891312</v>
      </c>
      <c r="AM35" s="463">
        <v>74.577832361068459</v>
      </c>
      <c r="AN35" s="463">
        <v>74.400000000000006</v>
      </c>
      <c r="AO35" s="463">
        <v>44.872513309050156</v>
      </c>
      <c r="AP35" s="463">
        <f>0.988950874722418*100</f>
        <v>98.895087472241812</v>
      </c>
      <c r="AQ35" s="463">
        <f>0.988950874722418*100</f>
        <v>98.895087472241812</v>
      </c>
      <c r="AR35" s="463">
        <v>99.085824908582481</v>
      </c>
      <c r="AS35" s="463">
        <v>99.864901378005939</v>
      </c>
      <c r="AT35" s="463">
        <v>99.944933920704841</v>
      </c>
      <c r="AU35" s="121">
        <v>99.841772151898738</v>
      </c>
      <c r="AV35" s="120">
        <v>99.822948586993533</v>
      </c>
      <c r="AW35" s="286">
        <f t="shared" si="3"/>
        <v>72.977528089887642</v>
      </c>
      <c r="AX35" s="258" t="s">
        <v>35</v>
      </c>
    </row>
    <row r="36" spans="1:50" ht="12.75" customHeight="1">
      <c r="A36" s="76"/>
      <c r="B36" s="150" t="s">
        <v>6</v>
      </c>
      <c r="C36" s="143">
        <v>9.3390000000000004</v>
      </c>
      <c r="D36" s="143">
        <v>9.9640000000000004</v>
      </c>
      <c r="E36" s="219">
        <v>12.68</v>
      </c>
      <c r="F36" s="219">
        <v>13.83</v>
      </c>
      <c r="G36" s="219">
        <v>13.21</v>
      </c>
      <c r="H36" s="219">
        <v>13.38</v>
      </c>
      <c r="I36" s="219">
        <v>13.84</v>
      </c>
      <c r="J36" s="219">
        <v>11.71</v>
      </c>
      <c r="K36" s="219">
        <v>11.89</v>
      </c>
      <c r="L36" s="219">
        <v>12.05</v>
      </c>
      <c r="M36" s="219">
        <v>12.15</v>
      </c>
      <c r="N36" s="219">
        <v>12.5</v>
      </c>
      <c r="O36" s="219">
        <v>12.62</v>
      </c>
      <c r="P36" s="219">
        <v>13.301</v>
      </c>
      <c r="Q36" s="219">
        <v>14.147</v>
      </c>
      <c r="R36" s="219">
        <v>14.509</v>
      </c>
      <c r="S36" s="219">
        <v>14.914</v>
      </c>
      <c r="T36" s="219">
        <v>16.143999999999998</v>
      </c>
      <c r="U36" s="219">
        <v>16.577999999999999</v>
      </c>
      <c r="V36" s="219">
        <v>17.434000000000001</v>
      </c>
      <c r="W36" s="219">
        <v>17.775500000000001</v>
      </c>
      <c r="X36" s="219">
        <v>18.570700000000002</v>
      </c>
      <c r="Y36" s="219">
        <v>19.176599999999997</v>
      </c>
      <c r="Z36" s="219">
        <v>19.471400000000003</v>
      </c>
      <c r="AA36" s="219">
        <v>19.262400000000003</v>
      </c>
      <c r="AB36" s="219">
        <v>19.367999999999999</v>
      </c>
      <c r="AC36" s="219">
        <v>19.934000000000001</v>
      </c>
      <c r="AD36" s="219">
        <v>20.228000000000002</v>
      </c>
      <c r="AE36" s="219">
        <v>20.657</v>
      </c>
      <c r="AF36" s="219">
        <v>20.707000000000001</v>
      </c>
      <c r="AG36" s="344">
        <v>20.451000000000001</v>
      </c>
      <c r="AH36" s="344">
        <v>21.559000000000001</v>
      </c>
      <c r="AI36" s="344">
        <v>13.260999999999999</v>
      </c>
      <c r="AJ36" s="344">
        <v>14.223000000000001</v>
      </c>
      <c r="AK36" s="344">
        <v>19.201000000000001</v>
      </c>
      <c r="AL36" s="229"/>
      <c r="AM36" s="229"/>
      <c r="AN36" s="229"/>
      <c r="AO36" s="229"/>
      <c r="AP36" s="229"/>
      <c r="AQ36" s="229"/>
      <c r="AR36" s="229"/>
      <c r="AS36" s="228"/>
      <c r="AT36" s="228"/>
      <c r="AU36" s="479"/>
      <c r="AV36" s="350"/>
      <c r="AW36" s="218">
        <f t="shared" si="3"/>
        <v>34.999648456725026</v>
      </c>
      <c r="AX36" s="150" t="s">
        <v>6</v>
      </c>
    </row>
    <row r="37" spans="1:50" ht="12.75" customHeight="1">
      <c r="A37" s="76"/>
      <c r="B37" s="258" t="s">
        <v>124</v>
      </c>
      <c r="C37" s="91"/>
      <c r="D37" s="91"/>
      <c r="E37" s="263"/>
      <c r="F37" s="263"/>
      <c r="G37" s="263"/>
      <c r="H37" s="263"/>
      <c r="I37" s="263"/>
      <c r="J37" s="263"/>
      <c r="K37" s="263"/>
      <c r="L37" s="263"/>
      <c r="M37" s="263"/>
      <c r="N37" s="263"/>
      <c r="O37" s="263"/>
      <c r="P37" s="263"/>
      <c r="Q37" s="263"/>
      <c r="R37" s="263"/>
      <c r="S37" s="263"/>
      <c r="T37" s="263"/>
      <c r="U37" s="263"/>
      <c r="V37" s="263"/>
      <c r="W37" s="263"/>
      <c r="X37" s="263"/>
      <c r="Y37" s="263"/>
      <c r="Z37" s="263"/>
      <c r="AA37" s="263"/>
      <c r="AB37" s="263"/>
      <c r="AC37" s="263">
        <v>3.5000000000000003E-2</v>
      </c>
      <c r="AD37" s="263">
        <v>3.4000000000000002E-2</v>
      </c>
      <c r="AE37" s="263">
        <v>2.4E-2</v>
      </c>
      <c r="AF37" s="263">
        <v>2.9000000000000001E-2</v>
      </c>
      <c r="AG37" s="263">
        <v>3.9E-2</v>
      </c>
      <c r="AH37" s="263">
        <v>5.6000000000000001E-2</v>
      </c>
      <c r="AI37" s="263">
        <v>1.4E-2</v>
      </c>
      <c r="AJ37" s="263">
        <v>1.7999999999999999E-2</v>
      </c>
      <c r="AK37" s="263">
        <v>3.2000000000000001E-2</v>
      </c>
      <c r="AL37" s="463"/>
      <c r="AM37" s="463"/>
      <c r="AN37" s="463"/>
      <c r="AO37" s="463"/>
      <c r="AP37" s="463"/>
      <c r="AQ37" s="463"/>
      <c r="AR37" s="227"/>
      <c r="AS37" s="227"/>
      <c r="AT37" s="227"/>
      <c r="AU37" s="121"/>
      <c r="AV37" s="120"/>
      <c r="AW37" s="286">
        <f t="shared" si="3"/>
        <v>77.7777777777778</v>
      </c>
      <c r="AX37" s="258" t="s">
        <v>124</v>
      </c>
    </row>
    <row r="38" spans="1:50" ht="12.75" customHeight="1">
      <c r="A38" s="76"/>
      <c r="B38" s="79" t="s">
        <v>76</v>
      </c>
      <c r="C38" s="81"/>
      <c r="D38" s="81"/>
      <c r="E38" s="268"/>
      <c r="F38" s="268"/>
      <c r="G38" s="268"/>
      <c r="H38" s="268"/>
      <c r="I38" s="268"/>
      <c r="J38" s="268"/>
      <c r="K38" s="268"/>
      <c r="L38" s="268"/>
      <c r="M38" s="268"/>
      <c r="N38" s="268"/>
      <c r="O38" s="268"/>
      <c r="P38" s="268"/>
      <c r="Q38" s="268"/>
      <c r="R38" s="268"/>
      <c r="S38" s="268"/>
      <c r="T38" s="268"/>
      <c r="U38" s="268"/>
      <c r="V38" s="268"/>
      <c r="W38" s="268"/>
      <c r="X38" s="268"/>
      <c r="Y38" s="268">
        <v>9.0660000000000004E-2</v>
      </c>
      <c r="Z38" s="268">
        <v>6.5100000000000005E-2</v>
      </c>
      <c r="AA38" s="268">
        <v>6.2E-2</v>
      </c>
      <c r="AB38" s="268">
        <v>7.2999999999999995E-2</v>
      </c>
      <c r="AC38" s="268">
        <v>7.5999999999999998E-2</v>
      </c>
      <c r="AD38" s="268">
        <v>8.1000000000000003E-2</v>
      </c>
      <c r="AE38" s="268">
        <f>83897/1000000</f>
        <v>8.3896999999999999E-2</v>
      </c>
      <c r="AF38" s="268">
        <v>0.06</v>
      </c>
      <c r="AG38" s="268">
        <v>6.7000000000000004E-2</v>
      </c>
      <c r="AH38" s="268">
        <v>6.6000000000000003E-2</v>
      </c>
      <c r="AI38" s="268">
        <v>2.8000000000000001E-2</v>
      </c>
      <c r="AJ38" s="268">
        <f>37093/1000000</f>
        <v>3.7093000000000001E-2</v>
      </c>
      <c r="AK38" s="268">
        <f>51820/1000000</f>
        <v>5.1819999999999998E-2</v>
      </c>
      <c r="AL38" s="470"/>
      <c r="AM38" s="470"/>
      <c r="AN38" s="470"/>
      <c r="AO38" s="470"/>
      <c r="AP38" s="470"/>
      <c r="AQ38" s="470"/>
      <c r="AR38" s="470"/>
      <c r="AS38" s="470"/>
      <c r="AT38" s="470"/>
      <c r="AU38" s="121"/>
      <c r="AV38" s="120"/>
      <c r="AW38" s="196">
        <f t="shared" si="3"/>
        <v>39.702908904645085</v>
      </c>
      <c r="AX38" s="79" t="s">
        <v>76</v>
      </c>
    </row>
    <row r="39" spans="1:50" ht="12.75" customHeight="1">
      <c r="A39" s="76"/>
      <c r="B39" s="258" t="s">
        <v>125</v>
      </c>
      <c r="C39" s="91"/>
      <c r="D39" s="91"/>
      <c r="E39" s="263"/>
      <c r="F39" s="263"/>
      <c r="G39" s="263"/>
      <c r="H39" s="263"/>
      <c r="I39" s="263"/>
      <c r="J39" s="263"/>
      <c r="K39" s="263"/>
      <c r="L39" s="263"/>
      <c r="M39" s="263"/>
      <c r="N39" s="263"/>
      <c r="O39" s="263">
        <v>0.315</v>
      </c>
      <c r="P39" s="263">
        <v>0.32500000000000001</v>
      </c>
      <c r="Q39" s="263">
        <v>0.35499999999999998</v>
      </c>
      <c r="R39" s="263">
        <v>0.35199999999999998</v>
      </c>
      <c r="S39" s="263">
        <v>0.34599999999999997</v>
      </c>
      <c r="T39" s="263">
        <v>0.35499999999999998</v>
      </c>
      <c r="U39" s="263">
        <v>0.47099999999999997</v>
      </c>
      <c r="V39" s="263">
        <v>0.46800000000000003</v>
      </c>
      <c r="W39" s="263">
        <v>0.48599999999999999</v>
      </c>
      <c r="X39" s="263">
        <v>0.42299999999999999</v>
      </c>
      <c r="Y39" s="263">
        <v>0.39900000000000002</v>
      </c>
      <c r="Z39" s="263">
        <v>0.36299999999999999</v>
      </c>
      <c r="AA39" s="263">
        <v>0.34699999999999998</v>
      </c>
      <c r="AB39" s="263">
        <v>0.33</v>
      </c>
      <c r="AC39" s="263">
        <v>0.25700000000000001</v>
      </c>
      <c r="AD39" s="263">
        <v>0.18099999999999999</v>
      </c>
      <c r="AE39" s="263">
        <v>0.122</v>
      </c>
      <c r="AF39" s="263">
        <v>9.9000000000000005E-2</v>
      </c>
      <c r="AG39" s="263">
        <v>9.459999999999999E-2</v>
      </c>
      <c r="AH39" s="263">
        <v>7.4099999999999999E-2</v>
      </c>
      <c r="AI39" s="263">
        <v>2.9190000000000001E-2</v>
      </c>
      <c r="AJ39" s="263">
        <v>2.3300000000000001E-2</v>
      </c>
      <c r="AK39" s="263">
        <f>32/1000</f>
        <v>3.2000000000000001E-2</v>
      </c>
      <c r="AL39" s="470"/>
      <c r="AM39" s="470"/>
      <c r="AN39" s="470"/>
      <c r="AO39" s="470"/>
      <c r="AP39" s="470"/>
      <c r="AQ39" s="470"/>
      <c r="AR39" s="463"/>
      <c r="AS39" s="463"/>
      <c r="AT39" s="463"/>
      <c r="AU39" s="121"/>
      <c r="AV39" s="120"/>
      <c r="AW39" s="286">
        <f t="shared" si="3"/>
        <v>37.339055793991406</v>
      </c>
      <c r="AX39" s="258" t="s">
        <v>125</v>
      </c>
    </row>
    <row r="40" spans="1:50" ht="12.75" customHeight="1">
      <c r="A40" s="76"/>
      <c r="B40" s="79" t="s">
        <v>3</v>
      </c>
      <c r="C40" s="144"/>
      <c r="D40" s="144"/>
      <c r="E40" s="422"/>
      <c r="F40" s="268"/>
      <c r="G40" s="268"/>
      <c r="H40" s="268"/>
      <c r="I40" s="268"/>
      <c r="J40" s="267">
        <v>0.1</v>
      </c>
      <c r="K40" s="267">
        <v>0.1</v>
      </c>
      <c r="L40" s="267">
        <v>0.1</v>
      </c>
      <c r="M40" s="267">
        <v>0.1</v>
      </c>
      <c r="N40" s="267">
        <v>0.1</v>
      </c>
      <c r="O40" s="267">
        <v>0.1</v>
      </c>
      <c r="P40" s="268">
        <v>0.13300000000000001</v>
      </c>
      <c r="Q40" s="268">
        <v>9.8000000000000004E-2</v>
      </c>
      <c r="R40" s="268">
        <v>9.1999999999999998E-2</v>
      </c>
      <c r="S40" s="268">
        <v>9.4E-2</v>
      </c>
      <c r="T40" s="268">
        <v>9.4E-2</v>
      </c>
      <c r="U40" s="268">
        <v>0.105</v>
      </c>
      <c r="V40" s="268">
        <v>0.109</v>
      </c>
      <c r="W40" s="268">
        <v>0.14799999999999999</v>
      </c>
      <c r="X40" s="268">
        <v>0.154</v>
      </c>
      <c r="Y40" s="268">
        <f>0.155</f>
        <v>0.155</v>
      </c>
      <c r="Z40" s="268">
        <f>0.145</f>
        <v>0.14499999999999999</v>
      </c>
      <c r="AA40" s="268">
        <f>0.099</f>
        <v>9.9000000000000005E-2</v>
      </c>
      <c r="AB40" s="268">
        <v>0.08</v>
      </c>
      <c r="AC40" s="268">
        <v>0.08</v>
      </c>
      <c r="AD40" s="268">
        <v>0.17699999999999999</v>
      </c>
      <c r="AE40" s="268">
        <v>8.3000000000000004E-2</v>
      </c>
      <c r="AF40" s="268">
        <v>5.8999999999999997E-2</v>
      </c>
      <c r="AG40" s="268">
        <v>6.3E-2</v>
      </c>
      <c r="AH40" s="268">
        <v>6.2E-2</v>
      </c>
      <c r="AI40" s="268">
        <v>2.5000000000000001E-2</v>
      </c>
      <c r="AJ40" s="268">
        <v>2.5000000000000001E-2</v>
      </c>
      <c r="AK40" s="268">
        <v>4.5999999999999999E-2</v>
      </c>
      <c r="AL40" s="470"/>
      <c r="AM40" s="470"/>
      <c r="AN40" s="470"/>
      <c r="AO40" s="470"/>
      <c r="AP40" s="470"/>
      <c r="AQ40" s="470"/>
      <c r="AR40" s="463"/>
      <c r="AS40" s="463"/>
      <c r="AT40" s="463"/>
      <c r="AU40" s="121"/>
      <c r="AV40" s="120"/>
      <c r="AW40" s="196">
        <f t="shared" si="3"/>
        <v>84</v>
      </c>
      <c r="AX40" s="79" t="s">
        <v>3</v>
      </c>
    </row>
    <row r="41" spans="1:50" ht="12.75" customHeight="1">
      <c r="A41" s="76"/>
      <c r="B41" s="258" t="s">
        <v>82</v>
      </c>
      <c r="C41" s="91">
        <v>0.253</v>
      </c>
      <c r="D41" s="91">
        <v>0.36899999999999999</v>
      </c>
      <c r="E41" s="263">
        <v>0.77900000000000003</v>
      </c>
      <c r="F41" s="263">
        <v>0.318</v>
      </c>
      <c r="G41" s="263">
        <v>0.191</v>
      </c>
      <c r="H41" s="263">
        <v>0.223</v>
      </c>
      <c r="I41" s="263">
        <v>0.215</v>
      </c>
      <c r="J41" s="263">
        <v>0.19700000000000001</v>
      </c>
      <c r="K41" s="263">
        <v>0.16800000000000001</v>
      </c>
      <c r="L41" s="263">
        <v>9.5000000000000001E-2</v>
      </c>
      <c r="M41" s="263">
        <v>0.11600000000000001</v>
      </c>
      <c r="N41" s="263">
        <v>0.121</v>
      </c>
      <c r="O41" s="263">
        <v>0.125</v>
      </c>
      <c r="P41" s="263">
        <v>0.13800000000000001</v>
      </c>
      <c r="Q41" s="263">
        <v>0.123</v>
      </c>
      <c r="R41" s="263">
        <v>0.105</v>
      </c>
      <c r="S41" s="263">
        <v>8.8999999999999996E-2</v>
      </c>
      <c r="T41" s="263">
        <v>7.2999999999999995E-2</v>
      </c>
      <c r="U41" s="263">
        <v>0.08</v>
      </c>
      <c r="V41" s="263">
        <v>5.0999999999999997E-2</v>
      </c>
      <c r="W41" s="263">
        <v>4.1000000000000002E-2</v>
      </c>
      <c r="X41" s="263">
        <v>3.2000000000000001E-2</v>
      </c>
      <c r="Y41" s="263">
        <v>1.9E-2</v>
      </c>
      <c r="Z41" s="263">
        <v>1.7999999999999999E-2</v>
      </c>
      <c r="AA41" s="263">
        <v>1.6E-2</v>
      </c>
      <c r="AB41" s="263">
        <v>1.2E-2</v>
      </c>
      <c r="AC41" s="263">
        <v>8.0000000000000002E-3</v>
      </c>
      <c r="AD41" s="263">
        <v>7.0000000000000001E-3</v>
      </c>
      <c r="AE41" s="263">
        <v>3.2000000000000002E-3</v>
      </c>
      <c r="AF41" s="263">
        <v>2.3999999999999998E-3</v>
      </c>
      <c r="AG41" s="263">
        <v>2.7000000000000001E-3</v>
      </c>
      <c r="AH41" s="263">
        <f>2/1000</f>
        <v>2E-3</v>
      </c>
      <c r="AI41" s="263">
        <v>1E-3</v>
      </c>
      <c r="AJ41" s="263">
        <f>0.001</f>
        <v>1E-3</v>
      </c>
      <c r="AK41" s="263">
        <f>437/1000000</f>
        <v>4.37E-4</v>
      </c>
      <c r="AL41" s="463"/>
      <c r="AM41" s="463"/>
      <c r="AN41" s="463"/>
      <c r="AO41" s="463"/>
      <c r="AP41" s="463"/>
      <c r="AQ41" s="463"/>
      <c r="AR41" s="463"/>
      <c r="AS41" s="463"/>
      <c r="AT41" s="463"/>
      <c r="AU41" s="121"/>
      <c r="AV41" s="120"/>
      <c r="AW41" s="286">
        <f t="shared" si="3"/>
        <v>-56.3</v>
      </c>
      <c r="AX41" s="258" t="s">
        <v>82</v>
      </c>
    </row>
    <row r="42" spans="1:50" ht="12.75" customHeight="1">
      <c r="A42" s="76"/>
      <c r="B42" s="79" t="s">
        <v>77</v>
      </c>
      <c r="C42" s="144">
        <v>3.6709999999999998</v>
      </c>
      <c r="D42" s="144">
        <v>3.3519999999999999</v>
      </c>
      <c r="E42" s="422">
        <v>4.452</v>
      </c>
      <c r="F42" s="268">
        <v>2.6749999999999998</v>
      </c>
      <c r="G42" s="268">
        <v>2.544</v>
      </c>
      <c r="H42" s="268">
        <v>3.0760000000000001</v>
      </c>
      <c r="I42" s="268">
        <v>2.2989999999999999</v>
      </c>
      <c r="J42" s="267">
        <v>2.3260000000000001</v>
      </c>
      <c r="K42" s="267">
        <v>1.415</v>
      </c>
      <c r="L42" s="267">
        <v>1.304</v>
      </c>
      <c r="M42" s="267">
        <v>1.3680000000000001</v>
      </c>
      <c r="N42" s="267">
        <v>0.78900000000000003</v>
      </c>
      <c r="O42" s="267">
        <v>1.236</v>
      </c>
      <c r="P42" s="268">
        <v>1.0469999999999999</v>
      </c>
      <c r="Q42" s="268">
        <v>0.95399999999999996</v>
      </c>
      <c r="R42" s="268">
        <v>0.80900000000000005</v>
      </c>
      <c r="S42" s="268">
        <v>0.82099999999999995</v>
      </c>
      <c r="T42" s="268">
        <v>0.71299999999999997</v>
      </c>
      <c r="U42" s="268">
        <v>0.68400000000000005</v>
      </c>
      <c r="V42" s="268">
        <v>0.68700000000000006</v>
      </c>
      <c r="W42" s="268">
        <v>0.58299999999999996</v>
      </c>
      <c r="X42" s="268">
        <v>0.52200000000000002</v>
      </c>
      <c r="Y42" s="268">
        <v>0.52200000000000002</v>
      </c>
      <c r="Z42" s="268">
        <v>0.54100000000000004</v>
      </c>
      <c r="AA42" s="268">
        <v>0.54</v>
      </c>
      <c r="AB42" s="268">
        <v>0.61199999999999999</v>
      </c>
      <c r="AC42" s="268">
        <v>0.45300000000000001</v>
      </c>
      <c r="AD42" s="268">
        <v>0.50900000000000001</v>
      </c>
      <c r="AE42" s="268">
        <v>0.438</v>
      </c>
      <c r="AF42" s="268">
        <v>0.377</v>
      </c>
      <c r="AG42" s="259">
        <v>0.34699999999999998</v>
      </c>
      <c r="AH42" s="259">
        <f>285/1000</f>
        <v>0.28499999999999998</v>
      </c>
      <c r="AI42" s="259">
        <f>157/1000</f>
        <v>0.157</v>
      </c>
      <c r="AJ42" s="259">
        <f>191/1000</f>
        <v>0.191</v>
      </c>
      <c r="AK42" s="259">
        <f>426/1000</f>
        <v>0.42599999999999999</v>
      </c>
      <c r="AL42" s="470"/>
      <c r="AM42" s="470"/>
      <c r="AN42" s="470"/>
      <c r="AO42" s="470"/>
      <c r="AP42" s="470"/>
      <c r="AQ42" s="470"/>
      <c r="AR42" s="463"/>
      <c r="AS42" s="463"/>
      <c r="AT42" s="463"/>
      <c r="AU42" s="121"/>
      <c r="AV42" s="120"/>
      <c r="AW42" s="196">
        <f t="shared" si="3"/>
        <v>123.03664921465969</v>
      </c>
      <c r="AX42" s="79" t="s">
        <v>77</v>
      </c>
    </row>
    <row r="43" spans="1:50" ht="12.75" customHeight="1">
      <c r="A43" s="76"/>
      <c r="B43" s="258" t="s">
        <v>19</v>
      </c>
      <c r="C43" s="91">
        <v>5.5609999999999999</v>
      </c>
      <c r="D43" s="91">
        <v>6.0110000000000001</v>
      </c>
      <c r="E43" s="263">
        <v>6.41</v>
      </c>
      <c r="F43" s="263">
        <v>6.048</v>
      </c>
      <c r="G43" s="263">
        <v>6.2590000000000003</v>
      </c>
      <c r="H43" s="263">
        <v>7.1470000000000002</v>
      </c>
      <c r="I43" s="263">
        <v>6.335</v>
      </c>
      <c r="J43" s="263">
        <v>5.7969999999999997</v>
      </c>
      <c r="K43" s="263">
        <v>5.2290000000000001</v>
      </c>
      <c r="L43" s="263">
        <v>5.84</v>
      </c>
      <c r="M43" s="263">
        <v>6.16</v>
      </c>
      <c r="N43" s="263">
        <v>6.1459999999999999</v>
      </c>
      <c r="O43" s="263">
        <v>5.8319999999999999</v>
      </c>
      <c r="P43" s="263">
        <v>5.5679999999999996</v>
      </c>
      <c r="Q43" s="263">
        <v>5.2039999999999997</v>
      </c>
      <c r="R43" s="263">
        <v>5.8780000000000001</v>
      </c>
      <c r="S43" s="263">
        <v>5.2370000000000001</v>
      </c>
      <c r="T43" s="263">
        <v>5.0359999999999996</v>
      </c>
      <c r="U43" s="263">
        <v>5.2770000000000001</v>
      </c>
      <c r="V43" s="263">
        <v>5.5529999999999999</v>
      </c>
      <c r="W43" s="263">
        <v>5.0970000000000004</v>
      </c>
      <c r="X43" s="263">
        <v>5.3739999999999997</v>
      </c>
      <c r="Y43" s="263">
        <v>5.4909999999999997</v>
      </c>
      <c r="Z43" s="263">
        <v>4.0019999999999998</v>
      </c>
      <c r="AA43" s="263">
        <v>3.0059999999999998</v>
      </c>
      <c r="AB43" s="263">
        <v>3.02</v>
      </c>
      <c r="AC43" s="263">
        <v>3.4580000000000002</v>
      </c>
      <c r="AD43" s="263">
        <v>3.7080000000000002</v>
      </c>
      <c r="AE43" s="263">
        <v>3.323</v>
      </c>
      <c r="AF43" s="263">
        <v>3.633</v>
      </c>
      <c r="AG43" s="263">
        <v>4.3739999999999997</v>
      </c>
      <c r="AH43" s="263">
        <v>4.9119999999999999</v>
      </c>
      <c r="AI43" s="263">
        <v>1.52</v>
      </c>
      <c r="AJ43" s="263">
        <v>2.2509999999999999</v>
      </c>
      <c r="AK43" s="263">
        <v>5.9219999999999997</v>
      </c>
      <c r="AL43" s="470"/>
      <c r="AM43" s="470"/>
      <c r="AN43" s="470"/>
      <c r="AO43" s="470"/>
      <c r="AP43" s="470"/>
      <c r="AQ43" s="470"/>
      <c r="AR43" s="463"/>
      <c r="AS43" s="463"/>
      <c r="AT43" s="463"/>
      <c r="AU43" s="121"/>
      <c r="AV43" s="120"/>
      <c r="AW43" s="286">
        <f t="shared" si="3"/>
        <v>163.08307418924926</v>
      </c>
      <c r="AX43" s="285" t="s">
        <v>19</v>
      </c>
    </row>
    <row r="44" spans="1:50" ht="12.75" customHeight="1">
      <c r="A44" s="76"/>
      <c r="B44" s="150" t="s">
        <v>126</v>
      </c>
      <c r="C44" s="143"/>
      <c r="D44" s="143"/>
      <c r="E44" s="219"/>
      <c r="F44" s="219"/>
      <c r="G44" s="219"/>
      <c r="H44" s="219"/>
      <c r="I44" s="219"/>
      <c r="J44" s="219"/>
      <c r="K44" s="219"/>
      <c r="L44" s="219"/>
      <c r="M44" s="219"/>
      <c r="N44" s="219"/>
      <c r="O44" s="219">
        <v>51.767000000000003</v>
      </c>
      <c r="P44" s="219">
        <v>49.661000000000001</v>
      </c>
      <c r="Q44" s="219">
        <v>50.543999999999997</v>
      </c>
      <c r="R44" s="219">
        <v>52.558</v>
      </c>
      <c r="S44" s="219">
        <v>51.725999999999999</v>
      </c>
      <c r="T44" s="219">
        <v>52.655000000000001</v>
      </c>
      <c r="U44" s="219">
        <v>53.23</v>
      </c>
      <c r="V44" s="219">
        <v>53.088999999999999</v>
      </c>
      <c r="W44" s="219">
        <v>53.055999999999997</v>
      </c>
      <c r="X44" s="219">
        <v>48.326999999999998</v>
      </c>
      <c r="Y44" s="219">
        <v>50.247999999999998</v>
      </c>
      <c r="Z44" s="219">
        <v>50.593000000000004</v>
      </c>
      <c r="AA44" s="219">
        <v>49.329000000000001</v>
      </c>
      <c r="AB44" s="219">
        <v>48.981000000000002</v>
      </c>
      <c r="AC44" s="219">
        <v>35.865000000000002</v>
      </c>
      <c r="AD44" s="219">
        <v>35.366999999999997</v>
      </c>
      <c r="AE44" s="219">
        <v>36.838999999999999</v>
      </c>
      <c r="AF44" s="219">
        <v>28.074999999999999</v>
      </c>
      <c r="AG44" s="219">
        <v>28.684999999999999</v>
      </c>
      <c r="AH44" s="219">
        <v>28.413</v>
      </c>
      <c r="AI44" s="219">
        <v>10.696</v>
      </c>
      <c r="AJ44" s="219">
        <f>15.709</f>
        <v>15.709</v>
      </c>
      <c r="AK44" s="325"/>
      <c r="AL44" s="229"/>
      <c r="AM44" s="229"/>
      <c r="AN44" s="229"/>
      <c r="AO44" s="229"/>
      <c r="AP44" s="229"/>
      <c r="AQ44" s="229"/>
      <c r="AR44" s="228"/>
      <c r="AS44" s="228"/>
      <c r="AT44" s="228"/>
      <c r="AU44" s="479"/>
      <c r="AV44" s="350"/>
      <c r="AW44" s="218"/>
      <c r="AX44" s="150" t="s">
        <v>126</v>
      </c>
    </row>
    <row r="45" spans="1:50" ht="12.75" customHeight="1">
      <c r="A45" s="76"/>
      <c r="B45" s="273" t="s">
        <v>23</v>
      </c>
      <c r="C45" s="467">
        <v>30.6</v>
      </c>
      <c r="D45" s="467">
        <v>30.5</v>
      </c>
      <c r="E45" s="471">
        <v>33.4</v>
      </c>
      <c r="F45" s="276">
        <v>32.700000000000003</v>
      </c>
      <c r="G45" s="276">
        <v>31.9</v>
      </c>
      <c r="H45" s="276">
        <v>30.6</v>
      </c>
      <c r="I45" s="276">
        <v>28.9</v>
      </c>
      <c r="J45" s="276">
        <f>30.039+0.2317</f>
        <v>30.270700000000001</v>
      </c>
      <c r="K45" s="276">
        <f>32.135+0.2128</f>
        <v>32.347799999999999</v>
      </c>
      <c r="L45" s="276">
        <f>34.66+0.2256</f>
        <v>34.885599999999997</v>
      </c>
      <c r="M45" s="276">
        <f>36.28+0.2172</f>
        <v>36.497199999999999</v>
      </c>
      <c r="N45" s="276">
        <f>38.472+0.2217</f>
        <v>38.6937</v>
      </c>
      <c r="O45" s="276">
        <f>38.179+0.2271</f>
        <v>38.406100000000002</v>
      </c>
      <c r="P45" s="276">
        <f>39.141+0.2397</f>
        <v>39.380699999999997</v>
      </c>
      <c r="Q45" s="276">
        <f>39.687+0.2363</f>
        <v>39.923299999999998</v>
      </c>
      <c r="R45" s="276">
        <f>40.931+0.233</f>
        <v>41.163999999999994</v>
      </c>
      <c r="S45" s="276">
        <v>43.473999999999997</v>
      </c>
      <c r="T45" s="276">
        <v>44.642000000000003</v>
      </c>
      <c r="U45" s="276">
        <v>47.296999999999997</v>
      </c>
      <c r="V45" s="276">
        <v>50.473999999999997</v>
      </c>
      <c r="W45" s="276">
        <v>53.002000000000002</v>
      </c>
      <c r="X45" s="276">
        <v>52.765000000000001</v>
      </c>
      <c r="Y45" s="276">
        <v>55.831000000000003</v>
      </c>
      <c r="Z45" s="276">
        <v>58.462000000000003</v>
      </c>
      <c r="AA45" s="276">
        <v>60.783000000000001</v>
      </c>
      <c r="AB45" s="276">
        <v>61.95</v>
      </c>
      <c r="AC45" s="276">
        <v>64.710999999999999</v>
      </c>
      <c r="AD45" s="276">
        <v>66.593999999999994</v>
      </c>
      <c r="AE45" s="276">
        <v>68.010000000000005</v>
      </c>
      <c r="AF45" s="276">
        <v>68.912000000000006</v>
      </c>
      <c r="AG45" s="276">
        <v>69.706000000000003</v>
      </c>
      <c r="AH45" s="276">
        <v>71.822999999999993</v>
      </c>
      <c r="AI45" s="407">
        <f>24536/1000</f>
        <v>24.536000000000001</v>
      </c>
      <c r="AJ45" s="407">
        <f>30.841</f>
        <v>30.841000000000001</v>
      </c>
      <c r="AK45" s="276">
        <f>51.145</f>
        <v>51.145000000000003</v>
      </c>
      <c r="AL45" s="229">
        <v>96.189491986942897</v>
      </c>
      <c r="AM45" s="229">
        <v>95.483870967741936</v>
      </c>
      <c r="AN45" s="229">
        <v>96.1</v>
      </c>
      <c r="AO45" s="229">
        <v>96.907560983018925</v>
      </c>
      <c r="AP45" s="229">
        <f>0.97038069259962*100</f>
        <v>97.038069259962001</v>
      </c>
      <c r="AQ45" s="229">
        <v>97</v>
      </c>
      <c r="AR45" s="228">
        <v>96.859354256509931</v>
      </c>
      <c r="AS45" s="228">
        <v>96.912507962878308</v>
      </c>
      <c r="AT45" s="228"/>
      <c r="AU45" s="479"/>
      <c r="AV45" s="350"/>
      <c r="AW45" s="363">
        <f t="shared" si="3"/>
        <v>65.834441165980365</v>
      </c>
      <c r="AX45" s="273" t="s">
        <v>23</v>
      </c>
    </row>
    <row r="46" spans="1:50" ht="14.25" customHeight="1">
      <c r="A46" s="76"/>
      <c r="B46" s="595" t="s">
        <v>148</v>
      </c>
      <c r="C46" s="595"/>
      <c r="D46" s="595"/>
      <c r="E46" s="595"/>
      <c r="F46" s="595"/>
      <c r="G46" s="595"/>
      <c r="H46" s="595"/>
      <c r="I46" s="595"/>
      <c r="J46" s="595"/>
      <c r="K46" s="595"/>
      <c r="L46" s="595"/>
      <c r="M46" s="595"/>
      <c r="N46" s="595"/>
      <c r="O46" s="595"/>
      <c r="P46" s="595"/>
      <c r="Q46" s="595"/>
      <c r="R46" s="595"/>
      <c r="S46" s="595"/>
      <c r="T46" s="595"/>
      <c r="U46" s="595"/>
      <c r="V46" s="595"/>
      <c r="W46" s="595"/>
      <c r="X46" s="595"/>
      <c r="Y46" s="595"/>
      <c r="Z46" s="595"/>
      <c r="AA46" s="595"/>
      <c r="AB46" s="595"/>
      <c r="AC46" s="595"/>
      <c r="AD46" s="595"/>
      <c r="AE46" s="595"/>
      <c r="AF46" s="595"/>
      <c r="AG46" s="595"/>
      <c r="AH46" s="595"/>
      <c r="AI46" s="595"/>
      <c r="AJ46" s="595"/>
      <c r="AK46" s="595"/>
      <c r="AL46" s="595"/>
      <c r="AM46" s="595"/>
      <c r="AN46" s="595"/>
      <c r="AO46" s="595"/>
      <c r="AP46" s="595"/>
      <c r="AQ46" s="595"/>
      <c r="AR46" s="595"/>
      <c r="AS46" s="595"/>
      <c r="AT46" s="595"/>
      <c r="AU46" s="595"/>
      <c r="AV46" s="595"/>
      <c r="AW46" s="595"/>
      <c r="AX46" s="595"/>
    </row>
    <row r="47" spans="1:50" ht="14.25" customHeight="1">
      <c r="B47" s="590" t="s">
        <v>123</v>
      </c>
      <c r="C47" s="590"/>
      <c r="D47" s="590"/>
      <c r="E47" s="590"/>
      <c r="F47" s="590"/>
      <c r="G47" s="590"/>
      <c r="H47" s="590"/>
      <c r="I47" s="590"/>
      <c r="J47" s="590"/>
      <c r="K47" s="590"/>
      <c r="L47" s="590"/>
      <c r="M47" s="590"/>
      <c r="N47" s="590"/>
      <c r="O47" s="590"/>
      <c r="P47" s="590"/>
      <c r="Q47" s="590"/>
      <c r="R47" s="590"/>
      <c r="S47" s="590"/>
      <c r="T47" s="590"/>
      <c r="U47" s="590"/>
      <c r="V47" s="590"/>
      <c r="W47" s="590"/>
      <c r="X47" s="590"/>
      <c r="Y47" s="590"/>
      <c r="Z47" s="590"/>
      <c r="AA47" s="590"/>
      <c r="AB47" s="590"/>
      <c r="AC47" s="590"/>
      <c r="AD47" s="590"/>
      <c r="AE47" s="590"/>
      <c r="AF47" s="590"/>
      <c r="AG47" s="590"/>
      <c r="AH47" s="590"/>
      <c r="AI47" s="590"/>
      <c r="AJ47" s="590"/>
      <c r="AK47" s="590"/>
      <c r="AL47" s="590"/>
      <c r="AM47" s="590"/>
      <c r="AN47" s="590"/>
      <c r="AO47" s="590"/>
      <c r="AP47" s="590"/>
      <c r="AQ47" s="590"/>
      <c r="AR47" s="590"/>
      <c r="AS47" s="590"/>
      <c r="AT47" s="590"/>
      <c r="AU47" s="590"/>
      <c r="AV47" s="590"/>
      <c r="AW47" s="590"/>
      <c r="AX47" s="590"/>
    </row>
    <row r="48" spans="1:50" ht="13.5" customHeight="1">
      <c r="B48" s="593" t="s">
        <v>131</v>
      </c>
      <c r="C48" s="593"/>
      <c r="D48" s="593"/>
      <c r="E48" s="593"/>
      <c r="F48" s="593"/>
      <c r="G48" s="593"/>
      <c r="H48" s="593"/>
      <c r="I48" s="593"/>
      <c r="J48" s="593"/>
      <c r="K48" s="593"/>
      <c r="L48" s="593"/>
      <c r="M48" s="593"/>
      <c r="N48" s="593"/>
      <c r="O48" s="593"/>
      <c r="P48" s="593"/>
      <c r="Q48" s="593"/>
      <c r="R48" s="593"/>
      <c r="S48" s="593"/>
      <c r="T48" s="593"/>
      <c r="U48" s="593"/>
      <c r="V48" s="593"/>
      <c r="W48" s="593"/>
      <c r="X48" s="593"/>
      <c r="Y48" s="593"/>
      <c r="Z48" s="593"/>
      <c r="AA48" s="593"/>
      <c r="AB48" s="593"/>
      <c r="AC48" s="593"/>
      <c r="AD48" s="593"/>
      <c r="AE48" s="593"/>
      <c r="AF48" s="593"/>
      <c r="AG48" s="593"/>
      <c r="AH48" s="593"/>
      <c r="AI48" s="593"/>
      <c r="AJ48" s="593"/>
      <c r="AK48" s="593"/>
      <c r="AL48" s="593"/>
      <c r="AM48" s="593"/>
      <c r="AN48" s="593"/>
      <c r="AO48" s="593"/>
      <c r="AP48" s="593"/>
      <c r="AQ48" s="593"/>
      <c r="AR48" s="593"/>
      <c r="AS48" s="593"/>
      <c r="AT48" s="593"/>
      <c r="AU48" s="593"/>
      <c r="AV48" s="593"/>
      <c r="AW48" s="593"/>
      <c r="AX48" s="593"/>
    </row>
    <row r="49" spans="2:49" ht="12" customHeight="1">
      <c r="B49" s="255"/>
      <c r="C49" s="255"/>
      <c r="D49" s="255"/>
      <c r="E49" s="255"/>
      <c r="F49" s="255"/>
      <c r="G49" s="255"/>
      <c r="H49" s="255"/>
      <c r="I49" s="255"/>
      <c r="J49" s="255"/>
      <c r="K49" s="255"/>
      <c r="L49" s="255"/>
      <c r="M49" s="255"/>
      <c r="AW49" s="70"/>
    </row>
    <row r="50" spans="2:49">
      <c r="AW50" s="70"/>
    </row>
    <row r="51" spans="2:49">
      <c r="AW51" s="70"/>
    </row>
    <row r="52" spans="2:49">
      <c r="AW52" s="70"/>
    </row>
    <row r="53" spans="2:49">
      <c r="U53" s="176"/>
      <c r="AW53" s="70"/>
    </row>
    <row r="54" spans="2:49">
      <c r="U54" s="176"/>
      <c r="AW54" s="70"/>
    </row>
    <row r="55" spans="2:49">
      <c r="U55" s="176"/>
      <c r="AW55" s="70"/>
    </row>
    <row r="56" spans="2:49">
      <c r="U56" s="176"/>
      <c r="AW56" s="70"/>
    </row>
    <row r="57" spans="2:49">
      <c r="U57" s="176"/>
      <c r="AW57" s="70"/>
    </row>
    <row r="58" spans="2:49" ht="12.75" customHeight="1">
      <c r="U58" s="176"/>
      <c r="AW58" s="70"/>
    </row>
    <row r="59" spans="2:49" ht="12.75" customHeight="1">
      <c r="U59" s="176"/>
      <c r="AW59" s="70"/>
    </row>
    <row r="60" spans="2:49" ht="12.75" customHeight="1">
      <c r="U60" s="176"/>
      <c r="AW60" s="70"/>
    </row>
    <row r="61" spans="2:49">
      <c r="U61" s="176"/>
      <c r="AW61" s="70"/>
    </row>
    <row r="62" spans="2:49">
      <c r="U62" s="176"/>
      <c r="AW62" s="70"/>
    </row>
    <row r="63" spans="2:49">
      <c r="U63" s="176"/>
      <c r="AW63" s="70"/>
    </row>
    <row r="73" ht="38.25" customHeight="1"/>
  </sheetData>
  <mergeCells count="5">
    <mergeCell ref="B47:AX47"/>
    <mergeCell ref="B48:AX48"/>
    <mergeCell ref="AL4:AT4"/>
    <mergeCell ref="B2:AX2"/>
    <mergeCell ref="B46:AX46"/>
  </mergeCells>
  <printOptions horizontalCentered="1"/>
  <pageMargins left="0.47244094488188981" right="0.47244094488188981"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34"/>
  <dimension ref="B1:P70"/>
  <sheetViews>
    <sheetView zoomScaleNormal="100" workbookViewId="0">
      <selection activeCell="V18" sqref="V18"/>
    </sheetView>
  </sheetViews>
  <sheetFormatPr defaultRowHeight="12.75"/>
  <cols>
    <col min="1" max="1" width="3.28515625" customWidth="1"/>
    <col min="2" max="2" width="2.5703125" customWidth="1"/>
    <col min="3" max="3" width="7.28515625" customWidth="1"/>
    <col min="4" max="4" width="5.85546875" customWidth="1"/>
    <col min="5" max="11" width="5.7109375" customWidth="1"/>
    <col min="12" max="12" width="5" customWidth="1"/>
    <col min="13" max="15" width="5.7109375" customWidth="1"/>
    <col min="16" max="16" width="7.5703125" customWidth="1"/>
  </cols>
  <sheetData>
    <row r="1" spans="2:16" ht="14.25" customHeight="1">
      <c r="C1" s="599"/>
      <c r="D1" s="599"/>
      <c r="E1" s="298"/>
      <c r="F1" s="152"/>
      <c r="G1" s="152"/>
      <c r="H1" s="152"/>
      <c r="I1" s="152"/>
      <c r="J1" s="152"/>
      <c r="K1" s="152"/>
      <c r="L1" s="152"/>
      <c r="M1" s="152"/>
      <c r="N1" s="152"/>
      <c r="O1" s="152"/>
      <c r="P1" s="99" t="s">
        <v>68</v>
      </c>
    </row>
    <row r="2" spans="2:16" s="12" customFormat="1" ht="30" customHeight="1">
      <c r="C2" s="600" t="s">
        <v>106</v>
      </c>
      <c r="D2" s="600"/>
      <c r="E2" s="600"/>
      <c r="F2" s="600"/>
      <c r="G2" s="600"/>
      <c r="H2" s="600"/>
      <c r="I2" s="600"/>
      <c r="J2" s="600"/>
      <c r="K2" s="600"/>
      <c r="L2" s="600"/>
      <c r="M2" s="600"/>
      <c r="N2" s="600"/>
      <c r="O2" s="600"/>
      <c r="P2" s="600"/>
    </row>
    <row r="3" spans="2:16" ht="10.5" customHeight="1">
      <c r="C3" s="601" t="s">
        <v>79</v>
      </c>
      <c r="D3" s="601"/>
      <c r="E3" s="601"/>
      <c r="F3" s="601"/>
      <c r="G3" s="601"/>
      <c r="H3" s="601"/>
      <c r="I3" s="601"/>
      <c r="J3" s="601"/>
      <c r="K3" s="601"/>
      <c r="L3" s="601"/>
      <c r="M3" s="601"/>
      <c r="N3" s="601"/>
      <c r="O3" s="601"/>
      <c r="P3" s="601"/>
    </row>
    <row r="4" spans="2:16" ht="32.25" customHeight="1">
      <c r="B4" s="210"/>
      <c r="C4" s="299"/>
      <c r="D4" s="68" t="s">
        <v>24</v>
      </c>
      <c r="E4" s="68" t="s">
        <v>9</v>
      </c>
      <c r="F4" s="68" t="s">
        <v>25</v>
      </c>
      <c r="G4" s="179" t="s">
        <v>26</v>
      </c>
      <c r="H4" s="68" t="s">
        <v>27</v>
      </c>
      <c r="I4" s="68" t="s">
        <v>29</v>
      </c>
      <c r="J4" s="68" t="s">
        <v>22</v>
      </c>
      <c r="K4" s="68" t="s">
        <v>15</v>
      </c>
      <c r="L4" s="68" t="s">
        <v>32</v>
      </c>
      <c r="M4" s="68" t="s">
        <v>18</v>
      </c>
      <c r="N4" s="68" t="s">
        <v>33</v>
      </c>
      <c r="O4" s="68" t="s">
        <v>34</v>
      </c>
      <c r="P4" s="68" t="s">
        <v>94</v>
      </c>
    </row>
    <row r="5" spans="2:16" ht="15" customHeight="1">
      <c r="C5" s="300">
        <v>1990</v>
      </c>
      <c r="D5" s="301" t="s">
        <v>38</v>
      </c>
      <c r="E5" s="302" t="s">
        <v>38</v>
      </c>
      <c r="F5" s="302" t="s">
        <v>38</v>
      </c>
      <c r="G5" s="302" t="s">
        <v>38</v>
      </c>
      <c r="H5" s="303">
        <v>14.92</v>
      </c>
      <c r="I5" s="303">
        <v>0.3</v>
      </c>
      <c r="J5" s="302" t="s">
        <v>38</v>
      </c>
      <c r="K5" s="302" t="s">
        <v>38</v>
      </c>
      <c r="L5" s="302" t="s">
        <v>38</v>
      </c>
      <c r="M5" s="302" t="s">
        <v>38</v>
      </c>
      <c r="N5" s="302" t="s">
        <v>38</v>
      </c>
      <c r="O5" s="302">
        <v>6.0000000000000001E-3</v>
      </c>
      <c r="P5" s="304">
        <f t="shared" ref="P5:P34" si="0">SUM(D5:O5)</f>
        <v>15.226000000000001</v>
      </c>
    </row>
    <row r="6" spans="2:16" ht="15" customHeight="1">
      <c r="C6" s="300">
        <v>1991</v>
      </c>
      <c r="D6" s="305" t="s">
        <v>38</v>
      </c>
      <c r="E6" s="306" t="s">
        <v>38</v>
      </c>
      <c r="F6" s="307">
        <v>2</v>
      </c>
      <c r="G6" s="306" t="s">
        <v>38</v>
      </c>
      <c r="H6" s="307">
        <v>17.87</v>
      </c>
      <c r="I6" s="307">
        <v>0.4</v>
      </c>
      <c r="J6" s="306" t="s">
        <v>38</v>
      </c>
      <c r="K6" s="306" t="s">
        <v>38</v>
      </c>
      <c r="L6" s="306" t="s">
        <v>38</v>
      </c>
      <c r="M6" s="306" t="s">
        <v>38</v>
      </c>
      <c r="N6" s="306" t="s">
        <v>38</v>
      </c>
      <c r="O6" s="307">
        <v>9.4E-2</v>
      </c>
      <c r="P6" s="304">
        <f t="shared" si="0"/>
        <v>20.364000000000001</v>
      </c>
    </row>
    <row r="7" spans="2:16" ht="15" customHeight="1">
      <c r="C7" s="300">
        <v>1992</v>
      </c>
      <c r="D7" s="305" t="s">
        <v>38</v>
      </c>
      <c r="E7" s="306" t="s">
        <v>38</v>
      </c>
      <c r="F7" s="307">
        <v>5.2</v>
      </c>
      <c r="G7" s="307">
        <v>0.4</v>
      </c>
      <c r="H7" s="307">
        <v>18.96</v>
      </c>
      <c r="I7" s="307">
        <v>0.4</v>
      </c>
      <c r="J7" s="306" t="s">
        <v>38</v>
      </c>
      <c r="K7" s="306" t="s">
        <v>38</v>
      </c>
      <c r="L7" s="306" t="s">
        <v>38</v>
      </c>
      <c r="M7" s="306" t="s">
        <v>38</v>
      </c>
      <c r="N7" s="306" t="s">
        <v>38</v>
      </c>
      <c r="O7" s="307">
        <v>0.154</v>
      </c>
      <c r="P7" s="304">
        <f t="shared" si="0"/>
        <v>25.114000000000001</v>
      </c>
    </row>
    <row r="8" spans="2:16" ht="15" customHeight="1">
      <c r="B8" s="2"/>
      <c r="C8" s="300">
        <v>1993</v>
      </c>
      <c r="D8" s="305" t="s">
        <v>38</v>
      </c>
      <c r="E8" s="306" t="s">
        <v>38</v>
      </c>
      <c r="F8" s="307">
        <v>7</v>
      </c>
      <c r="G8" s="307">
        <v>0.9</v>
      </c>
      <c r="H8" s="307">
        <v>18.93</v>
      </c>
      <c r="I8" s="307">
        <v>0.5</v>
      </c>
      <c r="J8" s="306" t="s">
        <v>38</v>
      </c>
      <c r="K8" s="306" t="s">
        <v>38</v>
      </c>
      <c r="L8" s="306" t="s">
        <v>38</v>
      </c>
      <c r="M8" s="306" t="s">
        <v>38</v>
      </c>
      <c r="N8" s="306" t="s">
        <v>38</v>
      </c>
      <c r="O8" s="307">
        <v>0.27200000000000002</v>
      </c>
      <c r="P8" s="304">
        <f t="shared" si="0"/>
        <v>27.601999999999997</v>
      </c>
    </row>
    <row r="9" spans="2:16" ht="15" customHeight="1" thickBot="1">
      <c r="B9" s="2"/>
      <c r="C9" s="300">
        <v>1994</v>
      </c>
      <c r="D9" s="305" t="s">
        <v>38</v>
      </c>
      <c r="E9" s="306" t="s">
        <v>38</v>
      </c>
      <c r="F9" s="307">
        <v>8.1999999999999993</v>
      </c>
      <c r="G9" s="307">
        <v>0.9</v>
      </c>
      <c r="H9" s="308">
        <v>20.51</v>
      </c>
      <c r="I9" s="307">
        <v>0.8</v>
      </c>
      <c r="J9" s="306" t="s">
        <v>38</v>
      </c>
      <c r="K9" s="306" t="s">
        <v>38</v>
      </c>
      <c r="L9" s="306" t="s">
        <v>38</v>
      </c>
      <c r="M9" s="306" t="s">
        <v>38</v>
      </c>
      <c r="N9" s="306" t="s">
        <v>38</v>
      </c>
      <c r="O9" s="307">
        <v>0.30499999999999999</v>
      </c>
      <c r="P9" s="304">
        <f t="shared" si="0"/>
        <v>30.715</v>
      </c>
    </row>
    <row r="10" spans="2:16" ht="15" customHeight="1" thickTop="1">
      <c r="C10" s="300">
        <v>1995</v>
      </c>
      <c r="D10" s="305" t="s">
        <v>38</v>
      </c>
      <c r="E10" s="306" t="s">
        <v>38</v>
      </c>
      <c r="F10" s="307">
        <v>8.6999999999999993</v>
      </c>
      <c r="G10" s="307">
        <v>1.294</v>
      </c>
      <c r="H10" s="362">
        <v>20.944299999999998</v>
      </c>
      <c r="I10" s="307">
        <v>1.1000000000000001</v>
      </c>
      <c r="J10" s="306" t="s">
        <v>38</v>
      </c>
      <c r="K10" s="306" t="s">
        <v>38</v>
      </c>
      <c r="L10" s="306" t="s">
        <v>38</v>
      </c>
      <c r="M10" s="306" t="s">
        <v>38</v>
      </c>
      <c r="N10" s="306" t="s">
        <v>38</v>
      </c>
      <c r="O10" s="307">
        <v>0.41499999999999998</v>
      </c>
      <c r="P10" s="304">
        <f t="shared" si="0"/>
        <v>32.453299999999999</v>
      </c>
    </row>
    <row r="11" spans="2:16" ht="15" customHeight="1">
      <c r="C11" s="300">
        <v>1996</v>
      </c>
      <c r="D11" s="305">
        <v>0.32</v>
      </c>
      <c r="E11" s="306" t="s">
        <v>38</v>
      </c>
      <c r="F11" s="307">
        <v>8.85</v>
      </c>
      <c r="G11" s="307">
        <v>1.1000000000000001</v>
      </c>
      <c r="H11" s="362">
        <v>24.261500000000002</v>
      </c>
      <c r="I11" s="307">
        <v>1.3</v>
      </c>
      <c r="J11" s="306">
        <v>3.1E-2</v>
      </c>
      <c r="K11" s="306" t="s">
        <v>38</v>
      </c>
      <c r="L11" s="306" t="s">
        <v>38</v>
      </c>
      <c r="M11" s="306" t="s">
        <v>38</v>
      </c>
      <c r="N11" s="306">
        <v>2.4E-2</v>
      </c>
      <c r="O11" s="307">
        <v>1.101</v>
      </c>
      <c r="P11" s="304">
        <f t="shared" si="0"/>
        <v>36.987499999999997</v>
      </c>
    </row>
    <row r="12" spans="2:16" ht="15" customHeight="1">
      <c r="C12" s="300">
        <v>1997</v>
      </c>
      <c r="D12" s="309">
        <v>0.55500000000000005</v>
      </c>
      <c r="E12" s="306" t="s">
        <v>38</v>
      </c>
      <c r="F12" s="307">
        <v>10.073</v>
      </c>
      <c r="G12" s="307">
        <v>1.3</v>
      </c>
      <c r="H12" s="362">
        <v>26.789000000000001</v>
      </c>
      <c r="I12" s="307">
        <v>2.4</v>
      </c>
      <c r="J12" s="306">
        <v>7.2999999999999995E-2</v>
      </c>
      <c r="K12" s="306" t="s">
        <v>38</v>
      </c>
      <c r="L12" s="306" t="s">
        <v>38</v>
      </c>
      <c r="M12" s="306" t="s">
        <v>38</v>
      </c>
      <c r="N12" s="306">
        <v>5.2999999999999999E-2</v>
      </c>
      <c r="O12" s="307">
        <v>1.3280000000000001</v>
      </c>
      <c r="P12" s="304">
        <f t="shared" si="0"/>
        <v>42.570999999999998</v>
      </c>
    </row>
    <row r="13" spans="2:16" ht="15" customHeight="1">
      <c r="C13" s="300">
        <v>1998</v>
      </c>
      <c r="D13" s="309">
        <v>0.78800000000000003</v>
      </c>
      <c r="E13" s="306" t="s">
        <v>38</v>
      </c>
      <c r="F13" s="307">
        <v>10.154999999999999</v>
      </c>
      <c r="G13" s="307">
        <v>1.516</v>
      </c>
      <c r="H13" s="362">
        <v>29.677199999999999</v>
      </c>
      <c r="I13" s="307">
        <v>3.6379999999999999</v>
      </c>
      <c r="J13" s="307">
        <v>0.09</v>
      </c>
      <c r="K13" s="307" t="s">
        <v>38</v>
      </c>
      <c r="L13" s="306" t="s">
        <v>38</v>
      </c>
      <c r="M13" s="306" t="s">
        <v>38</v>
      </c>
      <c r="N13" s="307">
        <v>5.6000000000000001E-2</v>
      </c>
      <c r="O13" s="307">
        <v>1.605</v>
      </c>
      <c r="P13" s="304">
        <f t="shared" si="0"/>
        <v>47.525199999999998</v>
      </c>
    </row>
    <row r="14" spans="2:16" ht="15" customHeight="1">
      <c r="C14" s="300">
        <v>1999</v>
      </c>
      <c r="D14" s="309">
        <v>0.80400000000000005</v>
      </c>
      <c r="E14" s="306" t="s">
        <v>38</v>
      </c>
      <c r="F14" s="307">
        <v>11.590999999999999</v>
      </c>
      <c r="G14" s="307">
        <v>1.6739999999999999</v>
      </c>
      <c r="H14" s="307">
        <f>32095.4/1000</f>
        <v>32.095399999999998</v>
      </c>
      <c r="I14" s="307">
        <v>4.4640000000000004</v>
      </c>
      <c r="J14" s="307">
        <v>0.1</v>
      </c>
      <c r="K14" s="307" t="s">
        <v>38</v>
      </c>
      <c r="L14" s="306" t="s">
        <v>38</v>
      </c>
      <c r="M14" s="306" t="s">
        <v>38</v>
      </c>
      <c r="N14" s="307">
        <v>5.3999999999999999E-2</v>
      </c>
      <c r="O14" s="307">
        <v>1.8120000000000001</v>
      </c>
      <c r="P14" s="304">
        <f t="shared" si="0"/>
        <v>52.5944</v>
      </c>
    </row>
    <row r="15" spans="2:16" ht="15" customHeight="1">
      <c r="C15" s="300">
        <v>2000</v>
      </c>
      <c r="D15" s="309">
        <v>0.86499999999999999</v>
      </c>
      <c r="E15" s="306" t="s">
        <v>38</v>
      </c>
      <c r="F15" s="307">
        <v>13.925000000000001</v>
      </c>
      <c r="G15" s="307">
        <v>1.9419999999999999</v>
      </c>
      <c r="H15" s="307">
        <v>35.191019641244822</v>
      </c>
      <c r="I15" s="307">
        <v>5.0860000000000003</v>
      </c>
      <c r="J15" s="307">
        <v>0.113</v>
      </c>
      <c r="K15" s="307" t="s">
        <v>38</v>
      </c>
      <c r="L15" s="306" t="s">
        <v>38</v>
      </c>
      <c r="M15" s="306" t="s">
        <v>38</v>
      </c>
      <c r="N15" s="307">
        <v>7.0999999999999994E-2</v>
      </c>
      <c r="O15" s="307">
        <v>2.0470000000000002</v>
      </c>
      <c r="P15" s="304">
        <f t="shared" si="0"/>
        <v>59.240019641244814</v>
      </c>
    </row>
    <row r="16" spans="2:16" ht="15" customHeight="1">
      <c r="C16" s="300">
        <v>2001</v>
      </c>
      <c r="D16" s="309">
        <v>0.88900000000000001</v>
      </c>
      <c r="E16" s="306" t="s">
        <v>38</v>
      </c>
      <c r="F16" s="307">
        <v>15.515000000000001</v>
      </c>
      <c r="G16" s="307">
        <v>2.077</v>
      </c>
      <c r="H16" s="307">
        <v>37.992462821686878</v>
      </c>
      <c r="I16" s="307">
        <v>6.7629999999999999</v>
      </c>
      <c r="J16" s="307">
        <v>0.191</v>
      </c>
      <c r="K16" s="307" t="s">
        <v>38</v>
      </c>
      <c r="L16" s="306" t="s">
        <v>38</v>
      </c>
      <c r="M16" s="306" t="s">
        <v>38</v>
      </c>
      <c r="N16" s="307">
        <v>0.06</v>
      </c>
      <c r="O16" s="307">
        <v>2.2269999999999999</v>
      </c>
      <c r="P16" s="304">
        <f t="shared" si="0"/>
        <v>65.71446282168688</v>
      </c>
    </row>
    <row r="17" spans="2:16" ht="15" customHeight="1">
      <c r="C17" s="300">
        <v>2002</v>
      </c>
      <c r="D17" s="309">
        <v>0.90900000000000003</v>
      </c>
      <c r="E17" s="306" t="s">
        <v>38</v>
      </c>
      <c r="F17" s="307">
        <v>15.255000000000001</v>
      </c>
      <c r="G17" s="307">
        <v>2.181</v>
      </c>
      <c r="H17" s="307">
        <v>40.40402523892832</v>
      </c>
      <c r="I17" s="307">
        <v>7.0780000000000003</v>
      </c>
      <c r="J17" s="307">
        <v>0.20100000000000001</v>
      </c>
      <c r="K17" s="307" t="s">
        <v>38</v>
      </c>
      <c r="L17" s="306" t="s">
        <v>38</v>
      </c>
      <c r="M17" s="306" t="s">
        <v>38</v>
      </c>
      <c r="N17" s="307">
        <v>0.13500000000000001</v>
      </c>
      <c r="O17" s="307">
        <v>2.39</v>
      </c>
      <c r="P17" s="304">
        <f t="shared" si="0"/>
        <v>68.553025238928328</v>
      </c>
    </row>
    <row r="18" spans="2:16" ht="15" customHeight="1">
      <c r="C18" s="300">
        <v>2003</v>
      </c>
      <c r="D18" s="309">
        <v>0.878</v>
      </c>
      <c r="E18" s="306" t="s">
        <v>38</v>
      </c>
      <c r="F18" s="307">
        <v>17.457000000000001</v>
      </c>
      <c r="G18" s="307">
        <v>2.0270000000000001</v>
      </c>
      <c r="H18" s="307">
        <v>40.09068356959321</v>
      </c>
      <c r="I18" s="307">
        <v>7.431</v>
      </c>
      <c r="J18" s="307">
        <v>0.66400000000000003</v>
      </c>
      <c r="K18" s="307" t="s">
        <v>38</v>
      </c>
      <c r="L18" s="306" t="s">
        <v>38</v>
      </c>
      <c r="M18" s="306" t="s">
        <v>38</v>
      </c>
      <c r="N18" s="307">
        <v>0.2</v>
      </c>
      <c r="O18" s="307">
        <v>2.4</v>
      </c>
      <c r="P18" s="304">
        <f t="shared" si="0"/>
        <v>71.147683569593227</v>
      </c>
    </row>
    <row r="19" spans="2:16" ht="15" customHeight="1">
      <c r="C19" s="300">
        <v>2004</v>
      </c>
      <c r="D19" s="309">
        <v>0.94</v>
      </c>
      <c r="E19" s="307">
        <v>1E-3</v>
      </c>
      <c r="F19" s="307">
        <v>19.603999999999999</v>
      </c>
      <c r="G19" s="307">
        <v>2.085</v>
      </c>
      <c r="H19" s="307">
        <v>42.129558508961537</v>
      </c>
      <c r="I19" s="307">
        <v>7.9249999999999998</v>
      </c>
      <c r="J19" s="307">
        <v>0.65700000000000003</v>
      </c>
      <c r="K19" s="307" t="s">
        <v>38</v>
      </c>
      <c r="L19" s="307">
        <v>0.436</v>
      </c>
      <c r="M19" s="307" t="s">
        <v>38</v>
      </c>
      <c r="N19" s="307">
        <v>0.16200000000000001</v>
      </c>
      <c r="O19" s="307">
        <v>2.4220000000000002</v>
      </c>
      <c r="P19" s="304">
        <f t="shared" si="0"/>
        <v>76.361558508961537</v>
      </c>
    </row>
    <row r="20" spans="2:16" ht="15" customHeight="1">
      <c r="C20" s="300">
        <v>2005</v>
      </c>
      <c r="D20" s="309">
        <v>0.98199999999999998</v>
      </c>
      <c r="E20" s="307">
        <v>6.0000000000000001E-3</v>
      </c>
      <c r="F20" s="307">
        <v>20.853000000000002</v>
      </c>
      <c r="G20" s="307">
        <v>2.3239999999999998</v>
      </c>
      <c r="H20" s="307">
        <v>43.423485044354422</v>
      </c>
      <c r="I20" s="307">
        <v>8.5500000000000007</v>
      </c>
      <c r="J20" s="307">
        <v>0.68700000000000006</v>
      </c>
      <c r="K20" s="307" t="s">
        <v>38</v>
      </c>
      <c r="L20" s="307">
        <v>0.49</v>
      </c>
      <c r="M20" s="307" t="s">
        <v>38</v>
      </c>
      <c r="N20" s="307">
        <v>0.311</v>
      </c>
      <c r="O20" s="307">
        <v>2.33</v>
      </c>
      <c r="P20" s="304">
        <f t="shared" si="0"/>
        <v>79.956485044354423</v>
      </c>
    </row>
    <row r="21" spans="2:16" ht="15" customHeight="1">
      <c r="C21" s="300">
        <v>2006</v>
      </c>
      <c r="D21" s="309">
        <v>1</v>
      </c>
      <c r="E21" s="307">
        <v>0.14799999999999999</v>
      </c>
      <c r="F21" s="307">
        <v>21.635000000000002</v>
      </c>
      <c r="G21" s="307">
        <v>2.6970000000000001</v>
      </c>
      <c r="H21" s="307">
        <v>45.772517593238021</v>
      </c>
      <c r="I21" s="307">
        <v>8.9120000000000008</v>
      </c>
      <c r="J21" s="307">
        <v>0.73299999999999998</v>
      </c>
      <c r="K21" s="307" t="s">
        <v>38</v>
      </c>
      <c r="L21" s="307">
        <v>0.50800000000000001</v>
      </c>
      <c r="M21" s="307" t="s">
        <v>38</v>
      </c>
      <c r="N21" s="307">
        <v>0.435</v>
      </c>
      <c r="O21" s="307">
        <v>2.4900000000000002</v>
      </c>
      <c r="P21" s="304">
        <f t="shared" si="0"/>
        <v>84.330517593238028</v>
      </c>
    </row>
    <row r="22" spans="2:16" ht="15" customHeight="1">
      <c r="C22" s="300">
        <v>2007</v>
      </c>
      <c r="D22" s="309">
        <v>1.018</v>
      </c>
      <c r="E22" s="307">
        <v>0.32900000000000001</v>
      </c>
      <c r="F22" s="307">
        <v>21.919</v>
      </c>
      <c r="G22" s="307">
        <v>2.5920000000000001</v>
      </c>
      <c r="H22" s="307">
        <v>48.985441901189418</v>
      </c>
      <c r="I22" s="307">
        <v>8.8179999999999996</v>
      </c>
      <c r="J22" s="307">
        <v>0.8</v>
      </c>
      <c r="K22" s="307" t="s">
        <v>38</v>
      </c>
      <c r="L22" s="307">
        <v>0.50600000000000001</v>
      </c>
      <c r="M22" s="307" t="s">
        <v>38</v>
      </c>
      <c r="N22" s="307">
        <v>0.57999999999999996</v>
      </c>
      <c r="O22" s="307">
        <v>2.7749999999999999</v>
      </c>
      <c r="P22" s="304">
        <f t="shared" si="0"/>
        <v>88.322441901189421</v>
      </c>
    </row>
    <row r="23" spans="2:16" ht="15" customHeight="1">
      <c r="C23" s="300">
        <v>2008</v>
      </c>
      <c r="D23" s="309">
        <v>1.079</v>
      </c>
      <c r="E23" s="307">
        <v>0.253</v>
      </c>
      <c r="F23" s="307">
        <v>23.332999999999998</v>
      </c>
      <c r="G23" s="307">
        <v>5.4829999999999997</v>
      </c>
      <c r="H23" s="307">
        <v>53.337100330444443</v>
      </c>
      <c r="I23" s="307">
        <v>8.8780000000000001</v>
      </c>
      <c r="J23" s="307">
        <v>0.86699999999999999</v>
      </c>
      <c r="K23" s="307" t="s">
        <v>38</v>
      </c>
      <c r="L23" s="307">
        <v>0.52500000000000002</v>
      </c>
      <c r="M23" s="310">
        <v>1.4E-2</v>
      </c>
      <c r="N23" s="307">
        <v>0.622</v>
      </c>
      <c r="O23" s="307">
        <v>2.992</v>
      </c>
      <c r="P23" s="304">
        <f t="shared" si="0"/>
        <v>97.383100330444449</v>
      </c>
    </row>
    <row r="24" spans="2:16" ht="15" customHeight="1" thickBot="1">
      <c r="B24" s="2"/>
      <c r="C24" s="300">
        <v>2009</v>
      </c>
      <c r="D24" s="307">
        <v>1.0609999999999999</v>
      </c>
      <c r="E24" s="307">
        <v>0.23499999999999999</v>
      </c>
      <c r="F24" s="307">
        <v>22.561</v>
      </c>
      <c r="G24" s="307">
        <v>11.505000000000001</v>
      </c>
      <c r="H24" s="307">
        <v>52.968697973099317</v>
      </c>
      <c r="I24" s="307">
        <v>10.746</v>
      </c>
      <c r="J24" s="307">
        <v>0.91500000000000004</v>
      </c>
      <c r="K24" s="307" t="s">
        <v>38</v>
      </c>
      <c r="L24" s="307">
        <v>0.52900000000000003</v>
      </c>
      <c r="M24" s="310">
        <v>1.6E-2</v>
      </c>
      <c r="N24" s="307">
        <v>0.60399999999999998</v>
      </c>
      <c r="O24" s="307">
        <v>3.05</v>
      </c>
      <c r="P24" s="304">
        <f t="shared" si="0"/>
        <v>104.19069797309932</v>
      </c>
    </row>
    <row r="25" spans="2:16" ht="15" customHeight="1" thickTop="1">
      <c r="B25" s="2"/>
      <c r="C25" s="300">
        <v>2010</v>
      </c>
      <c r="D25" s="307">
        <v>1.0609999999999999</v>
      </c>
      <c r="E25" s="307">
        <v>0.27100000000000002</v>
      </c>
      <c r="F25" s="307">
        <v>23.903134902000001</v>
      </c>
      <c r="G25" s="307">
        <v>11.715</v>
      </c>
      <c r="H25" s="307">
        <v>53.906753988610141</v>
      </c>
      <c r="I25" s="307">
        <v>11.606199999999999</v>
      </c>
      <c r="J25" s="311">
        <v>0.28499999999999998</v>
      </c>
      <c r="K25" s="307" t="s">
        <v>38</v>
      </c>
      <c r="L25" s="307">
        <v>0.51925939799999998</v>
      </c>
      <c r="M25" s="310">
        <f>15.1/1000</f>
        <v>1.5099999999999999E-2</v>
      </c>
      <c r="N25" s="307">
        <v>0.65100000000000002</v>
      </c>
      <c r="O25" s="310">
        <v>2.9384999999999999</v>
      </c>
      <c r="P25" s="304">
        <f t="shared" si="0"/>
        <v>106.87194828861016</v>
      </c>
    </row>
    <row r="26" spans="2:16" ht="15" customHeight="1">
      <c r="B26" s="2"/>
      <c r="C26" s="300">
        <v>2011</v>
      </c>
      <c r="D26" s="307">
        <v>0.90500000000000003</v>
      </c>
      <c r="E26" s="307">
        <v>0.28499999999999998</v>
      </c>
      <c r="F26" s="307">
        <v>23.306000000000001</v>
      </c>
      <c r="G26" s="307">
        <v>11.231</v>
      </c>
      <c r="H26" s="307">
        <v>55.188725024105658</v>
      </c>
      <c r="I26" s="307">
        <v>12.282999999999999</v>
      </c>
      <c r="J26" s="307">
        <v>0.30499999999999999</v>
      </c>
      <c r="K26" s="307" t="s">
        <v>38</v>
      </c>
      <c r="L26" s="307">
        <v>0.46600000000000003</v>
      </c>
      <c r="M26" s="310">
        <f>13.34/1000</f>
        <v>1.3339999999999999E-2</v>
      </c>
      <c r="N26" s="307">
        <v>0.70899999999999996</v>
      </c>
      <c r="O26" s="307">
        <v>2.827</v>
      </c>
      <c r="P26" s="304">
        <f t="shared" si="0"/>
        <v>107.51906502410566</v>
      </c>
    </row>
    <row r="27" spans="2:16" ht="15" customHeight="1">
      <c r="B27" s="2"/>
      <c r="C27" s="300">
        <v>2012</v>
      </c>
      <c r="D27" s="310">
        <v>0.90500000000000003</v>
      </c>
      <c r="E27" s="307">
        <v>0.27100000000000002</v>
      </c>
      <c r="F27" s="307">
        <v>24.753</v>
      </c>
      <c r="G27" s="307">
        <v>11.177</v>
      </c>
      <c r="H27" s="307">
        <v>55.186028904364228</v>
      </c>
      <c r="I27" s="307">
        <v>12.794</v>
      </c>
      <c r="J27" s="307">
        <v>0.32400000000000001</v>
      </c>
      <c r="K27" s="307" t="s">
        <v>38</v>
      </c>
      <c r="L27" s="307">
        <v>0.46200000000000002</v>
      </c>
      <c r="M27" s="310">
        <f>11.88/1000</f>
        <v>1.188E-2</v>
      </c>
      <c r="N27" s="307">
        <v>0.70799999999999996</v>
      </c>
      <c r="O27" s="307">
        <v>2.948</v>
      </c>
      <c r="P27" s="304">
        <f t="shared" si="0"/>
        <v>109.53990890436422</v>
      </c>
    </row>
    <row r="28" spans="2:16" ht="15" customHeight="1">
      <c r="B28" s="2"/>
      <c r="C28" s="300">
        <v>2013</v>
      </c>
      <c r="D28" s="312">
        <v>0.90500000000000003</v>
      </c>
      <c r="E28" s="307">
        <v>0.246</v>
      </c>
      <c r="F28" s="307">
        <v>25.178000000000001</v>
      </c>
      <c r="G28" s="307">
        <v>12.744</v>
      </c>
      <c r="H28" s="307">
        <v>54.91316156530138</v>
      </c>
      <c r="I28" s="310">
        <v>12.794</v>
      </c>
      <c r="J28" s="307">
        <v>0.36299999999999999</v>
      </c>
      <c r="K28" s="307" t="s">
        <v>38</v>
      </c>
      <c r="L28" s="307">
        <v>0.46500000000000002</v>
      </c>
      <c r="M28" s="310">
        <f>11.05/1000</f>
        <v>1.1050000000000001E-2</v>
      </c>
      <c r="N28" s="307">
        <v>0.75700000000000001</v>
      </c>
      <c r="O28" s="307">
        <v>3.0550000000000002</v>
      </c>
      <c r="P28" s="304">
        <f t="shared" si="0"/>
        <v>111.4312115653014</v>
      </c>
    </row>
    <row r="29" spans="2:16" ht="15" customHeight="1">
      <c r="B29" s="2"/>
      <c r="C29" s="313">
        <v>2014</v>
      </c>
      <c r="D29" s="312">
        <v>0.91</v>
      </c>
      <c r="E29" s="310">
        <v>0.246</v>
      </c>
      <c r="F29" s="307">
        <v>24.315999999999999</v>
      </c>
      <c r="G29" s="307">
        <v>12.788</v>
      </c>
      <c r="H29" s="307">
        <v>54.866837906209405</v>
      </c>
      <c r="I29" s="310">
        <v>12.794</v>
      </c>
      <c r="J29" s="307">
        <v>0.24199999999999999</v>
      </c>
      <c r="K29" s="307" t="s">
        <v>38</v>
      </c>
      <c r="L29" s="307">
        <v>0.53800000000000003</v>
      </c>
      <c r="M29" s="310">
        <f>7.7/1000</f>
        <v>7.7000000000000002E-3</v>
      </c>
      <c r="N29" s="307">
        <v>0.65100000000000002</v>
      </c>
      <c r="O29" s="307">
        <v>3.2280000000000002</v>
      </c>
      <c r="P29" s="314">
        <f t="shared" si="0"/>
        <v>110.58753790620939</v>
      </c>
    </row>
    <row r="30" spans="2:16" ht="15" customHeight="1">
      <c r="B30" s="2"/>
      <c r="C30" s="300">
        <v>2015</v>
      </c>
      <c r="D30" s="307">
        <v>1.2</v>
      </c>
      <c r="E30" s="307">
        <v>0.56699999999999995</v>
      </c>
      <c r="F30" s="307">
        <v>25.28</v>
      </c>
      <c r="G30" s="307">
        <v>14.129</v>
      </c>
      <c r="H30" s="307">
        <v>55.202390135374003</v>
      </c>
      <c r="I30" s="310">
        <v>12.794</v>
      </c>
      <c r="J30" s="307">
        <v>0.996</v>
      </c>
      <c r="K30" s="307">
        <v>0.46700000000000003</v>
      </c>
      <c r="L30" s="307">
        <v>0.56899999999999995</v>
      </c>
      <c r="M30" s="310">
        <f>5.6/1000</f>
        <v>5.5999999999999999E-3</v>
      </c>
      <c r="N30" s="307">
        <v>0.57099999999999995</v>
      </c>
      <c r="O30" s="307">
        <v>3.3650000000000002</v>
      </c>
      <c r="P30" s="314">
        <f t="shared" si="0"/>
        <v>115.14599013537399</v>
      </c>
    </row>
    <row r="31" spans="2:16" ht="15" customHeight="1">
      <c r="B31" s="2"/>
      <c r="C31" s="300">
        <v>2016</v>
      </c>
      <c r="D31" s="307">
        <v>1.5</v>
      </c>
      <c r="E31" s="307">
        <v>0.69799999999999995</v>
      </c>
      <c r="F31" s="307">
        <v>27.213000000000001</v>
      </c>
      <c r="G31" s="307">
        <v>15.058999999999999</v>
      </c>
      <c r="H31" s="307">
        <v>54.7632755943104</v>
      </c>
      <c r="I31" s="310">
        <v>12.794</v>
      </c>
      <c r="J31" s="307">
        <v>0.36499999999999999</v>
      </c>
      <c r="K31" s="307">
        <v>1.4354899999999999</v>
      </c>
      <c r="L31" s="307">
        <v>0.61411000000000004</v>
      </c>
      <c r="M31" s="310">
        <f>3.9/1000</f>
        <v>3.8999999999999998E-3</v>
      </c>
      <c r="N31" s="307">
        <v>0.61299999999999999</v>
      </c>
      <c r="O31" s="307">
        <v>3.4809999999999999</v>
      </c>
      <c r="P31" s="314">
        <f t="shared" si="0"/>
        <v>118.53977559431038</v>
      </c>
    </row>
    <row r="32" spans="2:16" ht="15" customHeight="1">
      <c r="B32" s="2"/>
      <c r="C32" s="300">
        <v>2017</v>
      </c>
      <c r="D32" s="307">
        <v>1.5640000000000001</v>
      </c>
      <c r="E32" s="307">
        <v>0.76900000000000002</v>
      </c>
      <c r="F32" s="307">
        <v>28.501999999999999</v>
      </c>
      <c r="G32" s="307">
        <v>15.54</v>
      </c>
      <c r="H32" s="307">
        <v>59.696518423000001</v>
      </c>
      <c r="I32" s="310">
        <v>12.79</v>
      </c>
      <c r="J32" s="307">
        <v>0.41299999999999998</v>
      </c>
      <c r="K32" s="307">
        <v>1.44</v>
      </c>
      <c r="L32" s="307">
        <v>0.65300000000000002</v>
      </c>
      <c r="M32" s="310">
        <f>1.54/1000</f>
        <v>1.5400000000000001E-3</v>
      </c>
      <c r="N32" s="307">
        <v>0.67800000000000005</v>
      </c>
      <c r="O32" s="307">
        <v>3.6040000000000001</v>
      </c>
      <c r="P32" s="314">
        <f t="shared" si="0"/>
        <v>125.65105842300001</v>
      </c>
    </row>
    <row r="33" spans="2:16" ht="14.25" customHeight="1">
      <c r="B33" s="2"/>
      <c r="C33" s="300">
        <v>2018</v>
      </c>
      <c r="D33" s="312">
        <f>D32</f>
        <v>1.5640000000000001</v>
      </c>
      <c r="E33" s="307">
        <v>0.79400000000000004</v>
      </c>
      <c r="F33" s="307">
        <v>31.067</v>
      </c>
      <c r="G33" s="307">
        <v>16.126000000000001</v>
      </c>
      <c r="H33" s="307">
        <v>58.623622052999998</v>
      </c>
      <c r="I33" s="310">
        <v>12.79</v>
      </c>
      <c r="J33" s="307">
        <v>0.39500000000000002</v>
      </c>
      <c r="K33" s="307">
        <v>1.55</v>
      </c>
      <c r="L33" s="307">
        <v>0.66100000000000003</v>
      </c>
      <c r="M33" s="310">
        <f>1.79/1000</f>
        <v>1.7900000000000001E-3</v>
      </c>
      <c r="N33" s="307">
        <v>0.79500000000000004</v>
      </c>
      <c r="O33" s="307">
        <v>3.5230000000000001</v>
      </c>
      <c r="P33" s="314">
        <f t="shared" si="0"/>
        <v>127.89041205299999</v>
      </c>
    </row>
    <row r="34" spans="2:16" ht="14.25" customHeight="1">
      <c r="B34" s="201"/>
      <c r="C34" s="300">
        <v>2019</v>
      </c>
      <c r="D34" s="310">
        <f>D33</f>
        <v>1.5640000000000001</v>
      </c>
      <c r="E34" s="307">
        <f>881/1000</f>
        <v>0.88100000000000001</v>
      </c>
      <c r="F34" s="307">
        <f>33204/1000</f>
        <v>33.204000000000001</v>
      </c>
      <c r="G34" s="307">
        <f>16071/1000</f>
        <v>16.071000000000002</v>
      </c>
      <c r="H34" s="307">
        <v>61.895201565000001</v>
      </c>
      <c r="I34" s="310">
        <f>I33</f>
        <v>12.79</v>
      </c>
      <c r="J34" s="307">
        <f>452/1000</f>
        <v>0.45200000000000001</v>
      </c>
      <c r="K34" s="307">
        <f>1683/1000</f>
        <v>1.6830000000000001</v>
      </c>
      <c r="L34" s="307">
        <f>696/1000</f>
        <v>0.69599999999999995</v>
      </c>
      <c r="M34" s="310">
        <f>1.74/1000</f>
        <v>1.74E-3</v>
      </c>
      <c r="N34" s="307">
        <f>814/1000</f>
        <v>0.81399999999999995</v>
      </c>
      <c r="O34" s="307">
        <f>3900/1000</f>
        <v>3.9</v>
      </c>
      <c r="P34" s="314">
        <f t="shared" si="0"/>
        <v>133.951941565</v>
      </c>
    </row>
    <row r="35" spans="2:16" ht="17.25" customHeight="1">
      <c r="B35" s="201"/>
      <c r="C35" s="300">
        <v>2020</v>
      </c>
      <c r="D35" s="322">
        <v>0.995</v>
      </c>
      <c r="E35" s="322">
        <v>0.53747816875460575</v>
      </c>
      <c r="F35" s="323">
        <f>18.153</f>
        <v>18.152999999999999</v>
      </c>
      <c r="G35" s="323">
        <f>5.609</f>
        <v>5.609</v>
      </c>
      <c r="H35" s="307">
        <v>35.688197260000003</v>
      </c>
      <c r="I35" s="322">
        <v>5.0334095005831818</v>
      </c>
      <c r="J35" s="323">
        <f>0.141</f>
        <v>0.14099999999999999</v>
      </c>
      <c r="K35" s="323">
        <v>0.75800000000000001</v>
      </c>
      <c r="L35" s="323">
        <f>0.223</f>
        <v>0.223</v>
      </c>
      <c r="M35" s="323">
        <f>0.4/1000</f>
        <v>4.0000000000000002E-4</v>
      </c>
      <c r="N35" s="323">
        <f>0.325</f>
        <v>0.32500000000000001</v>
      </c>
      <c r="O35" s="323">
        <f>1.798</f>
        <v>1.798</v>
      </c>
      <c r="P35" s="314">
        <f>SUM(D35:O35)</f>
        <v>69.261484929337783</v>
      </c>
    </row>
    <row r="36" spans="2:16" ht="15" customHeight="1">
      <c r="B36" s="249"/>
      <c r="C36" s="300">
        <v>2021</v>
      </c>
      <c r="D36" s="312">
        <f>1.35</f>
        <v>1.35</v>
      </c>
      <c r="E36" s="322">
        <v>0.54794694178334558</v>
      </c>
      <c r="F36" s="323">
        <f>19.57</f>
        <v>19.57</v>
      </c>
      <c r="G36" s="323">
        <f>6.37</f>
        <v>6.37</v>
      </c>
      <c r="H36" s="323">
        <v>48.630083362000001</v>
      </c>
      <c r="I36" s="322">
        <v>6.2593834163927458</v>
      </c>
      <c r="J36" s="323">
        <f>0.143</f>
        <v>0.14299999999999999</v>
      </c>
      <c r="K36" s="323">
        <f>1.1243</f>
        <v>1.1243000000000001</v>
      </c>
      <c r="L36" s="323">
        <f>0.27</f>
        <v>0.27</v>
      </c>
      <c r="M36" s="480">
        <f>27/1000</f>
        <v>2.7E-2</v>
      </c>
      <c r="N36" s="323">
        <v>0.34</v>
      </c>
      <c r="O36" s="360">
        <f>1.939</f>
        <v>1.9390000000000001</v>
      </c>
      <c r="P36" s="349">
        <f>SUM(D36:O36)</f>
        <v>86.570713720176116</v>
      </c>
    </row>
    <row r="37" spans="2:16" ht="15" customHeight="1">
      <c r="B37" s="201"/>
      <c r="C37" s="500">
        <v>2022</v>
      </c>
      <c r="D37" s="499">
        <f>D36+D36*rail_pkm!AW7/100</f>
        <v>1.962740180079499</v>
      </c>
      <c r="E37" s="499">
        <f>E36+E36*rail_pkm!AW9/100</f>
        <v>0.76235390567428152</v>
      </c>
      <c r="F37" s="481">
        <f>33.988</f>
        <v>33.988</v>
      </c>
      <c r="G37" s="481">
        <f>9.745</f>
        <v>9.7449999999999992</v>
      </c>
      <c r="H37" s="481">
        <v>68.473880382000004</v>
      </c>
      <c r="I37" s="499">
        <f>I36+I36*rail_pkm!AW18/100</f>
        <v>10.509833174283388</v>
      </c>
      <c r="J37" s="481">
        <f>0.197</f>
        <v>0.19700000000000001</v>
      </c>
      <c r="K37" s="481">
        <f>1.396</f>
        <v>1.3959999999999999</v>
      </c>
      <c r="L37" s="481">
        <f>0.551</f>
        <v>0.55100000000000005</v>
      </c>
      <c r="M37" s="481">
        <f>38.809/1000</f>
        <v>3.8808999999999996E-2</v>
      </c>
      <c r="N37" s="481">
        <f>N36+N36*rail_pkm!AW32/100</f>
        <v>0.53547364795039631</v>
      </c>
      <c r="O37" s="481">
        <f>3.028</f>
        <v>3.028</v>
      </c>
      <c r="P37" s="482">
        <f>SUM(D37:O37)</f>
        <v>131.18809028998754</v>
      </c>
    </row>
    <row r="38" spans="2:16" ht="13.5" customHeight="1">
      <c r="B38" s="2"/>
      <c r="C38" s="25" t="s">
        <v>140</v>
      </c>
      <c r="D38" s="315"/>
      <c r="E38" s="315"/>
      <c r="F38" s="315"/>
      <c r="G38" s="315"/>
      <c r="H38" s="315"/>
      <c r="I38" s="361"/>
      <c r="J38" s="315"/>
      <c r="K38" s="315"/>
      <c r="L38" s="315"/>
      <c r="M38" s="315"/>
      <c r="N38" s="315"/>
      <c r="O38" s="315"/>
      <c r="P38" s="487"/>
    </row>
    <row r="39" spans="2:16" ht="29.25" customHeight="1">
      <c r="B39" s="2"/>
      <c r="C39" s="602" t="s">
        <v>112</v>
      </c>
      <c r="D39" s="603"/>
      <c r="E39" s="603"/>
      <c r="F39" s="603"/>
      <c r="G39" s="603"/>
      <c r="H39" s="603"/>
      <c r="I39" s="603"/>
      <c r="J39" s="603"/>
      <c r="K39" s="603"/>
      <c r="L39" s="603"/>
      <c r="M39" s="603"/>
      <c r="N39" s="603"/>
      <c r="O39" s="603"/>
      <c r="P39" s="603"/>
    </row>
    <row r="40" spans="2:16" ht="24.95" customHeight="1">
      <c r="B40" s="2"/>
      <c r="C40" s="316"/>
      <c r="D40" s="317"/>
      <c r="E40" s="317"/>
      <c r="F40" s="317"/>
      <c r="G40" s="317"/>
      <c r="H40" s="317"/>
      <c r="I40" s="317"/>
      <c r="J40" s="318"/>
      <c r="K40" s="318"/>
      <c r="L40" s="318"/>
      <c r="M40" s="318"/>
      <c r="N40" s="317"/>
      <c r="O40" s="318"/>
      <c r="P40" s="319"/>
    </row>
    <row r="41" spans="2:16" ht="15" customHeight="1">
      <c r="B41" s="2"/>
      <c r="C41" s="597" t="s">
        <v>46</v>
      </c>
      <c r="D41" s="597"/>
      <c r="E41" s="597"/>
      <c r="F41" s="597"/>
      <c r="G41" s="597"/>
      <c r="H41" s="597"/>
      <c r="I41" s="597"/>
      <c r="J41" s="597"/>
      <c r="K41" s="597"/>
      <c r="L41" s="597"/>
      <c r="M41" s="597"/>
      <c r="N41" s="597"/>
      <c r="O41" s="597"/>
      <c r="P41" s="597"/>
    </row>
    <row r="42" spans="2:16" ht="15" customHeight="1">
      <c r="B42" s="2"/>
      <c r="C42" s="598" t="s">
        <v>37</v>
      </c>
      <c r="D42" s="598"/>
      <c r="E42" s="598"/>
      <c r="F42" s="598"/>
      <c r="G42" s="598"/>
      <c r="H42" s="598"/>
      <c r="I42" s="598"/>
      <c r="J42" s="598"/>
      <c r="K42" s="598"/>
      <c r="L42" s="598"/>
      <c r="M42" s="598"/>
      <c r="N42" s="598"/>
      <c r="O42" s="598"/>
      <c r="P42" s="598"/>
    </row>
    <row r="43" spans="2:16" ht="15" customHeight="1">
      <c r="B43" s="2"/>
      <c r="C43" s="316"/>
      <c r="D43" s="68" t="s">
        <v>24</v>
      </c>
      <c r="E43" s="68" t="s">
        <v>9</v>
      </c>
      <c r="F43" s="68" t="s">
        <v>25</v>
      </c>
      <c r="G43" s="179" t="s">
        <v>26</v>
      </c>
      <c r="H43" s="68" t="s">
        <v>27</v>
      </c>
      <c r="I43" s="68" t="s">
        <v>29</v>
      </c>
      <c r="J43" s="68" t="s">
        <v>22</v>
      </c>
      <c r="K43" s="68" t="s">
        <v>15</v>
      </c>
      <c r="L43" s="68" t="s">
        <v>32</v>
      </c>
      <c r="M43" s="68" t="s">
        <v>18</v>
      </c>
      <c r="N43" s="68" t="s">
        <v>33</v>
      </c>
      <c r="O43" s="68" t="s">
        <v>34</v>
      </c>
      <c r="P43" s="68" t="s">
        <v>94</v>
      </c>
    </row>
    <row r="44" spans="2:16" ht="15" customHeight="1">
      <c r="B44" s="2"/>
      <c r="C44" s="320">
        <v>2000</v>
      </c>
      <c r="D44" s="56">
        <v>11.184380656839927</v>
      </c>
      <c r="E44" s="56" t="s">
        <v>38</v>
      </c>
      <c r="F44" s="56">
        <v>18.467190069492336</v>
      </c>
      <c r="G44" s="56">
        <v>9.6405877680698975</v>
      </c>
      <c r="H44" s="56">
        <v>46.391188251001331</v>
      </c>
      <c r="I44" s="56">
        <v>10.259824094246753</v>
      </c>
      <c r="J44" s="56">
        <v>0.77048956770762311</v>
      </c>
      <c r="K44" s="56" t="s">
        <v>38</v>
      </c>
      <c r="L44" s="56" t="s">
        <v>38</v>
      </c>
      <c r="M44" s="56" t="s">
        <v>38</v>
      </c>
      <c r="N44" s="56">
        <v>2.0851688693098382</v>
      </c>
      <c r="O44" s="57">
        <v>24.83319179910227</v>
      </c>
      <c r="P44" s="321">
        <v>17.365119549977312</v>
      </c>
    </row>
    <row r="45" spans="2:16" ht="15" customHeight="1">
      <c r="B45" s="2"/>
      <c r="C45" s="300">
        <v>2001</v>
      </c>
      <c r="D45" s="56">
        <v>11.059965165464046</v>
      </c>
      <c r="E45" s="56" t="s">
        <v>38</v>
      </c>
      <c r="F45" s="56">
        <v>20.480766692187874</v>
      </c>
      <c r="G45" s="56">
        <v>9.9721528711350107</v>
      </c>
      <c r="H45" s="56">
        <v>48.703125000000007</v>
      </c>
      <c r="I45" s="56">
        <v>13.505471683041776</v>
      </c>
      <c r="J45" s="56">
        <v>1.3271261812117845</v>
      </c>
      <c r="K45" s="56" t="s">
        <v>38</v>
      </c>
      <c r="L45" s="56" t="s">
        <v>38</v>
      </c>
      <c r="M45" s="56" t="s">
        <v>38</v>
      </c>
      <c r="N45" s="56">
        <v>1.8281535648994516</v>
      </c>
      <c r="O45" s="57">
        <v>25.503893724232707</v>
      </c>
      <c r="P45" s="58">
        <v>19.160646792516967</v>
      </c>
    </row>
    <row r="46" spans="2:16" ht="15" customHeight="1">
      <c r="B46" s="2"/>
      <c r="C46" s="300">
        <v>2002</v>
      </c>
      <c r="D46" s="56">
        <v>11.004842615012107</v>
      </c>
      <c r="E46" s="56" t="s">
        <v>38</v>
      </c>
      <c r="F46" s="56">
        <v>21.54082943842754</v>
      </c>
      <c r="G46" s="56">
        <v>10.28240064117675</v>
      </c>
      <c r="H46" s="56">
        <v>50.707379134860055</v>
      </c>
      <c r="I46" s="56">
        <v>14.355833198117802</v>
      </c>
      <c r="J46" s="56">
        <v>1.406774916013438</v>
      </c>
      <c r="K46" s="56" t="s">
        <v>38</v>
      </c>
      <c r="L46" s="56" t="s">
        <v>38</v>
      </c>
      <c r="M46" s="56" t="s">
        <v>38</v>
      </c>
      <c r="N46" s="56">
        <v>4.06871609403255</v>
      </c>
      <c r="O46" s="57">
        <v>26.932612125309895</v>
      </c>
      <c r="P46" s="58">
        <v>20.489123625432832</v>
      </c>
    </row>
    <row r="47" spans="2:16" ht="15" customHeight="1">
      <c r="B47" s="2"/>
      <c r="C47" s="300">
        <v>2003</v>
      </c>
      <c r="D47" s="56">
        <v>10.623109497882636</v>
      </c>
      <c r="E47" s="56" t="s">
        <v>38</v>
      </c>
      <c r="F47" s="56">
        <v>24.48627494985482</v>
      </c>
      <c r="G47" s="56">
        <v>9.594357930610121</v>
      </c>
      <c r="H47" s="56">
        <v>51.702349869451702</v>
      </c>
      <c r="I47" s="56">
        <v>15.259666919933466</v>
      </c>
      <c r="J47" s="56">
        <v>4.7949162333911035</v>
      </c>
      <c r="K47" s="56" t="s">
        <v>38</v>
      </c>
      <c r="L47" s="56" t="s">
        <v>38</v>
      </c>
      <c r="M47" s="56" t="s">
        <v>38</v>
      </c>
      <c r="N47" s="56">
        <v>5.9916117435590177</v>
      </c>
      <c r="O47" s="57">
        <v>27.16776092370387</v>
      </c>
      <c r="P47" s="58">
        <v>21.623486006943821</v>
      </c>
    </row>
    <row r="48" spans="2:16" ht="15" customHeight="1">
      <c r="B48" s="2"/>
      <c r="C48" s="300">
        <v>2004</v>
      </c>
      <c r="D48" s="56">
        <v>10.189701897018971</v>
      </c>
      <c r="E48" s="56">
        <v>1.5197568389057751E-2</v>
      </c>
      <c r="F48" s="56">
        <v>26.89163237311385</v>
      </c>
      <c r="G48" s="56">
        <v>10.227607181399</v>
      </c>
      <c r="H48" s="56">
        <v>51.669576059850378</v>
      </c>
      <c r="I48" s="56">
        <v>16.09006375116742</v>
      </c>
      <c r="J48" s="56">
        <v>4.5282238610517611</v>
      </c>
      <c r="K48" s="56" t="s">
        <v>38</v>
      </c>
      <c r="L48" s="56">
        <v>11.620469083155651</v>
      </c>
      <c r="M48" s="56" t="s">
        <v>38</v>
      </c>
      <c r="N48" s="56">
        <v>4.8329355608591893</v>
      </c>
      <c r="O48" s="57">
        <v>28.051887885105398</v>
      </c>
      <c r="P48" s="58">
        <v>22.796109017403381</v>
      </c>
    </row>
    <row r="49" spans="2:16" ht="15" customHeight="1">
      <c r="B49" s="2"/>
      <c r="C49" s="300">
        <v>2005</v>
      </c>
      <c r="D49" s="56">
        <v>11.539365452408932</v>
      </c>
      <c r="E49" s="56">
        <v>8.9995500224988756E-2</v>
      </c>
      <c r="F49" s="56">
        <v>27.152343750000004</v>
      </c>
      <c r="G49" s="56">
        <v>10.747317795042544</v>
      </c>
      <c r="H49" s="56">
        <v>52.405832320777648</v>
      </c>
      <c r="I49" s="56">
        <v>17.06995687589842</v>
      </c>
      <c r="J49" s="56">
        <v>4.53375569194219</v>
      </c>
      <c r="K49" s="56" t="s">
        <v>38</v>
      </c>
      <c r="L49" s="56">
        <v>12.864268836965081</v>
      </c>
      <c r="M49" s="56" t="s">
        <v>38</v>
      </c>
      <c r="N49" s="56">
        <v>8.9419206440483023</v>
      </c>
      <c r="O49" s="57">
        <v>26.150392817059487</v>
      </c>
      <c r="P49" s="58">
        <v>23.442429022082013</v>
      </c>
    </row>
    <row r="50" spans="2:16" ht="15" customHeight="1">
      <c r="B50" s="2"/>
      <c r="C50" s="300">
        <v>2006</v>
      </c>
      <c r="D50" s="56">
        <v>11.155734047300312</v>
      </c>
      <c r="E50" s="56">
        <v>2.138110372724646</v>
      </c>
      <c r="F50" s="56">
        <v>27.38607594936709</v>
      </c>
      <c r="G50" s="56">
        <v>12.200859534042072</v>
      </c>
      <c r="H50" s="56">
        <v>52.276223776223787</v>
      </c>
      <c r="I50" s="56">
        <v>17.75829431104912</v>
      </c>
      <c r="J50" s="56">
        <v>4.6132544527660651</v>
      </c>
      <c r="K50" s="56" t="s">
        <v>38</v>
      </c>
      <c r="L50" s="56">
        <v>13.106295149638802</v>
      </c>
      <c r="M50" s="56" t="s">
        <v>38</v>
      </c>
      <c r="N50" s="56">
        <v>12.288135593220337</v>
      </c>
      <c r="O50" s="57">
        <v>25.891650202765938</v>
      </c>
      <c r="P50" s="58">
        <v>23.874073713646212</v>
      </c>
    </row>
    <row r="51" spans="2:16" ht="15.75" customHeight="1">
      <c r="C51" s="300">
        <v>2007</v>
      </c>
      <c r="D51" s="56">
        <v>11.723508364339326</v>
      </c>
      <c r="E51" s="56">
        <v>4.7694984053348799</v>
      </c>
      <c r="F51" s="56">
        <v>27.708041007749003</v>
      </c>
      <c r="G51" s="56">
        <v>11.858901038568881</v>
      </c>
      <c r="H51" s="56">
        <v>54.568828213879407</v>
      </c>
      <c r="I51" s="56">
        <v>17.713941341904377</v>
      </c>
      <c r="J51" s="56">
        <v>4.9004594180704446</v>
      </c>
      <c r="K51" s="56" t="s">
        <v>38</v>
      </c>
      <c r="L51" s="56">
        <v>12.691246551291698</v>
      </c>
      <c r="M51" s="56" t="s">
        <v>38</v>
      </c>
      <c r="N51" s="56">
        <v>15.352038115404977</v>
      </c>
      <c r="O51" s="57">
        <v>27.044147743884611</v>
      </c>
      <c r="P51" s="58">
        <v>24.757228168408929</v>
      </c>
    </row>
    <row r="52" spans="2:16" ht="15.75" customHeight="1">
      <c r="C52" s="300">
        <v>2008</v>
      </c>
      <c r="D52" s="56">
        <v>10.642075155340763</v>
      </c>
      <c r="E52" s="56">
        <v>3.7354200501993207</v>
      </c>
      <c r="F52" s="56">
        <v>28.269120622931084</v>
      </c>
      <c r="G52" s="56">
        <v>22.87538070007092</v>
      </c>
      <c r="H52" s="56">
        <v>56.399141630901283</v>
      </c>
      <c r="I52" s="56">
        <v>17.926661820531457</v>
      </c>
      <c r="J52" s="56">
        <v>5.3050235574863862</v>
      </c>
      <c r="K52" s="56" t="s">
        <v>38</v>
      </c>
      <c r="L52" s="56">
        <v>12.461428910515073</v>
      </c>
      <c r="M52" s="56">
        <v>1.8300653594771243</v>
      </c>
      <c r="N52" s="56">
        <v>15.350444225074039</v>
      </c>
      <c r="O52" s="57">
        <v>26.843710748250494</v>
      </c>
      <c r="P52" s="58">
        <v>26.430147934132719</v>
      </c>
    </row>
    <row r="53" spans="2:16" ht="15.75" customHeight="1" thickBot="1">
      <c r="C53" s="300">
        <v>2009</v>
      </c>
      <c r="D53" s="56">
        <v>10.364364559929665</v>
      </c>
      <c r="E53" s="56">
        <v>3.6310259579728053</v>
      </c>
      <c r="F53" s="56">
        <v>27.428453327497749</v>
      </c>
      <c r="G53" s="56">
        <v>49.72554782383196</v>
      </c>
      <c r="H53" s="56">
        <v>56.190682556879736</v>
      </c>
      <c r="I53" s="56">
        <v>22.329814645499127</v>
      </c>
      <c r="J53" s="182">
        <v>5.5606198723792168</v>
      </c>
      <c r="K53" s="56" t="s">
        <v>38</v>
      </c>
      <c r="L53" s="56">
        <v>12.556373130785664</v>
      </c>
      <c r="M53" s="56">
        <v>2.0698576972833118</v>
      </c>
      <c r="N53" s="56">
        <v>15.583075335397318</v>
      </c>
      <c r="O53" s="57">
        <v>26.9410829432029</v>
      </c>
      <c r="P53" s="58">
        <v>28.780211857152651</v>
      </c>
    </row>
    <row r="54" spans="2:16" ht="15.75" customHeight="1">
      <c r="C54" s="300">
        <v>2010</v>
      </c>
      <c r="D54" s="56">
        <v>10.043544112078758</v>
      </c>
      <c r="E54" s="56">
        <v>4.1317273974691267</v>
      </c>
      <c r="F54" s="56">
        <v>28.492746509798316</v>
      </c>
      <c r="G54" s="56">
        <v>52.168685429283933</v>
      </c>
      <c r="H54" s="56">
        <v>56.158207839218612</v>
      </c>
      <c r="I54" s="56">
        <v>24.604002374289831</v>
      </c>
      <c r="J54" s="56">
        <v>1.6863905325443789</v>
      </c>
      <c r="K54" s="56" t="s">
        <v>38</v>
      </c>
      <c r="L54" s="56">
        <v>12.630975383118463</v>
      </c>
      <c r="M54" s="56">
        <v>2.0713305898491083</v>
      </c>
      <c r="N54" s="56">
        <v>16.443546350088408</v>
      </c>
      <c r="O54" s="57">
        <v>26.342447333034514</v>
      </c>
      <c r="P54" s="66">
        <v>29.366710637237333</v>
      </c>
    </row>
    <row r="55" spans="2:16" ht="15.75" customHeight="1">
      <c r="C55" s="300">
        <v>2011</v>
      </c>
      <c r="D55" s="56">
        <v>8.4825194488705602</v>
      </c>
      <c r="E55" s="56">
        <v>4.2735042735042734</v>
      </c>
      <c r="F55" s="56">
        <v>27.286244482689991</v>
      </c>
      <c r="G55" s="56">
        <v>49.269576661548584</v>
      </c>
      <c r="H55" s="56">
        <v>53.672936259143157</v>
      </c>
      <c r="I55" s="56">
        <v>26.220514462589389</v>
      </c>
      <c r="J55" s="56">
        <v>1.7449510841581326</v>
      </c>
      <c r="K55" s="56" t="s">
        <v>38</v>
      </c>
      <c r="L55" s="56">
        <v>10.998347887656362</v>
      </c>
      <c r="M55" s="56">
        <v>1.9361393323657476</v>
      </c>
      <c r="N55" s="56">
        <v>18.263781555899019</v>
      </c>
      <c r="O55" s="57">
        <v>24.844010897266898</v>
      </c>
      <c r="P55" s="58">
        <v>28.547731724359249</v>
      </c>
    </row>
    <row r="56" spans="2:16" ht="15.75" customHeight="1">
      <c r="C56" s="300">
        <v>2012</v>
      </c>
      <c r="D56" s="56">
        <v>8.3356359952104633</v>
      </c>
      <c r="E56" s="56">
        <v>3.7659811006114512</v>
      </c>
      <c r="F56" s="56">
        <v>27.876569626668168</v>
      </c>
      <c r="G56" s="56">
        <v>49.728599394910127</v>
      </c>
      <c r="H56" s="56">
        <v>53.325678496868477</v>
      </c>
      <c r="I56" s="56">
        <v>27.361577450330422</v>
      </c>
      <c r="J56" s="56">
        <v>1.8231950931292553</v>
      </c>
      <c r="K56" s="56" t="s">
        <v>38</v>
      </c>
      <c r="L56" s="56">
        <v>12.148303970549566</v>
      </c>
      <c r="M56" s="56">
        <v>1.8027314112291348</v>
      </c>
      <c r="N56" s="56">
        <v>17.546468401486987</v>
      </c>
      <c r="O56" s="57">
        <v>25</v>
      </c>
      <c r="P56" s="66">
        <v>28.777994103859843</v>
      </c>
    </row>
    <row r="57" spans="2:16" ht="15.75" customHeight="1">
      <c r="C57" s="300">
        <v>2013</v>
      </c>
      <c r="D57" s="56">
        <v>8.3134300936983294</v>
      </c>
      <c r="E57" s="56">
        <v>3.2747603833865817</v>
      </c>
      <c r="F57" s="56">
        <v>28.095742900184124</v>
      </c>
      <c r="G57" s="56">
        <v>53.573230200100888</v>
      </c>
      <c r="H57" s="56">
        <v>53.402733964248164</v>
      </c>
      <c r="I57" s="181">
        <v>26.25002564681262</v>
      </c>
      <c r="J57" s="56">
        <v>1.9061121613106489</v>
      </c>
      <c r="K57" s="56" t="s">
        <v>38</v>
      </c>
      <c r="L57" s="56">
        <v>12.743217319813649</v>
      </c>
      <c r="M57" s="56">
        <v>1.6273932253313699</v>
      </c>
      <c r="N57" s="56">
        <v>18.677522822600544</v>
      </c>
      <c r="O57" s="57">
        <v>25.798007093396386</v>
      </c>
      <c r="P57" s="65">
        <v>28.938191657601774</v>
      </c>
    </row>
    <row r="58" spans="2:16" ht="15.75" customHeight="1">
      <c r="C58" s="300">
        <v>2014</v>
      </c>
      <c r="D58" s="56">
        <v>8.2915717539863341</v>
      </c>
      <c r="E58" s="56">
        <v>3.2182103610675035</v>
      </c>
      <c r="F58" s="56">
        <v>26.727928244811817</v>
      </c>
      <c r="G58" s="56">
        <v>51.005105296745377</v>
      </c>
      <c r="H58" s="56">
        <v>53.664194915254235</v>
      </c>
      <c r="I58" s="181">
        <v>25.610024621174212</v>
      </c>
      <c r="J58" s="56">
        <v>1.2096975756060986</v>
      </c>
      <c r="K58" s="56" t="s">
        <v>38</v>
      </c>
      <c r="L58" s="56">
        <v>13.966770508826585</v>
      </c>
      <c r="M58" s="56">
        <v>1.241935483870968</v>
      </c>
      <c r="N58" s="56">
        <v>16.804336602994322</v>
      </c>
      <c r="O58" s="57">
        <v>26.631466050655888</v>
      </c>
      <c r="P58" s="65">
        <v>28.352487210517275</v>
      </c>
    </row>
    <row r="59" spans="2:16" ht="15.75" customHeight="1">
      <c r="C59" s="300">
        <v>2015</v>
      </c>
      <c r="D59" s="56">
        <v>12.08830620466404</v>
      </c>
      <c r="E59" s="56">
        <v>6.9784615384615378</v>
      </c>
      <c r="F59" s="56">
        <v>27.565451591446859</v>
      </c>
      <c r="G59" s="56">
        <v>54.047127228215132</v>
      </c>
      <c r="H59" s="56">
        <v>52.799280802820348</v>
      </c>
      <c r="I59" s="56">
        <v>24.506292259658665</v>
      </c>
      <c r="J59" s="56">
        <v>5.6839582263311081</v>
      </c>
      <c r="K59" s="56">
        <v>2.6890078885242126</v>
      </c>
      <c r="L59" s="56">
        <v>14.379580490270405</v>
      </c>
      <c r="M59" s="56">
        <v>0.89171974522292996</v>
      </c>
      <c r="N59" s="56">
        <v>13.879436071949442</v>
      </c>
      <c r="O59" s="57">
        <v>26.410799780237031</v>
      </c>
      <c r="P59" s="57">
        <v>28.843289006654025</v>
      </c>
    </row>
    <row r="60" spans="2:16" ht="15.75" customHeight="1">
      <c r="C60" s="300">
        <v>2016</v>
      </c>
      <c r="D60" s="56">
        <v>15.243207605909234</v>
      </c>
      <c r="E60" s="56">
        <v>7.9880979629205759</v>
      </c>
      <c r="F60" s="56">
        <v>28.889761773323709</v>
      </c>
      <c r="G60" s="56">
        <v>56.463980262541192</v>
      </c>
      <c r="H60" s="56">
        <v>53.772505078606834</v>
      </c>
      <c r="I60" s="56">
        <v>24.51988206155211</v>
      </c>
      <c r="J60" s="56">
        <v>2.0300333704115681</v>
      </c>
      <c r="K60" s="56">
        <v>7.4862581486310296</v>
      </c>
      <c r="L60" s="56">
        <v>14.395452414439758</v>
      </c>
      <c r="M60" s="56">
        <v>0.63829787234042545</v>
      </c>
      <c r="N60" s="56">
        <v>15.847983453981385</v>
      </c>
      <c r="O60" s="57">
        <v>27.195312499999996</v>
      </c>
      <c r="P60" s="57">
        <v>29.590476642822427</v>
      </c>
    </row>
    <row r="61" spans="2:16" ht="13.5" customHeight="1">
      <c r="C61" s="300">
        <v>2017</v>
      </c>
      <c r="D61" s="56">
        <v>15.383102193370709</v>
      </c>
      <c r="E61" s="56">
        <v>8.178240986919068</v>
      </c>
      <c r="F61" s="56">
        <v>29.829408686551545</v>
      </c>
      <c r="G61" s="56">
        <v>56.476232010466646</v>
      </c>
      <c r="H61" s="56">
        <v>58.09546798388655</v>
      </c>
      <c r="I61" s="56">
        <v>24.027352482575939</v>
      </c>
      <c r="J61" s="56">
        <v>2.2400607474100989</v>
      </c>
      <c r="K61" s="56">
        <v>7.0869629410896211</v>
      </c>
      <c r="L61" s="56">
        <v>14.45969884853853</v>
      </c>
      <c r="M61" s="56">
        <v>0.27017543859649124</v>
      </c>
      <c r="N61" s="56">
        <v>15.874502458440649</v>
      </c>
      <c r="O61" s="57">
        <v>27.034731077938641</v>
      </c>
      <c r="P61" s="57">
        <v>31.001465521397296</v>
      </c>
    </row>
    <row r="62" spans="2:16" ht="13.5" customHeight="1">
      <c r="B62" s="180"/>
      <c r="C62" s="300">
        <v>2018</v>
      </c>
      <c r="D62" s="56">
        <v>14.888148500713946</v>
      </c>
      <c r="E62" s="56">
        <v>7.7690802348336598</v>
      </c>
      <c r="F62" s="56">
        <v>31.636456211812625</v>
      </c>
      <c r="G62" s="56">
        <v>56.741731175228715</v>
      </c>
      <c r="H62" s="56">
        <v>58.426971201102774</v>
      </c>
      <c r="I62" s="56">
        <v>23.04795199394518</v>
      </c>
      <c r="J62" s="56">
        <v>2.0905001323101349</v>
      </c>
      <c r="K62" s="56">
        <v>7.3658698854726046</v>
      </c>
      <c r="L62" s="56">
        <v>14.463894967177243</v>
      </c>
      <c r="M62" s="56">
        <v>0.31514084507042256</v>
      </c>
      <c r="N62" s="56">
        <v>17.530319735391402</v>
      </c>
      <c r="O62" s="57">
        <v>26.005757732339262</v>
      </c>
      <c r="P62" s="57">
        <v>30.966786622690968</v>
      </c>
    </row>
    <row r="63" spans="2:16">
      <c r="C63" s="300">
        <v>2019</v>
      </c>
      <c r="D63" s="56">
        <v>14.416075214305465</v>
      </c>
      <c r="E63" s="56">
        <v>8.1153279292557112</v>
      </c>
      <c r="F63" s="56">
        <v>33.120536248653401</v>
      </c>
      <c r="G63" s="56">
        <v>55.711165805803034</v>
      </c>
      <c r="H63" s="56">
        <v>58.779152408118577</v>
      </c>
      <c r="I63" s="56">
        <v>22.602763934542111</v>
      </c>
      <c r="J63" s="56">
        <v>2.3355552110783857</v>
      </c>
      <c r="K63" s="56">
        <v>7.6305767138193685</v>
      </c>
      <c r="L63" s="56">
        <v>13.768545994065281</v>
      </c>
      <c r="M63" s="56">
        <v>0.30419580419580422</v>
      </c>
      <c r="N63" s="56">
        <v>16.53127538586515</v>
      </c>
      <c r="O63" s="57">
        <v>26.681261544776628</v>
      </c>
      <c r="P63" s="57">
        <v>31.37411679985847</v>
      </c>
    </row>
    <row r="64" spans="2:16">
      <c r="C64" s="300">
        <v>2020</v>
      </c>
      <c r="D64" s="56">
        <v>13.383804244964173</v>
      </c>
      <c r="E64" s="56">
        <v>8.1153279292557112</v>
      </c>
      <c r="F64" s="56">
        <v>31.413639745963621</v>
      </c>
      <c r="G64" s="56">
        <v>46.509121061359863</v>
      </c>
      <c r="H64" s="56">
        <v>60.324705892271965</v>
      </c>
      <c r="I64" s="56">
        <v>22.602763934542107</v>
      </c>
      <c r="J64" s="56">
        <v>1.5384615384615383</v>
      </c>
      <c r="K64" s="56">
        <v>6.070313125650677</v>
      </c>
      <c r="L64" s="56">
        <v>8.7007413187670686</v>
      </c>
      <c r="M64" s="56">
        <v>0.1183431952662722</v>
      </c>
      <c r="N64" s="56">
        <v>11.524822695035462</v>
      </c>
      <c r="O64" s="57">
        <v>22.118341739451349</v>
      </c>
      <c r="P64" s="57">
        <v>30.529125127130968</v>
      </c>
    </row>
    <row r="65" spans="2:16">
      <c r="C65" s="300">
        <v>2021</v>
      </c>
      <c r="D65" s="345">
        <v>13.383804244964177</v>
      </c>
      <c r="E65" s="345">
        <v>8.1153279292557112</v>
      </c>
      <c r="F65" s="345">
        <v>34.02413157620223</v>
      </c>
      <c r="G65" s="345">
        <v>37.466180449358902</v>
      </c>
      <c r="H65" s="345">
        <v>59.987064954474377</v>
      </c>
      <c r="I65" s="345">
        <v>22.602763934542107</v>
      </c>
      <c r="J65" s="345">
        <v>1.3176080346447987</v>
      </c>
      <c r="K65" s="345">
        <v>7.0960616006059087</v>
      </c>
      <c r="L65" s="345">
        <v>9.2719780219780219</v>
      </c>
      <c r="M65" s="345">
        <v>5.3571428571428568</v>
      </c>
      <c r="N65" s="56">
        <v>11.712022046159147</v>
      </c>
      <c r="O65" s="57">
        <v>24.155973589136668</v>
      </c>
      <c r="P65" s="483">
        <v>32.131121660358133</v>
      </c>
    </row>
    <row r="66" spans="2:16">
      <c r="B66" s="180"/>
      <c r="C66" s="484">
        <v>2022</v>
      </c>
      <c r="D66" s="345">
        <f>D37/rail_pkm!AK7*100</f>
        <v>17.144381087842728</v>
      </c>
      <c r="E66" s="345">
        <f>E37/rail_pkm!AK9*100</f>
        <v>8.1153279292557112</v>
      </c>
      <c r="F66" s="345">
        <f>F37/rail_pkm!AK11*100</f>
        <v>36.818216285896895</v>
      </c>
      <c r="G66" s="345">
        <f>G37/rail_pkm!AK15*100</f>
        <v>35.450543853905195</v>
      </c>
      <c r="H66" s="345">
        <f>H37/rail_pkm!AK16*100</f>
        <v>63.012479390922074</v>
      </c>
      <c r="I66" s="345">
        <f>I37/rail_pkm!AK18*100</f>
        <v>22.602763934542107</v>
      </c>
      <c r="J66" s="345">
        <f>J37/rail_pkm!AK25*100</f>
        <v>1.151710026308097</v>
      </c>
      <c r="K66" s="345">
        <f>K37/rail_pkm!AK27*100</f>
        <v>5.8588995677172946</v>
      </c>
      <c r="L66" s="345">
        <f>L37/rail_pkm!AK28</f>
        <v>0.12468884362978051</v>
      </c>
      <c r="M66" s="345">
        <f>M37/rail_pkm!AK30*100</f>
        <v>6.0168992248062008</v>
      </c>
      <c r="N66" s="56">
        <f>N37/rail_pkm!AK32*100</f>
        <v>11.71202204615915</v>
      </c>
      <c r="O66" s="485">
        <f>O37/rail_pkm!AK33*100</f>
        <v>23.511142169423096</v>
      </c>
      <c r="P66" s="486">
        <f>P37/rail_pkm!AK6*100</f>
        <v>32.614505795366213</v>
      </c>
    </row>
    <row r="67" spans="2:16">
      <c r="C67" s="596" t="s">
        <v>75</v>
      </c>
      <c r="D67" s="596"/>
      <c r="E67" s="596"/>
      <c r="F67" s="596"/>
      <c r="G67" s="596"/>
      <c r="H67" s="596"/>
      <c r="I67" s="596"/>
      <c r="J67" s="596"/>
      <c r="K67" s="596"/>
      <c r="L67" s="596"/>
      <c r="M67" s="596"/>
      <c r="N67" s="596"/>
      <c r="O67" s="596"/>
      <c r="P67" s="596"/>
    </row>
    <row r="70" spans="2:16">
      <c r="G70" s="1"/>
    </row>
  </sheetData>
  <mergeCells count="7">
    <mergeCell ref="C67:P67"/>
    <mergeCell ref="C41:P41"/>
    <mergeCell ref="C42:P42"/>
    <mergeCell ref="C1:D1"/>
    <mergeCell ref="C2:P2"/>
    <mergeCell ref="C3:P3"/>
    <mergeCell ref="C39:P39"/>
  </mergeCells>
  <phoneticPr fontId="16" type="noConversion"/>
  <printOptions horizontalCentered="1"/>
  <pageMargins left="0.6692913385826772" right="0.47244094488188981" top="0.51181102362204722" bottom="0.27559055118110237"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
  <dimension ref="A1:T83"/>
  <sheetViews>
    <sheetView zoomScaleNormal="100" workbookViewId="0">
      <selection activeCell="W20" sqref="W20"/>
    </sheetView>
  </sheetViews>
  <sheetFormatPr defaultRowHeight="12.75"/>
  <cols>
    <col min="1" max="1" width="2.5703125" customWidth="1"/>
    <col min="2" max="2" width="6.140625" customWidth="1"/>
    <col min="3" max="3" width="9.7109375" customWidth="1"/>
    <col min="4" max="6" width="8.7109375" customWidth="1"/>
    <col min="7" max="7" width="9.28515625" customWidth="1"/>
    <col min="8" max="8" width="8.7109375" customWidth="1"/>
    <col min="9" max="9" width="7.42578125" customWidth="1"/>
    <col min="12" max="12" width="9.140625" customWidth="1"/>
    <col min="13" max="13" width="9.42578125" customWidth="1"/>
    <col min="14" max="16" width="9.140625" customWidth="1"/>
    <col min="17" max="17" width="10.42578125" customWidth="1"/>
    <col min="18" max="19" width="9.140625" customWidth="1"/>
  </cols>
  <sheetData>
    <row r="1" spans="2:20" ht="14.25" customHeight="1">
      <c r="B1" s="39"/>
      <c r="C1" s="39"/>
      <c r="D1" s="39"/>
      <c r="E1" s="39"/>
      <c r="F1" s="39"/>
      <c r="G1" s="39"/>
      <c r="H1" s="40"/>
      <c r="I1" s="33" t="s">
        <v>69</v>
      </c>
    </row>
    <row r="2" spans="2:20" s="12" customFormat="1" ht="30" customHeight="1">
      <c r="B2" s="604" t="s">
        <v>113</v>
      </c>
      <c r="C2" s="604"/>
      <c r="D2" s="604"/>
      <c r="E2" s="604"/>
      <c r="F2" s="604"/>
      <c r="G2" s="604"/>
      <c r="H2" s="604"/>
      <c r="I2" s="604"/>
      <c r="L2"/>
      <c r="N2"/>
      <c r="O2"/>
      <c r="P2"/>
      <c r="Q2"/>
      <c r="R2"/>
      <c r="T2"/>
    </row>
    <row r="3" spans="2:20" ht="15" customHeight="1">
      <c r="B3" s="605" t="s">
        <v>107</v>
      </c>
      <c r="C3" s="605"/>
      <c r="D3" s="605"/>
      <c r="E3" s="605"/>
      <c r="F3" s="605"/>
      <c r="G3" s="605"/>
      <c r="H3" s="605"/>
      <c r="I3" s="605"/>
      <c r="L3" s="199"/>
      <c r="M3" s="614" t="s">
        <v>137</v>
      </c>
      <c r="N3" s="615"/>
      <c r="O3" s="615"/>
      <c r="P3" s="615"/>
      <c r="Q3" s="615"/>
      <c r="R3" s="615"/>
    </row>
    <row r="4" spans="2:20" ht="12" customHeight="1">
      <c r="B4" s="606" t="s">
        <v>79</v>
      </c>
      <c r="C4" s="607"/>
      <c r="D4" s="607"/>
      <c r="E4" s="607"/>
      <c r="F4" s="607"/>
      <c r="G4" s="607"/>
      <c r="H4" s="607"/>
      <c r="I4" s="607"/>
      <c r="L4" s="200"/>
      <c r="M4" s="616"/>
      <c r="N4" s="616"/>
      <c r="O4" s="616"/>
      <c r="P4" s="616"/>
      <c r="Q4" s="616"/>
      <c r="R4" s="616"/>
      <c r="S4" s="199"/>
    </row>
    <row r="5" spans="2:20" ht="12.75" customHeight="1">
      <c r="B5" s="18"/>
      <c r="C5" s="608" t="s">
        <v>52</v>
      </c>
      <c r="D5" s="608" t="s">
        <v>53</v>
      </c>
      <c r="E5" s="610" t="s">
        <v>54</v>
      </c>
      <c r="F5" s="612" t="s">
        <v>116</v>
      </c>
      <c r="G5" s="608" t="s">
        <v>56</v>
      </c>
      <c r="H5" s="610" t="s">
        <v>44</v>
      </c>
      <c r="I5" s="610" t="s">
        <v>45</v>
      </c>
      <c r="L5" s="18"/>
      <c r="M5" s="608" t="s">
        <v>52</v>
      </c>
      <c r="N5" s="608" t="s">
        <v>53</v>
      </c>
      <c r="O5" s="610" t="s">
        <v>54</v>
      </c>
      <c r="P5" s="612" t="s">
        <v>116</v>
      </c>
      <c r="Q5" s="608" t="s">
        <v>56</v>
      </c>
      <c r="R5" s="610" t="s">
        <v>44</v>
      </c>
      <c r="S5" s="200"/>
    </row>
    <row r="6" spans="2:20" ht="22.5" customHeight="1">
      <c r="B6" s="18"/>
      <c r="C6" s="609"/>
      <c r="D6" s="609"/>
      <c r="E6" s="611"/>
      <c r="F6" s="611"/>
      <c r="G6" s="609"/>
      <c r="H6" s="611"/>
      <c r="I6" s="611"/>
      <c r="L6" s="18"/>
      <c r="M6" s="609"/>
      <c r="N6" s="609"/>
      <c r="O6" s="611"/>
      <c r="P6" s="611"/>
      <c r="Q6" s="609"/>
      <c r="R6" s="611"/>
      <c r="S6" s="613"/>
    </row>
    <row r="7" spans="2:20" ht="15" customHeight="1">
      <c r="B7" s="41">
        <v>1990</v>
      </c>
      <c r="C7" s="123">
        <v>5280.4901498342397</v>
      </c>
      <c r="D7" s="124">
        <v>19.994650790400001</v>
      </c>
      <c r="E7" s="124">
        <v>28.215019008000002</v>
      </c>
      <c r="F7" s="127">
        <v>195.36953356800004</v>
      </c>
      <c r="G7" s="124">
        <v>12.316309632000001</v>
      </c>
      <c r="H7" s="127">
        <v>563.61677192500838</v>
      </c>
      <c r="I7" s="125">
        <f t="shared" ref="I7:I26" si="0">SUM(C7:H7)</f>
        <v>6100.0024347576491</v>
      </c>
      <c r="L7" s="41">
        <v>1990</v>
      </c>
      <c r="M7" s="61">
        <f>100*(C7/$I7)</f>
        <v>86.565377740607929</v>
      </c>
      <c r="N7" s="62">
        <f t="shared" ref="N7:R22" si="1">100*(D7/$I7)</f>
        <v>0.32778102966764444</v>
      </c>
      <c r="O7" s="62">
        <f t="shared" si="1"/>
        <v>0.46254111059417918</v>
      </c>
      <c r="P7" s="62">
        <f t="shared" si="1"/>
        <v>3.2027779604609616</v>
      </c>
      <c r="Q7" s="62">
        <f t="shared" si="1"/>
        <v>0.20190663468955361</v>
      </c>
      <c r="R7" s="63">
        <f t="shared" si="1"/>
        <v>9.2396155239797153</v>
      </c>
      <c r="S7" s="613"/>
    </row>
    <row r="8" spans="2:20" ht="18.75" customHeight="1">
      <c r="B8" s="43">
        <v>1995</v>
      </c>
      <c r="C8" s="126">
        <v>5701.9589003520005</v>
      </c>
      <c r="D8" s="127">
        <v>17.343900288</v>
      </c>
      <c r="E8" s="127">
        <v>25.916875776000001</v>
      </c>
      <c r="F8" s="127">
        <v>219.03815577600002</v>
      </c>
      <c r="G8" s="127">
        <v>14.651467776</v>
      </c>
      <c r="H8" s="127">
        <v>647.59009500122579</v>
      </c>
      <c r="I8" s="128">
        <f t="shared" si="0"/>
        <v>6626.4993949692262</v>
      </c>
      <c r="L8" s="43">
        <v>1995</v>
      </c>
      <c r="M8" s="53">
        <f>100*(C8/$I8)</f>
        <v>86.047829487177978</v>
      </c>
      <c r="N8" s="54">
        <f t="shared" si="1"/>
        <v>0.26173548436701466</v>
      </c>
      <c r="O8" s="54">
        <f t="shared" si="1"/>
        <v>0.39110960752031215</v>
      </c>
      <c r="P8" s="54">
        <f t="shared" si="1"/>
        <v>3.3054882030516999</v>
      </c>
      <c r="Q8" s="54">
        <f t="shared" si="1"/>
        <v>0.2211041894476479</v>
      </c>
      <c r="R8" s="55">
        <f t="shared" si="1"/>
        <v>9.7727330284353453</v>
      </c>
      <c r="S8" s="42"/>
    </row>
    <row r="9" spans="2:20" ht="16.5" customHeight="1">
      <c r="B9" s="43">
        <v>1996</v>
      </c>
      <c r="C9" s="126">
        <v>5850.5560692480003</v>
      </c>
      <c r="D9" s="127">
        <v>17.561161728000002</v>
      </c>
      <c r="E9" s="127">
        <v>26.683278058483204</v>
      </c>
      <c r="F9" s="127">
        <v>223.91768678400001</v>
      </c>
      <c r="G9" s="127">
        <v>14.9759861999616</v>
      </c>
      <c r="H9" s="127">
        <v>694.08037885552835</v>
      </c>
      <c r="I9" s="128">
        <f t="shared" si="0"/>
        <v>6827.7745608739733</v>
      </c>
      <c r="L9" s="43">
        <v>1996</v>
      </c>
      <c r="M9" s="53">
        <f t="shared" ref="M9:R30" si="2">100*(C9/$I9)</f>
        <v>85.68759874958603</v>
      </c>
      <c r="N9" s="54">
        <f t="shared" si="1"/>
        <v>0.2572018389217603</v>
      </c>
      <c r="O9" s="54">
        <f t="shared" si="1"/>
        <v>0.39080490752271807</v>
      </c>
      <c r="P9" s="54">
        <f t="shared" si="1"/>
        <v>3.2795120106504796</v>
      </c>
      <c r="Q9" s="54">
        <f t="shared" si="1"/>
        <v>0.21933920146954347</v>
      </c>
      <c r="R9" s="55">
        <f t="shared" si="1"/>
        <v>10.165543291849463</v>
      </c>
      <c r="S9" s="42"/>
    </row>
    <row r="10" spans="2:20" ht="17.25" customHeight="1">
      <c r="B10" s="43">
        <v>1997</v>
      </c>
      <c r="C10" s="126">
        <v>6021.7468185600001</v>
      </c>
      <c r="D10" s="127">
        <v>17.846015615999999</v>
      </c>
      <c r="E10" s="127">
        <v>27.716231159654402</v>
      </c>
      <c r="F10" s="127">
        <v>233.45144064000004</v>
      </c>
      <c r="G10" s="127">
        <v>14.582578245016322</v>
      </c>
      <c r="H10" s="127">
        <v>727.04154261378824</v>
      </c>
      <c r="I10" s="128">
        <f t="shared" si="0"/>
        <v>7042.3846268344596</v>
      </c>
      <c r="L10" s="43">
        <v>1997</v>
      </c>
      <c r="M10" s="53">
        <f t="shared" si="2"/>
        <v>85.507212934871546</v>
      </c>
      <c r="N10" s="54">
        <f t="shared" si="1"/>
        <v>0.2534087040346979</v>
      </c>
      <c r="O10" s="54">
        <f t="shared" si="1"/>
        <v>0.39356315549769683</v>
      </c>
      <c r="P10" s="54">
        <f t="shared" si="1"/>
        <v>3.314948742652474</v>
      </c>
      <c r="Q10" s="54">
        <f t="shared" si="1"/>
        <v>0.20706875607802702</v>
      </c>
      <c r="R10" s="55">
        <f t="shared" si="1"/>
        <v>10.323797706865554</v>
      </c>
      <c r="S10" s="42"/>
    </row>
    <row r="11" spans="2:20" ht="12.75" customHeight="1">
      <c r="B11" s="43">
        <v>1998</v>
      </c>
      <c r="C11" s="126">
        <v>6186.937933440001</v>
      </c>
      <c r="D11" s="127">
        <v>18.203289984000001</v>
      </c>
      <c r="E11" s="127">
        <v>28.305757559616769</v>
      </c>
      <c r="F11" s="127">
        <v>239.0812985332476</v>
      </c>
      <c r="G11" s="127">
        <v>15.79991311900109</v>
      </c>
      <c r="H11" s="127">
        <v>743.84491086361845</v>
      </c>
      <c r="I11" s="128">
        <f t="shared" si="0"/>
        <v>7232.1731034994846</v>
      </c>
      <c r="L11" s="43">
        <v>1998</v>
      </c>
      <c r="M11" s="53">
        <f t="shared" si="2"/>
        <v>85.547425993527199</v>
      </c>
      <c r="N11" s="54">
        <f t="shared" si="1"/>
        <v>0.2516987594668032</v>
      </c>
      <c r="O11" s="54">
        <f t="shared" si="1"/>
        <v>0.39138661581427381</v>
      </c>
      <c r="P11" s="54">
        <f t="shared" si="1"/>
        <v>3.3058016603275382</v>
      </c>
      <c r="Q11" s="54">
        <f t="shared" si="1"/>
        <v>0.21846702080949737</v>
      </c>
      <c r="R11" s="55">
        <f t="shared" si="1"/>
        <v>10.285219950054691</v>
      </c>
      <c r="S11" s="42"/>
    </row>
    <row r="12" spans="2:20" ht="12.75" customHeight="1" thickBot="1">
      <c r="B12" s="44">
        <v>1999</v>
      </c>
      <c r="C12" s="126">
        <v>6320.6905132800002</v>
      </c>
      <c r="D12" s="127">
        <v>18.735982847999999</v>
      </c>
      <c r="E12" s="127">
        <v>29.34165086629287</v>
      </c>
      <c r="F12" s="127">
        <v>261.4642487027653</v>
      </c>
      <c r="G12" s="127">
        <v>16.01970877368576</v>
      </c>
      <c r="H12" s="127">
        <v>784.04340156458341</v>
      </c>
      <c r="I12" s="128">
        <f t="shared" si="0"/>
        <v>7430.2955060353279</v>
      </c>
      <c r="L12" s="44">
        <v>1999</v>
      </c>
      <c r="M12" s="53">
        <f t="shared" si="2"/>
        <v>85.066475595027953</v>
      </c>
      <c r="N12" s="54">
        <f t="shared" si="1"/>
        <v>0.25215663135849065</v>
      </c>
      <c r="O12" s="54">
        <f t="shared" si="1"/>
        <v>0.39489211219741982</v>
      </c>
      <c r="P12" s="54">
        <f t="shared" si="1"/>
        <v>3.518894349361859</v>
      </c>
      <c r="Q12" s="54">
        <f t="shared" si="1"/>
        <v>0.21559988779280176</v>
      </c>
      <c r="R12" s="55">
        <f t="shared" si="1"/>
        <v>10.551981424261481</v>
      </c>
    </row>
    <row r="13" spans="2:20" ht="12.75" customHeight="1" thickTop="1">
      <c r="B13" s="44">
        <v>2000</v>
      </c>
      <c r="C13" s="129">
        <v>6372.1836777083063</v>
      </c>
      <c r="D13" s="130">
        <v>24.885070523583629</v>
      </c>
      <c r="E13" s="127">
        <v>31.127146408828796</v>
      </c>
      <c r="F13" s="127">
        <v>258.9734630893891</v>
      </c>
      <c r="G13" s="127">
        <v>17.283235676458752</v>
      </c>
      <c r="H13" s="127">
        <v>829.82890353895493</v>
      </c>
      <c r="I13" s="128">
        <f t="shared" si="0"/>
        <v>7534.2814969455212</v>
      </c>
      <c r="L13" s="43">
        <v>2000</v>
      </c>
      <c r="M13" s="53">
        <f t="shared" si="2"/>
        <v>84.57586407266119</v>
      </c>
      <c r="N13" s="54">
        <f t="shared" si="1"/>
        <v>0.33029122330606187</v>
      </c>
      <c r="O13" s="54">
        <f t="shared" si="1"/>
        <v>0.41314021013746405</v>
      </c>
      <c r="P13" s="54">
        <f t="shared" si="1"/>
        <v>3.4372682145521076</v>
      </c>
      <c r="Q13" s="54">
        <f t="shared" si="1"/>
        <v>0.22939461026861765</v>
      </c>
      <c r="R13" s="55">
        <f t="shared" si="1"/>
        <v>11.014041669074569</v>
      </c>
    </row>
    <row r="14" spans="2:20" ht="12.75" customHeight="1">
      <c r="B14" s="44">
        <v>2001</v>
      </c>
      <c r="C14" s="126">
        <v>6481.2387394498746</v>
      </c>
      <c r="D14" s="127">
        <v>22.728754903041427</v>
      </c>
      <c r="E14" s="127">
        <v>31.763769898848775</v>
      </c>
      <c r="F14" s="127">
        <v>241.46972309401932</v>
      </c>
      <c r="G14" s="127">
        <v>17.65590302713882</v>
      </c>
      <c r="H14" s="127">
        <v>787.7604448437927</v>
      </c>
      <c r="I14" s="128">
        <f t="shared" si="0"/>
        <v>7582.6173352167161</v>
      </c>
      <c r="L14" s="43">
        <v>2001</v>
      </c>
      <c r="M14" s="53">
        <f t="shared" si="2"/>
        <v>85.474954793622544</v>
      </c>
      <c r="N14" s="54">
        <f t="shared" si="1"/>
        <v>0.29974814629613411</v>
      </c>
      <c r="O14" s="54">
        <f t="shared" si="1"/>
        <v>0.41890245141773264</v>
      </c>
      <c r="P14" s="54">
        <f t="shared" si="1"/>
        <v>3.1845168022990831</v>
      </c>
      <c r="Q14" s="54">
        <f t="shared" si="1"/>
        <v>0.23284707966387441</v>
      </c>
      <c r="R14" s="55">
        <f t="shared" si="1"/>
        <v>10.389030726700623</v>
      </c>
      <c r="S14" s="1"/>
    </row>
    <row r="15" spans="2:20" ht="12.75" customHeight="1">
      <c r="B15" s="44">
        <v>2002</v>
      </c>
      <c r="C15" s="126">
        <v>6626.440066457998</v>
      </c>
      <c r="D15" s="127">
        <v>22.831654508056062</v>
      </c>
      <c r="E15" s="127">
        <v>30.788721081702143</v>
      </c>
      <c r="F15" s="127">
        <v>233.55380169260454</v>
      </c>
      <c r="G15" s="127">
        <v>17.59254593158656</v>
      </c>
      <c r="H15" s="127">
        <v>759.91737671618</v>
      </c>
      <c r="I15" s="128">
        <f t="shared" si="0"/>
        <v>7691.1241663881283</v>
      </c>
      <c r="L15" s="43">
        <v>2002</v>
      </c>
      <c r="M15" s="53">
        <f t="shared" si="2"/>
        <v>86.156976835934728</v>
      </c>
      <c r="N15" s="54">
        <f t="shared" si="1"/>
        <v>0.29685718256682575</v>
      </c>
      <c r="O15" s="54">
        <f t="shared" si="1"/>
        <v>0.40031496587008042</v>
      </c>
      <c r="P15" s="54">
        <f t="shared" si="1"/>
        <v>3.0366666385817176</v>
      </c>
      <c r="Q15" s="54">
        <f t="shared" si="1"/>
        <v>0.22873829041104005</v>
      </c>
      <c r="R15" s="55">
        <f t="shared" si="1"/>
        <v>9.8804460866355903</v>
      </c>
      <c r="S15" s="50"/>
    </row>
    <row r="16" spans="2:20" ht="12.75" customHeight="1">
      <c r="B16" s="44">
        <v>2003</v>
      </c>
      <c r="C16" s="126">
        <v>6688.9502334589106</v>
      </c>
      <c r="D16" s="127">
        <v>23.266748527352291</v>
      </c>
      <c r="E16" s="127">
        <v>31.038014883756674</v>
      </c>
      <c r="F16" s="127">
        <v>231.42526120247379</v>
      </c>
      <c r="G16" s="127">
        <v>17.753342758424065</v>
      </c>
      <c r="H16" s="127">
        <v>800.88705464787995</v>
      </c>
      <c r="I16" s="128">
        <f t="shared" si="0"/>
        <v>7793.3206554787976</v>
      </c>
      <c r="L16" s="43">
        <v>2003</v>
      </c>
      <c r="M16" s="53">
        <f t="shared" si="2"/>
        <v>85.829270078300951</v>
      </c>
      <c r="N16" s="54">
        <f t="shared" si="1"/>
        <v>0.29854730166909649</v>
      </c>
      <c r="O16" s="54">
        <f t="shared" si="1"/>
        <v>0.39826431191351758</v>
      </c>
      <c r="P16" s="54">
        <f t="shared" si="1"/>
        <v>2.9695334175654517</v>
      </c>
      <c r="Q16" s="54">
        <f t="shared" si="1"/>
        <v>0.22780203129385226</v>
      </c>
      <c r="R16" s="55">
        <f t="shared" si="1"/>
        <v>10.276582859257136</v>
      </c>
      <c r="S16" s="50"/>
    </row>
    <row r="17" spans="2:19" ht="12.75" customHeight="1">
      <c r="B17" s="44">
        <v>2004</v>
      </c>
      <c r="C17" s="126">
        <v>6884.4806461510834</v>
      </c>
      <c r="D17" s="127">
        <v>30.607388387317819</v>
      </c>
      <c r="E17" s="127">
        <v>31.969881822928901</v>
      </c>
      <c r="F17" s="127">
        <v>232.04878554931324</v>
      </c>
      <c r="G17" s="127">
        <v>18.171870032055171</v>
      </c>
      <c r="H17" s="127">
        <v>881.80971381228221</v>
      </c>
      <c r="I17" s="128">
        <f t="shared" si="0"/>
        <v>8079.0882857549805</v>
      </c>
      <c r="L17" s="43">
        <v>2004</v>
      </c>
      <c r="M17" s="53">
        <f t="shared" si="2"/>
        <v>85.213583546175315</v>
      </c>
      <c r="N17" s="54">
        <f t="shared" si="1"/>
        <v>0.37884705928123918</v>
      </c>
      <c r="O17" s="54">
        <f t="shared" si="1"/>
        <v>0.39571150471641814</v>
      </c>
      <c r="P17" s="54">
        <f t="shared" si="1"/>
        <v>2.8722149992897199</v>
      </c>
      <c r="Q17" s="54">
        <f t="shared" si="1"/>
        <v>0.22492476117751736</v>
      </c>
      <c r="R17" s="55">
        <f t="shared" si="1"/>
        <v>10.914718129359793</v>
      </c>
      <c r="S17" s="50"/>
    </row>
    <row r="18" spans="2:19" ht="12.75" customHeight="1">
      <c r="B18" s="44">
        <v>2005</v>
      </c>
      <c r="C18" s="126">
        <v>6952.3540534159229</v>
      </c>
      <c r="D18" s="127">
        <v>28.15017241567654</v>
      </c>
      <c r="E18" s="127">
        <v>31.863280678834176</v>
      </c>
      <c r="F18" s="127">
        <v>238.16999098052287</v>
      </c>
      <c r="G18" s="127">
        <v>17.975917190145026</v>
      </c>
      <c r="H18" s="127">
        <v>921.94299832810987</v>
      </c>
      <c r="I18" s="128">
        <f t="shared" si="0"/>
        <v>8190.4564130092122</v>
      </c>
      <c r="L18" s="43">
        <v>2005</v>
      </c>
      <c r="M18" s="53">
        <f t="shared" si="2"/>
        <v>84.883597480272726</v>
      </c>
      <c r="N18" s="54">
        <f t="shared" si="1"/>
        <v>0.34369479545687531</v>
      </c>
      <c r="O18" s="54">
        <f t="shared" si="1"/>
        <v>0.3890293662783495</v>
      </c>
      <c r="P18" s="54">
        <f t="shared" si="1"/>
        <v>2.9078964464328076</v>
      </c>
      <c r="Q18" s="54">
        <f t="shared" si="1"/>
        <v>0.21947393751577993</v>
      </c>
      <c r="R18" s="55">
        <f t="shared" si="1"/>
        <v>11.256307974043461</v>
      </c>
      <c r="S18" s="50"/>
    </row>
    <row r="19" spans="2:19" ht="12.75" customHeight="1" thickBot="1">
      <c r="B19" s="44">
        <v>2006</v>
      </c>
      <c r="C19" s="126">
        <v>6972.4258527475095</v>
      </c>
      <c r="D19" s="127">
        <v>39.153999290151461</v>
      </c>
      <c r="E19" s="127">
        <v>32.398135356926595</v>
      </c>
      <c r="F19" s="158">
        <v>231.44917964703794</v>
      </c>
      <c r="G19" s="127">
        <v>19.673661797843334</v>
      </c>
      <c r="H19" s="127">
        <v>928.30671356853213</v>
      </c>
      <c r="I19" s="128">
        <f t="shared" si="0"/>
        <v>8223.407542408002</v>
      </c>
      <c r="L19" s="43">
        <v>2006</v>
      </c>
      <c r="M19" s="53">
        <f t="shared" si="2"/>
        <v>84.787550863687628</v>
      </c>
      <c r="N19" s="54">
        <f t="shared" si="1"/>
        <v>0.47612864968974006</v>
      </c>
      <c r="O19" s="54">
        <f t="shared" si="1"/>
        <v>0.39397458036525429</v>
      </c>
      <c r="P19" s="54">
        <f t="shared" si="1"/>
        <v>2.8145167128523987</v>
      </c>
      <c r="Q19" s="54">
        <f t="shared" si="1"/>
        <v>0.23923977616804865</v>
      </c>
      <c r="R19" s="55">
        <f t="shared" si="1"/>
        <v>11.288589417236917</v>
      </c>
      <c r="S19" s="50"/>
    </row>
    <row r="20" spans="2:19" ht="12.75" customHeight="1" thickTop="1">
      <c r="B20" s="44">
        <v>2007</v>
      </c>
      <c r="C20" s="126">
        <v>6987.746520530769</v>
      </c>
      <c r="D20" s="127">
        <v>43.730951230767076</v>
      </c>
      <c r="E20" s="127">
        <v>35.280365167986048</v>
      </c>
      <c r="F20" s="127">
        <v>495.2804440320001</v>
      </c>
      <c r="G20" s="127">
        <v>21.029485214707201</v>
      </c>
      <c r="H20" s="127">
        <v>956.93861863954271</v>
      </c>
      <c r="I20" s="128">
        <f t="shared" si="0"/>
        <v>8540.0063848157715</v>
      </c>
      <c r="L20" s="43">
        <v>2007</v>
      </c>
      <c r="M20" s="53">
        <f t="shared" si="2"/>
        <v>81.823668574242063</v>
      </c>
      <c r="N20" s="54">
        <f t="shared" si="1"/>
        <v>0.51207164561985818</v>
      </c>
      <c r="O20" s="54">
        <f t="shared" si="1"/>
        <v>0.41311872120745641</v>
      </c>
      <c r="P20" s="54">
        <f t="shared" si="1"/>
        <v>5.7995324794207921</v>
      </c>
      <c r="Q20" s="54">
        <f t="shared" si="1"/>
        <v>0.24624671536660514</v>
      </c>
      <c r="R20" s="55">
        <f t="shared" si="1"/>
        <v>11.205361864143223</v>
      </c>
      <c r="S20" s="50"/>
    </row>
    <row r="21" spans="2:19" ht="12.75" customHeight="1" thickBot="1">
      <c r="B21" s="44">
        <v>2008</v>
      </c>
      <c r="C21" s="157">
        <v>6837.7527222190893</v>
      </c>
      <c r="D21" s="158">
        <v>42.53431488319994</v>
      </c>
      <c r="E21" s="127">
        <v>37.060658890675199</v>
      </c>
      <c r="F21" s="127">
        <v>505.78141363200007</v>
      </c>
      <c r="G21" s="127">
        <v>21.103427812262403</v>
      </c>
      <c r="H21" s="127">
        <v>917.47083560844101</v>
      </c>
      <c r="I21" s="128">
        <f t="shared" si="0"/>
        <v>8361.7033730456678</v>
      </c>
      <c r="L21" s="43">
        <v>2008</v>
      </c>
      <c r="M21" s="53">
        <f t="shared" si="2"/>
        <v>81.774638696953744</v>
      </c>
      <c r="N21" s="54">
        <f t="shared" si="1"/>
        <v>0.50868002589414074</v>
      </c>
      <c r="O21" s="54">
        <f t="shared" si="1"/>
        <v>0.44321900977905915</v>
      </c>
      <c r="P21" s="54">
        <f t="shared" si="1"/>
        <v>6.0487844529669577</v>
      </c>
      <c r="Q21" s="54">
        <f t="shared" si="1"/>
        <v>0.2523819235239827</v>
      </c>
      <c r="R21" s="55">
        <f t="shared" si="1"/>
        <v>10.972295890882116</v>
      </c>
      <c r="S21" s="51"/>
    </row>
    <row r="22" spans="2:19" ht="12.75" customHeight="1" thickTop="1">
      <c r="B22" s="43">
        <v>2009</v>
      </c>
      <c r="C22" s="126">
        <v>7089.5755849090729</v>
      </c>
      <c r="D22" s="127">
        <v>38.885428366040003</v>
      </c>
      <c r="E22" s="127">
        <v>36.563017920409699</v>
      </c>
      <c r="F22" s="127">
        <v>490.87245081600008</v>
      </c>
      <c r="G22" s="127">
        <v>21.445372166385027</v>
      </c>
      <c r="H22" s="127">
        <v>870.16213410563284</v>
      </c>
      <c r="I22" s="128">
        <f t="shared" ref="I22" si="3">SUM(C22:H22)</f>
        <v>8547.5039882835408</v>
      </c>
      <c r="L22" s="43">
        <v>2009</v>
      </c>
      <c r="M22" s="53">
        <f t="shared" si="2"/>
        <v>82.943226404188664</v>
      </c>
      <c r="N22" s="54">
        <f t="shared" si="1"/>
        <v>0.45493314094198795</v>
      </c>
      <c r="O22" s="54">
        <f t="shared" si="1"/>
        <v>0.42776251371778612</v>
      </c>
      <c r="P22" s="54">
        <f t="shared" si="1"/>
        <v>5.7428747794544659</v>
      </c>
      <c r="Q22" s="54">
        <f t="shared" si="1"/>
        <v>0.25089631073329938</v>
      </c>
      <c r="R22" s="55">
        <f t="shared" si="1"/>
        <v>10.180306850963794</v>
      </c>
      <c r="S22" s="51"/>
    </row>
    <row r="23" spans="2:19" ht="12.75" customHeight="1">
      <c r="B23" s="43">
        <v>2010</v>
      </c>
      <c r="C23" s="126">
        <v>7131.7296716572646</v>
      </c>
      <c r="D23" s="127">
        <v>34.573079491961693</v>
      </c>
      <c r="E23" s="127">
        <v>36.735922793281503</v>
      </c>
      <c r="F23" s="127">
        <v>469.79011677144837</v>
      </c>
      <c r="G23" s="127">
        <v>20.835343856840829</v>
      </c>
      <c r="H23" s="127">
        <v>892.72005083577687</v>
      </c>
      <c r="I23" s="128">
        <f t="shared" ref="I23" si="4">SUM(C23:H23)</f>
        <v>8586.384185406574</v>
      </c>
      <c r="L23" s="43">
        <v>2010</v>
      </c>
      <c r="M23" s="53">
        <f t="shared" si="2"/>
        <v>83.058590410831584</v>
      </c>
      <c r="N23" s="54">
        <f t="shared" si="2"/>
        <v>0.40265004157072459</v>
      </c>
      <c r="O23" s="54">
        <f t="shared" si="2"/>
        <v>0.42783926272152961</v>
      </c>
      <c r="P23" s="54">
        <f t="shared" si="2"/>
        <v>5.4713381864499384</v>
      </c>
      <c r="Q23" s="54">
        <f t="shared" si="2"/>
        <v>0.24265562088699222</v>
      </c>
      <c r="R23" s="55">
        <f t="shared" si="2"/>
        <v>10.396926477539225</v>
      </c>
      <c r="S23" s="51"/>
    </row>
    <row r="24" spans="2:19" ht="15" customHeight="1">
      <c r="B24" s="43">
        <v>2011</v>
      </c>
      <c r="C24" s="126">
        <v>7140.3176271041402</v>
      </c>
      <c r="D24" s="127">
        <v>34.627856513031887</v>
      </c>
      <c r="E24" s="127">
        <v>38.438300076320999</v>
      </c>
      <c r="F24" s="127">
        <v>471.08028751025904</v>
      </c>
      <c r="G24" s="127">
        <v>22.012058910796419</v>
      </c>
      <c r="H24" s="127">
        <v>910.26692647502512</v>
      </c>
      <c r="I24" s="128">
        <f t="shared" si="0"/>
        <v>8616.7430565895738</v>
      </c>
      <c r="L24" s="43">
        <v>2011</v>
      </c>
      <c r="M24" s="53">
        <f t="shared" si="2"/>
        <v>82.86562080603818</v>
      </c>
      <c r="N24" s="54">
        <f t="shared" si="2"/>
        <v>0.40186711249966489</v>
      </c>
      <c r="O24" s="54">
        <f t="shared" si="2"/>
        <v>0.44608850262658889</v>
      </c>
      <c r="P24" s="54">
        <f t="shared" si="2"/>
        <v>5.4670341730801031</v>
      </c>
      <c r="Q24" s="54">
        <f t="shared" si="2"/>
        <v>0.25545683289189991</v>
      </c>
      <c r="R24" s="55">
        <f t="shared" si="2"/>
        <v>10.56393257286356</v>
      </c>
      <c r="S24" s="51"/>
    </row>
    <row r="25" spans="2:19" ht="15" customHeight="1">
      <c r="B25" s="43">
        <v>2012</v>
      </c>
      <c r="C25" s="127">
        <v>7179.4569118116206</v>
      </c>
      <c r="D25" s="127">
        <v>39.937345750121111</v>
      </c>
      <c r="E25" s="127">
        <v>39.056952786331401</v>
      </c>
      <c r="F25" s="127">
        <v>504.29963053229085</v>
      </c>
      <c r="G25" s="127">
        <v>21.902334620626942</v>
      </c>
      <c r="H25" s="127">
        <v>918.03134371108729</v>
      </c>
      <c r="I25" s="128">
        <f t="shared" si="0"/>
        <v>8702.6845192120782</v>
      </c>
      <c r="L25" s="43">
        <v>2012</v>
      </c>
      <c r="M25" s="53">
        <f t="shared" si="2"/>
        <v>82.497037505636627</v>
      </c>
      <c r="N25" s="54">
        <f t="shared" si="2"/>
        <v>0.45890834790064239</v>
      </c>
      <c r="O25" s="54">
        <f t="shared" si="2"/>
        <v>0.44879201009882785</v>
      </c>
      <c r="P25" s="54">
        <f t="shared" si="2"/>
        <v>5.7947594149712902</v>
      </c>
      <c r="Q25" s="54">
        <f t="shared" si="2"/>
        <v>0.25167331496706868</v>
      </c>
      <c r="R25" s="55">
        <f t="shared" si="2"/>
        <v>10.548829406425545</v>
      </c>
    </row>
    <row r="26" spans="2:19" ht="15" customHeight="1">
      <c r="B26" s="43">
        <v>2013</v>
      </c>
      <c r="C26" s="127">
        <v>7218.2292555860677</v>
      </c>
      <c r="D26" s="127">
        <v>38.034099208994583</v>
      </c>
      <c r="E26" s="127">
        <f>28.976+11.721</f>
        <v>40.697000000000003</v>
      </c>
      <c r="F26" s="127">
        <v>517.46623050914104</v>
      </c>
      <c r="G26" s="127">
        <v>23.013916104655873</v>
      </c>
      <c r="H26" s="127">
        <v>932.55280742830701</v>
      </c>
      <c r="I26" s="128">
        <f t="shared" si="0"/>
        <v>8769.9933088371654</v>
      </c>
      <c r="L26" s="43">
        <v>2013</v>
      </c>
      <c r="M26" s="53">
        <f t="shared" si="2"/>
        <v>82.305983612468111</v>
      </c>
      <c r="N26" s="54">
        <f t="shared" si="2"/>
        <v>0.43368447237775165</v>
      </c>
      <c r="O26" s="54">
        <f t="shared" si="2"/>
        <v>0.46404824458635896</v>
      </c>
      <c r="P26" s="54">
        <f t="shared" si="2"/>
        <v>5.9004176204753929</v>
      </c>
      <c r="Q26" s="54">
        <f t="shared" si="2"/>
        <v>0.26241657540907909</v>
      </c>
      <c r="R26" s="55">
        <f t="shared" si="2"/>
        <v>10.63344947468331</v>
      </c>
    </row>
    <row r="27" spans="2:19" ht="15" customHeight="1">
      <c r="B27" s="44">
        <v>2014</v>
      </c>
      <c r="C27" s="126">
        <v>7305.0212711271806</v>
      </c>
      <c r="D27" s="127">
        <v>37.293607548791009</v>
      </c>
      <c r="E27" s="127">
        <v>40.255697099401303</v>
      </c>
      <c r="F27" s="127">
        <v>545.85209877852628</v>
      </c>
      <c r="G27" s="127">
        <v>22.972368011788799</v>
      </c>
      <c r="H27" s="127">
        <v>960.78642043639002</v>
      </c>
      <c r="I27" s="128">
        <f t="shared" ref="I27:I28" si="5">SUM(C27:H27)</f>
        <v>8912.1814630020781</v>
      </c>
      <c r="L27" s="44">
        <v>2014</v>
      </c>
      <c r="M27" s="53">
        <f t="shared" si="2"/>
        <v>81.966702557091736</v>
      </c>
      <c r="N27" s="54">
        <f t="shared" si="2"/>
        <v>0.41845655526215703</v>
      </c>
      <c r="O27" s="54">
        <f t="shared" si="2"/>
        <v>0.45169296952175303</v>
      </c>
      <c r="P27" s="54">
        <f t="shared" si="2"/>
        <v>6.1247866310237296</v>
      </c>
      <c r="Q27" s="54">
        <f t="shared" si="2"/>
        <v>0.25776369239288954</v>
      </c>
      <c r="R27" s="55">
        <f t="shared" si="2"/>
        <v>10.780597594707727</v>
      </c>
    </row>
    <row r="28" spans="2:19" ht="15" customHeight="1">
      <c r="B28" s="44">
        <v>2015</v>
      </c>
      <c r="C28" s="126">
        <v>7494.9605384583256</v>
      </c>
      <c r="D28" s="127">
        <v>36.615041722073279</v>
      </c>
      <c r="E28" s="127">
        <v>40.131160257386902</v>
      </c>
      <c r="F28" s="127">
        <v>553.73214716507016</v>
      </c>
      <c r="G28" s="137">
        <v>23.11907965716096</v>
      </c>
      <c r="H28" s="127">
        <v>1017.3545732798428</v>
      </c>
      <c r="I28" s="148">
        <f t="shared" si="5"/>
        <v>9165.912540539859</v>
      </c>
      <c r="L28" s="44">
        <v>2015</v>
      </c>
      <c r="M28" s="53">
        <f t="shared" si="2"/>
        <v>81.769932947853363</v>
      </c>
      <c r="N28" s="54">
        <f t="shared" si="2"/>
        <v>0.39946968247982761</v>
      </c>
      <c r="O28" s="54">
        <f t="shared" si="2"/>
        <v>0.43783049510772704</v>
      </c>
      <c r="P28" s="54">
        <f t="shared" si="2"/>
        <v>6.0412113329248083</v>
      </c>
      <c r="Q28" s="54">
        <f t="shared" si="2"/>
        <v>0.25222889215784811</v>
      </c>
      <c r="R28" s="55">
        <f t="shared" si="2"/>
        <v>11.099326649476431</v>
      </c>
    </row>
    <row r="29" spans="2:19" ht="17.25" customHeight="1">
      <c r="B29" s="44">
        <v>2016</v>
      </c>
      <c r="C29" s="34">
        <v>7684.6625702408001</v>
      </c>
      <c r="D29" s="127">
        <v>38.18186657478568</v>
      </c>
      <c r="E29" s="127">
        <v>40.033999999999999</v>
      </c>
      <c r="F29" s="127">
        <v>557.81421228128909</v>
      </c>
      <c r="G29" s="127">
        <v>23.373513943743742</v>
      </c>
      <c r="H29" s="127">
        <v>1064.5455337255919</v>
      </c>
      <c r="I29" s="148">
        <f t="shared" ref="I29" si="6">SUM(C29:H29)</f>
        <v>9408.6116967662092</v>
      </c>
      <c r="L29" s="43">
        <v>2016</v>
      </c>
      <c r="M29" s="54">
        <f t="shared" si="2"/>
        <v>81.676902160624394</v>
      </c>
      <c r="N29" s="54">
        <f t="shared" si="2"/>
        <v>0.40581828441181172</v>
      </c>
      <c r="O29" s="54">
        <f t="shared" si="2"/>
        <v>0.42550379684348005</v>
      </c>
      <c r="P29" s="54">
        <f t="shared" si="2"/>
        <v>5.9287621836175131</v>
      </c>
      <c r="Q29" s="54">
        <f t="shared" si="2"/>
        <v>0.24842681042706169</v>
      </c>
      <c r="R29" s="55">
        <f t="shared" si="2"/>
        <v>11.314586764075745</v>
      </c>
    </row>
    <row r="30" spans="2:19" ht="12.75" customHeight="1">
      <c r="B30" s="44">
        <v>2017</v>
      </c>
      <c r="C30" s="34">
        <v>7750.9590108457733</v>
      </c>
      <c r="D30" s="127">
        <v>37.62907308141753</v>
      </c>
      <c r="E30" s="127">
        <v>38.872</v>
      </c>
      <c r="F30" s="127">
        <v>587.76495248211756</v>
      </c>
      <c r="G30" s="127">
        <v>24.183154588957056</v>
      </c>
      <c r="H30" s="127">
        <v>1103.1609984007473</v>
      </c>
      <c r="I30" s="148">
        <f t="shared" ref="I30:I35" si="7">SUM(C30:H30)</f>
        <v>9542.5691893990115</v>
      </c>
      <c r="L30" s="43">
        <v>2017</v>
      </c>
      <c r="M30" s="54">
        <f t="shared" si="2"/>
        <v>81.22507531259437</v>
      </c>
      <c r="N30" s="54">
        <f t="shared" si="2"/>
        <v>0.39432853285696112</v>
      </c>
      <c r="O30" s="54">
        <f t="shared" si="2"/>
        <v>0.40735360916411806</v>
      </c>
      <c r="P30" s="54">
        <f t="shared" si="2"/>
        <v>6.1593994323360501</v>
      </c>
      <c r="Q30" s="54">
        <f t="shared" ref="Q30:R30" si="8">100*(G30/$I30)</f>
        <v>0.25342393761024545</v>
      </c>
      <c r="R30" s="55">
        <f t="shared" si="8"/>
        <v>11.560419175438266</v>
      </c>
    </row>
    <row r="31" spans="2:19" ht="15" customHeight="1">
      <c r="B31" s="43">
        <v>2018</v>
      </c>
      <c r="C31" s="34">
        <v>7804.1180000000004</v>
      </c>
      <c r="D31" s="127">
        <v>37.493000000000002</v>
      </c>
      <c r="E31" s="127">
        <v>37.457999999999998</v>
      </c>
      <c r="F31" s="127">
        <v>624.47711639115346</v>
      </c>
      <c r="G31" s="127">
        <v>30.530689854952321</v>
      </c>
      <c r="H31" s="127">
        <v>1162.6147827031414</v>
      </c>
      <c r="I31" s="148">
        <f t="shared" si="7"/>
        <v>9696.6915889492466</v>
      </c>
      <c r="L31" s="43">
        <v>2018</v>
      </c>
      <c r="M31" s="54">
        <f t="shared" ref="M31:P35" si="9">100*(C31/$I31)</f>
        <v>80.482275097765282</v>
      </c>
      <c r="N31" s="54">
        <f t="shared" si="9"/>
        <v>0.38665765179877004</v>
      </c>
      <c r="O31" s="54">
        <f t="shared" si="9"/>
        <v>0.38629670394682547</v>
      </c>
      <c r="P31" s="54">
        <f t="shared" si="9"/>
        <v>6.4401049642832149</v>
      </c>
      <c r="Q31" s="54">
        <f t="shared" ref="Q31:R31" si="10">100*(G31/$I31)</f>
        <v>0.31485676918657868</v>
      </c>
      <c r="R31" s="55">
        <f t="shared" si="10"/>
        <v>11.989808813019335</v>
      </c>
    </row>
    <row r="32" spans="2:19" ht="15" customHeight="1">
      <c r="B32" s="43">
        <v>2019</v>
      </c>
      <c r="C32" s="35">
        <f>7876749/1000</f>
        <v>7876.7489999999998</v>
      </c>
      <c r="D32" s="127">
        <f>36768/1000</f>
        <v>36.768000000000001</v>
      </c>
      <c r="E32" s="127">
        <f>38279/1000</f>
        <v>38.279000000000003</v>
      </c>
      <c r="F32" s="127">
        <v>613.44293006632086</v>
      </c>
      <c r="G32" s="127">
        <v>24.783838417983745</v>
      </c>
      <c r="H32" s="127">
        <f>1214170/1000</f>
        <v>1214.17</v>
      </c>
      <c r="I32" s="148">
        <f t="shared" si="7"/>
        <v>9804.1927684843049</v>
      </c>
      <c r="L32" s="43">
        <v>2019</v>
      </c>
      <c r="M32" s="54">
        <f t="shared" si="9"/>
        <v>80.340617386878648</v>
      </c>
      <c r="N32" s="54">
        <f t="shared" si="9"/>
        <v>0.37502322596298981</v>
      </c>
      <c r="O32" s="54">
        <f t="shared" si="9"/>
        <v>0.3904349996365668</v>
      </c>
      <c r="P32" s="54">
        <f t="shared" si="9"/>
        <v>6.2569448046578655</v>
      </c>
      <c r="Q32" s="54">
        <f t="shared" ref="Q32" si="11">100*(G32/$I32)</f>
        <v>0.25278815913995173</v>
      </c>
      <c r="R32" s="55">
        <f t="shared" ref="R32" si="12">100*(H32/$I32)</f>
        <v>12.384191423723982</v>
      </c>
    </row>
    <row r="33" spans="1:19" ht="15" customHeight="1">
      <c r="B33" s="43">
        <v>2020</v>
      </c>
      <c r="C33" s="35">
        <v>6936.6636344393919</v>
      </c>
      <c r="D33" s="127">
        <f>34790/1000</f>
        <v>34.79</v>
      </c>
      <c r="E33" s="127">
        <f>(14399+5553)/1000</f>
        <v>19.952000000000002</v>
      </c>
      <c r="F33" s="127">
        <v>513.023949951688</v>
      </c>
      <c r="G33" s="127">
        <v>12.641496860703745</v>
      </c>
      <c r="H33" s="127">
        <f>492553/1000</f>
        <v>492.553</v>
      </c>
      <c r="I33" s="148">
        <f t="shared" si="7"/>
        <v>8009.6240812517844</v>
      </c>
      <c r="L33" s="43">
        <v>2020</v>
      </c>
      <c r="M33" s="54">
        <f t="shared" si="9"/>
        <v>86.604109806802512</v>
      </c>
      <c r="N33" s="54">
        <f t="shared" si="9"/>
        <v>0.43435246956762097</v>
      </c>
      <c r="O33" s="54">
        <f t="shared" si="9"/>
        <v>0.24910032977330196</v>
      </c>
      <c r="P33" s="54">
        <f t="shared" si="9"/>
        <v>6.4050939812834509</v>
      </c>
      <c r="Q33" s="54">
        <f t="shared" ref="Q33:Q35" si="13">100*(G33/$I33)</f>
        <v>0.15782884106001724</v>
      </c>
      <c r="R33" s="55">
        <f t="shared" ref="R33:R35" si="14">100*(H33/$I33)</f>
        <v>6.149514571513091</v>
      </c>
    </row>
    <row r="34" spans="1:19" ht="15" customHeight="1">
      <c r="A34" s="1"/>
      <c r="B34" s="44">
        <v>2021</v>
      </c>
      <c r="C34" s="34">
        <v>7466.2557596046245</v>
      </c>
      <c r="D34" s="127">
        <f>38075/1000</f>
        <v>38.075000000000003</v>
      </c>
      <c r="E34" s="127">
        <v>16.520526513368065</v>
      </c>
      <c r="F34" s="127">
        <v>571.28995363305967</v>
      </c>
      <c r="G34" s="127">
        <v>7.6399784964391682</v>
      </c>
      <c r="H34" s="472">
        <f>922.804</f>
        <v>922.80399999999997</v>
      </c>
      <c r="I34" s="148">
        <f t="shared" si="7"/>
        <v>9022.58521824749</v>
      </c>
      <c r="J34" s="164"/>
      <c r="K34" s="180"/>
      <c r="L34" s="43">
        <v>2021</v>
      </c>
      <c r="M34" s="54">
        <f t="shared" si="9"/>
        <v>82.750736945157271</v>
      </c>
      <c r="N34" s="54">
        <f t="shared" si="9"/>
        <v>0.42199656837816529</v>
      </c>
      <c r="O34" s="54">
        <f t="shared" si="9"/>
        <v>0.18310191717509702</v>
      </c>
      <c r="P34" s="54">
        <f t="shared" si="9"/>
        <v>6.3317767559309877</v>
      </c>
      <c r="Q34" s="54">
        <f t="shared" si="13"/>
        <v>8.4676157793310669E-2</v>
      </c>
      <c r="R34" s="55">
        <f t="shared" si="14"/>
        <v>10.227711655565184</v>
      </c>
      <c r="S34" s="351"/>
    </row>
    <row r="35" spans="1:19" ht="15" customHeight="1">
      <c r="A35" s="1"/>
      <c r="B35" s="338">
        <v>2022</v>
      </c>
      <c r="C35" s="551">
        <v>6907.157674695909</v>
      </c>
      <c r="D35" s="552">
        <f>39219/1000</f>
        <v>39.219000000000001</v>
      </c>
      <c r="E35" s="473">
        <f>15.775+7.866</f>
        <v>23.640999999999998</v>
      </c>
      <c r="F35" s="552">
        <v>630.84914634483414</v>
      </c>
      <c r="G35" s="473">
        <v>11.905626183542784</v>
      </c>
      <c r="H35" s="473">
        <f>1140.96</f>
        <v>1140.96</v>
      </c>
      <c r="I35" s="556">
        <f t="shared" si="7"/>
        <v>8753.7324472242872</v>
      </c>
      <c r="J35" s="1"/>
      <c r="K35" s="180"/>
      <c r="L35" s="162">
        <v>2022</v>
      </c>
      <c r="M35" s="494">
        <f t="shared" si="9"/>
        <v>78.905286588763559</v>
      </c>
      <c r="N35" s="495">
        <f t="shared" si="9"/>
        <v>0.44802603045556771</v>
      </c>
      <c r="O35" s="495">
        <f t="shared" si="9"/>
        <v>0.27006765562610158</v>
      </c>
      <c r="P35" s="495">
        <f t="shared" si="9"/>
        <v>7.2066304304841928</v>
      </c>
      <c r="Q35" s="495">
        <f t="shared" si="13"/>
        <v>0.13600628366609407</v>
      </c>
      <c r="R35" s="496">
        <f t="shared" si="14"/>
        <v>13.033983011004477</v>
      </c>
      <c r="S35" s="183"/>
    </row>
    <row r="36" spans="1:19" ht="15.75" customHeight="1">
      <c r="B36" s="147" t="s">
        <v>93</v>
      </c>
      <c r="C36" s="45"/>
      <c r="D36" s="45"/>
      <c r="E36" s="45"/>
      <c r="F36" s="45"/>
      <c r="G36" s="46"/>
      <c r="H36" s="46"/>
      <c r="I36" s="46"/>
      <c r="S36" s="161"/>
    </row>
    <row r="37" spans="1:19" ht="12" customHeight="1">
      <c r="B37" s="617" t="s">
        <v>115</v>
      </c>
      <c r="C37" s="618"/>
      <c r="D37" s="618"/>
      <c r="E37" s="618"/>
      <c r="F37" s="618"/>
      <c r="G37" s="618"/>
      <c r="H37" s="618"/>
      <c r="I37" s="618"/>
    </row>
    <row r="38" spans="1:19" ht="12.75" customHeight="1">
      <c r="B38" s="621" t="s">
        <v>117</v>
      </c>
      <c r="C38" s="622"/>
      <c r="D38" s="622"/>
      <c r="E38" s="622"/>
      <c r="F38" s="622"/>
      <c r="G38" s="622"/>
      <c r="H38" s="622"/>
      <c r="I38" s="622"/>
    </row>
    <row r="39" spans="1:19" ht="27.75" customHeight="1">
      <c r="B39" s="617" t="s">
        <v>118</v>
      </c>
      <c r="C39" s="617"/>
      <c r="D39" s="617"/>
      <c r="E39" s="617"/>
      <c r="F39" s="617"/>
      <c r="G39" s="617"/>
      <c r="H39" s="617"/>
      <c r="I39" s="617"/>
    </row>
    <row r="40" spans="1:19" ht="23.25" customHeight="1">
      <c r="B40" s="623"/>
      <c r="C40" s="622"/>
      <c r="D40" s="622"/>
      <c r="E40" s="622"/>
      <c r="F40" s="622"/>
      <c r="G40" s="622"/>
      <c r="H40" s="622"/>
      <c r="I40" s="622"/>
      <c r="M40" s="1"/>
    </row>
    <row r="41" spans="1:19" ht="9.9499999999999993" customHeight="1">
      <c r="B41" s="47"/>
      <c r="C41" s="46"/>
      <c r="D41" s="46"/>
      <c r="E41" s="48"/>
      <c r="F41" s="48"/>
      <c r="G41" s="48"/>
      <c r="H41" s="48"/>
      <c r="I41" s="48"/>
    </row>
    <row r="42" spans="1:19" ht="9.9499999999999993" customHeight="1">
      <c r="B42" s="624" t="s">
        <v>57</v>
      </c>
      <c r="C42" s="624"/>
      <c r="D42" s="624"/>
      <c r="E42" s="624"/>
      <c r="F42" s="624"/>
      <c r="G42" s="624"/>
      <c r="H42" s="624"/>
      <c r="I42" s="624"/>
    </row>
    <row r="43" spans="1:19" ht="9.9499999999999993" customHeight="1">
      <c r="B43" s="606" t="s">
        <v>58</v>
      </c>
      <c r="C43" s="606"/>
      <c r="D43" s="606"/>
      <c r="E43" s="606"/>
      <c r="F43" s="606"/>
      <c r="G43" s="606"/>
      <c r="H43" s="606"/>
      <c r="I43" s="606"/>
    </row>
    <row r="44" spans="1:19" ht="5.25" customHeight="1">
      <c r="B44" s="18"/>
      <c r="C44" s="619" t="s">
        <v>108</v>
      </c>
      <c r="D44" s="625" t="s">
        <v>53</v>
      </c>
      <c r="E44" s="627" t="s">
        <v>54</v>
      </c>
      <c r="F44" s="627" t="s">
        <v>55</v>
      </c>
      <c r="G44" s="629" t="s">
        <v>109</v>
      </c>
      <c r="H44" s="610" t="s">
        <v>44</v>
      </c>
      <c r="I44" s="610" t="s">
        <v>45</v>
      </c>
    </row>
    <row r="45" spans="1:19" ht="15.75" customHeight="1">
      <c r="B45" s="178"/>
      <c r="C45" s="620"/>
      <c r="D45" s="626"/>
      <c r="E45" s="628"/>
      <c r="F45" s="628"/>
      <c r="G45" s="630"/>
      <c r="H45" s="611"/>
      <c r="I45" s="611"/>
    </row>
    <row r="46" spans="1:19" ht="17.25" customHeight="1">
      <c r="B46" s="43">
        <v>2001</v>
      </c>
      <c r="C46" s="212">
        <f>100*(C14/C13-1)</f>
        <v>1.7114237011571776</v>
      </c>
      <c r="D46" s="213">
        <f t="shared" ref="D46:I46" si="15">100*(D14/D13-1)</f>
        <v>-8.6650974868592741</v>
      </c>
      <c r="E46" s="213">
        <f t="shared" si="15"/>
        <v>2.0452356334193622</v>
      </c>
      <c r="F46" s="35">
        <f t="shared" si="15"/>
        <v>-6.7588932806324165</v>
      </c>
      <c r="G46" s="213">
        <f t="shared" si="15"/>
        <v>2.1562360061297525</v>
      </c>
      <c r="H46" s="214">
        <f t="shared" si="15"/>
        <v>-5.0695340347574946</v>
      </c>
      <c r="I46" s="215">
        <f t="shared" si="15"/>
        <v>0.64154542527765646</v>
      </c>
    </row>
    <row r="47" spans="1:19" ht="17.25" customHeight="1">
      <c r="A47" s="49"/>
      <c r="B47" s="43">
        <v>2002</v>
      </c>
      <c r="C47" s="34">
        <f t="shared" ref="C47:I65" si="16">100*(C15/C14-1)</f>
        <v>2.2403329493838164</v>
      </c>
      <c r="D47" s="35">
        <f t="shared" si="16"/>
        <v>0.45272873702757455</v>
      </c>
      <c r="E47" s="35">
        <f t="shared" si="16"/>
        <v>-3.069688579950236</v>
      </c>
      <c r="F47" s="35">
        <f t="shared" ref="F47:I51" si="17">100*(F15/F14-1)</f>
        <v>-3.2782252366822084</v>
      </c>
      <c r="G47" s="35">
        <f t="shared" si="17"/>
        <v>-0.35884369921421744</v>
      </c>
      <c r="H47" s="36">
        <f t="shared" si="17"/>
        <v>-3.5344587697766161</v>
      </c>
      <c r="I47" s="37">
        <f t="shared" si="17"/>
        <v>1.4309944228289462</v>
      </c>
    </row>
    <row r="48" spans="1:19" ht="15.75" customHeight="1">
      <c r="A48" s="49"/>
      <c r="B48" s="43">
        <v>2003</v>
      </c>
      <c r="C48" s="34">
        <f t="shared" si="16"/>
        <v>0.94334463715033401</v>
      </c>
      <c r="D48" s="35">
        <f t="shared" si="16"/>
        <v>1.9056613665151101</v>
      </c>
      <c r="E48" s="35">
        <f t="shared" si="16"/>
        <v>0.80969196931888199</v>
      </c>
      <c r="F48" s="35">
        <f t="shared" si="17"/>
        <v>-0.91137051707351757</v>
      </c>
      <c r="G48" s="35">
        <f t="shared" si="17"/>
        <v>0.91400543993351846</v>
      </c>
      <c r="H48" s="36">
        <f t="shared" si="17"/>
        <v>5.3913332142425219</v>
      </c>
      <c r="I48" s="37">
        <f t="shared" si="17"/>
        <v>1.328758798841001</v>
      </c>
    </row>
    <row r="49" spans="1:13" ht="16.5" customHeight="1">
      <c r="A49" s="49"/>
      <c r="B49" s="43">
        <v>2004</v>
      </c>
      <c r="C49" s="34">
        <f t="shared" si="16"/>
        <v>2.923185341013701</v>
      </c>
      <c r="D49" s="35">
        <f t="shared" si="16"/>
        <v>31.549917047222564</v>
      </c>
      <c r="E49" s="35">
        <f t="shared" si="16"/>
        <v>3.0023406543950859</v>
      </c>
      <c r="F49" s="35">
        <f t="shared" si="17"/>
        <v>0.26942795423439136</v>
      </c>
      <c r="G49" s="35">
        <f t="shared" si="17"/>
        <v>2.3574561665718585</v>
      </c>
      <c r="H49" s="36">
        <f t="shared" si="17"/>
        <v>10.10412875258433</v>
      </c>
      <c r="I49" s="37">
        <f t="shared" si="17"/>
        <v>3.666827568236708</v>
      </c>
    </row>
    <row r="50" spans="1:13" ht="16.5" customHeight="1">
      <c r="A50" s="49"/>
      <c r="B50" s="43">
        <v>2005</v>
      </c>
      <c r="C50" s="34">
        <f t="shared" si="16"/>
        <v>0.98589001485225314</v>
      </c>
      <c r="D50" s="35">
        <f t="shared" si="16"/>
        <v>-8.0281791459849821</v>
      </c>
      <c r="E50" s="35">
        <f t="shared" si="16"/>
        <v>-0.3334424089683985</v>
      </c>
      <c r="F50" s="35">
        <f t="shared" si="17"/>
        <v>2.6378959134473856</v>
      </c>
      <c r="G50" s="35">
        <f t="shared" si="17"/>
        <v>-1.078330637212821</v>
      </c>
      <c r="H50" s="36">
        <f t="shared" si="17"/>
        <v>4.5512409182159708</v>
      </c>
      <c r="I50" s="37">
        <f t="shared" si="17"/>
        <v>1.3784739479898445</v>
      </c>
    </row>
    <row r="51" spans="1:13" ht="20.100000000000001" customHeight="1">
      <c r="A51" s="49"/>
      <c r="B51" s="43">
        <v>2006</v>
      </c>
      <c r="C51" s="34">
        <f t="shared" si="16"/>
        <v>0.28870507999696482</v>
      </c>
      <c r="D51" s="35">
        <f t="shared" si="16"/>
        <v>39.089731714563158</v>
      </c>
      <c r="E51" s="35">
        <f t="shared" si="16"/>
        <v>1.6785926204005319</v>
      </c>
      <c r="F51" s="35">
        <f t="shared" si="17"/>
        <v>-2.8218548045519931</v>
      </c>
      <c r="G51" s="35">
        <f t="shared" si="17"/>
        <v>9.4445506715455263</v>
      </c>
      <c r="H51" s="36">
        <f t="shared" si="17"/>
        <v>0.69025040072570043</v>
      </c>
      <c r="I51" s="37">
        <f t="shared" si="17"/>
        <v>0.40231127225647256</v>
      </c>
    </row>
    <row r="52" spans="1:13" ht="20.100000000000001" customHeight="1">
      <c r="A52" s="49"/>
      <c r="B52" s="43">
        <v>2007</v>
      </c>
      <c r="C52" s="34">
        <f t="shared" si="16"/>
        <v>0.21973224393949664</v>
      </c>
      <c r="D52" s="35">
        <f t="shared" si="16"/>
        <v>11.689615425229039</v>
      </c>
      <c r="E52" s="35">
        <f t="shared" si="16"/>
        <v>8.8962830092110359</v>
      </c>
      <c r="F52" s="35">
        <f t="shared" ref="F52:G52" si="18">100*(F20/F19-1)</f>
        <v>113.99101296764465</v>
      </c>
      <c r="G52" s="35">
        <f t="shared" si="18"/>
        <v>6.891566149685957</v>
      </c>
      <c r="H52" s="36">
        <f t="shared" ref="H52:I55" si="19">100*(H20/H19-1)</f>
        <v>3.0843152001934548</v>
      </c>
      <c r="I52" s="37">
        <f t="shared" si="19"/>
        <v>3.8499714476641689</v>
      </c>
    </row>
    <row r="53" spans="1:13" ht="20.100000000000001" customHeight="1">
      <c r="A53" s="49"/>
      <c r="B53" s="43">
        <v>2008</v>
      </c>
      <c r="C53" s="34">
        <f t="shared" si="16"/>
        <v>-2.1465260348380033</v>
      </c>
      <c r="D53" s="35">
        <f t="shared" si="16"/>
        <v>-2.7363602068761761</v>
      </c>
      <c r="E53" s="35">
        <f t="shared" si="16"/>
        <v>5.0461317909050951</v>
      </c>
      <c r="F53" s="35">
        <f t="shared" ref="F53:G53" si="20">100*(F21/F20-1)</f>
        <v>2.1202067892108101</v>
      </c>
      <c r="G53" s="35">
        <f t="shared" si="20"/>
        <v>0.35161392112199596</v>
      </c>
      <c r="H53" s="36">
        <f t="shared" si="19"/>
        <v>-4.1243797943082416</v>
      </c>
      <c r="I53" s="37">
        <f t="shared" si="19"/>
        <v>-2.0878557197232084</v>
      </c>
    </row>
    <row r="54" spans="1:13" ht="20.100000000000001" customHeight="1">
      <c r="A54" s="49"/>
      <c r="B54" s="43">
        <v>2009</v>
      </c>
      <c r="C54" s="34">
        <f t="shared" si="16"/>
        <v>3.6828307913459923</v>
      </c>
      <c r="D54" s="35">
        <f t="shared" si="16"/>
        <v>-8.5786888237881609</v>
      </c>
      <c r="E54" s="35">
        <f t="shared" si="16"/>
        <v>-1.342774211687614</v>
      </c>
      <c r="F54" s="35">
        <f t="shared" ref="F54:G54" si="21">100*(F22/F21-1)</f>
        <v>-2.9477087164866744</v>
      </c>
      <c r="G54" s="35">
        <f t="shared" si="21"/>
        <v>1.6203261250474776</v>
      </c>
      <c r="H54" s="35">
        <f t="shared" si="19"/>
        <v>-5.1564256504605277</v>
      </c>
      <c r="I54" s="64">
        <f t="shared" si="19"/>
        <v>2.2220426502667978</v>
      </c>
    </row>
    <row r="55" spans="1:13" ht="20.100000000000001" customHeight="1">
      <c r="A55" s="49"/>
      <c r="B55" s="43">
        <v>2010</v>
      </c>
      <c r="C55" s="34">
        <f t="shared" si="16"/>
        <v>0.59459252875335711</v>
      </c>
      <c r="D55" s="35">
        <f t="shared" si="16"/>
        <v>-11.089883936689338</v>
      </c>
      <c r="E55" s="35">
        <f t="shared" si="16"/>
        <v>0.47289551767357718</v>
      </c>
      <c r="F55" s="35">
        <f t="shared" ref="F55:G55" si="22">100*(F23/F22-1)</f>
        <v>-4.2948700847858845</v>
      </c>
      <c r="G55" s="35">
        <f t="shared" si="22"/>
        <v>-2.8445685381967789</v>
      </c>
      <c r="H55" s="36">
        <f t="shared" si="19"/>
        <v>2.5923808731725062</v>
      </c>
      <c r="I55" s="37">
        <f t="shared" si="19"/>
        <v>0.45487193894648836</v>
      </c>
      <c r="K55" s="1"/>
    </row>
    <row r="56" spans="1:13" ht="20.100000000000001" customHeight="1">
      <c r="A56" s="49"/>
      <c r="B56" s="43">
        <v>2011</v>
      </c>
      <c r="C56" s="34">
        <f t="shared" si="16"/>
        <v>0.12041897046386474</v>
      </c>
      <c r="D56" s="35">
        <f t="shared" si="16"/>
        <v>0.15843836266575817</v>
      </c>
      <c r="E56" s="35">
        <f t="shared" si="16"/>
        <v>4.634094242355169</v>
      </c>
      <c r="F56" s="35">
        <f t="shared" ref="F56:I56" si="23">100*(F24/F23-1)</f>
        <v>0.27462704998504339</v>
      </c>
      <c r="G56" s="35">
        <f t="shared" si="23"/>
        <v>5.6476872282059443</v>
      </c>
      <c r="H56" s="36">
        <f t="shared" si="23"/>
        <v>1.9655518684519979</v>
      </c>
      <c r="I56" s="37">
        <f t="shared" si="23"/>
        <v>0.35356991403434623</v>
      </c>
    </row>
    <row r="57" spans="1:13" ht="20.100000000000001" customHeight="1">
      <c r="A57" s="49"/>
      <c r="B57" s="43">
        <v>2012</v>
      </c>
      <c r="C57" s="34">
        <f t="shared" si="16"/>
        <v>0.54814486905891968</v>
      </c>
      <c r="D57" s="35">
        <f t="shared" si="16"/>
        <v>15.332999994068498</v>
      </c>
      <c r="E57" s="35">
        <f t="shared" si="16"/>
        <v>1.6094694842957002</v>
      </c>
      <c r="F57" s="35">
        <f t="shared" ref="F57:I57" si="24">100*(F25/F24-1)</f>
        <v>7.0517370186729211</v>
      </c>
      <c r="G57" s="35">
        <f t="shared" si="24"/>
        <v>-0.49847354404298772</v>
      </c>
      <c r="H57" s="36">
        <f t="shared" si="24"/>
        <v>0.85298246154341673</v>
      </c>
      <c r="I57" s="37">
        <f t="shared" si="24"/>
        <v>0.9973775712945443</v>
      </c>
      <c r="K57" s="1"/>
    </row>
    <row r="58" spans="1:13" ht="20.100000000000001" customHeight="1">
      <c r="A58" s="49"/>
      <c r="B58" s="44">
        <v>2013</v>
      </c>
      <c r="C58" s="34">
        <f t="shared" si="16"/>
        <v>0.54004563646949943</v>
      </c>
      <c r="D58" s="35">
        <f t="shared" si="16"/>
        <v>-4.7655809503082907</v>
      </c>
      <c r="E58" s="35">
        <f t="shared" si="16"/>
        <v>4.199117178036893</v>
      </c>
      <c r="F58" s="35">
        <f t="shared" ref="F58:I58" si="25">100*(F26/F25-1)</f>
        <v>2.6108684559123629</v>
      </c>
      <c r="G58" s="35">
        <f t="shared" si="25"/>
        <v>5.0751735067643411</v>
      </c>
      <c r="H58" s="36">
        <f t="shared" si="25"/>
        <v>1.5818047844115668</v>
      </c>
      <c r="I58" s="37">
        <f t="shared" si="25"/>
        <v>0.77342559616513373</v>
      </c>
    </row>
    <row r="59" spans="1:13" ht="19.5" customHeight="1">
      <c r="B59" s="44">
        <v>2014</v>
      </c>
      <c r="C59" s="34">
        <f t="shared" si="16"/>
        <v>1.202400373664303</v>
      </c>
      <c r="D59" s="35">
        <f t="shared" si="16"/>
        <v>-1.9469152039979343</v>
      </c>
      <c r="E59" s="35">
        <f t="shared" si="16"/>
        <v>-1.0843622394739127</v>
      </c>
      <c r="F59" s="35">
        <f t="shared" ref="F59:I59" si="26">100*(F27/F26-1)</f>
        <v>5.4855498959721638</v>
      </c>
      <c r="G59" s="35">
        <f t="shared" si="26"/>
        <v>-0.18053464989675749</v>
      </c>
      <c r="H59" s="36">
        <f t="shared" si="26"/>
        <v>3.0275618477781041</v>
      </c>
      <c r="I59" s="37">
        <f t="shared" si="26"/>
        <v>1.6213028808315766</v>
      </c>
    </row>
    <row r="60" spans="1:13" ht="19.5" customHeight="1">
      <c r="B60" s="44">
        <v>2015</v>
      </c>
      <c r="C60" s="34">
        <f t="shared" si="16"/>
        <v>2.6001192916695892</v>
      </c>
      <c r="D60" s="35">
        <f t="shared" si="16"/>
        <v>-1.8195231604503981</v>
      </c>
      <c r="E60" s="35">
        <f t="shared" si="16"/>
        <v>-0.30936451480864102</v>
      </c>
      <c r="F60" s="35">
        <f t="shared" ref="F60:I60" si="27">100*(F28/F27-1)</f>
        <v>1.4436233558829059</v>
      </c>
      <c r="G60" s="35">
        <f t="shared" si="27"/>
        <v>0.63864398000621492</v>
      </c>
      <c r="H60" s="36">
        <f t="shared" si="27"/>
        <v>5.8876927941757806</v>
      </c>
      <c r="I60" s="37">
        <f t="shared" si="27"/>
        <v>2.8470142645896201</v>
      </c>
    </row>
    <row r="61" spans="1:13" ht="19.5" customHeight="1">
      <c r="B61" s="44">
        <v>2016</v>
      </c>
      <c r="C61" s="34">
        <f t="shared" si="16"/>
        <v>2.5310611151195594</v>
      </c>
      <c r="D61" s="35">
        <f t="shared" si="16"/>
        <v>4.2791835787199028</v>
      </c>
      <c r="E61" s="35">
        <f t="shared" si="16"/>
        <v>-0.24210677379810086</v>
      </c>
      <c r="F61" s="35">
        <f t="shared" ref="F61:I61" si="28">100*(F29/F28-1)</f>
        <v>0.73719128230458342</v>
      </c>
      <c r="G61" s="35">
        <f t="shared" si="28"/>
        <v>1.1005381284889149</v>
      </c>
      <c r="H61" s="36">
        <f t="shared" si="28"/>
        <v>4.6385952041883005</v>
      </c>
      <c r="I61" s="37">
        <f t="shared" si="28"/>
        <v>2.6478449925516623</v>
      </c>
      <c r="M61" s="1"/>
    </row>
    <row r="62" spans="1:13" ht="20.25" customHeight="1">
      <c r="B62" s="44">
        <v>2017</v>
      </c>
      <c r="C62" s="34">
        <f t="shared" si="16"/>
        <v>0.86271114702822782</v>
      </c>
      <c r="D62" s="35">
        <f t="shared" si="16"/>
        <v>-1.4477906476505265</v>
      </c>
      <c r="E62" s="35">
        <f t="shared" si="16"/>
        <v>-2.9025328470799749</v>
      </c>
      <c r="F62" s="35">
        <f t="shared" ref="F62:I62" si="29">100*(F30/F29-1)</f>
        <v>5.3693038903292134</v>
      </c>
      <c r="G62" s="35">
        <f t="shared" si="29"/>
        <v>3.4639235125791812</v>
      </c>
      <c r="H62" s="36">
        <f t="shared" si="29"/>
        <v>3.627413149723413</v>
      </c>
      <c r="I62" s="37">
        <f t="shared" si="29"/>
        <v>1.4237753342381421</v>
      </c>
    </row>
    <row r="63" spans="1:13" ht="20.25" customHeight="1">
      <c r="B63" s="44">
        <v>2018</v>
      </c>
      <c r="C63" s="34">
        <f t="shared" si="16"/>
        <v>0.68583757287121738</v>
      </c>
      <c r="D63" s="35">
        <f t="shared" si="16"/>
        <v>-0.36161688363438582</v>
      </c>
      <c r="E63" s="35">
        <f t="shared" si="16"/>
        <v>-3.6375797489195394</v>
      </c>
      <c r="F63" s="35">
        <f t="shared" ref="F63:I63" si="30">100*(F31/F30-1)</f>
        <v>6.246062095741034</v>
      </c>
      <c r="G63" s="35">
        <f t="shared" si="30"/>
        <v>26.247755406128004</v>
      </c>
      <c r="H63" s="36">
        <f t="shared" si="30"/>
        <v>5.3894023074224195</v>
      </c>
      <c r="I63" s="37">
        <f t="shared" si="30"/>
        <v>1.6151038204831991</v>
      </c>
      <c r="K63" s="1"/>
      <c r="L63" s="1"/>
      <c r="M63" s="1"/>
    </row>
    <row r="64" spans="1:13" ht="20.25" customHeight="1">
      <c r="B64" s="43">
        <v>2019</v>
      </c>
      <c r="C64" s="35">
        <f t="shared" si="16"/>
        <v>0.93067531782577984</v>
      </c>
      <c r="D64" s="35">
        <f t="shared" si="16"/>
        <v>-1.9336942896007292</v>
      </c>
      <c r="E64" s="35">
        <f t="shared" si="16"/>
        <v>2.1917881360457248</v>
      </c>
      <c r="F64" s="35">
        <f t="shared" ref="F64:I64" si="31">100*(F32/F31-1)</f>
        <v>-1.7669480650626679</v>
      </c>
      <c r="G64" s="35">
        <f t="shared" si="31"/>
        <v>-18.823195493685809</v>
      </c>
      <c r="H64" s="36">
        <f t="shared" si="31"/>
        <v>4.4344195570083844</v>
      </c>
      <c r="I64" s="37">
        <f t="shared" si="31"/>
        <v>1.1086377095624211</v>
      </c>
      <c r="K64" s="1"/>
    </row>
    <row r="65" spans="2:11" ht="20.25" customHeight="1">
      <c r="B65" s="43">
        <v>2020</v>
      </c>
      <c r="C65" s="34">
        <f>100*(C33/C32-1)</f>
        <v>-11.93494125000819</v>
      </c>
      <c r="D65" s="35">
        <f t="shared" si="16"/>
        <v>-5.3796779808529145</v>
      </c>
      <c r="E65" s="35">
        <f t="shared" si="16"/>
        <v>-47.877426265053948</v>
      </c>
      <c r="F65" s="35">
        <f t="shared" si="16"/>
        <v>-16.369734688078697</v>
      </c>
      <c r="G65" s="35">
        <f t="shared" si="16"/>
        <v>-48.992982251164243</v>
      </c>
      <c r="H65" s="36">
        <f t="shared" si="16"/>
        <v>-59.432945963085906</v>
      </c>
      <c r="I65" s="492">
        <f t="shared" si="16"/>
        <v>-18.304094274861495</v>
      </c>
      <c r="J65" s="1"/>
      <c r="K65" s="1"/>
    </row>
    <row r="66" spans="2:11" ht="17.25" customHeight="1">
      <c r="B66" s="43">
        <v>2021</v>
      </c>
      <c r="C66" s="34">
        <f>100*(C34/C33-1)</f>
        <v>7.6346807784638093</v>
      </c>
      <c r="D66" s="35">
        <f t="shared" ref="D66:I66" si="32">100*(D34/D33-1)</f>
        <v>9.4423684966944634</v>
      </c>
      <c r="E66" s="35">
        <f t="shared" si="32"/>
        <v>-17.198644179189738</v>
      </c>
      <c r="F66" s="35">
        <f t="shared" si="32"/>
        <v>11.357365223759764</v>
      </c>
      <c r="G66" s="35">
        <f t="shared" si="32"/>
        <v>-39.56428909785091</v>
      </c>
      <c r="H66" s="36">
        <f t="shared" si="32"/>
        <v>87.351208905437588</v>
      </c>
      <c r="I66" s="492">
        <f t="shared" si="32"/>
        <v>12.64679998361915</v>
      </c>
      <c r="K66" s="1"/>
    </row>
    <row r="67" spans="2:11" ht="17.25" customHeight="1">
      <c r="B67" s="555">
        <v>2022</v>
      </c>
      <c r="C67" s="488">
        <f>100*(C35/C34-1)</f>
        <v>-7.48833287942875</v>
      </c>
      <c r="D67" s="489">
        <f t="shared" ref="D67:I67" si="33">100*(D35/D34-1)</f>
        <v>3.0045961917268604</v>
      </c>
      <c r="E67" s="489">
        <f t="shared" si="33"/>
        <v>43.100766073467426</v>
      </c>
      <c r="F67" s="489">
        <f t="shared" si="33"/>
        <v>10.425387727022661</v>
      </c>
      <c r="G67" s="489">
        <f t="shared" si="33"/>
        <v>55.833242058099295</v>
      </c>
      <c r="H67" s="490">
        <f t="shared" si="33"/>
        <v>23.640556391172996</v>
      </c>
      <c r="I67" s="491">
        <f t="shared" si="33"/>
        <v>-2.97977535839139</v>
      </c>
      <c r="K67" s="1"/>
    </row>
    <row r="68" spans="2:11" ht="23.25" customHeight="1">
      <c r="B68" s="554" t="s">
        <v>59</v>
      </c>
      <c r="C68" s="488">
        <f t="shared" ref="C68:I68" si="34">100*(POWER((C8/C7), 1/5) -1)</f>
        <v>1.5476714348274356</v>
      </c>
      <c r="D68" s="489">
        <f t="shared" si="34"/>
        <v>-2.8044036148359153</v>
      </c>
      <c r="E68" s="489">
        <f t="shared" si="34"/>
        <v>-1.6848468710477849</v>
      </c>
      <c r="F68" s="489">
        <f t="shared" si="34"/>
        <v>2.3134164589174278</v>
      </c>
      <c r="G68" s="489">
        <f t="shared" si="34"/>
        <v>3.5333119902342114</v>
      </c>
      <c r="H68" s="490">
        <f t="shared" si="34"/>
        <v>2.8166046397187117</v>
      </c>
      <c r="I68" s="493">
        <f t="shared" si="34"/>
        <v>1.6695335028992231</v>
      </c>
      <c r="K68" s="1"/>
    </row>
    <row r="69" spans="2:11" ht="24" customHeight="1">
      <c r="B69" s="340" t="s">
        <v>80</v>
      </c>
      <c r="C69" s="159">
        <f t="shared" ref="C69:I69" si="35">100*(POWER((C13/C8), 1/5) -1)</f>
        <v>2.2475335590066647</v>
      </c>
      <c r="D69" s="339">
        <f t="shared" si="35"/>
        <v>7.4876137514655605</v>
      </c>
      <c r="E69" s="339">
        <f t="shared" si="35"/>
        <v>3.7316610452985843</v>
      </c>
      <c r="F69" s="339">
        <f t="shared" si="35"/>
        <v>3.4063236198697888</v>
      </c>
      <c r="G69" s="339">
        <f t="shared" si="35"/>
        <v>3.3591153554357156</v>
      </c>
      <c r="H69" s="160">
        <f t="shared" si="35"/>
        <v>5.0842604147218307</v>
      </c>
      <c r="I69" s="211">
        <f t="shared" si="35"/>
        <v>2.6009863670732214</v>
      </c>
    </row>
    <row r="70" spans="2:11" ht="27.75" customHeight="1">
      <c r="B70" s="341" t="s">
        <v>119</v>
      </c>
      <c r="C70" s="159">
        <f>100*(POWER((C23/C13), 1/10) -1)</f>
        <v>1.1324803352320778</v>
      </c>
      <c r="D70" s="339">
        <f t="shared" ref="D70:I70" si="36">100*(POWER((D23/D13), 1/10) -1)</f>
        <v>3.3427273322068629</v>
      </c>
      <c r="E70" s="339">
        <f t="shared" si="36"/>
        <v>1.6705480303091047</v>
      </c>
      <c r="F70" s="339">
        <f t="shared" si="36"/>
        <v>6.1365242208446746</v>
      </c>
      <c r="G70" s="339">
        <f t="shared" si="36"/>
        <v>1.8867154547976384</v>
      </c>
      <c r="H70" s="160">
        <f t="shared" si="36"/>
        <v>0.73320991262801893</v>
      </c>
      <c r="I70" s="211">
        <f t="shared" si="36"/>
        <v>1.3157228745275029</v>
      </c>
    </row>
    <row r="71" spans="2:11" ht="27.75" customHeight="1">
      <c r="B71" s="553" t="s">
        <v>147</v>
      </c>
      <c r="C71" s="337">
        <f>100*(POWER((C35/C24), 1/11) -1)</f>
        <v>-0.30135449356516464</v>
      </c>
      <c r="D71" s="337">
        <f t="shared" ref="D71:I71" si="37">100*(POWER((D35/D24), 1/11) -1)</f>
        <v>1.1382738056720187</v>
      </c>
      <c r="E71" s="337">
        <f t="shared" si="37"/>
        <v>-4.3226269355138509</v>
      </c>
      <c r="F71" s="337">
        <f t="shared" si="37"/>
        <v>2.6904491712661294</v>
      </c>
      <c r="G71" s="337">
        <f t="shared" si="37"/>
        <v>-5.433874058150467</v>
      </c>
      <c r="H71" s="160">
        <f t="shared" si="37"/>
        <v>2.0747517408264526</v>
      </c>
      <c r="I71" s="490">
        <f t="shared" si="37"/>
        <v>0.14349373750239813</v>
      </c>
      <c r="J71" s="1"/>
    </row>
    <row r="72" spans="2:11" ht="9.9499999999999993" customHeight="1"/>
    <row r="73" spans="2:11" ht="9.9499999999999993" hidden="1" customHeight="1"/>
    <row r="74" spans="2:11" ht="9.9499999999999993" hidden="1" customHeight="1"/>
    <row r="75" spans="2:11" ht="9.9499999999999993" hidden="1" customHeight="1"/>
    <row r="76" spans="2:11" ht="9.9499999999999993" hidden="1" customHeight="1"/>
    <row r="77" spans="2:11" ht="9.9499999999999993" customHeight="1"/>
    <row r="78" spans="2:11" ht="9.9499999999999993" customHeight="1"/>
    <row r="79" spans="2:11" ht="9.9499999999999993" customHeight="1"/>
    <row r="80" spans="2:11" ht="9.9499999999999993" customHeight="1"/>
    <row r="81" ht="9.9499999999999993" customHeight="1"/>
    <row r="82" ht="9.9499999999999993" customHeight="1"/>
    <row r="83" ht="9.9499999999999993" customHeight="1"/>
  </sheetData>
  <mergeCells count="31">
    <mergeCell ref="M3:R4"/>
    <mergeCell ref="B37:I37"/>
    <mergeCell ref="B43:I43"/>
    <mergeCell ref="C44:C45"/>
    <mergeCell ref="Q5:Q6"/>
    <mergeCell ref="R5:R6"/>
    <mergeCell ref="B38:I38"/>
    <mergeCell ref="B40:I40"/>
    <mergeCell ref="B42:I42"/>
    <mergeCell ref="H44:H45"/>
    <mergeCell ref="I44:I45"/>
    <mergeCell ref="B39:I39"/>
    <mergeCell ref="D44:D45"/>
    <mergeCell ref="E44:E45"/>
    <mergeCell ref="F44:F45"/>
    <mergeCell ref="G44:G45"/>
    <mergeCell ref="S6:S7"/>
    <mergeCell ref="M5:M6"/>
    <mergeCell ref="N5:N6"/>
    <mergeCell ref="O5:O6"/>
    <mergeCell ref="P5:P6"/>
    <mergeCell ref="B2:I2"/>
    <mergeCell ref="B3:I3"/>
    <mergeCell ref="B4:I4"/>
    <mergeCell ref="C5:C6"/>
    <mergeCell ref="D5:D6"/>
    <mergeCell ref="E5:E6"/>
    <mergeCell ref="F5:F6"/>
    <mergeCell ref="G5:G6"/>
    <mergeCell ref="H5:H6"/>
    <mergeCell ref="I5:I6"/>
  </mergeCells>
  <phoneticPr fontId="16" type="noConversion"/>
  <printOptions horizontalCentered="1"/>
  <pageMargins left="0.6692913385826772" right="0.6692913385826772" top="0.51181102362204722" bottom="0.27559055118110237" header="0" footer="0"/>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740A62F6-C0AA-44D2-A243-EAA56683E73A}">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9</vt:i4>
      </vt:variant>
    </vt:vector>
  </HeadingPairs>
  <TitlesOfParts>
    <vt:vector size="19" baseType="lpstr">
      <vt:lpstr>T2.3</vt:lpstr>
      <vt:lpstr>passeng_graph</vt:lpstr>
      <vt:lpstr>modal_split</vt:lpstr>
      <vt:lpstr>land modal split</vt:lpstr>
      <vt:lpstr>cars</vt:lpstr>
      <vt:lpstr>bus_coach</vt:lpstr>
      <vt:lpstr>tram and metro</vt:lpstr>
      <vt:lpstr>rail_pkm</vt:lpstr>
      <vt:lpstr>hs_rail</vt:lpstr>
      <vt:lpstr>USA</vt:lpstr>
      <vt:lpstr>T2.3!A</vt:lpstr>
      <vt:lpstr>bus_coach!Print_Area</vt:lpstr>
      <vt:lpstr>cars!Print_Area</vt:lpstr>
      <vt:lpstr>'land modal split'!Print_Area</vt:lpstr>
      <vt:lpstr>modal_split!Print_Area</vt:lpstr>
      <vt:lpstr>passeng_graph!Print_Area</vt:lpstr>
      <vt:lpstr>rail_pkm!Print_Area</vt:lpstr>
      <vt:lpstr>T2.3!Print_Area</vt:lpstr>
      <vt:lpstr>USA!Print_Area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2024-07-10T10:09:37Z</cp:lastPrinted>
  <dcterms:created xsi:type="dcterms:W3CDTF">2003-09-05T14:33:05Z</dcterms:created>
  <dcterms:modified xsi:type="dcterms:W3CDTF">2024-09-13T10:01:11Z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2023-05-31T18:06:08Z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d0ea9be1-d489-4fa5-a94e-28406580e431</vt:lpwstr>
  </property>
  <property fmtid="{D5CDD505-2E9C-101B-9397-08002B2CF9AE}" pid="8" name="MSIP_Label_6bd9ddd1-4d20-43f6-abfa-fc3c07406f94_ContentBits">
    <vt:lpwstr>0</vt:lpwstr>
  </property>
</Properties>
</file>