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aveExternalLinkValues="0" codeName="ThisWorkbook" defaultThemeVersion="124226"/>
  <bookViews>
    <workbookView xWindow="0" yWindow="795" windowWidth="18765" windowHeight="11895" tabRatio="882" activeTab="5"/>
  </bookViews>
  <sheets>
    <sheet name="T2.3" sheetId="140" r:id="rId1"/>
    <sheet name="passeng_graph" sheetId="138" r:id="rId2"/>
    <sheet name="perf_mode_pkm" sheetId="71" r:id="rId3"/>
    <sheet name="split_mode_pkm" sheetId="72" r:id="rId4"/>
    <sheet name="cars" sheetId="143" r:id="rId5"/>
    <sheet name="bus_coach" sheetId="144" r:id="rId6"/>
    <sheet name="tram_metro" sheetId="145" r:id="rId7"/>
    <sheet name="rail_pkm" sheetId="146" r:id="rId8"/>
    <sheet name="hs_rail" sheetId="97" r:id="rId9"/>
    <sheet name="USA" sheetId="142" r:id="rId10"/>
  </sheets>
  <definedNames>
    <definedName name="A" localSheetId="0">T2.3!$A$65500</definedName>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_xlnm.Print_Area" localSheetId="5">bus_coach!$B$1:$AD$49</definedName>
    <definedName name="_xlnm.Print_Area" localSheetId="4">cars!$B$1:$AD$49</definedName>
    <definedName name="_xlnm.Print_Area" localSheetId="8">hs_rail!#REF!</definedName>
    <definedName name="_xlnm.Print_Area" localSheetId="1">passeng_graph!$B$1:$N$32</definedName>
    <definedName name="_xlnm.Print_Area" localSheetId="2">perf_mode_pkm!$B$1:$J$56</definedName>
    <definedName name="_xlnm.Print_Area" localSheetId="7">rail_pkm!$B$1:$AF$45</definedName>
    <definedName name="_xlnm.Print_Area" localSheetId="3">split_mode_pkm!$B$1:$G$50</definedName>
    <definedName name="_xlnm.Print_Area" localSheetId="0">T2.3!$B$1:$E$25</definedName>
    <definedName name="_xlnm.Print_Area" localSheetId="6">tram_metro!$B$1:$AD$49</definedName>
    <definedName name="_xlnm.Print_Area" localSheetId="9">USA!$B$1:$I$70</definedName>
    <definedName name="Z_534C28F4_E90D_11D3_A4B3_0050041AE0D6_.wvu.PrintArea" localSheetId="3" hidden="1">split_mode_pkm!$C$1:$G$21</definedName>
  </definedNames>
  <calcPr calcId="145621"/>
</workbook>
</file>

<file path=xl/calcChain.xml><?xml version="1.0" encoding="utf-8"?>
<calcChain xmlns="http://schemas.openxmlformats.org/spreadsheetml/2006/main">
  <c r="P28" i="97" l="1"/>
  <c r="H77" i="142" l="1"/>
  <c r="F77" i="142"/>
  <c r="D77" i="142"/>
  <c r="C77" i="142"/>
  <c r="H52" i="142"/>
  <c r="G52" i="142"/>
  <c r="F52" i="142"/>
  <c r="E52" i="142"/>
  <c r="D52" i="142"/>
  <c r="C52" i="142"/>
  <c r="H49" i="142"/>
  <c r="G49" i="142"/>
  <c r="F49" i="142"/>
  <c r="E49" i="142"/>
  <c r="D49" i="142"/>
  <c r="C49" i="142"/>
  <c r="H48" i="142"/>
  <c r="G48" i="142"/>
  <c r="F48" i="142"/>
  <c r="E48" i="142"/>
  <c r="D48" i="142"/>
  <c r="C48" i="142"/>
  <c r="I26" i="142"/>
  <c r="G77" i="142" s="1"/>
  <c r="I25" i="142"/>
  <c r="H76" i="142" s="1"/>
  <c r="E76" i="142" l="1"/>
  <c r="G76" i="142"/>
  <c r="I49" i="142"/>
  <c r="C76" i="142"/>
  <c r="D76" i="142"/>
  <c r="F76" i="142"/>
  <c r="E77" i="142"/>
  <c r="U44" i="138"/>
  <c r="I30" i="71"/>
  <c r="H30" i="71"/>
  <c r="G30" i="71"/>
  <c r="F30" i="71"/>
  <c r="E30" i="71"/>
  <c r="D30" i="71"/>
  <c r="C30" i="71"/>
  <c r="I29" i="71"/>
  <c r="H29" i="71"/>
  <c r="G29" i="71"/>
  <c r="F29" i="71"/>
  <c r="E29" i="71"/>
  <c r="D29" i="71"/>
  <c r="C29" i="71"/>
  <c r="I28" i="71"/>
  <c r="H28" i="71"/>
  <c r="G28" i="71"/>
  <c r="F28" i="71"/>
  <c r="E28" i="71"/>
  <c r="D28" i="71"/>
  <c r="C28" i="71"/>
  <c r="I27" i="71"/>
  <c r="H27" i="71"/>
  <c r="G27" i="71"/>
  <c r="F27" i="71"/>
  <c r="E27" i="71"/>
  <c r="D27" i="71"/>
  <c r="C27" i="71"/>
  <c r="I26" i="71"/>
  <c r="H26" i="71"/>
  <c r="G26" i="71"/>
  <c r="F26" i="71"/>
  <c r="E26" i="71"/>
  <c r="D26" i="71"/>
  <c r="C26" i="71"/>
  <c r="J25" i="71"/>
  <c r="H54" i="71" s="1"/>
  <c r="E54" i="71" l="1"/>
  <c r="I54" i="71"/>
  <c r="C54" i="71"/>
  <c r="G54" i="71"/>
  <c r="D54" i="71"/>
  <c r="F54" i="71"/>
  <c r="AC44" i="145"/>
  <c r="AC43" i="145"/>
  <c r="AC40" i="145"/>
  <c r="AC31" i="145"/>
  <c r="AC28" i="145"/>
  <c r="AC27" i="145"/>
  <c r="AC25" i="145"/>
  <c r="AC16" i="145"/>
  <c r="AC13" i="145"/>
  <c r="AC12" i="145"/>
  <c r="AC10" i="145"/>
  <c r="AC44" i="144"/>
  <c r="AC43" i="144"/>
  <c r="AC42" i="144"/>
  <c r="AC41" i="144"/>
  <c r="AC40" i="144"/>
  <c r="AC39" i="144"/>
  <c r="AC38" i="144"/>
  <c r="AC37" i="144"/>
  <c r="AC36" i="144"/>
  <c r="AC35" i="144"/>
  <c r="AC34" i="144"/>
  <c r="AC32" i="144"/>
  <c r="AC31" i="144"/>
  <c r="AC30" i="144"/>
  <c r="AC29" i="144"/>
  <c r="AC28" i="144"/>
  <c r="AC27" i="144"/>
  <c r="AC26" i="144"/>
  <c r="AC24" i="144"/>
  <c r="AC22" i="144"/>
  <c r="AC21" i="144"/>
  <c r="AC19" i="144"/>
  <c r="AC18" i="144"/>
  <c r="AC17" i="144"/>
  <c r="AC16" i="144"/>
  <c r="AC15" i="144"/>
  <c r="AC13" i="144"/>
  <c r="AC12" i="144"/>
  <c r="AC10" i="144"/>
  <c r="AC9" i="144"/>
  <c r="AC44" i="143"/>
  <c r="AC42" i="143"/>
  <c r="AC41" i="143"/>
  <c r="AC40" i="143"/>
  <c r="AC39" i="143"/>
  <c r="AC38" i="143"/>
  <c r="AC37" i="143"/>
  <c r="AC36" i="143"/>
  <c r="AC35" i="143"/>
  <c r="AC34" i="143"/>
  <c r="AC33" i="143"/>
  <c r="AC32" i="143"/>
  <c r="AC31" i="143"/>
  <c r="AC30" i="143"/>
  <c r="AC29" i="143"/>
  <c r="AC28" i="143"/>
  <c r="AC26" i="143"/>
  <c r="AC25" i="143"/>
  <c r="AC24" i="143"/>
  <c r="AC23" i="143"/>
  <c r="AC22" i="143"/>
  <c r="AC21" i="143"/>
  <c r="AC20" i="143"/>
  <c r="AC19" i="143"/>
  <c r="AC18" i="143"/>
  <c r="AC17" i="143"/>
  <c r="AC16" i="143"/>
  <c r="AC14" i="143"/>
  <c r="AC13" i="143"/>
  <c r="AC11" i="143"/>
  <c r="AC10" i="143"/>
  <c r="AC9" i="143"/>
  <c r="AB25" i="144" l="1"/>
  <c r="C6" i="146" l="1"/>
  <c r="D6" i="146"/>
  <c r="E6" i="146"/>
  <c r="F6" i="146"/>
  <c r="G6" i="146"/>
  <c r="H6" i="146"/>
  <c r="I6" i="146"/>
  <c r="S6" i="146"/>
  <c r="T6" i="146"/>
  <c r="U6" i="146"/>
  <c r="V6" i="146"/>
  <c r="W6" i="146"/>
  <c r="Y6" i="146"/>
  <c r="AA6" i="146"/>
  <c r="C7" i="146"/>
  <c r="D7" i="146"/>
  <c r="E7" i="146"/>
  <c r="F7" i="146"/>
  <c r="G7" i="146"/>
  <c r="H7" i="146"/>
  <c r="I7" i="146"/>
  <c r="S7" i="146"/>
  <c r="T7" i="146"/>
  <c r="U7" i="146"/>
  <c r="V7" i="146"/>
  <c r="W7" i="146"/>
  <c r="X7" i="146"/>
  <c r="Y7" i="146"/>
  <c r="AA7" i="146"/>
  <c r="C8" i="146"/>
  <c r="D8" i="146"/>
  <c r="F8" i="146"/>
  <c r="H8" i="146"/>
  <c r="S8" i="146"/>
  <c r="U8" i="146"/>
  <c r="W8" i="146"/>
  <c r="AA8" i="146"/>
  <c r="AB9" i="146"/>
  <c r="AB7" i="146" s="1"/>
  <c r="AE10" i="146"/>
  <c r="AE11" i="146"/>
  <c r="Q12" i="146"/>
  <c r="R12" i="146"/>
  <c r="AE12" i="146"/>
  <c r="AE13" i="146"/>
  <c r="AE14" i="146"/>
  <c r="AE15" i="146"/>
  <c r="AE16" i="146"/>
  <c r="AE17" i="146"/>
  <c r="AE18" i="146"/>
  <c r="AE19" i="146"/>
  <c r="J20" i="146"/>
  <c r="K20" i="146"/>
  <c r="L20" i="146"/>
  <c r="M20" i="146"/>
  <c r="N20" i="146"/>
  <c r="O20" i="146"/>
  <c r="P20" i="146"/>
  <c r="Q20" i="146"/>
  <c r="R20" i="146"/>
  <c r="AE20" i="146"/>
  <c r="AE22" i="146"/>
  <c r="AE23" i="146"/>
  <c r="Z24" i="146"/>
  <c r="Z7" i="146" s="1"/>
  <c r="AE24" i="146"/>
  <c r="X25" i="146"/>
  <c r="X6" i="146" s="1"/>
  <c r="X8" i="146" s="1"/>
  <c r="AE25" i="146"/>
  <c r="AE27" i="146"/>
  <c r="AE28" i="146"/>
  <c r="AE29" i="146"/>
  <c r="AE30" i="146"/>
  <c r="AE31" i="146"/>
  <c r="AE32" i="146"/>
  <c r="AE33" i="146"/>
  <c r="AE34" i="146"/>
  <c r="AE35" i="146"/>
  <c r="J36" i="146"/>
  <c r="K36" i="146"/>
  <c r="K7" i="146" s="1"/>
  <c r="L36" i="146"/>
  <c r="M36" i="146"/>
  <c r="M7" i="146" s="1"/>
  <c r="N36" i="146"/>
  <c r="O36" i="146"/>
  <c r="O7" i="146" s="1"/>
  <c r="P36" i="146"/>
  <c r="Q36" i="146"/>
  <c r="R36" i="146"/>
  <c r="AE36" i="146"/>
  <c r="AE37" i="146"/>
  <c r="AE38" i="146"/>
  <c r="Y39" i="146"/>
  <c r="Z39" i="146"/>
  <c r="AA39" i="146"/>
  <c r="AE39" i="146"/>
  <c r="AE40" i="146"/>
  <c r="Z41" i="146"/>
  <c r="AE41" i="146"/>
  <c r="W43" i="146"/>
  <c r="X43" i="146"/>
  <c r="Y43" i="146"/>
  <c r="Z43" i="146"/>
  <c r="AA43" i="146"/>
  <c r="AE43" i="146" s="1"/>
  <c r="X44" i="146"/>
  <c r="Y44" i="146"/>
  <c r="AA44" i="146"/>
  <c r="AE44" i="146" s="1"/>
  <c r="C7" i="145"/>
  <c r="D7" i="145"/>
  <c r="F7" i="145"/>
  <c r="G7" i="145"/>
  <c r="I7" i="145"/>
  <c r="K7" i="145"/>
  <c r="Z9" i="145"/>
  <c r="AA9" i="145" s="1"/>
  <c r="AB9" i="145" s="1"/>
  <c r="Y10" i="145"/>
  <c r="S11" i="145"/>
  <c r="T11" i="145"/>
  <c r="U11" i="145"/>
  <c r="V11" i="145"/>
  <c r="W11" i="145"/>
  <c r="Y11" i="145"/>
  <c r="Z11" i="145"/>
  <c r="AA11" i="145"/>
  <c r="AC11" i="145" s="1"/>
  <c r="Y12" i="145"/>
  <c r="Y13" i="145"/>
  <c r="J14" i="145"/>
  <c r="K14" i="145"/>
  <c r="L14" i="145"/>
  <c r="M14" i="145"/>
  <c r="N14" i="145"/>
  <c r="O14" i="145"/>
  <c r="P14" i="145"/>
  <c r="Q14" i="145"/>
  <c r="R14" i="145"/>
  <c r="S14" i="145"/>
  <c r="T14" i="145"/>
  <c r="U14" i="145"/>
  <c r="V14" i="145"/>
  <c r="W14" i="145"/>
  <c r="X14" i="145"/>
  <c r="Y14" i="145"/>
  <c r="Z14" i="145"/>
  <c r="AA14" i="145"/>
  <c r="AB14" i="145"/>
  <c r="AC14" i="145" s="1"/>
  <c r="U15" i="145"/>
  <c r="V15" i="145"/>
  <c r="W15" i="145"/>
  <c r="X15" i="145"/>
  <c r="Y15" i="145"/>
  <c r="Z15" i="145"/>
  <c r="AA15" i="145"/>
  <c r="AC15" i="145" s="1"/>
  <c r="Z16" i="145"/>
  <c r="Y17" i="145"/>
  <c r="AB17" i="145"/>
  <c r="AC17" i="145" s="1"/>
  <c r="AA18" i="145"/>
  <c r="AC18" i="145" s="1"/>
  <c r="AA19" i="145"/>
  <c r="AB19" i="145"/>
  <c r="E20" i="145"/>
  <c r="E7" i="145" s="1"/>
  <c r="J20" i="145"/>
  <c r="N20" i="145"/>
  <c r="O20" i="145"/>
  <c r="P20" i="145"/>
  <c r="Q20" i="145"/>
  <c r="R20" i="145"/>
  <c r="S20" i="145"/>
  <c r="T20" i="145"/>
  <c r="U20" i="145"/>
  <c r="V20" i="145"/>
  <c r="W20" i="145"/>
  <c r="X20" i="145"/>
  <c r="Y20" i="145"/>
  <c r="Z20" i="145"/>
  <c r="AA20" i="145"/>
  <c r="AB20" i="145"/>
  <c r="AC20" i="145" s="1"/>
  <c r="E22" i="145"/>
  <c r="F22" i="145"/>
  <c r="G22" i="145"/>
  <c r="H22" i="145"/>
  <c r="I22" i="145"/>
  <c r="J22" i="145"/>
  <c r="K22" i="145"/>
  <c r="L22" i="145"/>
  <c r="M22" i="145"/>
  <c r="N22" i="145"/>
  <c r="O22" i="145"/>
  <c r="P22" i="145"/>
  <c r="Q22" i="145"/>
  <c r="R22" i="145"/>
  <c r="S22" i="145"/>
  <c r="T22" i="145"/>
  <c r="U22" i="145"/>
  <c r="V22" i="145"/>
  <c r="W22" i="145"/>
  <c r="X22" i="145"/>
  <c r="Y22" i="145"/>
  <c r="Z22" i="145"/>
  <c r="AA22" i="145"/>
  <c r="AC22" i="145" s="1"/>
  <c r="N25" i="145"/>
  <c r="O25" i="145"/>
  <c r="P25" i="145"/>
  <c r="Q25" i="145"/>
  <c r="R25" i="145"/>
  <c r="S25" i="145"/>
  <c r="T25" i="145"/>
  <c r="U25" i="145"/>
  <c r="V25" i="145"/>
  <c r="W25" i="145"/>
  <c r="X25" i="145"/>
  <c r="Y25" i="145"/>
  <c r="Z25" i="145"/>
  <c r="Z27" i="145"/>
  <c r="Y29" i="145"/>
  <c r="AB29" i="145"/>
  <c r="AC29" i="145" s="1"/>
  <c r="T30" i="145"/>
  <c r="U30" i="145"/>
  <c r="V30" i="145"/>
  <c r="W30" i="145"/>
  <c r="X30" i="145"/>
  <c r="Y30" i="145"/>
  <c r="AA30" i="145"/>
  <c r="AB30" i="145"/>
  <c r="Z31" i="145"/>
  <c r="J33" i="145"/>
  <c r="M33" i="145"/>
  <c r="N33" i="145"/>
  <c r="V33" i="145"/>
  <c r="W33" i="145"/>
  <c r="Z33" i="145"/>
  <c r="AA33" i="145"/>
  <c r="AB33" i="145"/>
  <c r="AC33" i="145" s="1"/>
  <c r="H34" i="145"/>
  <c r="H7" i="145" s="1"/>
  <c r="J34" i="145"/>
  <c r="J7" i="145" s="1"/>
  <c r="L34" i="145"/>
  <c r="N34" i="145"/>
  <c r="O34" i="145"/>
  <c r="P34" i="145"/>
  <c r="Q34" i="145"/>
  <c r="R34" i="145"/>
  <c r="S34" i="145"/>
  <c r="T34" i="145"/>
  <c r="U34" i="145"/>
  <c r="V34" i="145"/>
  <c r="W34" i="145"/>
  <c r="Y34" i="145"/>
  <c r="Z34" i="145"/>
  <c r="AA34" i="145"/>
  <c r="AB34" i="145"/>
  <c r="L35" i="145"/>
  <c r="M35" i="145"/>
  <c r="N35" i="145"/>
  <c r="O35" i="145"/>
  <c r="P35" i="145"/>
  <c r="Q35" i="145"/>
  <c r="R35" i="145"/>
  <c r="S35" i="145"/>
  <c r="T35" i="145"/>
  <c r="U35" i="145"/>
  <c r="V35" i="145"/>
  <c r="W35" i="145"/>
  <c r="X35" i="145"/>
  <c r="Y35" i="145"/>
  <c r="Z35" i="145"/>
  <c r="AA35" i="145"/>
  <c r="AC35" i="145" s="1"/>
  <c r="M36" i="145"/>
  <c r="N36" i="145"/>
  <c r="O36" i="145"/>
  <c r="P36" i="145"/>
  <c r="Q36" i="145"/>
  <c r="R36" i="145"/>
  <c r="S36" i="145"/>
  <c r="T36" i="145"/>
  <c r="U36" i="145"/>
  <c r="V36" i="145"/>
  <c r="W36" i="145"/>
  <c r="X36" i="145"/>
  <c r="Y36" i="145"/>
  <c r="Z36" i="145"/>
  <c r="AA36" i="145"/>
  <c r="AB36" i="145"/>
  <c r="E7" i="144"/>
  <c r="F7" i="144"/>
  <c r="G7" i="144"/>
  <c r="H7" i="144"/>
  <c r="I7" i="144"/>
  <c r="K7" i="144"/>
  <c r="L7" i="144"/>
  <c r="M7" i="144"/>
  <c r="N7" i="144"/>
  <c r="P7" i="144"/>
  <c r="J11" i="144"/>
  <c r="K11" i="144"/>
  <c r="L11" i="144"/>
  <c r="M11" i="144"/>
  <c r="N11" i="144"/>
  <c r="O11" i="144"/>
  <c r="P11" i="144"/>
  <c r="P6" i="144" s="1"/>
  <c r="Q11" i="144"/>
  <c r="R11" i="144"/>
  <c r="S11" i="144"/>
  <c r="T11" i="144"/>
  <c r="U11" i="144"/>
  <c r="V11" i="144"/>
  <c r="W11" i="144"/>
  <c r="Y11" i="144"/>
  <c r="Z11" i="144"/>
  <c r="AA11" i="144"/>
  <c r="AB11" i="144"/>
  <c r="S13" i="144"/>
  <c r="T13" i="144"/>
  <c r="U13" i="144"/>
  <c r="V13" i="144"/>
  <c r="W13" i="144"/>
  <c r="Y14" i="144"/>
  <c r="AB14" i="144"/>
  <c r="AC14" i="144" s="1"/>
  <c r="J20" i="144"/>
  <c r="J7" i="144" s="1"/>
  <c r="O20" i="144"/>
  <c r="O7" i="144" s="1"/>
  <c r="Q20" i="144"/>
  <c r="Q7" i="144" s="1"/>
  <c r="R20" i="144"/>
  <c r="R7" i="144" s="1"/>
  <c r="S20" i="144"/>
  <c r="T20" i="144"/>
  <c r="U20" i="144"/>
  <c r="V20" i="144"/>
  <c r="W20" i="144"/>
  <c r="X20" i="144"/>
  <c r="X7" i="144" s="1"/>
  <c r="Y20" i="144"/>
  <c r="Y7" i="144" s="1"/>
  <c r="Z20" i="144"/>
  <c r="Z7" i="144" s="1"/>
  <c r="AA20" i="144"/>
  <c r="AA7" i="144" s="1"/>
  <c r="AB20" i="144"/>
  <c r="J23" i="144"/>
  <c r="K23" i="144"/>
  <c r="L23" i="144"/>
  <c r="M23" i="144"/>
  <c r="N23" i="144"/>
  <c r="O23" i="144"/>
  <c r="Q23" i="144"/>
  <c r="R23" i="144"/>
  <c r="S23" i="144"/>
  <c r="T23" i="144"/>
  <c r="U23" i="144"/>
  <c r="V23" i="144"/>
  <c r="W23" i="144"/>
  <c r="Y23" i="144"/>
  <c r="AA23" i="144"/>
  <c r="AB23" i="144"/>
  <c r="S25" i="144"/>
  <c r="T25" i="144"/>
  <c r="U25" i="144"/>
  <c r="V25" i="144"/>
  <c r="W25" i="144"/>
  <c r="X25" i="144"/>
  <c r="Y25" i="144"/>
  <c r="Z25" i="144"/>
  <c r="AA25" i="144"/>
  <c r="AC25" i="144" s="1"/>
  <c r="J33" i="144"/>
  <c r="K33" i="144"/>
  <c r="L33" i="144"/>
  <c r="M33" i="144"/>
  <c r="N33" i="144"/>
  <c r="AB33" i="144"/>
  <c r="AC33" i="144" s="1"/>
  <c r="C36" i="144"/>
  <c r="C7" i="144" s="1"/>
  <c r="D36" i="144"/>
  <c r="D7" i="144" s="1"/>
  <c r="Y39" i="144"/>
  <c r="Y43" i="144"/>
  <c r="J44" i="144"/>
  <c r="K44" i="144"/>
  <c r="L44" i="144"/>
  <c r="M44" i="144"/>
  <c r="N44" i="144"/>
  <c r="O44" i="144"/>
  <c r="P44" i="144"/>
  <c r="Q44" i="144"/>
  <c r="R44" i="144"/>
  <c r="S44" i="144"/>
  <c r="K6" i="143"/>
  <c r="L6" i="143"/>
  <c r="N6" i="143"/>
  <c r="C7" i="143"/>
  <c r="E7" i="143"/>
  <c r="F7" i="143"/>
  <c r="G7" i="143"/>
  <c r="H7" i="143"/>
  <c r="I7" i="143"/>
  <c r="J7" i="143"/>
  <c r="K7" i="143"/>
  <c r="L7" i="143"/>
  <c r="M7" i="143"/>
  <c r="N7" i="143"/>
  <c r="D12" i="143"/>
  <c r="D7" i="143" s="1"/>
  <c r="O12" i="143"/>
  <c r="P12" i="143"/>
  <c r="Q12" i="143"/>
  <c r="R12" i="143"/>
  <c r="S12" i="143"/>
  <c r="T12" i="143"/>
  <c r="T6" i="143" s="1"/>
  <c r="U12" i="143"/>
  <c r="U6" i="143" s="1"/>
  <c r="V12" i="143"/>
  <c r="V6" i="143" s="1"/>
  <c r="W12" i="143"/>
  <c r="W6" i="143" s="1"/>
  <c r="X12" i="143"/>
  <c r="X6" i="143" s="1"/>
  <c r="Y12" i="143"/>
  <c r="Z12" i="143"/>
  <c r="Z6" i="143" s="1"/>
  <c r="AA12" i="143"/>
  <c r="AA6" i="143" s="1"/>
  <c r="AB12" i="143"/>
  <c r="J14" i="143"/>
  <c r="J6" i="143" s="1"/>
  <c r="M14" i="143"/>
  <c r="M6" i="143" s="1"/>
  <c r="O14" i="143"/>
  <c r="P14" i="143"/>
  <c r="Q14" i="143"/>
  <c r="R14" i="143"/>
  <c r="AB15" i="143"/>
  <c r="AC15" i="143" s="1"/>
  <c r="P20" i="143"/>
  <c r="Q20" i="143" s="1"/>
  <c r="R20" i="143" s="1"/>
  <c r="S20" i="143" s="1"/>
  <c r="AB27" i="143"/>
  <c r="AC27" i="143" s="1"/>
  <c r="Y34" i="143"/>
  <c r="C43" i="143"/>
  <c r="D43" i="143"/>
  <c r="E43" i="143"/>
  <c r="F43" i="143"/>
  <c r="G43" i="143"/>
  <c r="H43" i="143"/>
  <c r="I43" i="143"/>
  <c r="J43" i="143"/>
  <c r="K43" i="143"/>
  <c r="L43" i="143"/>
  <c r="M43" i="143"/>
  <c r="N43" i="143"/>
  <c r="O43" i="143"/>
  <c r="P43" i="143"/>
  <c r="Q43" i="143"/>
  <c r="R43" i="143"/>
  <c r="S43" i="143"/>
  <c r="T43" i="143"/>
  <c r="U43" i="143"/>
  <c r="V43" i="143"/>
  <c r="W43" i="143"/>
  <c r="X43" i="143"/>
  <c r="Y43" i="143"/>
  <c r="Z43" i="143"/>
  <c r="AA43" i="143"/>
  <c r="AB43" i="143"/>
  <c r="AC43" i="143" s="1"/>
  <c r="P6" i="146" l="1"/>
  <c r="N6" i="146"/>
  <c r="L6" i="146"/>
  <c r="J6" i="146"/>
  <c r="Y8" i="146"/>
  <c r="V8" i="146"/>
  <c r="T8" i="146"/>
  <c r="I8" i="146"/>
  <c r="G8" i="146"/>
  <c r="E8" i="146"/>
  <c r="Q6" i="146"/>
  <c r="P7" i="146"/>
  <c r="N7" i="146"/>
  <c r="L7" i="146"/>
  <c r="J7" i="146"/>
  <c r="O6" i="146"/>
  <c r="M6" i="146"/>
  <c r="K6" i="146"/>
  <c r="R7" i="146"/>
  <c r="AE7" i="146"/>
  <c r="V7" i="144"/>
  <c r="T7" i="144"/>
  <c r="Z6" i="144"/>
  <c r="O6" i="144"/>
  <c r="AC23" i="144"/>
  <c r="AC20" i="144"/>
  <c r="AB7" i="144"/>
  <c r="AC7" i="144" s="1"/>
  <c r="AC11" i="144"/>
  <c r="AB6" i="144"/>
  <c r="AB7" i="143"/>
  <c r="AC12" i="143"/>
  <c r="AB6" i="143"/>
  <c r="AC9" i="145"/>
  <c r="AB7" i="145"/>
  <c r="AB6" i="145"/>
  <c r="AB8" i="145" s="1"/>
  <c r="P7" i="145"/>
  <c r="T7" i="145"/>
  <c r="X7" i="145"/>
  <c r="AC36" i="145"/>
  <c r="M7" i="145"/>
  <c r="AC34" i="145"/>
  <c r="S7" i="145"/>
  <c r="Q7" i="145"/>
  <c r="Q8" i="145" s="1"/>
  <c r="O7" i="145"/>
  <c r="L7" i="145"/>
  <c r="AC30" i="145"/>
  <c r="AC19" i="145"/>
  <c r="W7" i="145"/>
  <c r="U7" i="145"/>
  <c r="Q6" i="145"/>
  <c r="O6" i="145"/>
  <c r="M6" i="145"/>
  <c r="K6" i="145"/>
  <c r="K8" i="145" s="1"/>
  <c r="V6" i="145"/>
  <c r="T6" i="145"/>
  <c r="Y6" i="145"/>
  <c r="R7" i="145"/>
  <c r="N7" i="145"/>
  <c r="V7" i="145"/>
  <c r="V8" i="145" s="1"/>
  <c r="X6" i="145"/>
  <c r="R6" i="145"/>
  <c r="R8" i="145" s="1"/>
  <c r="P6" i="145"/>
  <c r="N6" i="145"/>
  <c r="N8" i="145" s="1"/>
  <c r="L6" i="145"/>
  <c r="J6" i="145"/>
  <c r="J8" i="145" s="1"/>
  <c r="Y7" i="145"/>
  <c r="W6" i="145"/>
  <c r="W8" i="145" s="1"/>
  <c r="U6" i="145"/>
  <c r="S6" i="145"/>
  <c r="S8" i="145" s="1"/>
  <c r="Z7" i="145"/>
  <c r="Q7" i="143"/>
  <c r="L8" i="143"/>
  <c r="K8" i="143"/>
  <c r="N8" i="143"/>
  <c r="J8" i="143"/>
  <c r="M8" i="143"/>
  <c r="W6" i="144"/>
  <c r="W8" i="144" s="1"/>
  <c r="U6" i="144"/>
  <c r="S6" i="144"/>
  <c r="Q6" i="144"/>
  <c r="Q8" i="144" s="1"/>
  <c r="M6" i="144"/>
  <c r="M8" i="144" s="1"/>
  <c r="K6" i="144"/>
  <c r="K8" i="144" s="1"/>
  <c r="W7" i="144"/>
  <c r="U7" i="144"/>
  <c r="S7" i="144"/>
  <c r="AA6" i="144"/>
  <c r="Y6" i="144"/>
  <c r="V6" i="144"/>
  <c r="T6" i="144"/>
  <c r="T8" i="144" s="1"/>
  <c r="R6" i="144"/>
  <c r="R8" i="144" s="1"/>
  <c r="P8" i="144"/>
  <c r="N6" i="144"/>
  <c r="N8" i="144" s="1"/>
  <c r="L6" i="144"/>
  <c r="L8" i="144" s="1"/>
  <c r="J6" i="144"/>
  <c r="J8" i="144" s="1"/>
  <c r="R7" i="143"/>
  <c r="R6" i="143"/>
  <c r="P7" i="143"/>
  <c r="P6" i="143"/>
  <c r="Z7" i="143"/>
  <c r="Z8" i="143" s="1"/>
  <c r="X7" i="143"/>
  <c r="X8" i="143" s="1"/>
  <c r="V7" i="143"/>
  <c r="V8" i="143" s="1"/>
  <c r="T7" i="143"/>
  <c r="T8" i="143" s="1"/>
  <c r="Z8" i="144"/>
  <c r="S8" i="144"/>
  <c r="O8" i="144"/>
  <c r="O8" i="145"/>
  <c r="M8" i="145"/>
  <c r="T8" i="145"/>
  <c r="Y8" i="145"/>
  <c r="O8" i="146"/>
  <c r="M8" i="146"/>
  <c r="K8" i="146"/>
  <c r="Y6" i="143"/>
  <c r="S6" i="143"/>
  <c r="Q6" i="143"/>
  <c r="Q8" i="143" s="1"/>
  <c r="O6" i="143"/>
  <c r="O7" i="143"/>
  <c r="AA7" i="143"/>
  <c r="AA8" i="143" s="1"/>
  <c r="Y7" i="143"/>
  <c r="W7" i="143"/>
  <c r="W8" i="143" s="1"/>
  <c r="U7" i="143"/>
  <c r="U8" i="143" s="1"/>
  <c r="S7" i="143"/>
  <c r="Y8" i="144"/>
  <c r="X8" i="145"/>
  <c r="P8" i="145"/>
  <c r="L8" i="145"/>
  <c r="U8" i="145"/>
  <c r="P8" i="146"/>
  <c r="N8" i="146"/>
  <c r="L8" i="146"/>
  <c r="J8" i="146"/>
  <c r="X6" i="144"/>
  <c r="X8" i="144" s="1"/>
  <c r="Z6" i="145"/>
  <c r="Z8" i="145" s="1"/>
  <c r="Q7" i="146"/>
  <c r="Q8" i="146" s="1"/>
  <c r="AB6" i="146"/>
  <c r="Z6" i="146"/>
  <c r="Z8" i="146" s="1"/>
  <c r="R6" i="146"/>
  <c r="R8" i="146" s="1"/>
  <c r="AE9" i="146"/>
  <c r="V8" i="144" l="1"/>
  <c r="U8" i="144"/>
  <c r="AB8" i="144"/>
  <c r="AC7" i="143"/>
  <c r="AB8" i="143"/>
  <c r="AC8" i="143" s="1"/>
  <c r="AC6" i="143"/>
  <c r="AA8" i="144"/>
  <c r="AC8" i="144" s="1"/>
  <c r="AC6" i="144"/>
  <c r="AE6" i="146"/>
  <c r="AB8" i="146"/>
  <c r="AE8" i="146" s="1"/>
  <c r="Y8" i="143"/>
  <c r="O8" i="143"/>
  <c r="S8" i="143"/>
  <c r="P8" i="143"/>
  <c r="R8" i="143"/>
  <c r="P27" i="97" l="1"/>
  <c r="Q28" i="97" s="1"/>
  <c r="T44" i="138" l="1"/>
  <c r="S44" i="138"/>
  <c r="R44" i="138"/>
  <c r="Q44" i="138"/>
  <c r="P44" i="138"/>
  <c r="O44" i="138"/>
  <c r="N44" i="138"/>
  <c r="M44" i="138"/>
  <c r="L44" i="138"/>
  <c r="K44" i="138"/>
  <c r="J44" i="138"/>
  <c r="I44" i="138"/>
  <c r="H44" i="138"/>
  <c r="G44" i="138"/>
  <c r="F44" i="138"/>
  <c r="E44" i="138"/>
  <c r="D44" i="138"/>
  <c r="C44" i="138"/>
  <c r="I23" i="71"/>
  <c r="J24" i="71" l="1"/>
  <c r="J30" i="71" s="1"/>
  <c r="I53" i="71" l="1"/>
  <c r="G53" i="71"/>
  <c r="E53" i="71"/>
  <c r="C53" i="71"/>
  <c r="H53" i="71"/>
  <c r="F53" i="71"/>
  <c r="D53" i="71"/>
  <c r="H51" i="142" l="1"/>
  <c r="G51" i="142"/>
  <c r="F51" i="142"/>
  <c r="E51" i="142"/>
  <c r="D51" i="142"/>
  <c r="C51" i="142"/>
  <c r="H47" i="142"/>
  <c r="G47" i="142"/>
  <c r="F47" i="142"/>
  <c r="E47" i="142"/>
  <c r="D47" i="142"/>
  <c r="C47" i="142"/>
  <c r="H46" i="142"/>
  <c r="G46" i="142"/>
  <c r="F46" i="142"/>
  <c r="E46" i="142"/>
  <c r="D46" i="142"/>
  <c r="C46" i="142"/>
  <c r="I23" i="142"/>
  <c r="G74" i="142" s="1"/>
  <c r="F74" i="142" l="1"/>
  <c r="D74" i="142"/>
  <c r="H74" i="142"/>
  <c r="C74" i="142"/>
  <c r="E74" i="142"/>
  <c r="J22" i="71" l="1"/>
  <c r="I51" i="71" l="1"/>
  <c r="G51" i="71"/>
  <c r="E51" i="71"/>
  <c r="C51" i="71"/>
  <c r="H51" i="71"/>
  <c r="F51" i="71"/>
  <c r="D51" i="71"/>
  <c r="P26" i="97"/>
  <c r="Q27" i="97" s="1"/>
  <c r="N25" i="97" l="1"/>
  <c r="P25" i="97" s="1"/>
  <c r="Q25" i="97" s="1"/>
  <c r="Q26" i="97" l="1"/>
  <c r="P45" i="97"/>
  <c r="G45" i="142" l="1"/>
  <c r="H45" i="142"/>
  <c r="E45" i="142"/>
  <c r="H36" i="142"/>
  <c r="G36" i="142"/>
  <c r="E36" i="142"/>
  <c r="I22" i="142"/>
  <c r="G73" i="142" l="1"/>
  <c r="I46" i="142"/>
  <c r="D36" i="142"/>
  <c r="C36" i="142"/>
  <c r="C73" i="142"/>
  <c r="F36" i="142"/>
  <c r="F73" i="142"/>
  <c r="D45" i="142"/>
  <c r="F45" i="142"/>
  <c r="D73" i="142"/>
  <c r="H73" i="142"/>
  <c r="C45" i="142"/>
  <c r="E73" i="142"/>
  <c r="I21" i="142"/>
  <c r="H72" i="142" s="1"/>
  <c r="I20" i="142"/>
  <c r="H71" i="142" s="1"/>
  <c r="I19" i="142"/>
  <c r="H70" i="142" s="1"/>
  <c r="I18" i="142"/>
  <c r="H69" i="142" s="1"/>
  <c r="I17" i="142"/>
  <c r="H68" i="142" s="1"/>
  <c r="I16" i="142"/>
  <c r="H67" i="142" s="1"/>
  <c r="I15" i="142"/>
  <c r="H66" i="142" s="1"/>
  <c r="I14" i="142"/>
  <c r="I13" i="142"/>
  <c r="I52" i="142" s="1"/>
  <c r="I12" i="142"/>
  <c r="G63" i="142" s="1"/>
  <c r="I11" i="142"/>
  <c r="H62" i="142" s="1"/>
  <c r="I10" i="142"/>
  <c r="H61" i="142" s="1"/>
  <c r="I9" i="142"/>
  <c r="H60" i="142" s="1"/>
  <c r="C60" i="142"/>
  <c r="I8" i="142"/>
  <c r="H59" i="142" s="1"/>
  <c r="I7" i="142"/>
  <c r="H58" i="142" s="1"/>
  <c r="I24" i="142"/>
  <c r="I48" i="142" s="1"/>
  <c r="H50" i="142"/>
  <c r="G50" i="142"/>
  <c r="F50" i="142"/>
  <c r="E50" i="142"/>
  <c r="D50" i="142"/>
  <c r="C50" i="142"/>
  <c r="H44" i="142"/>
  <c r="G44" i="142"/>
  <c r="F44" i="142"/>
  <c r="E44" i="142"/>
  <c r="D44" i="142"/>
  <c r="C44" i="142"/>
  <c r="H43" i="142"/>
  <c r="G43" i="142"/>
  <c r="F43" i="142"/>
  <c r="E43" i="142"/>
  <c r="D43" i="142"/>
  <c r="C43" i="142"/>
  <c r="H42" i="142"/>
  <c r="G42" i="142"/>
  <c r="F42" i="142"/>
  <c r="E42" i="142"/>
  <c r="D42" i="142"/>
  <c r="C42" i="142"/>
  <c r="H41" i="142"/>
  <c r="G41" i="142"/>
  <c r="F41" i="142"/>
  <c r="E41" i="142"/>
  <c r="D41" i="142"/>
  <c r="C41" i="142"/>
  <c r="H40" i="142"/>
  <c r="G40" i="142"/>
  <c r="F40" i="142"/>
  <c r="E40" i="142"/>
  <c r="D40" i="142"/>
  <c r="C40" i="142"/>
  <c r="H39" i="142"/>
  <c r="G39" i="142"/>
  <c r="F39" i="142"/>
  <c r="E39" i="142"/>
  <c r="D39" i="142"/>
  <c r="C39" i="142"/>
  <c r="H38" i="142"/>
  <c r="G38" i="142"/>
  <c r="F38" i="142"/>
  <c r="E38" i="142"/>
  <c r="D38" i="142"/>
  <c r="C38" i="142"/>
  <c r="H37" i="142"/>
  <c r="G37" i="142"/>
  <c r="F37" i="142"/>
  <c r="E37" i="142"/>
  <c r="D37" i="142"/>
  <c r="C37" i="142"/>
  <c r="J23" i="71"/>
  <c r="J7" i="71"/>
  <c r="J8" i="71"/>
  <c r="J9" i="71"/>
  <c r="J10" i="71"/>
  <c r="J11" i="71"/>
  <c r="J12" i="71"/>
  <c r="J13" i="71"/>
  <c r="J14" i="71"/>
  <c r="J15" i="71"/>
  <c r="J16" i="71"/>
  <c r="J17" i="71"/>
  <c r="J18" i="71"/>
  <c r="J19" i="71"/>
  <c r="J20" i="71"/>
  <c r="J21" i="71"/>
  <c r="D58" i="142"/>
  <c r="D62" i="142"/>
  <c r="D64" i="142"/>
  <c r="D66" i="142"/>
  <c r="F70" i="142"/>
  <c r="D60" i="142" l="1"/>
  <c r="G60" i="142"/>
  <c r="C61" i="142"/>
  <c r="J26" i="71"/>
  <c r="J27" i="71"/>
  <c r="J29" i="71"/>
  <c r="J28" i="71"/>
  <c r="E61" i="142"/>
  <c r="C62" i="142"/>
  <c r="I47" i="142"/>
  <c r="F62" i="142"/>
  <c r="F60" i="142"/>
  <c r="F58" i="142"/>
  <c r="I50" i="142"/>
  <c r="C58" i="142"/>
  <c r="E60" i="142"/>
  <c r="G62" i="142"/>
  <c r="E63" i="142"/>
  <c r="H64" i="142"/>
  <c r="I51" i="142"/>
  <c r="H52" i="71"/>
  <c r="F52" i="71"/>
  <c r="D52" i="71"/>
  <c r="G52" i="71"/>
  <c r="E52" i="71"/>
  <c r="C52" i="71"/>
  <c r="I52" i="71"/>
  <c r="F68" i="142"/>
  <c r="F64" i="142"/>
  <c r="G58" i="142"/>
  <c r="E59" i="142"/>
  <c r="G61" i="142"/>
  <c r="E58" i="142"/>
  <c r="C59" i="142"/>
  <c r="G59" i="142"/>
  <c r="E62" i="142"/>
  <c r="C63" i="142"/>
  <c r="H63" i="142"/>
  <c r="I44" i="142"/>
  <c r="C70" i="142"/>
  <c r="I45" i="142"/>
  <c r="C75" i="142"/>
  <c r="C66" i="142"/>
  <c r="G70" i="142"/>
  <c r="E71" i="142"/>
  <c r="H65" i="142"/>
  <c r="I36" i="142"/>
  <c r="P46" i="97"/>
  <c r="H50" i="71"/>
  <c r="F50" i="71"/>
  <c r="D50" i="71"/>
  <c r="I50" i="71"/>
  <c r="G50" i="71"/>
  <c r="E50" i="71"/>
  <c r="C50" i="71"/>
  <c r="H48" i="71"/>
  <c r="F48" i="71"/>
  <c r="D48" i="71"/>
  <c r="I48" i="71"/>
  <c r="G48" i="71"/>
  <c r="E48" i="71"/>
  <c r="C48" i="71"/>
  <c r="H46" i="71"/>
  <c r="F46" i="71"/>
  <c r="D46" i="71"/>
  <c r="I46" i="71"/>
  <c r="G46" i="71"/>
  <c r="E46" i="71"/>
  <c r="C46" i="71"/>
  <c r="H44" i="71"/>
  <c r="F44" i="71"/>
  <c r="D44" i="71"/>
  <c r="I44" i="71"/>
  <c r="G44" i="71"/>
  <c r="E44" i="71"/>
  <c r="C44" i="71"/>
  <c r="H42" i="71"/>
  <c r="F42" i="71"/>
  <c r="D42" i="71"/>
  <c r="G42" i="71"/>
  <c r="C42" i="71"/>
  <c r="I42" i="71"/>
  <c r="E42" i="71"/>
  <c r="H40" i="71"/>
  <c r="F40" i="71"/>
  <c r="D40" i="71"/>
  <c r="I40" i="71"/>
  <c r="E40" i="71"/>
  <c r="G40" i="71"/>
  <c r="C40" i="71"/>
  <c r="H38" i="71"/>
  <c r="F38" i="71"/>
  <c r="D38" i="71"/>
  <c r="G38" i="71"/>
  <c r="C38" i="71"/>
  <c r="I38" i="71"/>
  <c r="E38" i="71"/>
  <c r="H36" i="71"/>
  <c r="F36" i="71"/>
  <c r="D36" i="71"/>
  <c r="I36" i="71"/>
  <c r="E36" i="71"/>
  <c r="G36" i="71"/>
  <c r="C36" i="71"/>
  <c r="I49" i="71"/>
  <c r="G49" i="71"/>
  <c r="E49" i="71"/>
  <c r="C49" i="71"/>
  <c r="H49" i="71"/>
  <c r="F49" i="71"/>
  <c r="D49" i="71"/>
  <c r="H47" i="71"/>
  <c r="I47" i="71"/>
  <c r="G47" i="71"/>
  <c r="E47" i="71"/>
  <c r="C47" i="71"/>
  <c r="F47" i="71"/>
  <c r="D47" i="71"/>
  <c r="I45" i="71"/>
  <c r="G45" i="71"/>
  <c r="E45" i="71"/>
  <c r="C45" i="71"/>
  <c r="H45" i="71"/>
  <c r="F45" i="71"/>
  <c r="D45" i="71"/>
  <c r="I43" i="71"/>
  <c r="G43" i="71"/>
  <c r="E43" i="71"/>
  <c r="C43" i="71"/>
  <c r="H43" i="71"/>
  <c r="D43" i="71"/>
  <c r="F43" i="71"/>
  <c r="I41" i="71"/>
  <c r="G41" i="71"/>
  <c r="E41" i="71"/>
  <c r="C41" i="71"/>
  <c r="F41" i="71"/>
  <c r="H41" i="71"/>
  <c r="D41" i="71"/>
  <c r="I39" i="71"/>
  <c r="G39" i="71"/>
  <c r="E39" i="71"/>
  <c r="C39" i="71"/>
  <c r="H39" i="71"/>
  <c r="D39" i="71"/>
  <c r="F39" i="71"/>
  <c r="I37" i="71"/>
  <c r="G37" i="71"/>
  <c r="E37" i="71"/>
  <c r="C37" i="71"/>
  <c r="F37" i="71"/>
  <c r="H37" i="71"/>
  <c r="D37" i="71"/>
  <c r="G66" i="142"/>
  <c r="E67" i="142"/>
  <c r="F75" i="142"/>
  <c r="G75" i="142"/>
  <c r="F72" i="142"/>
  <c r="D70" i="142"/>
  <c r="F66" i="142"/>
  <c r="E66" i="142"/>
  <c r="C67" i="142"/>
  <c r="G67" i="142"/>
  <c r="C68" i="142"/>
  <c r="E70" i="142"/>
  <c r="C71" i="142"/>
  <c r="G71" i="142"/>
  <c r="C72" i="142"/>
  <c r="C64" i="142"/>
  <c r="I40" i="142"/>
  <c r="G64" i="142"/>
  <c r="E65" i="142"/>
  <c r="G68" i="142"/>
  <c r="E69" i="142"/>
  <c r="G72" i="142"/>
  <c r="E75" i="142"/>
  <c r="D75" i="142"/>
  <c r="H75" i="142"/>
  <c r="D72" i="142"/>
  <c r="D68" i="142"/>
  <c r="I38" i="142"/>
  <c r="I42" i="142"/>
  <c r="C65" i="142"/>
  <c r="G65" i="142"/>
  <c r="E68" i="142"/>
  <c r="C69" i="142"/>
  <c r="G69" i="142"/>
  <c r="E72" i="142"/>
  <c r="E64" i="142"/>
  <c r="I37" i="142"/>
  <c r="I39" i="142"/>
  <c r="I41" i="142"/>
  <c r="I43" i="142"/>
  <c r="D59" i="142"/>
  <c r="F59" i="142"/>
  <c r="D61" i="142"/>
  <c r="F61" i="142"/>
  <c r="D63" i="142"/>
  <c r="F63" i="142"/>
  <c r="D65" i="142"/>
  <c r="F65" i="142"/>
  <c r="D67" i="142"/>
  <c r="F67" i="142"/>
  <c r="D69" i="142"/>
  <c r="F69" i="142"/>
  <c r="D71" i="142"/>
  <c r="F71" i="142"/>
  <c r="AA7" i="145"/>
  <c r="AC7" i="145" s="1"/>
  <c r="AA6" i="145"/>
  <c r="AC6" i="145" l="1"/>
  <c r="AA8" i="145"/>
  <c r="AC8" i="145" s="1"/>
</calcChain>
</file>

<file path=xl/sharedStrings.xml><?xml version="1.0" encoding="utf-8"?>
<sst xmlns="http://schemas.openxmlformats.org/spreadsheetml/2006/main" count="1187" uniqueCount="137">
  <si>
    <t>Passenger Transport</t>
  </si>
  <si>
    <t>Tram &amp; Metro</t>
  </si>
  <si>
    <t>Bus &amp; Coach</t>
  </si>
  <si>
    <t>passenger-km in %</t>
  </si>
  <si>
    <t>Buses and Coaches</t>
  </si>
  <si>
    <t>Notes:</t>
  </si>
  <si>
    <t>MK</t>
  </si>
  <si>
    <r>
      <t>Notes:</t>
    </r>
    <r>
      <rPr>
        <sz val="8"/>
        <rFont val="Arial"/>
        <family val="2"/>
      </rPr>
      <t xml:space="preserve"> </t>
    </r>
  </si>
  <si>
    <t>Powered 2-wheelers</t>
  </si>
  <si>
    <t>P2W</t>
  </si>
  <si>
    <t>IS</t>
  </si>
  <si>
    <t>CH</t>
  </si>
  <si>
    <t>BG</t>
  </si>
  <si>
    <t>CY</t>
  </si>
  <si>
    <t>CZ</t>
  </si>
  <si>
    <t>EE</t>
  </si>
  <si>
    <t>HU</t>
  </si>
  <si>
    <t>LV</t>
  </si>
  <si>
    <t>LT</t>
  </si>
  <si>
    <t>MT</t>
  </si>
  <si>
    <t>PL</t>
  </si>
  <si>
    <t>RO</t>
  </si>
  <si>
    <t>SK</t>
  </si>
  <si>
    <t>SI</t>
  </si>
  <si>
    <t>TR</t>
  </si>
  <si>
    <t>DK</t>
  </si>
  <si>
    <t>EL</t>
  </si>
  <si>
    <t>NL</t>
  </si>
  <si>
    <t>UK</t>
  </si>
  <si>
    <t>BE</t>
  </si>
  <si>
    <t>DE</t>
  </si>
  <si>
    <t>ES</t>
  </si>
  <si>
    <t>FR</t>
  </si>
  <si>
    <t>IE</t>
  </si>
  <si>
    <t>IT</t>
  </si>
  <si>
    <t>LU</t>
  </si>
  <si>
    <t>AT</t>
  </si>
  <si>
    <t>PT</t>
  </si>
  <si>
    <t>FI</t>
  </si>
  <si>
    <t>SE</t>
  </si>
  <si>
    <t>NO</t>
  </si>
  <si>
    <t xml:space="preserve"> </t>
  </si>
  <si>
    <t>%</t>
  </si>
  <si>
    <t>-</t>
  </si>
  <si>
    <t>HR</t>
  </si>
  <si>
    <t>Passenger Cars</t>
  </si>
  <si>
    <t>Buses &amp; Coaches</t>
  </si>
  <si>
    <t>Railways</t>
  </si>
  <si>
    <t>Sea</t>
  </si>
  <si>
    <t>Air</t>
  </si>
  <si>
    <t>Total</t>
  </si>
  <si>
    <t>Share of high speed rail transport in total passenger-kilometres in rail transport</t>
  </si>
  <si>
    <t>Note:</t>
  </si>
  <si>
    <t>per year</t>
  </si>
  <si>
    <t>Modal split</t>
  </si>
  <si>
    <t>EUROPEAN UNION</t>
  </si>
  <si>
    <t>European Commission</t>
  </si>
  <si>
    <t>Performance by Mode (graph)</t>
  </si>
  <si>
    <r>
      <t xml:space="preserve">in co-operation with </t>
    </r>
    <r>
      <rPr>
        <b/>
        <sz val="10"/>
        <rFont val="Arial"/>
        <family val="2"/>
      </rPr>
      <t>Eurostat</t>
    </r>
  </si>
  <si>
    <t xml:space="preserve">Performance by Mode and Year </t>
  </si>
  <si>
    <t>Modal Split of Land Transport by Country</t>
  </si>
  <si>
    <t>Rail : High Speed Rail Transport</t>
  </si>
  <si>
    <t>Performance of Passenger Transport</t>
  </si>
  <si>
    <t>expressed in passenger-kilometres</t>
  </si>
  <si>
    <t>USA</t>
  </si>
  <si>
    <t>Performance by Mode of Transport : Passengers</t>
  </si>
  <si>
    <t>Passenger Cars *</t>
  </si>
  <si>
    <t>Motor- cycles</t>
  </si>
  <si>
    <t>Railway</t>
  </si>
  <si>
    <t>Bus</t>
  </si>
  <si>
    <t>Light and Commuter rail</t>
  </si>
  <si>
    <t>Average annual change</t>
  </si>
  <si>
    <t>% per year</t>
  </si>
  <si>
    <t>1990- 1995</t>
  </si>
  <si>
    <r>
      <t xml:space="preserve">DE: </t>
    </r>
    <r>
      <rPr>
        <sz val="8"/>
        <rFont val="Arial"/>
        <family val="2"/>
      </rPr>
      <t>incl.</t>
    </r>
    <r>
      <rPr>
        <b/>
        <sz val="8"/>
        <rFont val="Arial"/>
        <family val="2"/>
      </rPr>
      <t>DE-E:</t>
    </r>
    <r>
      <rPr>
        <sz val="8"/>
        <rFont val="Arial"/>
        <family val="2"/>
      </rPr>
      <t xml:space="preserve"> 1970=24.5, 1980=56.0, 1990=90.3</t>
    </r>
  </si>
  <si>
    <r>
      <t>UK:</t>
    </r>
    <r>
      <rPr>
        <sz val="8"/>
        <rFont val="Arial"/>
        <family val="2"/>
      </rPr>
      <t xml:space="preserve"> data refer to Great Britain only; include pkm by vans</t>
    </r>
  </si>
  <si>
    <r>
      <t>PT:</t>
    </r>
    <r>
      <rPr>
        <sz val="8"/>
        <rFont val="Arial"/>
        <family val="2"/>
      </rPr>
      <t xml:space="preserve"> data refer only to Lisbon and Porto Metro</t>
    </r>
  </si>
  <si>
    <t>Rail: High Speed Rail Transport</t>
  </si>
  <si>
    <t>USA: Performance by Mode of Transport: Passengers</t>
  </si>
  <si>
    <r>
      <t>Source</t>
    </r>
    <r>
      <rPr>
        <sz val="8"/>
        <rFont val="Arial"/>
        <family val="2"/>
      </rPr>
      <t>:</t>
    </r>
    <r>
      <rPr>
        <b/>
        <sz val="8"/>
        <rFont val="Arial"/>
        <family val="2"/>
      </rPr>
      <t xml:space="preserve"> </t>
    </r>
    <r>
      <rPr>
        <sz val="8"/>
        <rFont val="Arial"/>
        <family val="2"/>
      </rPr>
      <t xml:space="preserve">national statistics, International Union of Public Transport, study for DG Energy and Transport, estimates </t>
    </r>
    <r>
      <rPr>
        <i/>
        <sz val="8"/>
        <rFont val="Arial"/>
        <family val="2"/>
      </rPr>
      <t>(in italics)</t>
    </r>
  </si>
  <si>
    <r>
      <t>Source</t>
    </r>
    <r>
      <rPr>
        <sz val="8"/>
        <rFont val="Arial"/>
        <family val="2"/>
      </rPr>
      <t>: Union Internationale des Chemins de Fer, national statistics, estimates</t>
    </r>
    <r>
      <rPr>
        <i/>
        <sz val="8"/>
        <rFont val="Arial"/>
        <family val="2"/>
      </rPr>
      <t xml:space="preserve"> (in italics)</t>
    </r>
  </si>
  <si>
    <t>change %</t>
  </si>
  <si>
    <r>
      <t>Source</t>
    </r>
    <r>
      <rPr>
        <sz val="8"/>
        <rFont val="Arial"/>
        <family val="2"/>
      </rPr>
      <t>: U.S. Department of Transportation</t>
    </r>
  </si>
  <si>
    <t>Pass -enger Cars</t>
  </si>
  <si>
    <t>Rail -way</t>
  </si>
  <si>
    <t>Modal Split of Passenger Transport on Land by Country</t>
  </si>
  <si>
    <r>
      <t>UK:</t>
    </r>
    <r>
      <rPr>
        <sz val="8"/>
        <rFont val="Arial"/>
        <family val="2"/>
      </rPr>
      <t xml:space="preserve"> GB data + 1.5 bln pkm throughout to account for Northern Ireland</t>
    </r>
  </si>
  <si>
    <r>
      <t xml:space="preserve">FR: </t>
    </r>
    <r>
      <rPr>
        <sz val="8"/>
        <rFont val="Arial"/>
        <family val="2"/>
      </rPr>
      <t>data refer to the Paris Metro and RER (Réseau Express Régional) systems and to metros in other French cities</t>
    </r>
  </si>
  <si>
    <t>Data are not harmonised and therefore not fully comparable across countries.</t>
  </si>
  <si>
    <r>
      <t>P2W</t>
    </r>
    <r>
      <rPr>
        <sz val="8"/>
        <rFont val="Arial"/>
        <family val="2"/>
      </rPr>
      <t>: Powered two-wheelers</t>
    </r>
  </si>
  <si>
    <t>2.3.1</t>
  </si>
  <si>
    <r>
      <t>Source</t>
    </r>
    <r>
      <rPr>
        <sz val="8"/>
        <rFont val="Arial"/>
        <family val="2"/>
      </rPr>
      <t xml:space="preserve">: tables 2.3.4, 2.3.5, 2.3.6, 2.3.7, estimates </t>
    </r>
  </si>
  <si>
    <r>
      <t>Source :</t>
    </r>
    <r>
      <rPr>
        <sz val="8"/>
        <rFont val="Arial"/>
        <family val="2"/>
      </rPr>
      <t xml:space="preserve"> tables 2.3.4, 2.3.5, 2.3.6, 2.3.7, estimates (</t>
    </r>
    <r>
      <rPr>
        <i/>
        <sz val="8"/>
        <rFont val="Arial"/>
        <family val="2"/>
      </rPr>
      <t>in italics</t>
    </r>
    <r>
      <rPr>
        <sz val="8"/>
        <rFont val="Arial"/>
        <family val="2"/>
      </rPr>
      <t>)</t>
    </r>
  </si>
  <si>
    <t>2.3.3</t>
  </si>
  <si>
    <t>2.3.2</t>
  </si>
  <si>
    <t>2.3.4</t>
  </si>
  <si>
    <t>2.3.5</t>
  </si>
  <si>
    <t>2.3.6</t>
  </si>
  <si>
    <t>2.3.7</t>
  </si>
  <si>
    <t>2.3.8</t>
  </si>
  <si>
    <t>2.3.9</t>
  </si>
  <si>
    <t>Directorate-General for Mobility and Transport</t>
  </si>
  <si>
    <t>TRANSPORT IN FIGURES</t>
  </si>
  <si>
    <t>Chapter 2.3  :</t>
  </si>
  <si>
    <t>Part 2 :  TRANSPORT</t>
  </si>
  <si>
    <r>
      <t>Source:</t>
    </r>
    <r>
      <rPr>
        <sz val="8"/>
        <rFont val="Arial"/>
        <family val="2"/>
      </rPr>
      <t xml:space="preserve"> tables 2.3.4, 2.3.5, 2.3.6, 2.3.7</t>
    </r>
  </si>
  <si>
    <r>
      <t xml:space="preserve">Note: </t>
    </r>
    <r>
      <rPr>
        <sz val="8"/>
        <rFont val="Arial"/>
        <family val="2"/>
      </rPr>
      <t xml:space="preserve">In this table, high-speed rail transport covers all traffic with high-speed rolling stock (incl. tilting trains able to run 200 km/h). This does not necessarily require high-speed infrastructure as defined in table 2.5.4.   </t>
    </r>
  </si>
  <si>
    <t>*: It includes: light duty vehicles, short wheel base and long wheel base</t>
  </si>
  <si>
    <r>
      <t>Source</t>
    </r>
    <r>
      <rPr>
        <sz val="8"/>
        <rFont val="Arial"/>
        <family val="2"/>
      </rPr>
      <t xml:space="preserve">: table 2.3.7. </t>
    </r>
  </si>
  <si>
    <r>
      <t>Source</t>
    </r>
    <r>
      <rPr>
        <sz val="8"/>
        <rFont val="Arial"/>
        <family val="2"/>
      </rPr>
      <t>: national statistics, International Transport Forum, Eurostat, estimates</t>
    </r>
    <r>
      <rPr>
        <i/>
        <sz val="8"/>
        <rFont val="Arial"/>
        <family val="2"/>
      </rPr>
      <t xml:space="preserve"> (in italics)</t>
    </r>
  </si>
  <si>
    <r>
      <t>Source</t>
    </r>
    <r>
      <rPr>
        <sz val="8"/>
        <rFont val="Arial"/>
        <family val="2"/>
      </rPr>
      <t xml:space="preserve">: national statistics, International Transport Forum, Eurostat, study for DG Energy and Transport, estimates </t>
    </r>
    <r>
      <rPr>
        <i/>
        <sz val="8"/>
        <rFont val="Arial"/>
        <family val="2"/>
      </rPr>
      <t>(in italics)</t>
    </r>
  </si>
  <si>
    <t>ME</t>
  </si>
  <si>
    <t>RS</t>
  </si>
  <si>
    <t>billion pkm</t>
  </si>
  <si>
    <t>Billion passenger-kilometres</t>
  </si>
  <si>
    <t>Billion pkm</t>
  </si>
  <si>
    <t>1995- 2000</t>
  </si>
  <si>
    <t>EU-28 Performance by Mode</t>
  </si>
  <si>
    <r>
      <t xml:space="preserve">Air </t>
    </r>
    <r>
      <rPr>
        <sz val="8"/>
        <rFont val="Arial"/>
        <family val="2"/>
      </rPr>
      <t>and</t>
    </r>
    <r>
      <rPr>
        <b/>
        <sz val="8"/>
        <rFont val="Arial"/>
        <family val="2"/>
      </rPr>
      <t xml:space="preserve"> Sea</t>
    </r>
    <r>
      <rPr>
        <sz val="8"/>
        <rFont val="Arial"/>
        <family val="2"/>
      </rPr>
      <t>: only domestic and intra-EU-28 transport; provisional estimates</t>
    </r>
  </si>
  <si>
    <t>% under PSO (*)</t>
  </si>
  <si>
    <r>
      <t>Source</t>
    </r>
    <r>
      <rPr>
        <sz val="8"/>
        <rFont val="Arial"/>
        <family val="2"/>
      </rPr>
      <t>: Eurostat, International Transport Forum, UNECE, Union Internationale des Chemins de Fer, national statistics, estimates (</t>
    </r>
    <r>
      <rPr>
        <i/>
        <sz val="8"/>
        <rFont val="Arial"/>
        <family val="2"/>
      </rPr>
      <t>in italics</t>
    </r>
    <r>
      <rPr>
        <sz val="8"/>
        <rFont val="Arial"/>
        <family val="2"/>
      </rPr>
      <t>). Shares under PSO from Rail Market Monitoring Scheme (DG MOVE) and DG MOVE estimates.</t>
    </r>
  </si>
  <si>
    <r>
      <t xml:space="preserve">* Public Service Obligation (PSO) </t>
    </r>
    <r>
      <rPr>
        <sz val="8"/>
        <rFont val="Arial"/>
        <family val="2"/>
      </rPr>
      <t>means a requirement defined or 
determined by a competent authority in order to ensure public
passenger transport services in the general interest that an 
operator, if it were considering its own commercial interests,
would not assume or would not assume to the same extent
or under the same conditions without reward.</t>
    </r>
  </si>
  <si>
    <t>AL</t>
  </si>
  <si>
    <t>change 12/13</t>
  </si>
  <si>
    <t>EU-28</t>
  </si>
  <si>
    <t>EU-15</t>
  </si>
  <si>
    <t>EU-13</t>
  </si>
  <si>
    <t>CS: 1990: 43.4 (included in EU-28 and EU-13 totals)</t>
  </si>
  <si>
    <r>
      <t>Notes:</t>
    </r>
    <r>
      <rPr>
        <sz val="8"/>
        <rFont val="Arial"/>
        <family val="2"/>
      </rPr>
      <t xml:space="preserve">  </t>
    </r>
    <r>
      <rPr>
        <b/>
        <sz val="8"/>
        <rFont val="Arial"/>
        <family val="2"/>
      </rPr>
      <t>BE</t>
    </r>
    <r>
      <rPr>
        <sz val="8"/>
        <rFont val="Arial"/>
        <family val="2"/>
      </rPr>
      <t xml:space="preserve"> 2010 and 2012 pkm values based on quarter data from Eurostat. These figures may exclude some railway undertakings not obliged to detailed quarter reporting. </t>
    </r>
    <r>
      <rPr>
        <b/>
        <sz val="8"/>
        <rFont val="Arial"/>
        <family val="2"/>
      </rPr>
      <t>UK</t>
    </r>
    <r>
      <rPr>
        <sz val="8"/>
        <rFont val="Arial"/>
        <family val="2"/>
      </rPr>
      <t xml:space="preserve"> share of PSO excludes Northern Ireland.</t>
    </r>
  </si>
  <si>
    <t>Data are not harmonised and therefore not fully comparable. 2013 data may be provisional. Generally vans are not considered in this table, but there may be exceptions.</t>
  </si>
  <si>
    <r>
      <t>FR:</t>
    </r>
    <r>
      <rPr>
        <sz val="8"/>
        <rFont val="Arial"/>
        <family val="2"/>
      </rPr>
      <t xml:space="preserve"> passenger-km include transport activity on the territory of vehicles not registered in France. Includes foreign vans.</t>
    </r>
  </si>
  <si>
    <t>Data are not harmonised and therefore not fully comparable. Many data for 2013 are provisional.</t>
  </si>
  <si>
    <t>1995 -2013</t>
  </si>
  <si>
    <t>2000 -2013</t>
  </si>
  <si>
    <t>2012- 2013</t>
  </si>
  <si>
    <t xml:space="preserve">If powered two-wheelers are included, they account for 2.14% of the total in EU-28 (2.09% in EU-15, 2.47% in EU-13), while the share of the other modes becomes: </t>
  </si>
  <si>
    <t>2000- 2013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</si>
</sst>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0"/>
    <numFmt numFmtId="165" formatCode="0.0"/>
    <numFmt numFmtId="166" formatCode="#\ ##0"/>
    <numFmt numFmtId="167" formatCode="0.0\ \ \ "/>
    <numFmt numFmtId="168" formatCode="0.0%"/>
    <numFmt numFmtId="169" formatCode="0.0\ "/>
    <numFmt numFmtId="170" formatCode="0.0%;\-0.0%"/>
    <numFmt numFmtId="171" formatCode="General_)"/>
    <numFmt numFmtId="172" formatCode="[&gt;0.5]#,##0;[&lt;-0.5]\-#,##0;\-"/>
    <numFmt numFmtId="173" formatCode="_-* #,##0.00\ [$€]_-;\-* #,##0.00\ [$€]_-;_-* &quot;-&quot;??\ [$€]_-;_-@_-"/>
    <numFmt numFmtId="174" formatCode="#\ ##0.0"/>
    <numFmt numFmtId="175" formatCode="_(* #,##0.00_);_(* \(#,##0.00\);_(* &quot;-&quot;??_);_(@_)"/>
    <numFmt numFmtId="176" formatCode="###0.00_)"/>
    <numFmt numFmtId="177" formatCode="#,##0_)"/>
    <numFmt numFmtId="178" formatCode="0.0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sz val="8"/>
      <name val="Arial"/>
      <family val="2"/>
    </font>
    <font>
      <b/>
      <sz val="8"/>
      <name val="Arial"/>
      <family val="2"/>
    </font>
    <font>
      <sz val="8"/>
      <name val="Arial"/>
      <family val="2"/>
    </font>
    <font>
      <b/>
      <sz val="12"/>
      <name val="Arial"/>
      <family val="2"/>
    </font>
    <font>
      <b/>
      <sz val="8"/>
      <name val="Arial"/>
      <family val="2"/>
    </font>
    <font>
      <sz val="10"/>
      <name val="Times"/>
      <family val="1"/>
    </font>
    <font>
      <b/>
      <sz val="18"/>
      <name val="Arial"/>
      <family val="2"/>
    </font>
    <font>
      <sz val="12"/>
      <name val="Arial"/>
      <family val="2"/>
    </font>
    <font>
      <b/>
      <sz val="10"/>
      <name val="Arial"/>
      <family val="2"/>
    </font>
    <font>
      <b/>
      <sz val="8"/>
      <name val="Times"/>
      <family val="1"/>
    </font>
    <font>
      <b/>
      <sz val="10"/>
      <name val="Times"/>
      <family val="1"/>
    </font>
    <font>
      <b/>
      <i/>
      <sz val="10"/>
      <name val="Times"/>
      <family val="1"/>
    </font>
    <font>
      <b/>
      <sz val="9"/>
      <name val="Arial"/>
      <family val="2"/>
    </font>
    <font>
      <sz val="8"/>
      <name val="Times"/>
      <family val="1"/>
    </font>
    <font>
      <i/>
      <sz val="8"/>
      <name val="Times"/>
      <family val="1"/>
    </font>
    <font>
      <sz val="9"/>
      <name val="Arial"/>
      <family val="2"/>
    </font>
    <font>
      <i/>
      <sz val="8"/>
      <name val="Arial"/>
      <family val="2"/>
    </font>
    <font>
      <b/>
      <i/>
      <sz val="8"/>
      <name val="Arial"/>
      <family val="2"/>
    </font>
    <font>
      <b/>
      <sz val="10"/>
      <color indexed="18"/>
      <name val="Arial"/>
      <family val="2"/>
    </font>
    <font>
      <b/>
      <sz val="10"/>
      <color indexed="8"/>
      <name val="Arial"/>
      <family val="2"/>
    </font>
    <font>
      <b/>
      <sz val="10"/>
      <name val="Arial"/>
      <family val="2"/>
    </font>
    <font>
      <b/>
      <sz val="12"/>
      <name val="Arial"/>
      <family val="2"/>
    </font>
    <font>
      <sz val="10"/>
      <name val="Helvetica"/>
      <family val="2"/>
    </font>
    <font>
      <sz val="12"/>
      <name val="Arial"/>
      <family val="2"/>
    </font>
    <font>
      <sz val="14"/>
      <name val="Arial"/>
      <family val="2"/>
    </font>
    <font>
      <b/>
      <sz val="10"/>
      <name val="Times"/>
      <family val="1"/>
    </font>
    <font>
      <b/>
      <sz val="7"/>
      <name val="Arial"/>
      <family val="2"/>
    </font>
    <font>
      <i/>
      <sz val="8"/>
      <name val="Arial"/>
      <family val="2"/>
    </font>
    <font>
      <sz val="7"/>
      <name val="Arial"/>
      <family val="2"/>
    </font>
    <font>
      <sz val="8"/>
      <name val="Helvetica"/>
      <family val="2"/>
    </font>
    <font>
      <b/>
      <sz val="8"/>
      <name val="Helvetica"/>
      <family val="2"/>
    </font>
    <font>
      <sz val="8"/>
      <name val="Helv"/>
      <family val="2"/>
    </font>
    <font>
      <sz val="10"/>
      <color theme="1"/>
      <name val="Arial"/>
      <family val="2"/>
    </font>
    <font>
      <sz val="11"/>
      <name val="Arial"/>
      <family val="2"/>
    </font>
    <font>
      <sz val="10"/>
      <name val="Times New Roman"/>
      <family val="1"/>
    </font>
    <font>
      <sz val="16"/>
      <name val="Helvetica"/>
      <family val="2"/>
    </font>
    <font>
      <i/>
      <sz val="12"/>
      <name val="Times New Roman"/>
      <family val="1"/>
    </font>
    <font>
      <sz val="10"/>
      <name val="Arial"/>
      <family val="2"/>
    </font>
    <font>
      <sz val="9"/>
      <name val="Verdana"/>
      <family val="2"/>
    </font>
    <font>
      <i/>
      <sz val="9"/>
      <color indexed="60"/>
      <name val="Verdana"/>
      <family val="2"/>
    </font>
    <font>
      <b/>
      <sz val="9"/>
      <name val="Verdana"/>
      <family val="2"/>
    </font>
    <font>
      <sz val="10"/>
      <name val="Times New Roman"/>
      <family val="1"/>
    </font>
    <font>
      <u/>
      <sz val="10"/>
      <color indexed="12"/>
      <name val="Times New Roman"/>
      <family val="1"/>
    </font>
    <font>
      <sz val="11"/>
      <color rgb="FF000000"/>
      <name val="Calibri"/>
      <family val="2"/>
    </font>
    <font>
      <b/>
      <sz val="11"/>
      <color rgb="FF000000"/>
      <name val="Calibri"/>
      <family val="2"/>
    </font>
    <font>
      <sz val="11"/>
      <name val="Arial"/>
      <family val="2"/>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0"/>
      <name val="Helv"/>
      <family val="2"/>
    </font>
    <font>
      <sz val="10"/>
      <name val="Helv"/>
      <family val="2"/>
    </font>
    <font>
      <vertAlign val="superscript"/>
      <sz val="12"/>
      <name val="Helv"/>
      <family val="2"/>
    </font>
  </fonts>
  <fills count="21">
    <fill>
      <patternFill patternType="none"/>
    </fill>
    <fill>
      <patternFill patternType="gray125"/>
    </fill>
    <fill>
      <patternFill patternType="lightGray">
        <fgColor indexed="9"/>
      </patternFill>
    </fill>
    <fill>
      <patternFill patternType="gray0625">
        <fgColor indexed="9"/>
      </patternFill>
    </fill>
    <fill>
      <patternFill patternType="solid">
        <fgColor indexed="42"/>
        <bgColor indexed="64"/>
      </patternFill>
    </fill>
    <fill>
      <patternFill patternType="solid">
        <fgColor indexed="41"/>
        <bgColor indexed="64"/>
      </patternFill>
    </fill>
    <fill>
      <patternFill patternType="solid">
        <fgColor indexed="34"/>
        <bgColor indexed="64"/>
      </patternFill>
    </fill>
    <fill>
      <patternFill patternType="solid">
        <fgColor indexed="9"/>
        <bgColor indexed="64"/>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solid">
        <fgColor indexed="47"/>
      </patternFill>
    </fill>
    <fill>
      <patternFill patternType="solid">
        <fgColor rgb="FFCCFFCC"/>
        <bgColor indexed="64"/>
      </patternFill>
    </fill>
    <fill>
      <patternFill patternType="solid">
        <fgColor rgb="FF00B0F0"/>
        <bgColor indexed="64"/>
      </patternFill>
    </fill>
    <fill>
      <patternFill patternType="solid">
        <fgColor indexed="22"/>
        <bgColor indexed="9"/>
      </patternFill>
    </fill>
    <fill>
      <patternFill patternType="solid">
        <fgColor indexed="22"/>
        <bgColor indexed="55"/>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ck">
        <color indexed="64"/>
      </right>
      <top/>
      <bottom style="thin">
        <color indexed="64"/>
      </bottom>
      <diagonal/>
    </border>
    <border>
      <left style="thick">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ck">
        <color indexed="64"/>
      </top>
      <bottom/>
      <diagonal/>
    </border>
    <border>
      <left style="thin">
        <color indexed="64"/>
      </left>
      <right/>
      <top style="thick">
        <color indexed="64"/>
      </top>
      <bottom/>
      <diagonal/>
    </border>
    <border>
      <left style="thick">
        <color indexed="64"/>
      </left>
      <right/>
      <top/>
      <bottom style="thin">
        <color indexed="64"/>
      </bottom>
      <diagonal/>
    </border>
    <border>
      <left style="thin">
        <color indexed="24"/>
      </left>
      <right style="thin">
        <color indexed="24"/>
      </right>
      <top style="thin">
        <color indexed="24"/>
      </top>
      <bottom style="thin">
        <color indexed="24"/>
      </bottom>
      <diagonal/>
    </border>
    <border>
      <left/>
      <right/>
      <top/>
      <bottom style="thin">
        <color indexed="22"/>
      </bottom>
      <diagonal/>
    </border>
    <border>
      <left/>
      <right/>
      <top/>
      <bottom style="hair">
        <color indexed="64"/>
      </bottom>
      <diagonal/>
    </border>
    <border>
      <left/>
      <right/>
      <top/>
      <bottom style="hair">
        <color indexed="8"/>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style="thick">
        <color indexed="64"/>
      </left>
      <right style="thin">
        <color indexed="64"/>
      </right>
      <top/>
      <bottom/>
      <diagonal/>
    </border>
    <border>
      <left/>
      <right style="thin">
        <color indexed="64"/>
      </right>
      <top style="thick">
        <color indexed="64"/>
      </top>
      <bottom/>
      <diagonal/>
    </border>
  </borders>
  <cellStyleXfs count="77">
    <xf numFmtId="0" fontId="0" fillId="0" borderId="0"/>
    <xf numFmtId="0" fontId="11" fillId="0" borderId="0"/>
    <xf numFmtId="0" fontId="27" fillId="2" borderId="0" applyNumberFormat="0" applyBorder="0">
      <protection locked="0"/>
    </xf>
    <xf numFmtId="0" fontId="28" fillId="3" borderId="0" applyNumberFormat="0" applyBorder="0">
      <protection locked="0"/>
    </xf>
    <xf numFmtId="0" fontId="40" fillId="0" borderId="0">
      <alignment horizontal="left"/>
    </xf>
    <xf numFmtId="0" fontId="41" fillId="0" borderId="0"/>
    <xf numFmtId="0" fontId="42" fillId="0" borderId="0"/>
    <xf numFmtId="0" fontId="6" fillId="0" borderId="0"/>
    <xf numFmtId="0" fontId="5" fillId="0" borderId="0"/>
    <xf numFmtId="0" fontId="4" fillId="0" borderId="0"/>
    <xf numFmtId="171" fontId="43" fillId="0" borderId="0"/>
    <xf numFmtId="0" fontId="44" fillId="0" borderId="0">
      <alignment horizontal="left"/>
    </xf>
    <xf numFmtId="9" fontId="6" fillId="0" borderId="0" applyFont="0" applyFill="0" applyBorder="0" applyAlignment="0" applyProtection="0"/>
    <xf numFmtId="172" fontId="43" fillId="0" borderId="0" applyFill="0" applyBorder="0" applyAlignment="0" applyProtection="0"/>
    <xf numFmtId="0" fontId="6" fillId="0" borderId="0"/>
    <xf numFmtId="0" fontId="45" fillId="0" borderId="0"/>
    <xf numFmtId="0" fontId="46" fillId="16" borderId="0" applyNumberFormat="0" applyFont="0" applyBorder="0" applyAlignment="0" applyProtection="0"/>
    <xf numFmtId="0" fontId="50" fillId="0" borderId="0"/>
    <xf numFmtId="164" fontId="47" fillId="8" borderId="30">
      <alignment vertical="center"/>
    </xf>
    <xf numFmtId="168" fontId="48" fillId="8" borderId="30">
      <alignment vertical="center"/>
    </xf>
    <xf numFmtId="164" fontId="49" fillId="9" borderId="30">
      <alignment vertical="center"/>
    </xf>
    <xf numFmtId="0" fontId="6" fillId="10" borderId="1" applyBorder="0">
      <alignment horizontal="left" vertical="center"/>
    </xf>
    <xf numFmtId="49" fontId="6" fillId="11" borderId="5">
      <alignment vertical="center" wrapText="1"/>
    </xf>
    <xf numFmtId="0" fontId="6" fillId="12" borderId="10">
      <alignment horizontal="left" vertical="center" wrapText="1"/>
    </xf>
    <xf numFmtId="0" fontId="21" fillId="13" borderId="5">
      <alignment horizontal="left" vertical="center" wrapText="1"/>
    </xf>
    <xf numFmtId="0" fontId="6" fillId="14" borderId="5">
      <alignment horizontal="left" vertical="center" wrapText="1"/>
    </xf>
    <xf numFmtId="0" fontId="6" fillId="15" borderId="5">
      <alignment horizontal="left" vertical="center" wrapText="1"/>
    </xf>
    <xf numFmtId="173" fontId="50" fillId="0" borderId="0" applyFont="0" applyFill="0" applyBorder="0" applyAlignment="0" applyProtection="0"/>
    <xf numFmtId="0" fontId="51" fillId="0" borderId="0" applyNumberFormat="0" applyFill="0" applyBorder="0" applyAlignment="0" applyProtection="0">
      <alignment vertical="top"/>
      <protection locked="0"/>
    </xf>
    <xf numFmtId="9" fontId="50" fillId="0" borderId="0" applyFont="0" applyFill="0" applyBorder="0" applyAlignment="0" applyProtection="0"/>
    <xf numFmtId="0" fontId="3" fillId="0" borderId="0"/>
    <xf numFmtId="0" fontId="52" fillId="0" borderId="0" applyNumberFormat="0" applyBorder="0" applyAlignment="0"/>
    <xf numFmtId="0" fontId="6" fillId="0" borderId="0"/>
    <xf numFmtId="0" fontId="54" fillId="0" borderId="0"/>
    <xf numFmtId="0" fontId="2" fillId="0" borderId="0"/>
    <xf numFmtId="0" fontId="55" fillId="0" borderId="0">
      <alignment horizontal="center" vertical="center" wrapText="1"/>
    </xf>
    <xf numFmtId="0" fontId="56" fillId="0" borderId="0">
      <alignment horizontal="left" vertical="center" wrapText="1"/>
    </xf>
    <xf numFmtId="176" fontId="57" fillId="0" borderId="31" applyNumberFormat="0" applyFill="0">
      <alignment horizontal="right"/>
    </xf>
    <xf numFmtId="177" fontId="58" fillId="0" borderId="31">
      <alignment horizontal="right" vertical="center"/>
    </xf>
    <xf numFmtId="49" fontId="59" fillId="0" borderId="31">
      <alignment horizontal="left" vertical="center"/>
    </xf>
    <xf numFmtId="176" fontId="57" fillId="0" borderId="31" applyNumberFormat="0" applyFill="0">
      <alignment horizontal="right"/>
    </xf>
    <xf numFmtId="0" fontId="60" fillId="0" borderId="31">
      <alignment horizontal="left"/>
    </xf>
    <xf numFmtId="0" fontId="61" fillId="0" borderId="32">
      <alignment horizontal="right" vertical="center"/>
    </xf>
    <xf numFmtId="0" fontId="62" fillId="0" borderId="31">
      <alignment horizontal="left" vertical="center"/>
    </xf>
    <xf numFmtId="0" fontId="57" fillId="0" borderId="31">
      <alignment horizontal="left" vertical="center"/>
    </xf>
    <xf numFmtId="0" fontId="60" fillId="0" borderId="31">
      <alignment horizontal="left"/>
    </xf>
    <xf numFmtId="0" fontId="60" fillId="19" borderId="0">
      <alignment horizontal="centerContinuous" wrapText="1"/>
    </xf>
    <xf numFmtId="49" fontId="60" fillId="19" borderId="8">
      <alignment horizontal="left" vertical="center"/>
    </xf>
    <xf numFmtId="0" fontId="60" fillId="19" borderId="0">
      <alignment horizontal="centerContinuous" vertical="center" wrapText="1"/>
    </xf>
    <xf numFmtId="3" fontId="58" fillId="0" borderId="0">
      <alignment horizontal="left" vertical="center"/>
    </xf>
    <xf numFmtId="0" fontId="55" fillId="0" borderId="0">
      <alignment horizontal="left" vertical="center"/>
    </xf>
    <xf numFmtId="0" fontId="63" fillId="0" borderId="0">
      <alignment horizontal="right"/>
    </xf>
    <xf numFmtId="49" fontId="63" fillId="0" borderId="0">
      <alignment horizontal="center"/>
    </xf>
    <xf numFmtId="0" fontId="59" fillId="0" borderId="0">
      <alignment horizontal="right"/>
    </xf>
    <xf numFmtId="0" fontId="63" fillId="0" borderId="0">
      <alignment horizontal="left"/>
    </xf>
    <xf numFmtId="49" fontId="58" fillId="0" borderId="0">
      <alignment horizontal="left" vertical="center"/>
    </xf>
    <xf numFmtId="49" fontId="59" fillId="0" borderId="31">
      <alignment horizontal="left"/>
    </xf>
    <xf numFmtId="176" fontId="58" fillId="0" borderId="0" applyNumberFormat="0">
      <alignment horizontal="right"/>
    </xf>
    <xf numFmtId="0" fontId="61" fillId="20" borderId="0">
      <alignment horizontal="centerContinuous" vertical="center" wrapText="1"/>
    </xf>
    <xf numFmtId="0" fontId="61" fillId="0" borderId="33">
      <alignment horizontal="left" vertical="center"/>
    </xf>
    <xf numFmtId="0" fontId="64" fillId="0" borderId="0">
      <alignment horizontal="left" vertical="top"/>
    </xf>
    <xf numFmtId="0" fontId="60" fillId="0" borderId="0">
      <alignment horizontal="left"/>
    </xf>
    <xf numFmtId="0" fontId="56" fillId="0" borderId="0">
      <alignment horizontal="left"/>
    </xf>
    <xf numFmtId="0" fontId="57" fillId="0" borderId="0">
      <alignment horizontal="left"/>
    </xf>
    <xf numFmtId="0" fontId="64" fillId="0" borderId="0">
      <alignment horizontal="left" vertical="top"/>
    </xf>
    <xf numFmtId="0" fontId="56" fillId="0" borderId="0">
      <alignment horizontal="left"/>
    </xf>
    <xf numFmtId="0" fontId="57" fillId="0" borderId="0">
      <alignment horizontal="left"/>
    </xf>
    <xf numFmtId="49" fontId="58" fillId="0" borderId="31">
      <alignment horizontal="left"/>
    </xf>
    <xf numFmtId="0" fontId="61" fillId="0" borderId="32">
      <alignment horizontal="left"/>
    </xf>
    <xf numFmtId="0" fontId="60" fillId="0" borderId="0">
      <alignment horizontal="left" vertical="center"/>
    </xf>
    <xf numFmtId="49" fontId="63" fillId="0" borderId="31">
      <alignment horizontal="left"/>
    </xf>
    <xf numFmtId="0" fontId="65" fillId="0" borderId="31">
      <alignment horizontal="left"/>
    </xf>
    <xf numFmtId="176" fontId="66" fillId="0" borderId="31" applyNumberFormat="0" applyFill="0">
      <alignment horizontal="right"/>
    </xf>
    <xf numFmtId="0" fontId="67" fillId="0" borderId="0">
      <alignment horizontal="right"/>
    </xf>
    <xf numFmtId="0" fontId="1" fillId="0" borderId="0"/>
    <xf numFmtId="0" fontId="1" fillId="0" borderId="0"/>
    <xf numFmtId="175" fontId="1" fillId="0" borderId="0" applyFont="0" applyFill="0" applyBorder="0" applyAlignment="0" applyProtection="0"/>
  </cellStyleXfs>
  <cellXfs count="540">
    <xf numFmtId="0" fontId="0" fillId="0" borderId="0" xfId="0"/>
    <xf numFmtId="0" fontId="0" fillId="0" borderId="0" xfId="0" applyBorder="1"/>
    <xf numFmtId="0" fontId="9" fillId="0" borderId="0" xfId="0" applyFont="1"/>
    <xf numFmtId="0" fontId="0" fillId="0" borderId="0" xfId="0" applyFill="1" applyBorder="1"/>
    <xf numFmtId="0" fontId="14" fillId="0" borderId="0" xfId="0" applyFont="1"/>
    <xf numFmtId="0" fontId="18" fillId="0" borderId="0" xfId="0" applyFont="1" applyAlignment="1">
      <alignment horizontal="center"/>
    </xf>
    <xf numFmtId="0" fontId="19" fillId="0" borderId="0" xfId="0" applyFont="1" applyAlignment="1">
      <alignment horizontal="center"/>
    </xf>
    <xf numFmtId="0" fontId="20" fillId="0" borderId="0" xfId="0" applyFont="1" applyAlignment="1">
      <alignment horizontal="left"/>
    </xf>
    <xf numFmtId="0" fontId="18" fillId="0" borderId="0" xfId="0" applyFont="1"/>
    <xf numFmtId="0" fontId="13" fillId="0" borderId="0" xfId="0" applyFont="1"/>
    <xf numFmtId="0" fontId="11" fillId="0" borderId="0" xfId="0" applyFont="1"/>
    <xf numFmtId="0" fontId="22" fillId="0" borderId="0" xfId="0" applyFont="1" applyAlignment="1">
      <alignment horizontal="left" vertical="center"/>
    </xf>
    <xf numFmtId="0" fontId="23" fillId="0" borderId="0" xfId="0" applyFont="1"/>
    <xf numFmtId="0" fontId="0" fillId="0" borderId="0" xfId="0" applyAlignment="1">
      <alignment horizontal="center"/>
    </xf>
    <xf numFmtId="0" fontId="0" fillId="0" borderId="0" xfId="0" applyFill="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2" fillId="0" borderId="0" xfId="0" quotePrefix="1" applyFont="1" applyAlignment="1">
      <alignment horizontal="right" vertical="top"/>
    </xf>
    <xf numFmtId="0" fontId="0" fillId="0" borderId="0" xfId="0" applyAlignment="1">
      <alignment vertical="top"/>
    </xf>
    <xf numFmtId="0" fontId="29" fillId="0" borderId="0" xfId="0" applyFont="1" applyAlignment="1">
      <alignment horizontal="center"/>
    </xf>
    <xf numFmtId="0" fontId="0" fillId="0" borderId="0" xfId="0" applyAlignment="1"/>
    <xf numFmtId="0" fontId="0" fillId="0" borderId="0" xfId="0" applyAlignment="1">
      <alignment vertical="center"/>
    </xf>
    <xf numFmtId="0" fontId="11" fillId="0" borderId="0" xfId="0" applyFont="1" applyAlignment="1">
      <alignment vertical="center"/>
    </xf>
    <xf numFmtId="0" fontId="0" fillId="0" borderId="0" xfId="0" applyBorder="1" applyAlignment="1">
      <alignment vertical="center"/>
    </xf>
    <xf numFmtId="0" fontId="30" fillId="0" borderId="0" xfId="0" quotePrefix="1" applyFont="1" applyAlignment="1">
      <alignment horizontal="right" vertical="top"/>
    </xf>
    <xf numFmtId="0" fontId="11" fillId="0" borderId="0" xfId="0" applyFont="1" applyFill="1" applyBorder="1" applyAlignment="1">
      <alignment horizontal="center" vertical="center"/>
    </xf>
    <xf numFmtId="0" fontId="31" fillId="0" borderId="0" xfId="0" applyFont="1" applyAlignment="1">
      <alignment vertical="center"/>
    </xf>
    <xf numFmtId="0" fontId="29" fillId="0" borderId="0" xfId="0" applyFont="1" applyFill="1" applyBorder="1" applyAlignment="1">
      <alignment horizontal="center"/>
    </xf>
    <xf numFmtId="0" fontId="13" fillId="0" borderId="0" xfId="0" applyFont="1" applyFill="1" applyBorder="1" applyAlignment="1">
      <alignment horizontal="center"/>
    </xf>
    <xf numFmtId="0" fontId="32" fillId="0" borderId="0" xfId="0" applyFont="1"/>
    <xf numFmtId="0" fontId="30" fillId="0" borderId="0" xfId="0" quotePrefix="1" applyFont="1" applyBorder="1" applyAlignment="1">
      <alignment horizontal="right" vertical="top"/>
    </xf>
    <xf numFmtId="0" fontId="12" fillId="0" borderId="0" xfId="0" applyFont="1" applyAlignment="1">
      <alignment horizontal="center"/>
    </xf>
    <xf numFmtId="0" fontId="12" fillId="0" borderId="0" xfId="0" applyFont="1" applyBorder="1" applyAlignment="1">
      <alignment horizontal="right"/>
    </xf>
    <xf numFmtId="0" fontId="29" fillId="0" borderId="0" xfId="0" applyFont="1" applyBorder="1" applyAlignment="1">
      <alignment horizontal="center"/>
    </xf>
    <xf numFmtId="0" fontId="0" fillId="0" borderId="0" xfId="0" applyBorder="1" applyAlignment="1"/>
    <xf numFmtId="0" fontId="31" fillId="0" borderId="0" xfId="0" applyFont="1" applyBorder="1" applyAlignment="1">
      <alignment vertical="center"/>
    </xf>
    <xf numFmtId="0" fontId="10" fillId="0" borderId="0" xfId="0" applyFont="1" applyBorder="1"/>
    <xf numFmtId="0" fontId="10" fillId="0" borderId="0" xfId="0" applyFont="1"/>
    <xf numFmtId="0" fontId="13" fillId="0" borderId="0" xfId="0" applyFont="1" applyFill="1" applyBorder="1" applyAlignment="1">
      <alignment horizontal="left"/>
    </xf>
    <xf numFmtId="0" fontId="32" fillId="0" borderId="0" xfId="0" applyFont="1" applyAlignment="1">
      <alignment vertical="top"/>
    </xf>
    <xf numFmtId="0" fontId="13" fillId="0" borderId="0" xfId="0" applyFont="1" applyAlignment="1">
      <alignment vertical="top"/>
    </xf>
    <xf numFmtId="0" fontId="13" fillId="0" borderId="0" xfId="0" applyFont="1" applyFill="1" applyBorder="1" applyAlignment="1">
      <alignment horizontal="center" vertical="center" wrapText="1"/>
    </xf>
    <xf numFmtId="2" fontId="11" fillId="0" borderId="0" xfId="0" applyNumberFormat="1" applyFont="1" applyFill="1" applyBorder="1" applyAlignment="1">
      <alignment horizontal="right" vertical="center"/>
    </xf>
    <xf numFmtId="0" fontId="16" fillId="0" borderId="0" xfId="0" applyFont="1" applyAlignment="1"/>
    <xf numFmtId="0" fontId="33" fillId="0" borderId="0" xfId="0" applyFont="1" applyAlignment="1"/>
    <xf numFmtId="0" fontId="13" fillId="0" borderId="4" xfId="0" applyFont="1" applyBorder="1" applyAlignment="1">
      <alignment horizontal="left" vertical="center"/>
    </xf>
    <xf numFmtId="0" fontId="25" fillId="0" borderId="0" xfId="0" applyFont="1" applyFill="1" applyBorder="1" applyAlignment="1">
      <alignment horizontal="center" vertical="center"/>
    </xf>
    <xf numFmtId="1" fontId="13"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2" fontId="25" fillId="0" borderId="0" xfId="0" applyNumberFormat="1" applyFont="1" applyFill="1" applyBorder="1" applyAlignment="1">
      <alignment horizontal="right" vertical="center"/>
    </xf>
    <xf numFmtId="0" fontId="7" fillId="0" borderId="0" xfId="0" applyFont="1" applyBorder="1" applyAlignment="1">
      <alignment horizontal="center" vertical="center"/>
    </xf>
    <xf numFmtId="17" fontId="8" fillId="0" borderId="0" xfId="0" quotePrefix="1" applyNumberFormat="1" applyFont="1" applyBorder="1" applyAlignment="1">
      <alignment horizontal="center" vertical="center" wrapText="1"/>
    </xf>
    <xf numFmtId="49" fontId="7" fillId="0" borderId="0" xfId="0" applyNumberFormat="1" applyFont="1" applyAlignment="1">
      <alignment horizontal="left" vertical="center"/>
    </xf>
    <xf numFmtId="167" fontId="7" fillId="0" borderId="0" xfId="0" quotePrefix="1" applyNumberFormat="1" applyFont="1" applyAlignment="1">
      <alignment horizontal="left" vertical="center"/>
    </xf>
    <xf numFmtId="0" fontId="7" fillId="0" borderId="0" xfId="0" applyFont="1" applyAlignment="1">
      <alignment horizontal="left" vertical="center" wrapText="1"/>
    </xf>
    <xf numFmtId="0" fontId="34" fillId="0" borderId="0" xfId="0" applyFont="1" applyAlignment="1">
      <alignment horizontal="left" vertical="center"/>
    </xf>
    <xf numFmtId="0" fontId="7" fillId="0" borderId="0" xfId="0" applyFont="1" applyAlignment="1">
      <alignment horizontal="left" vertical="center"/>
    </xf>
    <xf numFmtId="0" fontId="13" fillId="0" borderId="0" xfId="0" applyFont="1" applyBorder="1" applyAlignment="1">
      <alignment horizontal="left" wrapText="1"/>
    </xf>
    <xf numFmtId="0" fontId="13" fillId="4" borderId="2"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5" xfId="0" applyFont="1" applyFill="1" applyBorder="1" applyAlignment="1">
      <alignment horizontal="center" vertical="center" wrapText="1"/>
    </xf>
    <xf numFmtId="1" fontId="13" fillId="4" borderId="1" xfId="0" applyNumberFormat="1" applyFont="1" applyFill="1" applyBorder="1" applyAlignment="1">
      <alignment horizontal="center" vertical="center"/>
    </xf>
    <xf numFmtId="1" fontId="13" fillId="4" borderId="2" xfId="0" applyNumberFormat="1" applyFont="1" applyFill="1" applyBorder="1" applyAlignment="1">
      <alignment horizontal="center" vertical="center"/>
    </xf>
    <xf numFmtId="1" fontId="13" fillId="4" borderId="3" xfId="0" applyNumberFormat="1" applyFont="1" applyFill="1" applyBorder="1" applyAlignment="1">
      <alignment horizontal="center" vertical="center"/>
    </xf>
    <xf numFmtId="0" fontId="12" fillId="0" borderId="0" xfId="0" quotePrefix="1" applyFont="1" applyBorder="1" applyAlignment="1">
      <alignment horizontal="right" vertical="top"/>
    </xf>
    <xf numFmtId="165" fontId="11" fillId="0" borderId="6" xfId="0" applyNumberFormat="1" applyFont="1" applyFill="1" applyBorder="1" applyAlignment="1">
      <alignment horizontal="center" vertical="center"/>
    </xf>
    <xf numFmtId="165" fontId="11" fillId="0" borderId="0" xfId="0" applyNumberFormat="1" applyFont="1" applyFill="1" applyBorder="1" applyAlignment="1">
      <alignment horizontal="center" vertical="center"/>
    </xf>
    <xf numFmtId="165" fontId="11" fillId="0" borderId="4" xfId="0" applyNumberFormat="1" applyFont="1" applyFill="1" applyBorder="1" applyAlignment="1">
      <alignment horizontal="center" vertical="center"/>
    </xf>
    <xf numFmtId="165" fontId="13" fillId="0" borderId="4" xfId="0" applyNumberFormat="1" applyFont="1" applyFill="1" applyBorder="1" applyAlignment="1">
      <alignment horizontal="center" vertical="center"/>
    </xf>
    <xf numFmtId="0" fontId="34" fillId="0" borderId="0" xfId="0" applyFont="1"/>
    <xf numFmtId="0" fontId="16" fillId="0" borderId="0" xfId="0" applyFont="1" applyBorder="1" applyAlignment="1">
      <alignment vertical="center"/>
    </xf>
    <xf numFmtId="0" fontId="16" fillId="0" borderId="0" xfId="0" applyFont="1" applyBorder="1"/>
    <xf numFmtId="0" fontId="35" fillId="4" borderId="1" xfId="0" applyFont="1" applyFill="1" applyBorder="1" applyAlignment="1">
      <alignment horizontal="center" vertical="center"/>
    </xf>
    <xf numFmtId="0" fontId="13" fillId="0" borderId="0" xfId="0" applyFont="1" applyFill="1" applyBorder="1" applyAlignment="1">
      <alignment horizontal="center" vertical="center" textRotation="90"/>
    </xf>
    <xf numFmtId="0" fontId="35" fillId="4" borderId="2" xfId="0" applyFont="1" applyFill="1" applyBorder="1" applyAlignment="1">
      <alignment horizontal="center" vertical="center"/>
    </xf>
    <xf numFmtId="0" fontId="35" fillId="4" borderId="6" xfId="0" applyFont="1" applyFill="1" applyBorder="1" applyAlignment="1">
      <alignment horizontal="center" vertical="center"/>
    </xf>
    <xf numFmtId="0" fontId="13" fillId="0" borderId="0" xfId="0" applyFont="1" applyFill="1" applyBorder="1"/>
    <xf numFmtId="0" fontId="11" fillId="0" borderId="0" xfId="0" applyFont="1" applyFill="1" applyBorder="1"/>
    <xf numFmtId="0" fontId="13" fillId="0" borderId="0" xfId="0" applyFont="1" applyFill="1" applyBorder="1" applyAlignment="1">
      <alignment vertical="center" wrapText="1"/>
    </xf>
    <xf numFmtId="0" fontId="36" fillId="0" borderId="0" xfId="0" applyFont="1" applyFill="1" applyBorder="1"/>
    <xf numFmtId="0" fontId="10" fillId="0" borderId="0" xfId="0" applyFont="1" applyFill="1" applyBorder="1"/>
    <xf numFmtId="0" fontId="37" fillId="0" borderId="0" xfId="0" applyFont="1"/>
    <xf numFmtId="0" fontId="35" fillId="4" borderId="6" xfId="0" applyFont="1" applyFill="1" applyBorder="1" applyAlignment="1">
      <alignment horizontal="center" vertical="center" wrapText="1"/>
    </xf>
    <xf numFmtId="0" fontId="0" fillId="0" borderId="0" xfId="0" applyFill="1" applyBorder="1" applyAlignment="1">
      <alignment vertical="center"/>
    </xf>
    <xf numFmtId="0" fontId="35" fillId="4" borderId="3" xfId="0" applyFont="1" applyFill="1" applyBorder="1" applyAlignment="1">
      <alignment horizontal="center" vertical="center"/>
    </xf>
    <xf numFmtId="0" fontId="0" fillId="0" borderId="0" xfId="0" applyFill="1" applyBorder="1" applyAlignment="1"/>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1" fillId="6" borderId="5" xfId="0" applyFont="1" applyFill="1" applyBorder="1" applyAlignment="1">
      <alignment horizontal="left" vertical="top" wrapText="1"/>
    </xf>
    <xf numFmtId="0" fontId="13" fillId="6" borderId="5" xfId="0" applyFont="1" applyFill="1" applyBorder="1" applyAlignment="1">
      <alignment horizontal="center"/>
    </xf>
    <xf numFmtId="0" fontId="12" fillId="0" borderId="0" xfId="0" quotePrefix="1" applyFont="1" applyBorder="1" applyAlignment="1">
      <alignment horizontal="left" vertical="top"/>
    </xf>
    <xf numFmtId="2" fontId="9" fillId="0" borderId="0" xfId="0" applyNumberFormat="1" applyFont="1" applyBorder="1" applyAlignment="1">
      <alignment vertical="center"/>
    </xf>
    <xf numFmtId="0" fontId="35" fillId="0" borderId="6" xfId="0" applyFont="1" applyFill="1" applyBorder="1" applyAlignment="1">
      <alignment horizontal="center" vertical="center" wrapText="1"/>
    </xf>
    <xf numFmtId="169" fontId="11" fillId="0" borderId="6" xfId="0" applyNumberFormat="1" applyFont="1" applyFill="1" applyBorder="1" applyAlignment="1">
      <alignment horizontal="center" vertical="center"/>
    </xf>
    <xf numFmtId="169" fontId="11" fillId="0" borderId="0" xfId="0" applyNumberFormat="1" applyFont="1" applyFill="1" applyBorder="1" applyAlignment="1">
      <alignment horizontal="center" vertical="center"/>
    </xf>
    <xf numFmtId="169" fontId="11" fillId="0" borderId="4" xfId="0" applyNumberFormat="1" applyFont="1" applyFill="1" applyBorder="1" applyAlignment="1">
      <alignment horizontal="center" vertical="center"/>
    </xf>
    <xf numFmtId="0" fontId="13" fillId="0" borderId="0" xfId="0" applyNumberFormat="1" applyFont="1" applyAlignment="1" applyProtection="1">
      <alignment horizontal="left" vertical="center"/>
      <protection locked="0"/>
    </xf>
    <xf numFmtId="164" fontId="25" fillId="0" borderId="0" xfId="0" applyNumberFormat="1" applyFont="1" applyBorder="1" applyAlignment="1">
      <alignment horizontal="center" vertical="center"/>
    </xf>
    <xf numFmtId="0" fontId="13" fillId="0" borderId="0" xfId="0" applyFont="1" applyAlignment="1">
      <alignment horizontal="left" vertical="center"/>
    </xf>
    <xf numFmtId="0" fontId="13" fillId="6" borderId="10" xfId="0" applyFont="1" applyFill="1" applyBorder="1" applyAlignment="1">
      <alignment horizontal="center" vertical="center"/>
    </xf>
    <xf numFmtId="0" fontId="13" fillId="6" borderId="14" xfId="0" applyFont="1" applyFill="1" applyBorder="1" applyAlignment="1">
      <alignment horizontal="center" vertical="center"/>
    </xf>
    <xf numFmtId="165" fontId="6" fillId="0" borderId="0"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13" fillId="4" borderId="3" xfId="0" applyFont="1" applyFill="1" applyBorder="1" applyAlignment="1">
      <alignment horizontal="center" vertical="center"/>
    </xf>
    <xf numFmtId="165" fontId="11" fillId="0" borderId="10" xfId="0" applyNumberFormat="1" applyFont="1" applyFill="1" applyBorder="1" applyAlignment="1">
      <alignment horizontal="right" vertical="center"/>
    </xf>
    <xf numFmtId="165" fontId="11" fillId="0" borderId="14" xfId="0" applyNumberFormat="1" applyFont="1" applyFill="1" applyBorder="1" applyAlignment="1">
      <alignment horizontal="right" vertical="center"/>
    </xf>
    <xf numFmtId="165" fontId="11" fillId="0" borderId="14" xfId="0" applyNumberFormat="1" applyFont="1" applyBorder="1" applyAlignment="1">
      <alignment vertical="center"/>
    </xf>
    <xf numFmtId="165" fontId="11" fillId="0" borderId="10" xfId="0" applyNumberFormat="1" applyFont="1" applyBorder="1" applyAlignment="1">
      <alignment horizontal="right" vertical="center"/>
    </xf>
    <xf numFmtId="165" fontId="11" fillId="0" borderId="14" xfId="0" applyNumberFormat="1" applyFont="1" applyBorder="1" applyAlignment="1">
      <alignment horizontal="right" vertical="center"/>
    </xf>
    <xf numFmtId="165" fontId="9" fillId="0" borderId="10" xfId="0" applyNumberFormat="1" applyFont="1" applyBorder="1" applyAlignment="1">
      <alignment vertical="center"/>
    </xf>
    <xf numFmtId="165" fontId="9" fillId="0" borderId="14" xfId="0" applyNumberFormat="1" applyFont="1" applyBorder="1" applyAlignment="1">
      <alignment vertical="center"/>
    </xf>
    <xf numFmtId="0" fontId="35" fillId="4" borderId="16" xfId="0" applyFont="1" applyFill="1" applyBorder="1" applyAlignment="1">
      <alignment horizontal="center" vertical="center" wrapText="1"/>
    </xf>
    <xf numFmtId="165" fontId="11" fillId="0" borderId="16" xfId="0" applyNumberFormat="1" applyFont="1" applyFill="1" applyBorder="1" applyAlignment="1">
      <alignment horizontal="center" vertical="center"/>
    </xf>
    <xf numFmtId="165" fontId="11" fillId="0" borderId="17" xfId="0" applyNumberFormat="1" applyFont="1" applyFill="1" applyBorder="1" applyAlignment="1">
      <alignment horizontal="center" vertical="center"/>
    </xf>
    <xf numFmtId="165" fontId="13" fillId="0" borderId="18" xfId="0" applyNumberFormat="1" applyFont="1" applyFill="1" applyBorder="1" applyAlignment="1">
      <alignment horizontal="center" vertical="center"/>
    </xf>
    <xf numFmtId="0" fontId="35" fillId="4" borderId="19" xfId="0" applyFont="1" applyFill="1" applyBorder="1" applyAlignment="1">
      <alignment horizontal="center" vertical="center" wrapText="1"/>
    </xf>
    <xf numFmtId="165" fontId="11" fillId="0" borderId="19" xfId="0" applyNumberFormat="1" applyFont="1" applyFill="1" applyBorder="1" applyAlignment="1">
      <alignment horizontal="center" vertical="center"/>
    </xf>
    <xf numFmtId="165" fontId="11" fillId="0" borderId="20" xfId="0" applyNumberFormat="1" applyFont="1" applyFill="1" applyBorder="1" applyAlignment="1">
      <alignment horizontal="center" vertical="center"/>
    </xf>
    <xf numFmtId="165" fontId="11" fillId="0" borderId="21" xfId="0" applyNumberFormat="1" applyFont="1" applyFill="1" applyBorder="1" applyAlignment="1">
      <alignment horizontal="center" vertical="center"/>
    </xf>
    <xf numFmtId="165" fontId="13" fillId="0" borderId="21" xfId="0" applyNumberFormat="1" applyFont="1" applyFill="1" applyBorder="1" applyAlignment="1">
      <alignment horizontal="center" vertical="center"/>
    </xf>
    <xf numFmtId="0" fontId="13" fillId="0" borderId="0" xfId="0" applyFont="1" applyAlignment="1"/>
    <xf numFmtId="0" fontId="13" fillId="0" borderId="0" xfId="0" applyNumberFormat="1" applyFont="1" applyAlignment="1" applyProtection="1">
      <alignment horizontal="left"/>
      <protection locked="0"/>
    </xf>
    <xf numFmtId="0" fontId="13" fillId="0" borderId="0" xfId="0" applyFont="1" applyAlignment="1">
      <alignment horizontal="left"/>
    </xf>
    <xf numFmtId="2" fontId="11" fillId="0" borderId="0" xfId="0" quotePrefix="1" applyNumberFormat="1" applyFont="1" applyFill="1" applyBorder="1" applyAlignment="1">
      <alignment horizontal="right" vertical="center"/>
    </xf>
    <xf numFmtId="2" fontId="11" fillId="0" borderId="7" xfId="0" applyNumberFormat="1" applyFont="1" applyFill="1" applyBorder="1" applyAlignment="1">
      <alignment horizontal="right" vertical="center"/>
    </xf>
    <xf numFmtId="2" fontId="11" fillId="0" borderId="6" xfId="0" applyNumberFormat="1" applyFont="1" applyFill="1" applyBorder="1" applyAlignment="1">
      <alignment horizontal="right" vertical="center"/>
    </xf>
    <xf numFmtId="0" fontId="35" fillId="5" borderId="5" xfId="0" applyFont="1" applyFill="1" applyBorder="1" applyAlignment="1">
      <alignment horizontal="center" vertical="center" wrapText="1"/>
    </xf>
    <xf numFmtId="168" fontId="9" fillId="0" borderId="2" xfId="0" applyNumberFormat="1" applyFont="1" applyBorder="1" applyAlignment="1">
      <alignment horizontal="right" vertical="center"/>
    </xf>
    <xf numFmtId="0" fontId="13" fillId="5" borderId="10" xfId="0" applyFont="1" applyFill="1" applyBorder="1" applyAlignment="1">
      <alignment horizontal="center" vertical="center" wrapText="1"/>
    </xf>
    <xf numFmtId="2" fontId="13" fillId="0" borderId="1" xfId="0" applyNumberFormat="1" applyFont="1" applyFill="1" applyBorder="1" applyAlignment="1">
      <alignment horizontal="right" vertical="center"/>
    </xf>
    <xf numFmtId="2" fontId="13" fillId="0" borderId="2" xfId="0" applyNumberFormat="1" applyFont="1" applyFill="1" applyBorder="1" applyAlignment="1">
      <alignment horizontal="right" vertical="center"/>
    </xf>
    <xf numFmtId="2" fontId="26" fillId="0" borderId="2" xfId="0" applyNumberFormat="1" applyFont="1" applyFill="1" applyBorder="1" applyAlignment="1">
      <alignment horizontal="right" vertical="center"/>
    </xf>
    <xf numFmtId="2" fontId="11" fillId="0" borderId="6" xfId="0" quotePrefix="1" applyNumberFormat="1" applyFont="1" applyFill="1" applyBorder="1" applyAlignment="1">
      <alignment horizontal="right" vertical="center"/>
    </xf>
    <xf numFmtId="2" fontId="13" fillId="0" borderId="3" xfId="0" applyNumberFormat="1" applyFont="1" applyFill="1" applyBorder="1" applyAlignment="1">
      <alignment horizontal="right" vertical="center"/>
    </xf>
    <xf numFmtId="165" fontId="9" fillId="0" borderId="0" xfId="0" applyNumberFormat="1" applyFont="1" applyAlignment="1">
      <alignment horizontal="center" vertical="center"/>
    </xf>
    <xf numFmtId="165" fontId="9" fillId="0" borderId="9" xfId="0" applyNumberFormat="1" applyFont="1" applyBorder="1" applyAlignment="1">
      <alignment horizontal="center" vertical="center"/>
    </xf>
    <xf numFmtId="165" fontId="9" fillId="0" borderId="1" xfId="0" applyNumberFormat="1" applyFont="1" applyBorder="1" applyAlignment="1">
      <alignment horizontal="center" vertical="center"/>
    </xf>
    <xf numFmtId="165" fontId="9" fillId="0" borderId="4" xfId="0" applyNumberFormat="1" applyFont="1" applyBorder="1" applyAlignment="1">
      <alignment horizontal="center" vertical="center"/>
    </xf>
    <xf numFmtId="165" fontId="9" fillId="0" borderId="2" xfId="0" applyNumberFormat="1" applyFont="1" applyBorder="1" applyAlignment="1">
      <alignment horizontal="center" vertical="center"/>
    </xf>
    <xf numFmtId="2" fontId="11" fillId="0" borderId="7" xfId="0" quotePrefix="1" applyNumberFormat="1" applyFont="1" applyFill="1" applyBorder="1" applyAlignment="1">
      <alignment horizontal="right" vertical="center"/>
    </xf>
    <xf numFmtId="2" fontId="11" fillId="0" borderId="22" xfId="0" quotePrefix="1" applyNumberFormat="1" applyFont="1" applyFill="1" applyBorder="1" applyAlignment="1">
      <alignment horizontal="right" vertical="center"/>
    </xf>
    <xf numFmtId="0" fontId="0" fillId="0" borderId="1" xfId="0" applyBorder="1" applyAlignment="1">
      <alignment vertical="center"/>
    </xf>
    <xf numFmtId="165" fontId="0" fillId="0" borderId="0" xfId="0" applyNumberFormat="1"/>
    <xf numFmtId="165" fontId="26" fillId="4" borderId="0" xfId="0" applyNumberFormat="1" applyFont="1" applyFill="1" applyBorder="1" applyAlignment="1">
      <alignment horizontal="right" vertical="center"/>
    </xf>
    <xf numFmtId="165" fontId="26" fillId="4" borderId="8" xfId="0" applyNumberFormat="1" applyFont="1" applyFill="1" applyBorder="1" applyAlignment="1">
      <alignment horizontal="right" vertical="center"/>
    </xf>
    <xf numFmtId="165" fontId="25" fillId="0" borderId="0" xfId="0" applyNumberFormat="1" applyFont="1" applyBorder="1" applyAlignment="1">
      <alignment horizontal="right" vertical="center"/>
    </xf>
    <xf numFmtId="165" fontId="25" fillId="0" borderId="0" xfId="0" applyNumberFormat="1" applyFont="1" applyFill="1" applyBorder="1" applyAlignment="1">
      <alignment horizontal="right" vertical="center"/>
    </xf>
    <xf numFmtId="165" fontId="25" fillId="4" borderId="0" xfId="0" applyNumberFormat="1" applyFont="1" applyFill="1" applyBorder="1" applyAlignment="1">
      <alignment horizontal="right" vertical="center"/>
    </xf>
    <xf numFmtId="165" fontId="25" fillId="0" borderId="8" xfId="0" applyNumberFormat="1" applyFont="1" applyFill="1" applyBorder="1" applyAlignment="1">
      <alignment horizontal="right" vertical="center"/>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165" fontId="26" fillId="4" borderId="7" xfId="0" applyNumberFormat="1" applyFont="1" applyFill="1" applyBorder="1" applyAlignment="1">
      <alignment horizontal="right"/>
    </xf>
    <xf numFmtId="165" fontId="26" fillId="4" borderId="0" xfId="0" applyNumberFormat="1" applyFont="1" applyFill="1" applyBorder="1" applyAlignment="1">
      <alignment horizontal="right"/>
    </xf>
    <xf numFmtId="165" fontId="26" fillId="4" borderId="8" xfId="0" applyNumberFormat="1" applyFont="1" applyFill="1" applyBorder="1" applyAlignment="1">
      <alignment horizontal="right"/>
    </xf>
    <xf numFmtId="165" fontId="25" fillId="0" borderId="0" xfId="0" applyNumberFormat="1" applyFont="1" applyBorder="1"/>
    <xf numFmtId="165" fontId="25" fillId="7" borderId="0" xfId="0" applyNumberFormat="1" applyFont="1" applyFill="1" applyBorder="1" applyAlignment="1">
      <alignment horizontal="right" vertical="center"/>
    </xf>
    <xf numFmtId="166" fontId="25" fillId="0" borderId="7" xfId="0" applyNumberFormat="1" applyFont="1" applyBorder="1" applyAlignment="1">
      <alignment horizontal="center" vertical="center"/>
    </xf>
    <xf numFmtId="166" fontId="11" fillId="0" borderId="7" xfId="0" applyNumberFormat="1" applyFont="1" applyBorder="1" applyAlignment="1">
      <alignment horizontal="center" vertical="center"/>
    </xf>
    <xf numFmtId="166" fontId="25" fillId="0" borderId="0" xfId="0" applyNumberFormat="1" applyFont="1" applyBorder="1" applyAlignment="1">
      <alignment horizontal="center" vertical="center"/>
    </xf>
    <xf numFmtId="166" fontId="11" fillId="0" borderId="0" xfId="0" applyNumberFormat="1" applyFont="1" applyBorder="1" applyAlignment="1">
      <alignment horizontal="center" vertical="center"/>
    </xf>
    <xf numFmtId="166" fontId="25" fillId="0" borderId="8" xfId="0" applyNumberFormat="1" applyFont="1" applyBorder="1" applyAlignment="1">
      <alignment horizontal="center" vertical="center"/>
    </xf>
    <xf numFmtId="166" fontId="26" fillId="0" borderId="1" xfId="0" applyNumberFormat="1" applyFont="1" applyBorder="1" applyAlignment="1">
      <alignment horizontal="center" vertical="center"/>
    </xf>
    <xf numFmtId="166" fontId="26" fillId="0" borderId="2" xfId="0" applyNumberFormat="1" applyFont="1" applyBorder="1" applyAlignment="1">
      <alignment horizontal="center" vertical="center"/>
    </xf>
    <xf numFmtId="170" fontId="38" fillId="0" borderId="7" xfId="0" applyNumberFormat="1" applyFont="1" applyFill="1" applyBorder="1" applyAlignment="1">
      <alignment horizontal="right" vertical="center"/>
    </xf>
    <xf numFmtId="170" fontId="38" fillId="0" borderId="0" xfId="0" applyNumberFormat="1" applyFont="1" applyFill="1" applyBorder="1" applyAlignment="1">
      <alignment horizontal="right" vertical="center"/>
    </xf>
    <xf numFmtId="170" fontId="38" fillId="0" borderId="14" xfId="0" applyNumberFormat="1" applyFont="1" applyFill="1" applyBorder="1" applyAlignment="1">
      <alignment horizontal="right" vertical="center"/>
    </xf>
    <xf numFmtId="0" fontId="13" fillId="4" borderId="2" xfId="0" applyFont="1" applyFill="1" applyBorder="1" applyAlignment="1">
      <alignment horizontal="center" vertical="center" wrapText="1"/>
    </xf>
    <xf numFmtId="165" fontId="25" fillId="0" borderId="7" xfId="0" applyNumberFormat="1" applyFont="1" applyBorder="1"/>
    <xf numFmtId="165" fontId="25" fillId="0" borderId="9" xfId="0" applyNumberFormat="1" applyFont="1" applyBorder="1"/>
    <xf numFmtId="165" fontId="25" fillId="0" borderId="4" xfId="0" applyNumberFormat="1" applyFont="1" applyBorder="1"/>
    <xf numFmtId="165" fontId="25" fillId="0" borderId="8" xfId="0" applyNumberFormat="1" applyFont="1" applyBorder="1"/>
    <xf numFmtId="165" fontId="25" fillId="0" borderId="12" xfId="0" applyNumberFormat="1" applyFont="1" applyBorder="1"/>
    <xf numFmtId="165" fontId="13" fillId="0" borderId="0" xfId="0" applyNumberFormat="1" applyFont="1" applyAlignment="1" applyProtection="1">
      <alignment horizontal="left" vertical="center"/>
      <protection locked="0"/>
    </xf>
    <xf numFmtId="0" fontId="10" fillId="4" borderId="5" xfId="0" applyFont="1" applyFill="1" applyBorder="1" applyAlignment="1">
      <alignment horizontal="center"/>
    </xf>
    <xf numFmtId="165" fontId="26" fillId="4" borderId="14" xfId="0" applyNumberFormat="1" applyFont="1" applyFill="1" applyBorder="1" applyAlignment="1">
      <alignment horizontal="center"/>
    </xf>
    <xf numFmtId="0" fontId="10" fillId="4" borderId="5" xfId="0" applyFont="1" applyFill="1" applyBorder="1" applyAlignment="1">
      <alignment horizontal="center" vertical="center"/>
    </xf>
    <xf numFmtId="165" fontId="26" fillId="4" borderId="14" xfId="0" applyNumberFormat="1" applyFont="1" applyFill="1" applyBorder="1" applyAlignment="1">
      <alignment horizontal="center" vertical="center"/>
    </xf>
    <xf numFmtId="170" fontId="39" fillId="0" borderId="1" xfId="0" applyNumberFormat="1" applyFont="1" applyFill="1" applyBorder="1" applyAlignment="1">
      <alignment horizontal="right" vertical="center"/>
    </xf>
    <xf numFmtId="170" fontId="39" fillId="0" borderId="2" xfId="0" applyNumberFormat="1" applyFont="1" applyFill="1" applyBorder="1" applyAlignment="1">
      <alignment horizontal="right" vertical="center"/>
    </xf>
    <xf numFmtId="170" fontId="39" fillId="0" borderId="5" xfId="0" applyNumberFormat="1" applyFont="1" applyFill="1" applyBorder="1" applyAlignment="1">
      <alignment horizontal="right" vertical="center"/>
    </xf>
    <xf numFmtId="169" fontId="11" fillId="0" borderId="22" xfId="0" applyNumberFormat="1" applyFont="1" applyFill="1" applyBorder="1" applyAlignment="1">
      <alignment horizontal="center" vertical="center"/>
    </xf>
    <xf numFmtId="169" fontId="11" fillId="0" borderId="7" xfId="0" applyNumberFormat="1" applyFont="1" applyFill="1" applyBorder="1" applyAlignment="1">
      <alignment horizontal="center" vertical="center"/>
    </xf>
    <xf numFmtId="169" fontId="11" fillId="0" borderId="9" xfId="0" applyNumberFormat="1" applyFont="1" applyFill="1" applyBorder="1" applyAlignment="1">
      <alignment horizontal="center" vertical="center"/>
    </xf>
    <xf numFmtId="165" fontId="9" fillId="0" borderId="0" xfId="0" applyNumberFormat="1" applyFont="1" applyBorder="1" applyAlignment="1">
      <alignment horizontal="center" vertical="center"/>
    </xf>
    <xf numFmtId="165" fontId="0" fillId="0" borderId="0" xfId="0" applyNumberFormat="1" applyBorder="1"/>
    <xf numFmtId="165" fontId="11" fillId="0" borderId="15" xfId="0" applyNumberFormat="1" applyFont="1" applyBorder="1" applyAlignment="1">
      <alignment vertical="center"/>
    </xf>
    <xf numFmtId="165" fontId="9" fillId="0" borderId="15" xfId="0" applyNumberFormat="1" applyFont="1" applyBorder="1" applyAlignment="1">
      <alignment vertical="center"/>
    </xf>
    <xf numFmtId="165" fontId="13" fillId="0" borderId="2" xfId="0" applyNumberFormat="1" applyFont="1" applyFill="1" applyBorder="1" applyAlignment="1">
      <alignment horizontal="center" vertical="center"/>
    </xf>
    <xf numFmtId="2" fontId="11" fillId="0" borderId="27" xfId="0" applyNumberFormat="1" applyFont="1" applyFill="1" applyBorder="1" applyAlignment="1">
      <alignment horizontal="right" vertical="center"/>
    </xf>
    <xf numFmtId="165" fontId="9" fillId="0" borderId="27" xfId="0" applyNumberFormat="1" applyFont="1" applyBorder="1" applyAlignment="1">
      <alignment horizontal="center" vertical="center"/>
    </xf>
    <xf numFmtId="165" fontId="25" fillId="0" borderId="0" xfId="0" applyNumberFormat="1" applyFont="1" applyBorder="1" applyAlignment="1">
      <alignment horizontal="center" vertical="center"/>
    </xf>
    <xf numFmtId="165" fontId="25" fillId="0" borderId="4" xfId="0" applyNumberFormat="1" applyFont="1" applyBorder="1" applyAlignment="1">
      <alignment horizontal="center" vertical="center"/>
    </xf>
    <xf numFmtId="165" fontId="25" fillId="0" borderId="2" xfId="0" applyNumberFormat="1" applyFont="1" applyBorder="1" applyAlignment="1">
      <alignment horizontal="center" vertical="center"/>
    </xf>
    <xf numFmtId="0" fontId="10" fillId="4" borderId="5" xfId="0" applyFont="1" applyFill="1" applyBorder="1" applyAlignment="1">
      <alignment horizontal="center" vertical="center" wrapText="1"/>
    </xf>
    <xf numFmtId="0" fontId="10" fillId="4" borderId="1" xfId="0" applyFont="1" applyFill="1" applyBorder="1" applyAlignment="1">
      <alignment horizontal="center" vertical="center" wrapText="1"/>
    </xf>
    <xf numFmtId="165" fontId="25" fillId="0" borderId="11" xfId="0" applyNumberFormat="1" applyFont="1" applyBorder="1"/>
    <xf numFmtId="0" fontId="10" fillId="6" borderId="15" xfId="0" applyFont="1" applyFill="1" applyBorder="1" applyAlignment="1">
      <alignment horizontal="center" vertical="center"/>
    </xf>
    <xf numFmtId="166" fontId="9" fillId="0" borderId="0" xfId="0" applyNumberFormat="1" applyFont="1" applyBorder="1" applyAlignment="1">
      <alignment horizontal="center" vertical="center"/>
    </xf>
    <xf numFmtId="165" fontId="25" fillId="0" borderId="7" xfId="0" applyNumberFormat="1" applyFont="1" applyFill="1" applyBorder="1" applyAlignment="1">
      <alignment horizontal="right" vertical="center"/>
    </xf>
    <xf numFmtId="0" fontId="10" fillId="17" borderId="2" xfId="0" applyFont="1" applyFill="1" applyBorder="1" applyAlignment="1">
      <alignment horizontal="center" vertical="center"/>
    </xf>
    <xf numFmtId="165" fontId="25" fillId="17" borderId="0" xfId="0" applyNumberFormat="1" applyFont="1" applyFill="1" applyBorder="1" applyAlignment="1">
      <alignment horizontal="right" vertical="center"/>
    </xf>
    <xf numFmtId="0" fontId="10" fillId="17" borderId="3" xfId="0" applyFont="1" applyFill="1" applyBorder="1" applyAlignment="1">
      <alignment horizontal="center" vertical="center"/>
    </xf>
    <xf numFmtId="165" fontId="25" fillId="17" borderId="8" xfId="0" applyNumberFormat="1" applyFont="1" applyFill="1" applyBorder="1" applyAlignment="1">
      <alignment horizontal="right" vertical="center"/>
    </xf>
    <xf numFmtId="165" fontId="25" fillId="0" borderId="0" xfId="0" applyNumberFormat="1" applyFont="1" applyFill="1" applyBorder="1" applyAlignment="1">
      <alignment horizontal="center" vertical="center"/>
    </xf>
    <xf numFmtId="0" fontId="52" fillId="0" borderId="0" xfId="31" applyFill="1" applyProtection="1"/>
    <xf numFmtId="0" fontId="53" fillId="0" borderId="0" xfId="31" applyFont="1" applyFill="1" applyProtection="1"/>
    <xf numFmtId="0" fontId="10" fillId="0" borderId="0" xfId="0" applyNumberFormat="1" applyFont="1" applyAlignment="1" applyProtection="1">
      <alignment horizontal="left" vertical="top"/>
      <protection locked="0"/>
    </xf>
    <xf numFmtId="166" fontId="9" fillId="0" borderId="8" xfId="0" applyNumberFormat="1" applyFont="1" applyBorder="1" applyAlignment="1">
      <alignment horizontal="center" vertical="center"/>
    </xf>
    <xf numFmtId="165" fontId="9" fillId="0" borderId="8" xfId="0" applyNumberFormat="1" applyFont="1" applyBorder="1"/>
    <xf numFmtId="165" fontId="25" fillId="0" borderId="6" xfId="0" applyNumberFormat="1" applyFont="1" applyBorder="1"/>
    <xf numFmtId="165" fontId="9" fillId="0" borderId="0" xfId="0" applyNumberFormat="1" applyFont="1" applyBorder="1"/>
    <xf numFmtId="165" fontId="25" fillId="4" borderId="0" xfId="0" applyNumberFormat="1" applyFont="1" applyFill="1" applyBorder="1" applyAlignment="1">
      <alignment horizontal="right"/>
    </xf>
    <xf numFmtId="165" fontId="25" fillId="17" borderId="0" xfId="0" applyNumberFormat="1" applyFont="1" applyFill="1" applyBorder="1" applyAlignment="1">
      <alignment horizontal="center" vertical="center"/>
    </xf>
    <xf numFmtId="0" fontId="10" fillId="6" borderId="14"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5" xfId="0" applyFont="1" applyFill="1" applyBorder="1" applyAlignment="1">
      <alignment horizontal="center" vertical="center"/>
    </xf>
    <xf numFmtId="0" fontId="6" fillId="0" borderId="0" xfId="32"/>
    <xf numFmtId="0" fontId="9" fillId="0" borderId="0" xfId="32" applyFont="1"/>
    <xf numFmtId="9" fontId="9" fillId="0" borderId="0" xfId="32" applyNumberFormat="1" applyFont="1" applyAlignment="1">
      <alignment horizontal="center"/>
    </xf>
    <xf numFmtId="0" fontId="10" fillId="0" borderId="0" xfId="32" applyFont="1" applyBorder="1" applyAlignment="1">
      <alignment vertical="top"/>
    </xf>
    <xf numFmtId="0" fontId="10" fillId="0" borderId="0" xfId="32" applyFont="1" applyAlignment="1">
      <alignment vertical="top"/>
    </xf>
    <xf numFmtId="0" fontId="9" fillId="0" borderId="0" xfId="32" applyFont="1" applyAlignment="1">
      <alignment vertical="top"/>
    </xf>
    <xf numFmtId="165" fontId="21" fillId="0" borderId="0" xfId="32" applyNumberFormat="1" applyFont="1" applyBorder="1" applyAlignment="1">
      <alignment horizontal="left" vertical="center"/>
    </xf>
    <xf numFmtId="0" fontId="21" fillId="0" borderId="0" xfId="32" applyFont="1" applyBorder="1" applyAlignment="1">
      <alignment horizontal="left" vertical="center"/>
    </xf>
    <xf numFmtId="0" fontId="9" fillId="0" borderId="0" xfId="32" applyFont="1" applyBorder="1" applyAlignment="1">
      <alignment horizontal="left" vertical="center"/>
    </xf>
    <xf numFmtId="0" fontId="9" fillId="0" borderId="0" xfId="32" applyFont="1" applyAlignment="1">
      <alignment vertical="center"/>
    </xf>
    <xf numFmtId="0" fontId="9" fillId="0" borderId="0" xfId="32" applyFont="1" applyBorder="1" applyAlignment="1">
      <alignment vertical="center"/>
    </xf>
    <xf numFmtId="0" fontId="9" fillId="0" borderId="0" xfId="32" quotePrefix="1" applyFont="1" applyBorder="1" applyAlignment="1">
      <alignment horizontal="left" vertical="center"/>
    </xf>
    <xf numFmtId="0" fontId="10" fillId="0" borderId="0" xfId="32" applyFont="1" applyAlignment="1">
      <alignment horizontal="left"/>
    </xf>
    <xf numFmtId="0" fontId="10" fillId="0" borderId="0" xfId="32" applyFont="1" applyBorder="1" applyAlignment="1">
      <alignment horizontal="left" wrapText="1"/>
    </xf>
    <xf numFmtId="0" fontId="10" fillId="0" borderId="7" xfId="32" applyFont="1" applyBorder="1" applyAlignment="1">
      <alignment horizontal="left" wrapText="1"/>
    </xf>
    <xf numFmtId="0" fontId="10" fillId="0" borderId="0" xfId="32" applyFont="1" applyBorder="1"/>
    <xf numFmtId="0" fontId="9" fillId="0" borderId="0" xfId="32" applyFont="1" applyAlignment="1">
      <alignment horizontal="center"/>
    </xf>
    <xf numFmtId="165" fontId="9" fillId="0" borderId="0" xfId="32" applyNumberFormat="1" applyFont="1"/>
    <xf numFmtId="0" fontId="10" fillId="17" borderId="3" xfId="32" applyFont="1" applyFill="1" applyBorder="1" applyAlignment="1">
      <alignment horizontal="center" vertical="center"/>
    </xf>
    <xf numFmtId="165" fontId="9" fillId="17" borderId="3" xfId="32" applyNumberFormat="1" applyFont="1" applyFill="1" applyBorder="1" applyAlignment="1">
      <alignment horizontal="right" vertical="center"/>
    </xf>
    <xf numFmtId="165" fontId="9" fillId="17" borderId="8" xfId="32" applyNumberFormat="1" applyFont="1" applyFill="1" applyBorder="1" applyAlignment="1">
      <alignment horizontal="right" vertical="center"/>
    </xf>
    <xf numFmtId="165" fontId="9" fillId="17" borderId="29" xfId="32" applyNumberFormat="1" applyFont="1" applyFill="1" applyBorder="1" applyAlignment="1">
      <alignment horizontal="right" vertical="center"/>
    </xf>
    <xf numFmtId="2" fontId="9" fillId="17" borderId="3" xfId="32" applyNumberFormat="1" applyFont="1" applyFill="1" applyBorder="1" applyAlignment="1">
      <alignment horizontal="right" vertical="center"/>
    </xf>
    <xf numFmtId="0" fontId="10" fillId="0" borderId="2" xfId="32" applyFont="1" applyFill="1" applyBorder="1" applyAlignment="1">
      <alignment horizontal="center" vertical="center"/>
    </xf>
    <xf numFmtId="165" fontId="9" fillId="0" borderId="2" xfId="32" applyNumberFormat="1" applyFont="1" applyFill="1" applyBorder="1" applyAlignment="1">
      <alignment horizontal="right" vertical="center"/>
    </xf>
    <xf numFmtId="165" fontId="9" fillId="0" borderId="0" xfId="32" applyNumberFormat="1" applyFont="1" applyFill="1" applyBorder="1" applyAlignment="1">
      <alignment horizontal="right" vertical="center"/>
    </xf>
    <xf numFmtId="2" fontId="9" fillId="0" borderId="2" xfId="32" applyNumberFormat="1" applyFont="1" applyFill="1" applyBorder="1" applyAlignment="1">
      <alignment horizontal="right" vertical="center"/>
    </xf>
    <xf numFmtId="0" fontId="10" fillId="17" borderId="2" xfId="32" applyFont="1" applyFill="1" applyBorder="1" applyAlignment="1">
      <alignment horizontal="center" vertical="center"/>
    </xf>
    <xf numFmtId="165" fontId="25" fillId="17" borderId="1" xfId="32" applyNumberFormat="1" applyFont="1" applyFill="1" applyBorder="1" applyAlignment="1">
      <alignment horizontal="right" vertical="center"/>
    </xf>
    <xf numFmtId="165" fontId="9" fillId="17" borderId="7" xfId="32" applyNumberFormat="1" applyFont="1" applyFill="1" applyBorder="1" applyAlignment="1">
      <alignment horizontal="right" vertical="center"/>
    </xf>
    <xf numFmtId="165" fontId="9" fillId="17" borderId="0" xfId="32" applyNumberFormat="1" applyFont="1" applyFill="1" applyBorder="1" applyAlignment="1">
      <alignment horizontal="right" vertical="center"/>
    </xf>
    <xf numFmtId="2" fontId="9" fillId="17" borderId="1" xfId="32" applyNumberFormat="1" applyFont="1" applyFill="1" applyBorder="1" applyAlignment="1">
      <alignment horizontal="right" vertical="center"/>
    </xf>
    <xf numFmtId="0" fontId="10" fillId="0" borderId="3" xfId="32" applyFont="1" applyFill="1" applyBorder="1" applyAlignment="1">
      <alignment horizontal="center" vertical="center"/>
    </xf>
    <xf numFmtId="165" fontId="9" fillId="0" borderId="3" xfId="32" applyNumberFormat="1" applyFont="1" applyFill="1" applyBorder="1" applyAlignment="1">
      <alignment horizontal="right" vertical="center"/>
    </xf>
    <xf numFmtId="165" fontId="9" fillId="0" borderId="8" xfId="32" applyNumberFormat="1" applyFont="1" applyFill="1" applyBorder="1" applyAlignment="1">
      <alignment horizontal="right" vertical="center"/>
    </xf>
    <xf numFmtId="165" fontId="9" fillId="0" borderId="29" xfId="32" applyNumberFormat="1" applyFont="1" applyFill="1" applyBorder="1" applyAlignment="1">
      <alignment horizontal="right" vertical="center"/>
    </xf>
    <xf numFmtId="165" fontId="25" fillId="0" borderId="8" xfId="32" applyNumberFormat="1" applyFont="1" applyFill="1" applyBorder="1" applyAlignment="1">
      <alignment horizontal="right" vertical="center"/>
    </xf>
    <xf numFmtId="2" fontId="9" fillId="0" borderId="3" xfId="32" applyNumberFormat="1" applyFont="1" applyFill="1" applyBorder="1" applyAlignment="1">
      <alignment horizontal="right" vertical="center"/>
    </xf>
    <xf numFmtId="0" fontId="9" fillId="0" borderId="0" xfId="32" applyFont="1" applyFill="1"/>
    <xf numFmtId="165" fontId="25" fillId="17" borderId="2" xfId="32" applyNumberFormat="1" applyFont="1" applyFill="1" applyBorder="1" applyAlignment="1">
      <alignment horizontal="right" vertical="center"/>
    </xf>
    <xf numFmtId="165" fontId="25" fillId="17" borderId="0" xfId="32" applyNumberFormat="1" applyFont="1" applyFill="1" applyBorder="1" applyAlignment="1">
      <alignment horizontal="right" vertical="center"/>
    </xf>
    <xf numFmtId="165" fontId="25" fillId="17" borderId="0" xfId="32" applyNumberFormat="1" applyFont="1" applyFill="1" applyBorder="1"/>
    <xf numFmtId="2" fontId="9" fillId="17" borderId="2" xfId="32" applyNumberFormat="1" applyFont="1" applyFill="1" applyBorder="1" applyAlignment="1">
      <alignment horizontal="right" vertical="center"/>
    </xf>
    <xf numFmtId="0" fontId="9" fillId="0" borderId="0" xfId="32" applyFont="1" applyFill="1" applyAlignment="1">
      <alignment horizontal="center"/>
    </xf>
    <xf numFmtId="165" fontId="25" fillId="0" borderId="2" xfId="32" applyNumberFormat="1" applyFont="1" applyFill="1" applyBorder="1" applyAlignment="1">
      <alignment horizontal="right" vertical="center"/>
    </xf>
    <xf numFmtId="165" fontId="25" fillId="0" borderId="0" xfId="32" applyNumberFormat="1" applyFont="1" applyFill="1" applyBorder="1" applyAlignment="1">
      <alignment horizontal="right" vertical="center"/>
    </xf>
    <xf numFmtId="165" fontId="25" fillId="0" borderId="0" xfId="32" applyNumberFormat="1" applyFont="1" applyFill="1" applyBorder="1"/>
    <xf numFmtId="0" fontId="10" fillId="0" borderId="1" xfId="32" applyFont="1" applyFill="1" applyBorder="1" applyAlignment="1">
      <alignment horizontal="center" vertical="center"/>
    </xf>
    <xf numFmtId="165" fontId="9" fillId="0" borderId="1" xfId="32" applyNumberFormat="1" applyFont="1" applyFill="1" applyBorder="1" applyAlignment="1">
      <alignment horizontal="right" vertical="center"/>
    </xf>
    <xf numFmtId="165" fontId="9" fillId="0" borderId="7" xfId="32" applyNumberFormat="1" applyFont="1" applyFill="1" applyBorder="1" applyAlignment="1">
      <alignment horizontal="right" vertical="center"/>
    </xf>
    <xf numFmtId="2" fontId="9" fillId="0" borderId="1" xfId="32" applyNumberFormat="1" applyFont="1" applyFill="1" applyBorder="1" applyAlignment="1">
      <alignment horizontal="right" vertical="center"/>
    </xf>
    <xf numFmtId="165" fontId="9" fillId="17" borderId="2" xfId="32" applyNumberFormat="1" applyFont="1" applyFill="1" applyBorder="1" applyAlignment="1">
      <alignment horizontal="right" vertical="center"/>
    </xf>
    <xf numFmtId="165" fontId="9" fillId="17" borderId="23" xfId="32" applyNumberFormat="1" applyFont="1" applyFill="1" applyBorder="1" applyAlignment="1">
      <alignment horizontal="right" vertical="center"/>
    </xf>
    <xf numFmtId="165" fontId="9" fillId="0" borderId="24" xfId="32" applyNumberFormat="1" applyFont="1" applyFill="1" applyBorder="1" applyAlignment="1">
      <alignment horizontal="right" vertical="center"/>
    </xf>
    <xf numFmtId="2" fontId="9" fillId="0" borderId="13" xfId="32" applyNumberFormat="1" applyFont="1" applyFill="1" applyBorder="1" applyAlignment="1">
      <alignment horizontal="right" vertical="center"/>
    </xf>
    <xf numFmtId="165" fontId="9" fillId="0" borderId="0" xfId="32" quotePrefix="1" applyNumberFormat="1" applyFont="1" applyFill="1" applyBorder="1" applyAlignment="1">
      <alignment horizontal="right" vertical="center"/>
    </xf>
    <xf numFmtId="2" fontId="9" fillId="0" borderId="2" xfId="32" quotePrefix="1" applyNumberFormat="1" applyFont="1" applyFill="1" applyBorder="1" applyAlignment="1">
      <alignment horizontal="right" vertical="center"/>
    </xf>
    <xf numFmtId="165" fontId="9" fillId="17" borderId="0" xfId="32" applyNumberFormat="1" applyFont="1" applyFill="1" applyBorder="1"/>
    <xf numFmtId="2" fontId="25" fillId="0" borderId="2" xfId="32" applyNumberFormat="1" applyFont="1" applyFill="1" applyBorder="1" applyAlignment="1">
      <alignment horizontal="right" vertical="center"/>
    </xf>
    <xf numFmtId="2" fontId="25" fillId="17" borderId="2" xfId="32" applyNumberFormat="1" applyFont="1" applyFill="1" applyBorder="1" applyAlignment="1">
      <alignment horizontal="right" vertical="center"/>
    </xf>
    <xf numFmtId="165" fontId="9" fillId="0" borderId="13" xfId="32" applyNumberFormat="1" applyFont="1" applyFill="1" applyBorder="1" applyAlignment="1">
      <alignment horizontal="right" vertical="center"/>
    </xf>
    <xf numFmtId="165" fontId="9" fillId="17" borderId="24" xfId="32" applyNumberFormat="1" applyFont="1" applyFill="1" applyBorder="1" applyAlignment="1">
      <alignment horizontal="right" vertical="center"/>
    </xf>
    <xf numFmtId="165" fontId="9" fillId="17" borderId="13" xfId="32" applyNumberFormat="1" applyFont="1" applyFill="1" applyBorder="1" applyAlignment="1">
      <alignment horizontal="right" vertical="center"/>
    </xf>
    <xf numFmtId="165" fontId="9" fillId="17" borderId="6" xfId="32" applyNumberFormat="1" applyFont="1" applyFill="1" applyBorder="1" applyAlignment="1">
      <alignment horizontal="right" vertical="center"/>
    </xf>
    <xf numFmtId="0" fontId="10" fillId="4" borderId="2" xfId="32" applyFont="1" applyFill="1" applyBorder="1" applyAlignment="1">
      <alignment horizontal="center" vertical="center"/>
    </xf>
    <xf numFmtId="165" fontId="9" fillId="4" borderId="2" xfId="32" applyNumberFormat="1" applyFont="1" applyFill="1" applyBorder="1" applyAlignment="1">
      <alignment horizontal="right" vertical="center"/>
    </xf>
    <xf numFmtId="165" fontId="9" fillId="4" borderId="0" xfId="32" applyNumberFormat="1" applyFont="1" applyFill="1" applyBorder="1" applyAlignment="1">
      <alignment horizontal="right" vertical="center"/>
    </xf>
    <xf numFmtId="2" fontId="9" fillId="4" borderId="2" xfId="32" applyNumberFormat="1" applyFont="1" applyFill="1" applyBorder="1" applyAlignment="1">
      <alignment horizontal="right" vertical="center"/>
    </xf>
    <xf numFmtId="165" fontId="9" fillId="0" borderId="2" xfId="32" applyNumberFormat="1" applyFont="1" applyBorder="1" applyAlignment="1">
      <alignment horizontal="right" vertical="center"/>
    </xf>
    <xf numFmtId="165" fontId="9" fillId="0" borderId="0" xfId="32" applyNumberFormat="1" applyFont="1" applyBorder="1" applyAlignment="1">
      <alignment horizontal="right" vertical="center"/>
    </xf>
    <xf numFmtId="165" fontId="25" fillId="0" borderId="0" xfId="32" applyNumberFormat="1" applyFont="1" applyBorder="1" applyAlignment="1">
      <alignment horizontal="right" vertical="center"/>
    </xf>
    <xf numFmtId="165" fontId="9" fillId="0" borderId="6" xfId="32" applyNumberFormat="1" applyFont="1" applyBorder="1" applyAlignment="1">
      <alignment horizontal="right" vertical="center"/>
    </xf>
    <xf numFmtId="2" fontId="9" fillId="0" borderId="2" xfId="32" applyNumberFormat="1" applyFont="1" applyBorder="1" applyAlignment="1">
      <alignment horizontal="right" vertical="center"/>
    </xf>
    <xf numFmtId="165" fontId="25" fillId="4" borderId="2" xfId="32" applyNumberFormat="1" applyFont="1" applyFill="1" applyBorder="1" applyAlignment="1">
      <alignment horizontal="right" vertical="center"/>
    </xf>
    <xf numFmtId="165" fontId="25" fillId="4" borderId="0" xfId="32" applyNumberFormat="1" applyFont="1" applyFill="1" applyBorder="1" applyAlignment="1">
      <alignment horizontal="right" vertical="center"/>
    </xf>
    <xf numFmtId="2" fontId="25" fillId="4" borderId="2" xfId="32" applyNumberFormat="1" applyFont="1" applyFill="1" applyBorder="1" applyAlignment="1">
      <alignment horizontal="right" vertical="center"/>
    </xf>
    <xf numFmtId="165" fontId="25" fillId="0" borderId="0" xfId="32" applyNumberFormat="1" applyFont="1" applyFill="1"/>
    <xf numFmtId="165" fontId="25" fillId="0" borderId="0" xfId="32" applyNumberFormat="1" applyFont="1" applyBorder="1"/>
    <xf numFmtId="2" fontId="25" fillId="0" borderId="2" xfId="32" applyNumberFormat="1" applyFont="1" applyBorder="1"/>
    <xf numFmtId="165" fontId="9" fillId="4" borderId="2" xfId="32" applyNumberFormat="1" applyFont="1" applyFill="1" applyBorder="1"/>
    <xf numFmtId="165" fontId="9" fillId="4" borderId="0" xfId="32" applyNumberFormat="1" applyFont="1" applyFill="1" applyBorder="1"/>
    <xf numFmtId="165" fontId="9" fillId="7" borderId="2" xfId="32" applyNumberFormat="1" applyFont="1" applyFill="1" applyBorder="1" applyAlignment="1">
      <alignment horizontal="right" vertical="center"/>
    </xf>
    <xf numFmtId="165" fontId="9" fillId="7" borderId="0" xfId="32" applyNumberFormat="1" applyFont="1" applyFill="1" applyBorder="1" applyAlignment="1">
      <alignment horizontal="right" vertical="center"/>
    </xf>
    <xf numFmtId="165" fontId="9" fillId="7" borderId="24" xfId="32" applyNumberFormat="1" applyFont="1" applyFill="1" applyBorder="1" applyAlignment="1">
      <alignment horizontal="right" vertical="center"/>
    </xf>
    <xf numFmtId="165" fontId="25" fillId="0" borderId="2" xfId="32" applyNumberFormat="1" applyFont="1" applyBorder="1" applyAlignment="1">
      <alignment horizontal="right" vertical="center"/>
    </xf>
    <xf numFmtId="0" fontId="10" fillId="4" borderId="3" xfId="32" applyFont="1" applyFill="1" applyBorder="1" applyAlignment="1">
      <alignment horizontal="center" vertical="center"/>
    </xf>
    <xf numFmtId="165" fontId="26" fillId="4" borderId="3" xfId="32" applyNumberFormat="1" applyFont="1" applyFill="1" applyBorder="1" applyAlignment="1">
      <alignment horizontal="right"/>
    </xf>
    <xf numFmtId="174" fontId="26" fillId="4" borderId="8" xfId="32" applyNumberFormat="1" applyFont="1" applyFill="1" applyBorder="1" applyAlignment="1">
      <alignment horizontal="right"/>
    </xf>
    <xf numFmtId="174" fontId="26" fillId="4" borderId="8" xfId="32" applyNumberFormat="1" applyFont="1" applyFill="1" applyBorder="1" applyAlignment="1">
      <alignment vertical="center"/>
    </xf>
    <xf numFmtId="174" fontId="26" fillId="4" borderId="11" xfId="32" applyNumberFormat="1" applyFont="1" applyFill="1" applyBorder="1" applyAlignment="1">
      <alignment vertical="center"/>
    </xf>
    <xf numFmtId="2" fontId="26" fillId="4" borderId="3" xfId="32" applyNumberFormat="1" applyFont="1" applyFill="1" applyBorder="1" applyAlignment="1">
      <alignment vertical="center"/>
    </xf>
    <xf numFmtId="165" fontId="26" fillId="4" borderId="2" xfId="32" applyNumberFormat="1" applyFont="1" applyFill="1" applyBorder="1" applyAlignment="1">
      <alignment horizontal="right"/>
    </xf>
    <xf numFmtId="174" fontId="26" fillId="4" borderId="0" xfId="32" applyNumberFormat="1" applyFont="1" applyFill="1" applyBorder="1" applyAlignment="1">
      <alignment horizontal="right"/>
    </xf>
    <xf numFmtId="174" fontId="26" fillId="4" borderId="0" xfId="32" applyNumberFormat="1" applyFont="1" applyFill="1" applyBorder="1" applyAlignment="1">
      <alignment vertical="center"/>
    </xf>
    <xf numFmtId="174" fontId="26" fillId="4" borderId="6" xfId="32" applyNumberFormat="1" applyFont="1" applyFill="1" applyBorder="1" applyAlignment="1">
      <alignment vertical="center"/>
    </xf>
    <xf numFmtId="2" fontId="26" fillId="4" borderId="2" xfId="32" applyNumberFormat="1" applyFont="1" applyFill="1" applyBorder="1" applyAlignment="1">
      <alignment vertical="center"/>
    </xf>
    <xf numFmtId="0" fontId="10" fillId="4" borderId="1" xfId="32" applyFont="1" applyFill="1" applyBorder="1" applyAlignment="1">
      <alignment horizontal="center" vertical="center"/>
    </xf>
    <xf numFmtId="165" fontId="26" fillId="4" borderId="1" xfId="32" applyNumberFormat="1" applyFont="1" applyFill="1" applyBorder="1" applyAlignment="1">
      <alignment horizontal="right"/>
    </xf>
    <xf numFmtId="174" fontId="26" fillId="4" borderId="7" xfId="32" applyNumberFormat="1" applyFont="1" applyFill="1" applyBorder="1" applyAlignment="1">
      <alignment horizontal="right"/>
    </xf>
    <xf numFmtId="174" fontId="26" fillId="4" borderId="7" xfId="32" applyNumberFormat="1" applyFont="1" applyFill="1" applyBorder="1" applyAlignment="1">
      <alignment vertical="center"/>
    </xf>
    <xf numFmtId="174" fontId="26" fillId="4" borderId="22" xfId="32" applyNumberFormat="1" applyFont="1" applyFill="1" applyBorder="1" applyAlignment="1">
      <alignment vertical="center"/>
    </xf>
    <xf numFmtId="2" fontId="26" fillId="4" borderId="1" xfId="32" applyNumberFormat="1" applyFont="1" applyFill="1" applyBorder="1" applyAlignment="1">
      <alignment vertical="center"/>
    </xf>
    <xf numFmtId="0" fontId="6" fillId="0" borderId="0" xfId="32" applyFill="1" applyBorder="1"/>
    <xf numFmtId="0" fontId="10" fillId="5" borderId="3" xfId="32" applyFont="1" applyFill="1" applyBorder="1" applyAlignment="1">
      <alignment horizontal="center" vertical="top"/>
    </xf>
    <xf numFmtId="1" fontId="10" fillId="5" borderId="0" xfId="32" applyNumberFormat="1" applyFont="1" applyFill="1" applyBorder="1" applyAlignment="1">
      <alignment horizontal="center" vertical="center"/>
    </xf>
    <xf numFmtId="1" fontId="10" fillId="5" borderId="8" xfId="32" applyNumberFormat="1" applyFont="1" applyFill="1" applyBorder="1" applyAlignment="1">
      <alignment horizontal="center" vertical="center"/>
    </xf>
    <xf numFmtId="1" fontId="10" fillId="5" borderId="3" xfId="32" applyNumberFormat="1" applyFont="1" applyFill="1" applyBorder="1" applyAlignment="1">
      <alignment horizontal="center" vertical="center"/>
    </xf>
    <xf numFmtId="0" fontId="6" fillId="0" borderId="12" xfId="32" applyFill="1" applyBorder="1"/>
    <xf numFmtId="0" fontId="35" fillId="5" borderId="1" xfId="32" applyFont="1" applyFill="1" applyBorder="1" applyAlignment="1">
      <alignment horizontal="center" wrapText="1"/>
    </xf>
    <xf numFmtId="1" fontId="10" fillId="5" borderId="7" xfId="32" applyNumberFormat="1" applyFont="1" applyFill="1" applyBorder="1" applyAlignment="1">
      <alignment horizontal="center"/>
    </xf>
    <xf numFmtId="1" fontId="10" fillId="5" borderId="1" xfId="32" applyNumberFormat="1" applyFont="1" applyFill="1" applyBorder="1" applyAlignment="1">
      <alignment horizontal="center"/>
    </xf>
    <xf numFmtId="0" fontId="6" fillId="0" borderId="4" xfId="32" applyFill="1" applyBorder="1"/>
    <xf numFmtId="0" fontId="17" fillId="0" borderId="0" xfId="32" applyFont="1"/>
    <xf numFmtId="0" fontId="9" fillId="0" borderId="0" xfId="32" applyFont="1" applyBorder="1" applyAlignment="1">
      <alignment horizontal="right" vertical="center"/>
    </xf>
    <xf numFmtId="9" fontId="9" fillId="0" borderId="0" xfId="32" applyNumberFormat="1" applyFont="1" applyAlignment="1">
      <alignment horizontal="center" vertical="top"/>
    </xf>
    <xf numFmtId="0" fontId="12" fillId="0" borderId="0" xfId="32" quotePrefix="1" applyFont="1" applyBorder="1" applyAlignment="1">
      <alignment horizontal="right" vertical="top"/>
    </xf>
    <xf numFmtId="0" fontId="12" fillId="0" borderId="0" xfId="32" quotePrefix="1" applyFont="1" applyBorder="1" applyAlignment="1">
      <alignment horizontal="right"/>
    </xf>
    <xf numFmtId="0" fontId="16" fillId="0" borderId="0" xfId="32" quotePrefix="1" applyFont="1" applyFill="1" applyBorder="1" applyAlignment="1">
      <alignment horizontal="right"/>
    </xf>
    <xf numFmtId="0" fontId="16" fillId="0" borderId="0" xfId="32" applyFont="1" applyBorder="1" applyAlignment="1">
      <alignment vertical="top"/>
    </xf>
    <xf numFmtId="0" fontId="6" fillId="0" borderId="0" xfId="32" applyAlignment="1">
      <alignment horizontal="left" vertical="top" wrapText="1"/>
    </xf>
    <xf numFmtId="0" fontId="17" fillId="0" borderId="0" xfId="32" applyFont="1" applyAlignment="1">
      <alignment horizontal="left" vertical="top" wrapText="1"/>
    </xf>
    <xf numFmtId="49" fontId="9" fillId="0" borderId="0" xfId="32" applyNumberFormat="1" applyFont="1" applyAlignment="1">
      <alignment vertical="top"/>
    </xf>
    <xf numFmtId="49" fontId="10" fillId="0" borderId="0" xfId="32" applyNumberFormat="1" applyFont="1" applyAlignment="1">
      <alignment vertical="top"/>
    </xf>
    <xf numFmtId="0" fontId="9" fillId="0" borderId="0" xfId="32" applyFont="1" applyAlignment="1"/>
    <xf numFmtId="0" fontId="10" fillId="0" borderId="0" xfId="32" applyFont="1" applyBorder="1" applyAlignment="1">
      <alignment horizontal="center"/>
    </xf>
    <xf numFmtId="0" fontId="25" fillId="0" borderId="0" xfId="32" applyFont="1" applyBorder="1" applyAlignment="1">
      <alignment horizontal="left" vertical="center"/>
    </xf>
    <xf numFmtId="0" fontId="10" fillId="0" borderId="0" xfId="32" quotePrefix="1" applyFont="1" applyBorder="1" applyAlignment="1">
      <alignment horizontal="left" vertical="center"/>
    </xf>
    <xf numFmtId="0" fontId="10" fillId="0" borderId="0" xfId="32" applyFont="1" applyBorder="1" applyAlignment="1">
      <alignment horizontal="left"/>
    </xf>
    <xf numFmtId="49" fontId="10" fillId="0" borderId="7" xfId="32" applyNumberFormat="1" applyFont="1" applyBorder="1" applyAlignment="1">
      <alignment horizontal="left" wrapText="1"/>
    </xf>
    <xf numFmtId="49" fontId="10" fillId="0" borderId="7" xfId="32" applyNumberFormat="1" applyFont="1" applyBorder="1" applyAlignment="1">
      <alignment horizontal="left"/>
    </xf>
    <xf numFmtId="165" fontId="25" fillId="0" borderId="3" xfId="32" applyNumberFormat="1" applyFont="1" applyFill="1" applyBorder="1" applyAlignment="1">
      <alignment horizontal="right" vertical="center"/>
    </xf>
    <xf numFmtId="165" fontId="9" fillId="17" borderId="0" xfId="32" quotePrefix="1" applyNumberFormat="1" applyFont="1" applyFill="1" applyBorder="1" applyAlignment="1">
      <alignment horizontal="right" vertical="center"/>
    </xf>
    <xf numFmtId="2" fontId="9" fillId="17" borderId="2" xfId="32" quotePrefix="1" applyNumberFormat="1" applyFont="1" applyFill="1" applyBorder="1" applyAlignment="1">
      <alignment horizontal="right" vertical="center"/>
    </xf>
    <xf numFmtId="0" fontId="9" fillId="0" borderId="0" xfId="32" applyFont="1" applyAlignment="1">
      <alignment horizontal="left"/>
    </xf>
    <xf numFmtId="165" fontId="25" fillId="17" borderId="3" xfId="32" applyNumberFormat="1" applyFont="1" applyFill="1" applyBorder="1" applyAlignment="1">
      <alignment horizontal="right" vertical="center"/>
    </xf>
    <xf numFmtId="165" fontId="25" fillId="17" borderId="8" xfId="32" applyNumberFormat="1" applyFont="1" applyFill="1" applyBorder="1" applyAlignment="1">
      <alignment horizontal="right" vertical="center"/>
    </xf>
    <xf numFmtId="165" fontId="25" fillId="17" borderId="23" xfId="32" applyNumberFormat="1" applyFont="1" applyFill="1" applyBorder="1" applyAlignment="1">
      <alignment horizontal="right" vertical="center"/>
    </xf>
    <xf numFmtId="2" fontId="25" fillId="17" borderId="3" xfId="32" applyNumberFormat="1" applyFont="1" applyFill="1" applyBorder="1" applyAlignment="1">
      <alignment horizontal="right" vertical="center"/>
    </xf>
    <xf numFmtId="165" fontId="25" fillId="17" borderId="24" xfId="32" applyNumberFormat="1" applyFont="1" applyFill="1" applyBorder="1" applyAlignment="1">
      <alignment horizontal="right" vertical="center"/>
    </xf>
    <xf numFmtId="0" fontId="9" fillId="17" borderId="0" xfId="32" applyFont="1" applyFill="1" applyAlignment="1">
      <alignment horizontal="center"/>
    </xf>
    <xf numFmtId="165" fontId="25" fillId="0" borderId="24" xfId="32" applyNumberFormat="1" applyFont="1" applyBorder="1" applyAlignment="1">
      <alignment horizontal="right" vertical="center"/>
    </xf>
    <xf numFmtId="2" fontId="9" fillId="7" borderId="13" xfId="32" applyNumberFormat="1" applyFont="1" applyFill="1" applyBorder="1" applyAlignment="1">
      <alignment horizontal="right" vertical="center"/>
    </xf>
    <xf numFmtId="2" fontId="9" fillId="7" borderId="2" xfId="32" applyNumberFormat="1" applyFont="1" applyFill="1" applyBorder="1" applyAlignment="1">
      <alignment horizontal="right" vertical="center"/>
    </xf>
    <xf numFmtId="165" fontId="9" fillId="7" borderId="13" xfId="32" applyNumberFormat="1" applyFont="1" applyFill="1" applyBorder="1" applyAlignment="1">
      <alignment horizontal="right" vertical="center"/>
    </xf>
    <xf numFmtId="165" fontId="9" fillId="7" borderId="0" xfId="32" quotePrefix="1" applyNumberFormat="1" applyFont="1" applyFill="1" applyBorder="1" applyAlignment="1">
      <alignment horizontal="right" vertical="center"/>
    </xf>
    <xf numFmtId="2" fontId="9" fillId="7" borderId="2" xfId="32" quotePrefix="1" applyNumberFormat="1" applyFont="1" applyFill="1" applyBorder="1" applyAlignment="1">
      <alignment horizontal="right" vertical="center"/>
    </xf>
    <xf numFmtId="165" fontId="26" fillId="4" borderId="8" xfId="32" applyNumberFormat="1" applyFont="1" applyFill="1" applyBorder="1" applyAlignment="1">
      <alignment horizontal="right"/>
    </xf>
    <xf numFmtId="165" fontId="10" fillId="4" borderId="8" xfId="32" applyNumberFormat="1" applyFont="1" applyFill="1" applyBorder="1" applyAlignment="1">
      <alignment horizontal="right"/>
    </xf>
    <xf numFmtId="165" fontId="25" fillId="4" borderId="3" xfId="32" applyNumberFormat="1" applyFont="1" applyFill="1" applyBorder="1" applyAlignment="1">
      <alignment horizontal="right"/>
    </xf>
    <xf numFmtId="165" fontId="26" fillId="4" borderId="0" xfId="32" applyNumberFormat="1" applyFont="1" applyFill="1" applyBorder="1" applyAlignment="1">
      <alignment horizontal="right"/>
    </xf>
    <xf numFmtId="165" fontId="26" fillId="4" borderId="7" xfId="32" applyNumberFormat="1" applyFont="1" applyFill="1" applyBorder="1" applyAlignment="1">
      <alignment horizontal="right"/>
    </xf>
    <xf numFmtId="165" fontId="10" fillId="4" borderId="7" xfId="32" applyNumberFormat="1" applyFont="1" applyFill="1" applyBorder="1" applyAlignment="1">
      <alignment horizontal="right"/>
    </xf>
    <xf numFmtId="165" fontId="9" fillId="4" borderId="1" xfId="32" applyNumberFormat="1" applyFont="1" applyFill="1" applyBorder="1" applyAlignment="1">
      <alignment horizontal="right"/>
    </xf>
    <xf numFmtId="1" fontId="10" fillId="0" borderId="0" xfId="32" applyNumberFormat="1" applyFont="1" applyFill="1" applyBorder="1" applyAlignment="1">
      <alignment horizontal="center" vertical="center"/>
    </xf>
    <xf numFmtId="0" fontId="10" fillId="5" borderId="2" xfId="32" applyFont="1" applyFill="1" applyBorder="1" applyAlignment="1">
      <alignment horizontal="center" vertical="top"/>
    </xf>
    <xf numFmtId="1" fontId="10" fillId="5" borderId="2" xfId="32" applyNumberFormat="1" applyFont="1" applyFill="1" applyBorder="1" applyAlignment="1">
      <alignment horizontal="center" vertical="center"/>
    </xf>
    <xf numFmtId="0" fontId="10" fillId="0" borderId="0" xfId="32" applyFont="1" applyBorder="1" applyAlignment="1">
      <alignment horizontal="center" vertical="top"/>
    </xf>
    <xf numFmtId="0" fontId="10" fillId="0" borderId="0" xfId="32" applyFont="1" applyBorder="1" applyAlignment="1">
      <alignment horizontal="left" vertical="top"/>
    </xf>
    <xf numFmtId="0" fontId="9" fillId="0" borderId="0" xfId="32" applyFont="1" applyAlignment="1">
      <alignment horizontal="left" vertical="top" wrapText="1"/>
    </xf>
    <xf numFmtId="0" fontId="9" fillId="0" borderId="0" xfId="32" applyFont="1" applyBorder="1" applyAlignment="1"/>
    <xf numFmtId="165" fontId="9" fillId="0" borderId="4" xfId="32" applyNumberFormat="1" applyFont="1" applyFill="1" applyBorder="1" applyAlignment="1">
      <alignment horizontal="right" vertical="center"/>
    </xf>
    <xf numFmtId="165" fontId="9" fillId="17" borderId="1" xfId="32" applyNumberFormat="1" applyFont="1" applyFill="1" applyBorder="1" applyAlignment="1">
      <alignment horizontal="center" vertical="center"/>
    </xf>
    <xf numFmtId="165" fontId="9" fillId="17" borderId="7" xfId="32" applyNumberFormat="1" applyFont="1" applyFill="1" applyBorder="1" applyAlignment="1">
      <alignment horizontal="center" vertical="center"/>
    </xf>
    <xf numFmtId="2" fontId="9" fillId="17" borderId="1" xfId="32" applyNumberFormat="1" applyFont="1" applyFill="1" applyBorder="1" applyAlignment="1">
      <alignment horizontal="center" vertical="center"/>
    </xf>
    <xf numFmtId="165" fontId="9" fillId="0" borderId="3" xfId="32" applyNumberFormat="1" applyFont="1" applyFill="1" applyBorder="1" applyAlignment="1">
      <alignment horizontal="center" vertical="center"/>
    </xf>
    <xf numFmtId="165" fontId="25" fillId="17" borderId="2" xfId="32" applyNumberFormat="1" applyFont="1" applyFill="1" applyBorder="1" applyAlignment="1">
      <alignment horizontal="center" vertical="center"/>
    </xf>
    <xf numFmtId="165" fontId="25" fillId="17" borderId="0" xfId="32" applyNumberFormat="1" applyFont="1" applyFill="1" applyBorder="1" applyAlignment="1">
      <alignment horizontal="center" vertical="center"/>
    </xf>
    <xf numFmtId="165" fontId="9" fillId="17" borderId="0" xfId="32" applyNumberFormat="1" applyFont="1" applyFill="1" applyBorder="1" applyAlignment="1">
      <alignment horizontal="center" vertical="center"/>
    </xf>
    <xf numFmtId="2" fontId="9" fillId="17" borderId="2" xfId="32" applyNumberFormat="1" applyFont="1" applyFill="1" applyBorder="1" applyAlignment="1">
      <alignment horizontal="center" vertical="center"/>
    </xf>
    <xf numFmtId="165" fontId="9" fillId="0" borderId="2" xfId="32" applyNumberFormat="1" applyFont="1" applyFill="1" applyBorder="1" applyAlignment="1">
      <alignment horizontal="center" vertical="center"/>
    </xf>
    <xf numFmtId="165" fontId="9" fillId="0" borderId="0" xfId="32" applyNumberFormat="1" applyFont="1" applyFill="1" applyBorder="1" applyAlignment="1">
      <alignment horizontal="center" vertical="center"/>
    </xf>
    <xf numFmtId="2" fontId="9" fillId="0" borderId="2" xfId="32" applyNumberFormat="1" applyFont="1" applyFill="1" applyBorder="1" applyAlignment="1">
      <alignment horizontal="center" vertical="center"/>
    </xf>
    <xf numFmtId="165" fontId="9" fillId="17" borderId="0" xfId="32" applyNumberFormat="1" applyFont="1" applyFill="1" applyBorder="1" applyAlignment="1">
      <alignment horizontal="right" vertical="center" wrapText="1"/>
    </xf>
    <xf numFmtId="165" fontId="9" fillId="17" borderId="4" xfId="32" applyNumberFormat="1" applyFont="1" applyFill="1" applyBorder="1" applyAlignment="1">
      <alignment horizontal="right" vertical="center"/>
    </xf>
    <xf numFmtId="165" fontId="9" fillId="17" borderId="2" xfId="32" applyNumberFormat="1" applyFont="1" applyFill="1" applyBorder="1" applyAlignment="1">
      <alignment horizontal="center" vertical="center"/>
    </xf>
    <xf numFmtId="165" fontId="25" fillId="17" borderId="13" xfId="32" applyNumberFormat="1" applyFont="1" applyFill="1" applyBorder="1" applyAlignment="1">
      <alignment horizontal="right" vertical="center"/>
    </xf>
    <xf numFmtId="165" fontId="9" fillId="0" borderId="6" xfId="32" applyNumberFormat="1" applyFont="1" applyFill="1" applyBorder="1" applyAlignment="1">
      <alignment horizontal="right" vertical="center"/>
    </xf>
    <xf numFmtId="2" fontId="9" fillId="0" borderId="6" xfId="32" applyNumberFormat="1" applyFont="1" applyFill="1" applyBorder="1" applyAlignment="1">
      <alignment horizontal="right" vertical="center"/>
    </xf>
    <xf numFmtId="165" fontId="9" fillId="4" borderId="24" xfId="32" applyNumberFormat="1" applyFont="1" applyFill="1" applyBorder="1" applyAlignment="1">
      <alignment horizontal="right" vertical="center"/>
    </xf>
    <xf numFmtId="2" fontId="9" fillId="4" borderId="6" xfId="32" applyNumberFormat="1" applyFont="1" applyFill="1" applyBorder="1" applyAlignment="1">
      <alignment horizontal="right" vertical="center"/>
    </xf>
    <xf numFmtId="165" fontId="9" fillId="0" borderId="0" xfId="32" applyNumberFormat="1" applyFont="1" applyBorder="1" applyAlignment="1">
      <alignment horizontal="center" vertical="center"/>
    </xf>
    <xf numFmtId="2" fontId="9" fillId="0" borderId="2" xfId="32" applyNumberFormat="1" applyFont="1" applyBorder="1" applyAlignment="1">
      <alignment horizontal="center" vertical="center"/>
    </xf>
    <xf numFmtId="165" fontId="25" fillId="7" borderId="0" xfId="32" applyNumberFormat="1" applyFont="1" applyFill="1" applyBorder="1" applyAlignment="1">
      <alignment horizontal="right" vertical="center"/>
    </xf>
    <xf numFmtId="2" fontId="25" fillId="7" borderId="2" xfId="32" applyNumberFormat="1" applyFont="1" applyFill="1" applyBorder="1" applyAlignment="1">
      <alignment horizontal="right" vertical="center"/>
    </xf>
    <xf numFmtId="165" fontId="9" fillId="4" borderId="0" xfId="32" applyNumberFormat="1" applyFont="1" applyFill="1" applyBorder="1" applyAlignment="1">
      <alignment horizontal="center" vertical="center"/>
    </xf>
    <xf numFmtId="2" fontId="9" fillId="4" borderId="2" xfId="32" applyNumberFormat="1" applyFont="1" applyFill="1" applyBorder="1" applyAlignment="1">
      <alignment horizontal="center" vertical="center"/>
    </xf>
    <xf numFmtId="165" fontId="9" fillId="4" borderId="13" xfId="32" applyNumberFormat="1" applyFont="1" applyFill="1" applyBorder="1" applyAlignment="1">
      <alignment horizontal="right" vertical="center"/>
    </xf>
    <xf numFmtId="165" fontId="26" fillId="4" borderId="3" xfId="32" applyNumberFormat="1" applyFont="1" applyFill="1" applyBorder="1" applyAlignment="1">
      <alignment vertical="center"/>
    </xf>
    <xf numFmtId="0" fontId="10" fillId="4" borderId="4" xfId="32" applyFont="1" applyFill="1" applyBorder="1" applyAlignment="1">
      <alignment horizontal="center" vertical="center"/>
    </xf>
    <xf numFmtId="165" fontId="26" fillId="4" borderId="2" xfId="32" applyNumberFormat="1" applyFont="1" applyFill="1" applyBorder="1" applyAlignment="1">
      <alignment horizontal="right" vertical="center"/>
    </xf>
    <xf numFmtId="0" fontId="10" fillId="4" borderId="9" xfId="32" applyFont="1" applyFill="1" applyBorder="1" applyAlignment="1">
      <alignment horizontal="center" vertical="center"/>
    </xf>
    <xf numFmtId="165" fontId="26" fillId="4" borderId="1" xfId="32" applyNumberFormat="1" applyFont="1" applyFill="1" applyBorder="1" applyAlignment="1">
      <alignment horizontal="right" vertical="center"/>
    </xf>
    <xf numFmtId="165" fontId="10" fillId="4" borderId="1" xfId="32" applyNumberFormat="1" applyFont="1" applyFill="1" applyBorder="1" applyAlignment="1">
      <alignment horizontal="right"/>
    </xf>
    <xf numFmtId="0" fontId="9" fillId="0" borderId="0" xfId="32" applyFont="1" applyAlignment="1">
      <alignment horizontal="center" vertical="top"/>
    </xf>
    <xf numFmtId="49" fontId="10" fillId="0" borderId="0" xfId="32" applyNumberFormat="1" applyFont="1" applyBorder="1" applyAlignment="1">
      <alignment horizontal="left" wrapText="1"/>
    </xf>
    <xf numFmtId="49" fontId="10" fillId="0" borderId="0" xfId="32" applyNumberFormat="1" applyFont="1" applyBorder="1" applyAlignment="1">
      <alignment horizontal="left"/>
    </xf>
    <xf numFmtId="165" fontId="9" fillId="18" borderId="12" xfId="32" applyNumberFormat="1" applyFont="1" applyFill="1" applyBorder="1" applyAlignment="1">
      <alignment horizontal="right" vertical="center"/>
    </xf>
    <xf numFmtId="165" fontId="9" fillId="18" borderId="8" xfId="32" applyNumberFormat="1" applyFont="1" applyFill="1" applyBorder="1" applyAlignment="1">
      <alignment horizontal="right" vertical="center"/>
    </xf>
    <xf numFmtId="165" fontId="9" fillId="18" borderId="4" xfId="32" applyNumberFormat="1" applyFont="1" applyFill="1" applyBorder="1" applyAlignment="1">
      <alignment horizontal="center" vertical="center"/>
    </xf>
    <xf numFmtId="165" fontId="9" fillId="18" borderId="0" xfId="32" applyNumberFormat="1" applyFont="1" applyFill="1" applyBorder="1" applyAlignment="1">
      <alignment horizontal="center" vertical="center"/>
    </xf>
    <xf numFmtId="165" fontId="9" fillId="18" borderId="9" xfId="32" applyNumberFormat="1" applyFont="1" applyFill="1" applyBorder="1" applyAlignment="1">
      <alignment horizontal="center" vertical="center"/>
    </xf>
    <xf numFmtId="165" fontId="9" fillId="18" borderId="7" xfId="32" applyNumberFormat="1" applyFont="1" applyFill="1" applyBorder="1" applyAlignment="1">
      <alignment horizontal="center" vertical="center"/>
    </xf>
    <xf numFmtId="165" fontId="9" fillId="18" borderId="4" xfId="32" applyNumberFormat="1" applyFont="1" applyFill="1" applyBorder="1" applyAlignment="1">
      <alignment horizontal="right" vertical="center"/>
    </xf>
    <xf numFmtId="165" fontId="9" fillId="18" borderId="0" xfId="32" applyNumberFormat="1" applyFont="1" applyFill="1" applyBorder="1" applyAlignment="1">
      <alignment horizontal="right" vertical="center"/>
    </xf>
    <xf numFmtId="165" fontId="9" fillId="18" borderId="12" xfId="32" applyNumberFormat="1" applyFont="1" applyFill="1" applyBorder="1" applyAlignment="1">
      <alignment horizontal="center" vertical="center"/>
    </xf>
    <xf numFmtId="165" fontId="9" fillId="18" borderId="8" xfId="32" applyNumberFormat="1" applyFont="1" applyFill="1" applyBorder="1" applyAlignment="1">
      <alignment horizontal="center" vertical="center"/>
    </xf>
    <xf numFmtId="165" fontId="9" fillId="17" borderId="11" xfId="32" applyNumberFormat="1" applyFont="1" applyFill="1" applyBorder="1" applyAlignment="1">
      <alignment horizontal="right" vertical="center"/>
    </xf>
    <xf numFmtId="2" fontId="9" fillId="17" borderId="26" xfId="32" applyNumberFormat="1" applyFont="1" applyFill="1" applyBorder="1" applyAlignment="1">
      <alignment horizontal="right" vertical="center"/>
    </xf>
    <xf numFmtId="165" fontId="25" fillId="18" borderId="4" xfId="32" applyNumberFormat="1" applyFont="1" applyFill="1" applyBorder="1" applyAlignment="1">
      <alignment horizontal="center" vertical="center"/>
    </xf>
    <xf numFmtId="165" fontId="25" fillId="18" borderId="0" xfId="32" applyNumberFormat="1" applyFont="1" applyFill="1" applyBorder="1" applyAlignment="1">
      <alignment horizontal="center" vertical="center"/>
    </xf>
    <xf numFmtId="2" fontId="9" fillId="0" borderId="25" xfId="32" applyNumberFormat="1" applyFont="1" applyBorder="1" applyAlignment="1">
      <alignment horizontal="right" vertical="center"/>
    </xf>
    <xf numFmtId="165" fontId="10" fillId="4" borderId="3" xfId="32" applyNumberFormat="1" applyFont="1" applyFill="1" applyBorder="1" applyAlignment="1">
      <alignment vertical="center"/>
    </xf>
    <xf numFmtId="165" fontId="10" fillId="18" borderId="12" xfId="32" applyNumberFormat="1" applyFont="1" applyFill="1" applyBorder="1" applyAlignment="1">
      <alignment horizontal="center" vertical="center"/>
    </xf>
    <xf numFmtId="165" fontId="10" fillId="18" borderId="8" xfId="32" applyNumberFormat="1" applyFont="1" applyFill="1" applyBorder="1" applyAlignment="1">
      <alignment horizontal="center" vertical="center"/>
    </xf>
    <xf numFmtId="165" fontId="10" fillId="4" borderId="8" xfId="32" applyNumberFormat="1" applyFont="1" applyFill="1" applyBorder="1" applyAlignment="1">
      <alignment vertical="center"/>
    </xf>
    <xf numFmtId="165" fontId="26" fillId="4" borderId="8" xfId="32" applyNumberFormat="1" applyFont="1" applyFill="1" applyBorder="1" applyAlignment="1">
      <alignment vertical="center"/>
    </xf>
    <xf numFmtId="165" fontId="10" fillId="4" borderId="11" xfId="32" applyNumberFormat="1" applyFont="1" applyFill="1" applyBorder="1" applyAlignment="1">
      <alignment vertical="center"/>
    </xf>
    <xf numFmtId="2" fontId="10" fillId="4" borderId="3" xfId="32" applyNumberFormat="1" applyFont="1" applyFill="1" applyBorder="1" applyAlignment="1">
      <alignment vertical="center"/>
    </xf>
    <xf numFmtId="165" fontId="10" fillId="4" borderId="2" xfId="32" applyNumberFormat="1" applyFont="1" applyFill="1" applyBorder="1" applyAlignment="1">
      <alignment horizontal="right" vertical="center"/>
    </xf>
    <xf numFmtId="165" fontId="10" fillId="18" borderId="4" xfId="32" applyNumberFormat="1" applyFont="1" applyFill="1" applyBorder="1" applyAlignment="1">
      <alignment horizontal="center" vertical="center"/>
    </xf>
    <xf numFmtId="165" fontId="10" fillId="18" borderId="0" xfId="32" applyNumberFormat="1" applyFont="1" applyFill="1" applyBorder="1" applyAlignment="1">
      <alignment horizontal="center" vertical="center"/>
    </xf>
    <xf numFmtId="165" fontId="10" fillId="4" borderId="0" xfId="32" applyNumberFormat="1" applyFont="1" applyFill="1" applyBorder="1" applyAlignment="1">
      <alignment horizontal="right" vertical="center"/>
    </xf>
    <xf numFmtId="165" fontId="10" fillId="4" borderId="6" xfId="32" applyNumberFormat="1" applyFont="1" applyFill="1" applyBorder="1" applyAlignment="1">
      <alignment horizontal="right" vertical="center"/>
    </xf>
    <xf numFmtId="2" fontId="10" fillId="4" borderId="2" xfId="32" applyNumberFormat="1" applyFont="1" applyFill="1" applyBorder="1" applyAlignment="1">
      <alignment horizontal="right" vertical="center"/>
    </xf>
    <xf numFmtId="165" fontId="10" fillId="4" borderId="1" xfId="32" applyNumberFormat="1" applyFont="1" applyFill="1" applyBorder="1" applyAlignment="1">
      <alignment horizontal="right" vertical="center"/>
    </xf>
    <xf numFmtId="165" fontId="26" fillId="18" borderId="9" xfId="32" applyNumberFormat="1" applyFont="1" applyFill="1" applyBorder="1" applyAlignment="1">
      <alignment horizontal="center" vertical="center"/>
    </xf>
    <xf numFmtId="165" fontId="26" fillId="18" borderId="7" xfId="32" applyNumberFormat="1" applyFont="1" applyFill="1" applyBorder="1" applyAlignment="1">
      <alignment horizontal="center" vertical="center"/>
    </xf>
    <xf numFmtId="165" fontId="10" fillId="4" borderId="7" xfId="32" applyNumberFormat="1" applyFont="1" applyFill="1" applyBorder="1" applyAlignment="1">
      <alignment horizontal="right" vertical="center"/>
    </xf>
    <xf numFmtId="165" fontId="26" fillId="4" borderId="7" xfId="32" applyNumberFormat="1" applyFont="1" applyFill="1" applyBorder="1" applyAlignment="1">
      <alignment horizontal="right" vertical="center"/>
    </xf>
    <xf numFmtId="165" fontId="10" fillId="4" borderId="22" xfId="32" applyNumberFormat="1" applyFont="1" applyFill="1" applyBorder="1" applyAlignment="1">
      <alignment horizontal="right" vertical="center"/>
    </xf>
    <xf numFmtId="2" fontId="10" fillId="4" borderId="1" xfId="32" applyNumberFormat="1" applyFont="1" applyFill="1" applyBorder="1" applyAlignment="1">
      <alignment horizontal="right" vertical="center"/>
    </xf>
    <xf numFmtId="1" fontId="10" fillId="18" borderId="8" xfId="32" applyNumberFormat="1" applyFont="1" applyFill="1" applyBorder="1" applyAlignment="1">
      <alignment horizontal="center" wrapText="1"/>
    </xf>
    <xf numFmtId="1" fontId="10" fillId="18" borderId="7" xfId="32" applyNumberFormat="1" applyFont="1" applyFill="1" applyBorder="1" applyAlignment="1">
      <alignment horizontal="center" wrapText="1"/>
    </xf>
    <xf numFmtId="0" fontId="16" fillId="0" borderId="0" xfId="32" applyFont="1"/>
    <xf numFmtId="165" fontId="10" fillId="0" borderId="0" xfId="32" applyNumberFormat="1" applyFont="1" applyBorder="1" applyAlignment="1">
      <alignment horizontal="center" vertical="top"/>
    </xf>
    <xf numFmtId="0" fontId="10" fillId="17" borderId="1" xfId="0" applyFont="1" applyFill="1" applyBorder="1" applyAlignment="1">
      <alignment horizontal="center" vertical="center"/>
    </xf>
    <xf numFmtId="165" fontId="25" fillId="17" borderId="7" xfId="0" applyNumberFormat="1" applyFont="1" applyFill="1" applyBorder="1" applyAlignment="1">
      <alignment horizontal="right" vertical="center"/>
    </xf>
    <xf numFmtId="2" fontId="9" fillId="0" borderId="1" xfId="32" applyNumberFormat="1" applyFont="1" applyFill="1" applyBorder="1" applyAlignment="1">
      <alignment horizontal="center" vertical="center"/>
    </xf>
    <xf numFmtId="165" fontId="9" fillId="0" borderId="7" xfId="32" applyNumberFormat="1" applyFont="1" applyFill="1" applyBorder="1" applyAlignment="1">
      <alignment horizontal="center" vertical="center"/>
    </xf>
    <xf numFmtId="165" fontId="9" fillId="0" borderId="1" xfId="32" applyNumberFormat="1" applyFont="1" applyFill="1" applyBorder="1" applyAlignment="1">
      <alignment horizontal="center" vertical="center"/>
    </xf>
    <xf numFmtId="0" fontId="35" fillId="4" borderId="34" xfId="0" applyFont="1" applyFill="1" applyBorder="1" applyAlignment="1">
      <alignment horizontal="center" vertical="center"/>
    </xf>
    <xf numFmtId="169" fontId="11" fillId="0" borderId="35" xfId="0" applyNumberFormat="1" applyFont="1" applyFill="1" applyBorder="1" applyAlignment="1">
      <alignment horizontal="center" vertical="center"/>
    </xf>
    <xf numFmtId="169" fontId="11" fillId="0" borderId="36" xfId="0" applyNumberFormat="1" applyFont="1" applyFill="1" applyBorder="1" applyAlignment="1">
      <alignment horizontal="center" vertical="center"/>
    </xf>
    <xf numFmtId="169" fontId="11" fillId="0" borderId="37" xfId="0" applyNumberFormat="1" applyFont="1" applyFill="1" applyBorder="1" applyAlignment="1">
      <alignment horizontal="center" vertical="center"/>
    </xf>
    <xf numFmtId="165" fontId="9" fillId="18" borderId="38" xfId="32" applyNumberFormat="1" applyFont="1" applyFill="1" applyBorder="1" applyAlignment="1">
      <alignment horizontal="center" vertical="center"/>
    </xf>
    <xf numFmtId="165" fontId="9" fillId="18" borderId="39" xfId="32" applyNumberFormat="1" applyFont="1" applyFill="1" applyBorder="1" applyAlignment="1">
      <alignment horizontal="center" vertical="center"/>
    </xf>
    <xf numFmtId="174" fontId="11" fillId="0" borderId="22" xfId="0" applyNumberFormat="1" applyFont="1" applyFill="1" applyBorder="1" applyAlignment="1">
      <alignment horizontal="center" vertical="center"/>
    </xf>
    <xf numFmtId="174" fontId="11" fillId="0" borderId="7" xfId="0" applyNumberFormat="1" applyFont="1" applyFill="1" applyBorder="1" applyAlignment="1">
      <alignment horizontal="center" vertical="center"/>
    </xf>
    <xf numFmtId="174" fontId="11" fillId="0" borderId="9" xfId="0" applyNumberFormat="1" applyFont="1" applyFill="1" applyBorder="1" applyAlignment="1">
      <alignment horizontal="center" vertical="center"/>
    </xf>
    <xf numFmtId="174" fontId="13" fillId="0" borderId="1" xfId="0" applyNumberFormat="1" applyFont="1" applyFill="1" applyBorder="1" applyAlignment="1">
      <alignment horizontal="center" vertical="center"/>
    </xf>
    <xf numFmtId="174" fontId="11" fillId="0" borderId="6" xfId="0" applyNumberFormat="1" applyFont="1" applyFill="1" applyBorder="1" applyAlignment="1">
      <alignment horizontal="center" vertical="center"/>
    </xf>
    <xf numFmtId="174" fontId="11" fillId="0" borderId="0" xfId="0" applyNumberFormat="1" applyFont="1" applyFill="1" applyBorder="1" applyAlignment="1">
      <alignment horizontal="center" vertical="center"/>
    </xf>
    <xf numFmtId="174" fontId="11" fillId="0" borderId="4" xfId="0" applyNumberFormat="1" applyFont="1" applyFill="1" applyBorder="1" applyAlignment="1">
      <alignment horizontal="center" vertical="center"/>
    </xf>
    <xf numFmtId="174" fontId="13" fillId="0" borderId="2" xfId="0" applyNumberFormat="1" applyFont="1" applyFill="1" applyBorder="1" applyAlignment="1">
      <alignment horizontal="center" vertical="center"/>
    </xf>
    <xf numFmtId="174" fontId="11" fillId="0" borderId="28" xfId="0" applyNumberFormat="1" applyFont="1" applyFill="1" applyBorder="1" applyAlignment="1">
      <alignment horizontal="center" vertical="center"/>
    </xf>
    <xf numFmtId="174" fontId="11" fillId="0" borderId="27" xfId="0" applyNumberFormat="1" applyFont="1" applyFill="1" applyBorder="1" applyAlignment="1">
      <alignment horizontal="center" vertical="center"/>
    </xf>
    <xf numFmtId="174" fontId="11" fillId="0" borderId="8" xfId="0" applyNumberFormat="1" applyFont="1" applyFill="1" applyBorder="1" applyAlignment="1">
      <alignment horizontal="center" vertical="center"/>
    </xf>
    <xf numFmtId="174" fontId="25" fillId="0" borderId="8" xfId="0" applyNumberFormat="1" applyFont="1" applyFill="1" applyBorder="1" applyAlignment="1">
      <alignment horizontal="center" vertical="center"/>
    </xf>
    <xf numFmtId="174" fontId="13" fillId="0" borderId="3" xfId="0" applyNumberFormat="1" applyFont="1" applyFill="1" applyBorder="1" applyAlignment="1">
      <alignment horizontal="center" vertical="center"/>
    </xf>
    <xf numFmtId="2" fontId="11" fillId="0" borderId="36" xfId="0" applyNumberFormat="1" applyFont="1" applyFill="1" applyBorder="1" applyAlignment="1">
      <alignment horizontal="right" vertical="center"/>
    </xf>
    <xf numFmtId="165" fontId="9" fillId="0" borderId="36" xfId="0" applyNumberFormat="1" applyFont="1" applyBorder="1" applyAlignment="1">
      <alignment horizontal="center" vertical="center"/>
    </xf>
    <xf numFmtId="2" fontId="9" fillId="0" borderId="0" xfId="0" applyNumberFormat="1" applyFont="1" applyFill="1" applyBorder="1" applyAlignment="1">
      <alignment horizontal="right" vertical="center"/>
    </xf>
    <xf numFmtId="178" fontId="0" fillId="0" borderId="0" xfId="0" applyNumberFormat="1"/>
    <xf numFmtId="165" fontId="25" fillId="0" borderId="7" xfId="0" applyNumberFormat="1" applyFont="1" applyFill="1"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7" fillId="0" borderId="0" xfId="0" applyFont="1" applyBorder="1" applyAlignment="1">
      <alignment horizontal="center" vertical="center"/>
    </xf>
    <xf numFmtId="0" fontId="15" fillId="0" borderId="0" xfId="0" applyFont="1" applyAlignment="1">
      <alignment horizontal="center" vertical="center" wrapText="1"/>
    </xf>
    <xf numFmtId="0" fontId="8" fillId="0" borderId="0" xfId="0" applyFont="1" applyAlignment="1">
      <alignment horizontal="center" vertical="top" wrapText="1"/>
    </xf>
    <xf numFmtId="0" fontId="8" fillId="0" borderId="0" xfId="0" applyNumberFormat="1" applyFont="1" applyBorder="1" applyAlignment="1">
      <alignment horizontal="center" vertical="center" wrapText="1"/>
    </xf>
    <xf numFmtId="0" fontId="8" fillId="0" borderId="0" xfId="0" quotePrefix="1" applyNumberFormat="1" applyFont="1" applyBorder="1" applyAlignment="1">
      <alignment horizontal="center" vertical="center" wrapText="1"/>
    </xf>
    <xf numFmtId="0" fontId="21" fillId="0" borderId="0"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Alignment="1">
      <alignment horizontal="center" vertical="center" wrapText="1"/>
    </xf>
    <xf numFmtId="0" fontId="30" fillId="0" borderId="0" xfId="0" applyFont="1" applyAlignment="1">
      <alignment horizontal="center" vertical="center" wrapText="1"/>
    </xf>
    <xf numFmtId="0" fontId="24" fillId="0" borderId="0" xfId="0" applyFont="1" applyBorder="1" applyAlignment="1">
      <alignment horizontal="center" vertical="center"/>
    </xf>
    <xf numFmtId="0" fontId="29" fillId="0" borderId="0" xfId="0" applyFont="1" applyAlignment="1">
      <alignment horizontal="center" vertical="center"/>
    </xf>
    <xf numFmtId="0" fontId="7" fillId="0" borderId="0" xfId="0" applyFont="1" applyAlignment="1">
      <alignment horizontal="center" vertical="center"/>
    </xf>
    <xf numFmtId="0" fontId="9" fillId="0" borderId="8" xfId="0" applyFont="1" applyBorder="1" applyAlignment="1">
      <alignment wrapText="1"/>
    </xf>
    <xf numFmtId="0" fontId="12" fillId="0" borderId="0" xfId="32" applyFont="1" applyBorder="1" applyAlignment="1">
      <alignment horizontal="center" vertical="top"/>
    </xf>
    <xf numFmtId="49" fontId="10" fillId="0" borderId="0" xfId="32" applyNumberFormat="1" applyFont="1" applyAlignment="1">
      <alignment vertical="top" wrapText="1"/>
    </xf>
    <xf numFmtId="49" fontId="10" fillId="0" borderId="7" xfId="32" applyNumberFormat="1" applyFont="1" applyBorder="1" applyAlignment="1">
      <alignment horizontal="left" wrapText="1"/>
    </xf>
    <xf numFmtId="0" fontId="9" fillId="0" borderId="0" xfId="32" applyFont="1" applyAlignment="1">
      <alignment horizontal="center" vertical="center" wrapText="1"/>
    </xf>
    <xf numFmtId="0" fontId="9" fillId="0" borderId="0" xfId="32" applyFont="1" applyAlignment="1">
      <alignment horizontal="center" vertical="center"/>
    </xf>
    <xf numFmtId="0" fontId="12" fillId="0" borderId="0" xfId="32" applyFont="1" applyFill="1" applyBorder="1" applyAlignment="1">
      <alignment horizontal="center" vertical="top"/>
    </xf>
    <xf numFmtId="49" fontId="10" fillId="0" borderId="0" xfId="32" applyNumberFormat="1" applyFont="1" applyBorder="1" applyAlignment="1">
      <alignment horizontal="left" wrapText="1"/>
    </xf>
    <xf numFmtId="1" fontId="17" fillId="0" borderId="0" xfId="0" applyNumberFormat="1" applyFont="1" applyFill="1" applyBorder="1" applyAlignment="1">
      <alignment horizontal="center" vertical="top" wrapText="1"/>
    </xf>
    <xf numFmtId="1" fontId="17" fillId="0" borderId="0" xfId="0" quotePrefix="1" applyNumberFormat="1" applyFont="1" applyFill="1" applyBorder="1" applyAlignment="1">
      <alignment horizontal="center" vertical="center" wrapText="1"/>
    </xf>
    <xf numFmtId="0" fontId="10" fillId="0" borderId="0" xfId="0" applyFont="1" applyBorder="1" applyAlignment="1">
      <alignment horizontal="left" wrapText="1"/>
    </xf>
    <xf numFmtId="0" fontId="13" fillId="0" borderId="0" xfId="0" applyFont="1" applyBorder="1" applyAlignment="1">
      <alignment horizontal="left" wrapText="1"/>
    </xf>
    <xf numFmtId="0" fontId="12" fillId="0" borderId="0" xfId="0" quotePrefix="1" applyFont="1" applyBorder="1" applyAlignment="1">
      <alignment horizontal="left" vertical="top"/>
    </xf>
    <xf numFmtId="0" fontId="12" fillId="0" borderId="0" xfId="0" applyFont="1" applyAlignment="1">
      <alignment horizontal="center" vertical="top"/>
    </xf>
    <xf numFmtId="0" fontId="9" fillId="0" borderId="0" xfId="0" applyFont="1" applyBorder="1" applyAlignment="1">
      <alignment horizontal="center"/>
    </xf>
    <xf numFmtId="0" fontId="11" fillId="0" borderId="0" xfId="0" applyFont="1" applyBorder="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Fill="1" applyBorder="1" applyAlignment="1">
      <alignment horizontal="center" vertical="center"/>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1" fillId="0" borderId="0" xfId="0" applyFont="1" applyFill="1" applyBorder="1" applyAlignment="1">
      <alignment vertical="top" wrapText="1"/>
    </xf>
    <xf numFmtId="0" fontId="13" fillId="0" borderId="0" xfId="0" applyFont="1" applyFill="1" applyBorder="1" applyAlignment="1">
      <alignment vertical="center" wrapText="1"/>
    </xf>
    <xf numFmtId="0" fontId="13" fillId="0" borderId="0" xfId="0" applyFont="1" applyFill="1" applyBorder="1" applyAlignment="1">
      <alignment vertical="top" wrapText="1"/>
    </xf>
    <xf numFmtId="0" fontId="17" fillId="0" borderId="0"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3" xfId="0" applyFont="1" applyFill="1" applyBorder="1" applyAlignment="1">
      <alignment horizontal="center" vertical="center"/>
    </xf>
    <xf numFmtId="0" fontId="12" fillId="0" borderId="0" xfId="0" applyFont="1" applyFill="1" applyAlignment="1">
      <alignment horizontal="center" vertical="top" wrapText="1"/>
    </xf>
    <xf numFmtId="0" fontId="17" fillId="0" borderId="0" xfId="0" applyFont="1" applyFill="1" applyAlignment="1">
      <alignment horizontal="center" vertical="center" wrapText="1"/>
    </xf>
    <xf numFmtId="0" fontId="11"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3" fillId="0" borderId="0" xfId="0" applyFont="1" applyFill="1" applyBorder="1" applyAlignment="1">
      <alignment horizontal="center" vertical="center" textRotation="90"/>
    </xf>
    <xf numFmtId="2" fontId="11" fillId="0" borderId="40" xfId="0" applyNumberFormat="1" applyFont="1" applyFill="1" applyBorder="1" applyAlignment="1">
      <alignment horizontal="right" vertical="center"/>
    </xf>
    <xf numFmtId="2" fontId="25" fillId="0" borderId="36" xfId="0" applyNumberFormat="1" applyFont="1" applyFill="1" applyBorder="1" applyAlignment="1">
      <alignment horizontal="right" vertical="center"/>
    </xf>
    <xf numFmtId="168" fontId="25" fillId="0" borderId="2" xfId="0" applyNumberFormat="1" applyFont="1" applyBorder="1" applyAlignment="1">
      <alignment horizontal="right" vertical="center"/>
    </xf>
    <xf numFmtId="168" fontId="25" fillId="0" borderId="4" xfId="0" applyNumberFormat="1" applyFont="1" applyBorder="1" applyAlignment="1">
      <alignment horizontal="right" vertical="center"/>
    </xf>
    <xf numFmtId="168" fontId="25" fillId="0" borderId="37" xfId="0" applyNumberFormat="1" applyFont="1" applyBorder="1" applyAlignment="1">
      <alignment horizontal="right" vertical="center"/>
    </xf>
    <xf numFmtId="2" fontId="25" fillId="0" borderId="35" xfId="0" applyNumberFormat="1" applyFont="1" applyFill="1" applyBorder="1" applyAlignment="1">
      <alignment horizontal="right" vertical="center"/>
    </xf>
    <xf numFmtId="165" fontId="9" fillId="0" borderId="40" xfId="0" applyNumberFormat="1" applyFont="1" applyBorder="1" applyAlignment="1">
      <alignment horizontal="center" vertical="center"/>
    </xf>
    <xf numFmtId="165" fontId="25" fillId="0" borderId="36" xfId="0" applyNumberFormat="1" applyFont="1" applyBorder="1" applyAlignment="1">
      <alignment horizontal="center" vertical="center"/>
    </xf>
    <xf numFmtId="165" fontId="25" fillId="0" borderId="3" xfId="0" applyNumberFormat="1" applyFont="1" applyBorder="1" applyAlignment="1">
      <alignment horizontal="center" vertical="center"/>
    </xf>
  </cellXfs>
  <cellStyles count="77">
    <cellStyle name="€ : (passage a l'EURO)" xfId="16"/>
    <cellStyle name="Column heading" xfId="35"/>
    <cellStyle name="Comma 6" xfId="76"/>
    <cellStyle name="Corner heading" xfId="36"/>
    <cellStyle name="Data" xfId="37"/>
    <cellStyle name="Data 2" xfId="72"/>
    <cellStyle name="Data no deci" xfId="38"/>
    <cellStyle name="Data Superscript" xfId="39"/>
    <cellStyle name="Data_1-1A-Regular" xfId="40"/>
    <cellStyle name="Euro" xfId="27"/>
    <cellStyle name="Heading" xfId="11"/>
    <cellStyle name="Hed Side" xfId="41"/>
    <cellStyle name="Hed Side 2" xfId="71"/>
    <cellStyle name="Hed Side bold" xfId="42"/>
    <cellStyle name="Hed Side Indent" xfId="43"/>
    <cellStyle name="Hed Side Regular" xfId="44"/>
    <cellStyle name="Hed Side_1-1A-Regular" xfId="45"/>
    <cellStyle name="Hed Top" xfId="46"/>
    <cellStyle name="Hed Top - SECTION" xfId="47"/>
    <cellStyle name="Hed Top_3-new4" xfId="48"/>
    <cellStyle name="Hyperlink 2" xfId="28"/>
    <cellStyle name="Normal" xfId="0" builtinId="0"/>
    <cellStyle name="Normal 10" xfId="31"/>
    <cellStyle name="Normal 11" xfId="33"/>
    <cellStyle name="Normal 2" xfId="5"/>
    <cellStyle name="Normal 2 2" xfId="32"/>
    <cellStyle name="Normal 3" xfId="6"/>
    <cellStyle name="Normal 4" xfId="7"/>
    <cellStyle name="Normal 5" xfId="8"/>
    <cellStyle name="Normal 5 2" xfId="34"/>
    <cellStyle name="Normal 6" xfId="9"/>
    <cellStyle name="Normal 7" xfId="10"/>
    <cellStyle name="Normal 7 2" xfId="74"/>
    <cellStyle name="Normal 8" xfId="17"/>
    <cellStyle name="Normal 8 2" xfId="75"/>
    <cellStyle name="Normal 9" xfId="30"/>
    <cellStyle name="Percent 2" xfId="12"/>
    <cellStyle name="Percent 3" xfId="29"/>
    <cellStyle name="Publication_style" xfId="13"/>
    <cellStyle name="Refdb standard" xfId="14"/>
    <cellStyle name="Reference" xfId="49"/>
    <cellStyle name="Row heading" xfId="50"/>
    <cellStyle name="Source" xfId="15"/>
    <cellStyle name="Source Hed" xfId="51"/>
    <cellStyle name="Source Letter" xfId="52"/>
    <cellStyle name="Source Superscript" xfId="53"/>
    <cellStyle name="Source Superscript 2" xfId="73"/>
    <cellStyle name="Source Text" xfId="54"/>
    <cellStyle name="Source Text 2" xfId="4"/>
    <cellStyle name="Standard_E00seit45" xfId="1"/>
    <cellStyle name="State" xfId="55"/>
    <cellStyle name="Superscript" xfId="56"/>
    <cellStyle name="Table Data" xfId="57"/>
    <cellStyle name="Table Head Top" xfId="58"/>
    <cellStyle name="Table Hed Side" xfId="59"/>
    <cellStyle name="Table Title" xfId="60"/>
    <cellStyle name="tableau | cellule | normal | decimal 1" xfId="18"/>
    <cellStyle name="tableau | cellule | normal | pourcentage | decimal 1" xfId="19"/>
    <cellStyle name="tableau | cellule | total | decimal 1" xfId="20"/>
    <cellStyle name="tableau | coin superieur gauche" xfId="21"/>
    <cellStyle name="tableau | entete-colonne | series" xfId="22"/>
    <cellStyle name="tableau | entete-ligne | normal" xfId="23"/>
    <cellStyle name="tableau | entete-ligne | total" xfId="24"/>
    <cellStyle name="tableau | ligne-titre | niveau1" xfId="25"/>
    <cellStyle name="tableau | ligne-titre | niveau2" xfId="26"/>
    <cellStyle name="Title Text" xfId="61"/>
    <cellStyle name="Title Text 1" xfId="62"/>
    <cellStyle name="Title Text 2" xfId="63"/>
    <cellStyle name="Title-1" xfId="64"/>
    <cellStyle name="Title-2" xfId="65"/>
    <cellStyle name="Title-3" xfId="66"/>
    <cellStyle name="Titre ligne" xfId="2"/>
    <cellStyle name="Total intermediaire" xfId="3"/>
    <cellStyle name="Wrap" xfId="67"/>
    <cellStyle name="Wrap Bold" xfId="68"/>
    <cellStyle name="Wrap Title" xfId="69"/>
    <cellStyle name="Wrap_NTS99-~11" xfId="7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A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00FFFF"/>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GB" sz="1200" b="1" i="0" u="none" strike="noStrike" baseline="0">
                <a:solidFill>
                  <a:srgbClr val="000000"/>
                </a:solidFill>
                <a:latin typeface="Arial"/>
                <a:cs typeface="Arial"/>
              </a:rPr>
              <a:t>EU-28 Performance by Mode for Passenger Transport</a:t>
            </a:r>
            <a:endParaRPr lang="en-GB" sz="10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en-GB" sz="1000" b="1" i="0" u="none" strike="noStrike" baseline="0">
                <a:solidFill>
                  <a:srgbClr val="000000"/>
                </a:solidFill>
                <a:latin typeface="Arial"/>
                <a:cs typeface="Arial"/>
              </a:rPr>
              <a:t>1995 - 2013</a:t>
            </a:r>
          </a:p>
          <a:p>
            <a:pPr>
              <a:defRPr sz="1000" b="0" i="0" u="none" strike="noStrike" baseline="0">
                <a:solidFill>
                  <a:srgbClr val="000000"/>
                </a:solidFill>
                <a:latin typeface="Arial"/>
                <a:ea typeface="Arial"/>
                <a:cs typeface="Arial"/>
              </a:defRPr>
            </a:pPr>
            <a:r>
              <a:rPr lang="en-GB" sz="800" b="1" i="0" u="none" strike="noStrike" baseline="0">
                <a:solidFill>
                  <a:srgbClr val="000000"/>
                </a:solidFill>
                <a:latin typeface="Arial"/>
                <a:cs typeface="Arial"/>
              </a:rPr>
              <a:t> billion passenger-kilometres</a:t>
            </a:r>
            <a:endParaRPr lang="en-GB"/>
          </a:p>
        </c:rich>
      </c:tx>
      <c:layout>
        <c:manualLayout>
          <c:xMode val="edge"/>
          <c:yMode val="edge"/>
          <c:x val="0.16640016797900262"/>
          <c:y val="9.9206349206349201E-3"/>
        </c:manualLayout>
      </c:layout>
      <c:overlay val="0"/>
      <c:spPr>
        <a:noFill/>
        <a:ln w="25400">
          <a:noFill/>
        </a:ln>
      </c:spPr>
    </c:title>
    <c:autoTitleDeleted val="0"/>
    <c:plotArea>
      <c:layout>
        <c:manualLayout>
          <c:layoutTarget val="inner"/>
          <c:xMode val="edge"/>
          <c:yMode val="edge"/>
          <c:x val="8.9600070000054682E-2"/>
          <c:y val="0.14880981214698843"/>
          <c:w val="0.8256006450005039"/>
          <c:h val="0.70436644416241201"/>
        </c:manualLayout>
      </c:layout>
      <c:lineChart>
        <c:grouping val="standard"/>
        <c:varyColors val="0"/>
        <c:ser>
          <c:idx val="1"/>
          <c:order val="0"/>
          <c:tx>
            <c:strRef>
              <c:f>passeng_graph!$B$37</c:f>
              <c:strCache>
                <c:ptCount val="1"/>
                <c:pt idx="0">
                  <c:v>Passenger Cars</c:v>
                </c:pt>
              </c:strCache>
            </c:strRef>
          </c:tx>
          <c:spPr>
            <a:ln w="25400">
              <a:solidFill>
                <a:srgbClr val="993300"/>
              </a:solidFill>
              <a:prstDash val="solid"/>
            </a:ln>
          </c:spPr>
          <c:marker>
            <c:symbol val="square"/>
            <c:size val="6"/>
            <c:spPr>
              <a:noFill/>
              <a:ln>
                <a:solidFill>
                  <a:srgbClr val="993300"/>
                </a:solidFill>
                <a:prstDash val="solid"/>
              </a:ln>
            </c:spPr>
          </c:marker>
          <c:cat>
            <c:numRef>
              <c:f>passeng_graph!$C$36:$U$36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passeng_graph!$C$37:$U$37</c:f>
              <c:numCache>
                <c:formatCode>0.0</c:formatCode>
                <c:ptCount val="19"/>
                <c:pt idx="0">
                  <c:v>3934.8472949825991</c:v>
                </c:pt>
                <c:pt idx="1">
                  <c:v>4002.9892634000898</c:v>
                </c:pt>
                <c:pt idx="2">
                  <c:v>4087.1699724458103</c:v>
                </c:pt>
                <c:pt idx="3">
                  <c:v>4191.0222675965633</c:v>
                </c:pt>
                <c:pt idx="4">
                  <c:v>4306.8127589563237</c:v>
                </c:pt>
                <c:pt idx="5">
                  <c:v>4355.421721862861</c:v>
                </c:pt>
                <c:pt idx="6">
                  <c:v>4454.1986074087799</c:v>
                </c:pt>
                <c:pt idx="7">
                  <c:v>4542.3424990272697</c:v>
                </c:pt>
                <c:pt idx="8">
                  <c:v>4585.56294581355</c:v>
                </c:pt>
                <c:pt idx="9">
                  <c:v>4651.570532845486</c:v>
                </c:pt>
                <c:pt idx="10">
                  <c:v>4591.3163466633541</c:v>
                </c:pt>
                <c:pt idx="11">
                  <c:v>4636.341548390018</c:v>
                </c:pt>
                <c:pt idx="12">
                  <c:v>4690.0408844782132</c:v>
                </c:pt>
                <c:pt idx="13">
                  <c:v>4698.4372953873526</c:v>
                </c:pt>
                <c:pt idx="14">
                  <c:v>4773.7939387817532</c:v>
                </c:pt>
                <c:pt idx="15">
                  <c:v>4716.8083029451464</c:v>
                </c:pt>
                <c:pt idx="16">
                  <c:v>4697.8278373856347</c:v>
                </c:pt>
                <c:pt idx="17">
                  <c:v>4614.0834454424476</c:v>
                </c:pt>
                <c:pt idx="18">
                  <c:v>4672.2636019642487</c:v>
                </c:pt>
              </c:numCache>
            </c:numRef>
          </c:val>
          <c:smooth val="0"/>
        </c:ser>
        <c:dLbls>
          <c:showLegendKey val="0"/>
          <c:showVal val="0"/>
          <c:showCatName val="0"/>
          <c:showSerName val="0"/>
          <c:showPercent val="0"/>
          <c:showBubbleSize val="0"/>
        </c:dLbls>
        <c:marker val="1"/>
        <c:smooth val="0"/>
        <c:axId val="40482304"/>
        <c:axId val="40484224"/>
      </c:lineChart>
      <c:lineChart>
        <c:grouping val="standard"/>
        <c:varyColors val="0"/>
        <c:ser>
          <c:idx val="0"/>
          <c:order val="1"/>
          <c:tx>
            <c:strRef>
              <c:f>passeng_graph!$B$39</c:f>
              <c:strCache>
                <c:ptCount val="1"/>
                <c:pt idx="0">
                  <c:v>Buses &amp; Coaches</c:v>
                </c:pt>
              </c:strCache>
            </c:strRef>
          </c:tx>
          <c:spPr>
            <a:ln w="25400">
              <a:solidFill>
                <a:srgbClr val="000000"/>
              </a:solidFill>
              <a:prstDash val="solid"/>
            </a:ln>
          </c:spPr>
          <c:marker>
            <c:symbol val="circle"/>
            <c:size val="7"/>
            <c:spPr>
              <a:solidFill>
                <a:srgbClr val="000000"/>
              </a:solidFill>
              <a:ln>
                <a:solidFill>
                  <a:srgbClr val="000000"/>
                </a:solidFill>
                <a:prstDash val="solid"/>
              </a:ln>
            </c:spPr>
          </c:marker>
          <c:cat>
            <c:numRef>
              <c:f>passeng_graph!$C$36:$U$36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passeng_graph!$C$39:$U$39</c:f>
              <c:numCache>
                <c:formatCode>0.0</c:formatCode>
                <c:ptCount val="19"/>
                <c:pt idx="0">
                  <c:v>502.51010206168331</c:v>
                </c:pt>
                <c:pt idx="1">
                  <c:v>506.98555971686721</c:v>
                </c:pt>
                <c:pt idx="2">
                  <c:v>508.68803017075322</c:v>
                </c:pt>
                <c:pt idx="3">
                  <c:v>515.80697187045746</c:v>
                </c:pt>
                <c:pt idx="4">
                  <c:v>517.97291071975974</c:v>
                </c:pt>
                <c:pt idx="5">
                  <c:v>548.2944955979774</c:v>
                </c:pt>
                <c:pt idx="6">
                  <c:v>547.47297815548859</c:v>
                </c:pt>
                <c:pt idx="7">
                  <c:v>538.57792774627455</c:v>
                </c:pt>
                <c:pt idx="8">
                  <c:v>542.86003212577236</c:v>
                </c:pt>
                <c:pt idx="9">
                  <c:v>543.94497028181354</c:v>
                </c:pt>
                <c:pt idx="10">
                  <c:v>540.71316117113236</c:v>
                </c:pt>
                <c:pt idx="11">
                  <c:v>537.00008042908155</c:v>
                </c:pt>
                <c:pt idx="12">
                  <c:v>549.20351163344651</c:v>
                </c:pt>
                <c:pt idx="13">
                  <c:v>554.46311356931756</c:v>
                </c:pt>
                <c:pt idx="14">
                  <c:v>533.78683836346738</c:v>
                </c:pt>
                <c:pt idx="15">
                  <c:v>527.80244019140275</c:v>
                </c:pt>
                <c:pt idx="16">
                  <c:v>530.14041479525679</c:v>
                </c:pt>
                <c:pt idx="17">
                  <c:v>524.09770276396614</c:v>
                </c:pt>
                <c:pt idx="18">
                  <c:v>526.48427683823536</c:v>
                </c:pt>
              </c:numCache>
            </c:numRef>
          </c:val>
          <c:smooth val="0"/>
        </c:ser>
        <c:ser>
          <c:idx val="3"/>
          <c:order val="2"/>
          <c:tx>
            <c:strRef>
              <c:f>passeng_graph!$B$42</c:f>
              <c:strCache>
                <c:ptCount val="1"/>
                <c:pt idx="0">
                  <c:v>Air</c:v>
                </c:pt>
              </c:strCache>
            </c:strRef>
          </c:tx>
          <c:spPr>
            <a:ln w="25400">
              <a:solidFill>
                <a:srgbClr val="FF0000"/>
              </a:solidFill>
              <a:prstDash val="solid"/>
            </a:ln>
          </c:spPr>
          <c:marker>
            <c:symbol val="x"/>
            <c:size val="3"/>
            <c:spPr>
              <a:solidFill>
                <a:srgbClr val="FF0000"/>
              </a:solidFill>
              <a:ln>
                <a:solidFill>
                  <a:srgbClr val="FF0000"/>
                </a:solidFill>
                <a:prstDash val="solid"/>
              </a:ln>
            </c:spPr>
          </c:marker>
          <c:cat>
            <c:numRef>
              <c:f>passeng_graph!$C$36:$U$36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passeng_graph!$C$42:$U$42</c:f>
              <c:numCache>
                <c:formatCode>0.0</c:formatCode>
                <c:ptCount val="19"/>
                <c:pt idx="0">
                  <c:v>347.90300000000002</c:v>
                </c:pt>
                <c:pt idx="1">
                  <c:v>368.01300000000003</c:v>
                </c:pt>
                <c:pt idx="2">
                  <c:v>392.14500000000004</c:v>
                </c:pt>
                <c:pt idx="3">
                  <c:v>411.24950000000001</c:v>
                </c:pt>
                <c:pt idx="4">
                  <c:v>427.33750000000003</c:v>
                </c:pt>
                <c:pt idx="5">
                  <c:v>459.51350000000002</c:v>
                </c:pt>
                <c:pt idx="6">
                  <c:v>455.49150000000003</c:v>
                </c:pt>
                <c:pt idx="7">
                  <c:v>447.44750000000005</c:v>
                </c:pt>
                <c:pt idx="8">
                  <c:v>465.54650000000004</c:v>
                </c:pt>
                <c:pt idx="9">
                  <c:v>495.71150000000006</c:v>
                </c:pt>
                <c:pt idx="10">
                  <c:v>529.89850000000001</c:v>
                </c:pt>
                <c:pt idx="11">
                  <c:v>552.01949999999999</c:v>
                </c:pt>
                <c:pt idx="12">
                  <c:v>575.14600000000007</c:v>
                </c:pt>
                <c:pt idx="13">
                  <c:v>563.29796133939999</c:v>
                </c:pt>
                <c:pt idx="14">
                  <c:v>524.99870159170007</c:v>
                </c:pt>
                <c:pt idx="15">
                  <c:v>539.47775820741992</c:v>
                </c:pt>
                <c:pt idx="16">
                  <c:v>579.80066050783</c:v>
                </c:pt>
                <c:pt idx="17">
                  <c:v>573.51095878296996</c:v>
                </c:pt>
                <c:pt idx="18">
                  <c:v>582.54808995462997</c:v>
                </c:pt>
              </c:numCache>
            </c:numRef>
          </c:val>
          <c:smooth val="0"/>
        </c:ser>
        <c:ser>
          <c:idx val="5"/>
          <c:order val="3"/>
          <c:tx>
            <c:strRef>
              <c:f>passeng_graph!$B$40</c:f>
              <c:strCache>
                <c:ptCount val="1"/>
                <c:pt idx="0">
                  <c:v>Railways</c:v>
                </c:pt>
              </c:strCache>
            </c:strRef>
          </c:tx>
          <c:spPr>
            <a:ln w="25400">
              <a:solidFill>
                <a:srgbClr val="339966"/>
              </a:solidFill>
              <a:prstDash val="solid"/>
            </a:ln>
          </c:spPr>
          <c:marker>
            <c:symbol val="triangle"/>
            <c:size val="7"/>
            <c:spPr>
              <a:solidFill>
                <a:srgbClr val="339966"/>
              </a:solidFill>
              <a:ln>
                <a:solidFill>
                  <a:srgbClr val="339966"/>
                </a:solidFill>
                <a:prstDash val="solid"/>
              </a:ln>
            </c:spPr>
          </c:marker>
          <c:cat>
            <c:numRef>
              <c:f>passeng_graph!$C$36:$U$36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passeng_graph!$C$40:$U$40</c:f>
              <c:numCache>
                <c:formatCode>0.0</c:formatCode>
                <c:ptCount val="19"/>
                <c:pt idx="0">
                  <c:v>350.32250628200006</c:v>
                </c:pt>
                <c:pt idx="1">
                  <c:v>348.7789985870001</c:v>
                </c:pt>
                <c:pt idx="2">
                  <c:v>349.80795994899984</c:v>
                </c:pt>
                <c:pt idx="3">
                  <c:v>350.73916329400004</c:v>
                </c:pt>
                <c:pt idx="4">
                  <c:v>358.488527788</c:v>
                </c:pt>
                <c:pt idx="5">
                  <c:v>371.50979316390823</c:v>
                </c:pt>
                <c:pt idx="6">
                  <c:v>373.59488607944144</c:v>
                </c:pt>
                <c:pt idx="7">
                  <c:v>366.12848532880457</c:v>
                </c:pt>
                <c:pt idx="8">
                  <c:v>362.43931435149534</c:v>
                </c:pt>
                <c:pt idx="9">
                  <c:v>368.79253977899998</c:v>
                </c:pt>
                <c:pt idx="10">
                  <c:v>377.38650492200014</c:v>
                </c:pt>
                <c:pt idx="11">
                  <c:v>389.34189861599998</c:v>
                </c:pt>
                <c:pt idx="12">
                  <c:v>395.59245699900004</c:v>
                </c:pt>
                <c:pt idx="13">
                  <c:v>410.69711544400002</c:v>
                </c:pt>
                <c:pt idx="14">
                  <c:v>403.73641833891702</c:v>
                </c:pt>
                <c:pt idx="15">
                  <c:v>405.29756774583996</c:v>
                </c:pt>
                <c:pt idx="16">
                  <c:v>414.52298075838007</c:v>
                </c:pt>
                <c:pt idx="17">
                  <c:v>419.57548485826499</c:v>
                </c:pt>
                <c:pt idx="18">
                  <c:v>424.22109999999998</c:v>
                </c:pt>
              </c:numCache>
            </c:numRef>
          </c:val>
          <c:smooth val="0"/>
        </c:ser>
        <c:ser>
          <c:idx val="6"/>
          <c:order val="4"/>
          <c:tx>
            <c:strRef>
              <c:f>passeng_graph!$B$38</c:f>
              <c:strCache>
                <c:ptCount val="1"/>
                <c:pt idx="0">
                  <c:v>Powered 2-wheelers</c:v>
                </c:pt>
              </c:strCache>
            </c:strRef>
          </c:tx>
          <c:spPr>
            <a:ln w="25400">
              <a:solidFill>
                <a:srgbClr val="FF9900"/>
              </a:solidFill>
              <a:prstDash val="solid"/>
            </a:ln>
          </c:spPr>
          <c:marker>
            <c:symbol val="star"/>
            <c:size val="7"/>
            <c:spPr>
              <a:noFill/>
              <a:ln>
                <a:solidFill>
                  <a:srgbClr val="FF9900"/>
                </a:solidFill>
                <a:prstDash val="solid"/>
              </a:ln>
            </c:spPr>
          </c:marker>
          <c:cat>
            <c:numRef>
              <c:f>passeng_graph!$C$36:$U$36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passeng_graph!$C$38:$U$38</c:f>
              <c:numCache>
                <c:formatCode>0.0</c:formatCode>
                <c:ptCount val="19"/>
                <c:pt idx="0">
                  <c:v>116.43349763449469</c:v>
                </c:pt>
                <c:pt idx="1">
                  <c:v>117.96439863754195</c:v>
                </c:pt>
                <c:pt idx="2">
                  <c:v>122.02008293891569</c:v>
                </c:pt>
                <c:pt idx="3">
                  <c:v>126.07642493455046</c:v>
                </c:pt>
                <c:pt idx="4">
                  <c:v>129.94084724369375</c:v>
                </c:pt>
                <c:pt idx="5">
                  <c:v>107.69282696820279</c:v>
                </c:pt>
                <c:pt idx="6">
                  <c:v>112.05720646755084</c:v>
                </c:pt>
                <c:pt idx="7">
                  <c:v>113.74168396199428</c:v>
                </c:pt>
                <c:pt idx="8">
                  <c:v>116.82360863597165</c:v>
                </c:pt>
                <c:pt idx="9">
                  <c:v>120.7063227627053</c:v>
                </c:pt>
                <c:pt idx="10">
                  <c:v>123.4366773735735</c:v>
                </c:pt>
                <c:pt idx="11">
                  <c:v>122.9870348769134</c:v>
                </c:pt>
                <c:pt idx="12">
                  <c:v>119.00157832317467</c:v>
                </c:pt>
                <c:pt idx="13">
                  <c:v>124.49542998651297</c:v>
                </c:pt>
                <c:pt idx="14">
                  <c:v>122.27556736209432</c:v>
                </c:pt>
                <c:pt idx="15">
                  <c:v>122.51004903961785</c:v>
                </c:pt>
                <c:pt idx="16">
                  <c:v>125.31287878486302</c:v>
                </c:pt>
                <c:pt idx="17">
                  <c:v>125.68193993272386</c:v>
                </c:pt>
                <c:pt idx="18">
                  <c:v>125.06204759518815</c:v>
                </c:pt>
              </c:numCache>
            </c:numRef>
          </c:val>
          <c:smooth val="0"/>
        </c:ser>
        <c:ser>
          <c:idx val="2"/>
          <c:order val="5"/>
          <c:tx>
            <c:strRef>
              <c:f>passeng_graph!$B$41</c:f>
              <c:strCache>
                <c:ptCount val="1"/>
                <c:pt idx="0">
                  <c:v>Tram &amp; Metro</c:v>
                </c:pt>
              </c:strCache>
            </c:strRef>
          </c:tx>
          <c:spPr>
            <a:ln w="25400">
              <a:solidFill>
                <a:srgbClr val="00FF00"/>
              </a:solidFill>
              <a:prstDash val="solid"/>
            </a:ln>
          </c:spPr>
          <c:marker>
            <c:symbol val="diamond"/>
            <c:size val="7"/>
            <c:spPr>
              <a:solidFill>
                <a:srgbClr val="00FF00"/>
              </a:solidFill>
              <a:ln>
                <a:solidFill>
                  <a:srgbClr val="00FF00"/>
                </a:solidFill>
                <a:prstDash val="solid"/>
              </a:ln>
            </c:spPr>
          </c:marker>
          <c:cat>
            <c:numRef>
              <c:f>passeng_graph!$C$36:$U$36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passeng_graph!$C$41:$U$41</c:f>
              <c:numCache>
                <c:formatCode>0.0</c:formatCode>
                <c:ptCount val="19"/>
                <c:pt idx="0">
                  <c:v>71.891826933853139</c:v>
                </c:pt>
                <c:pt idx="1">
                  <c:v>72.75844704285268</c:v>
                </c:pt>
                <c:pt idx="2">
                  <c:v>73.401167505661675</c:v>
                </c:pt>
                <c:pt idx="3">
                  <c:v>74.514813769858449</c:v>
                </c:pt>
                <c:pt idx="4">
                  <c:v>76.185605585658649</c:v>
                </c:pt>
                <c:pt idx="5">
                  <c:v>78.388666385006502</c:v>
                </c:pt>
                <c:pt idx="6">
                  <c:v>79.073858000126307</c:v>
                </c:pt>
                <c:pt idx="7">
                  <c:v>80.321590420302201</c:v>
                </c:pt>
                <c:pt idx="8">
                  <c:v>80.632544951289475</c:v>
                </c:pt>
                <c:pt idx="9">
                  <c:v>83.29197964551507</c:v>
                </c:pt>
                <c:pt idx="10">
                  <c:v>83.878405085217736</c:v>
                </c:pt>
                <c:pt idx="11">
                  <c:v>85.734380647038435</c:v>
                </c:pt>
                <c:pt idx="12">
                  <c:v>87.67852304119863</c:v>
                </c:pt>
                <c:pt idx="13">
                  <c:v>91.072720544643673</c:v>
                </c:pt>
                <c:pt idx="14">
                  <c:v>90.904844763775003</c:v>
                </c:pt>
                <c:pt idx="15">
                  <c:v>92.183460178851135</c:v>
                </c:pt>
                <c:pt idx="16">
                  <c:v>93.36664850878708</c:v>
                </c:pt>
                <c:pt idx="17">
                  <c:v>94.628205964957516</c:v>
                </c:pt>
                <c:pt idx="18">
                  <c:v>95.385432105442803</c:v>
                </c:pt>
              </c:numCache>
            </c:numRef>
          </c:val>
          <c:smooth val="0"/>
        </c:ser>
        <c:ser>
          <c:idx val="4"/>
          <c:order val="6"/>
          <c:tx>
            <c:strRef>
              <c:f>passeng_graph!$B$43</c:f>
              <c:strCache>
                <c:ptCount val="1"/>
                <c:pt idx="0">
                  <c:v>Sea</c:v>
                </c:pt>
              </c:strCache>
            </c:strRef>
          </c:tx>
          <c:spPr>
            <a:ln w="25400">
              <a:solidFill>
                <a:srgbClr val="0000FF"/>
              </a:solidFill>
              <a:prstDash val="solid"/>
            </a:ln>
          </c:spPr>
          <c:marker>
            <c:symbol val="triangle"/>
            <c:size val="3"/>
            <c:spPr>
              <a:solidFill>
                <a:srgbClr val="0000FF"/>
              </a:solidFill>
              <a:ln>
                <a:solidFill>
                  <a:srgbClr val="0000FF"/>
                </a:solidFill>
                <a:prstDash val="solid"/>
              </a:ln>
            </c:spPr>
          </c:marker>
          <c:cat>
            <c:numRef>
              <c:f>passeng_graph!$C$36:$U$36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passeng_graph!$C$43:$U$43</c:f>
              <c:numCache>
                <c:formatCode>0.0</c:formatCode>
                <c:ptCount val="19"/>
                <c:pt idx="0">
                  <c:v>44.4</c:v>
                </c:pt>
                <c:pt idx="1">
                  <c:v>44</c:v>
                </c:pt>
                <c:pt idx="2">
                  <c:v>43.6</c:v>
                </c:pt>
                <c:pt idx="3">
                  <c:v>43.1</c:v>
                </c:pt>
                <c:pt idx="4">
                  <c:v>42.6</c:v>
                </c:pt>
                <c:pt idx="5">
                  <c:v>41.7</c:v>
                </c:pt>
                <c:pt idx="6">
                  <c:v>42</c:v>
                </c:pt>
                <c:pt idx="7">
                  <c:v>43.314030492915776</c:v>
                </c:pt>
                <c:pt idx="8">
                  <c:v>43.114081266229043</c:v>
                </c:pt>
                <c:pt idx="9">
                  <c:v>42.607879155803012</c:v>
                </c:pt>
                <c:pt idx="10">
                  <c:v>41.716561428007651</c:v>
                </c:pt>
                <c:pt idx="11">
                  <c:v>42.268884620020124</c:v>
                </c:pt>
                <c:pt idx="12">
                  <c:v>43.43595617914599</c:v>
                </c:pt>
                <c:pt idx="13">
                  <c:v>43.479950396729279</c:v>
                </c:pt>
                <c:pt idx="14">
                  <c:v>42.536198751699693</c:v>
                </c:pt>
                <c:pt idx="15">
                  <c:v>40.47620197710738</c:v>
                </c:pt>
                <c:pt idx="16">
                  <c:v>39.11197573933616</c:v>
                </c:pt>
                <c:pt idx="17">
                  <c:v>41.970204085276109</c:v>
                </c:pt>
                <c:pt idx="18">
                  <c:v>39.027607867280523</c:v>
                </c:pt>
              </c:numCache>
            </c:numRef>
          </c:val>
          <c:smooth val="0"/>
        </c:ser>
        <c:dLbls>
          <c:showLegendKey val="0"/>
          <c:showVal val="0"/>
          <c:showCatName val="0"/>
          <c:showSerName val="0"/>
          <c:showPercent val="0"/>
          <c:showBubbleSize val="0"/>
        </c:dLbls>
        <c:marker val="1"/>
        <c:smooth val="0"/>
        <c:axId val="40498688"/>
        <c:axId val="40500224"/>
      </c:lineChart>
      <c:catAx>
        <c:axId val="40482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0484224"/>
        <c:crosses val="autoZero"/>
        <c:auto val="0"/>
        <c:lblAlgn val="ctr"/>
        <c:lblOffset val="100"/>
        <c:tickLblSkip val="1"/>
        <c:tickMarkSkip val="1"/>
        <c:noMultiLvlLbl val="0"/>
      </c:catAx>
      <c:valAx>
        <c:axId val="40484224"/>
        <c:scaling>
          <c:orientation val="minMax"/>
          <c:max val="5000"/>
          <c:min val="0"/>
        </c:scaling>
        <c:delete val="0"/>
        <c:axPos val="l"/>
        <c:title>
          <c:tx>
            <c:rich>
              <a:bodyPr/>
              <a:lstStyle/>
              <a:p>
                <a:pPr>
                  <a:defRPr sz="800" b="1" i="0" u="none" strike="noStrike" baseline="0">
                    <a:solidFill>
                      <a:srgbClr val="000000"/>
                    </a:solidFill>
                    <a:latin typeface="Arial"/>
                    <a:ea typeface="Arial"/>
                    <a:cs typeface="Arial"/>
                  </a:defRPr>
                </a:pPr>
                <a:r>
                  <a:rPr lang="en-GB"/>
                  <a:t>Passenger Cars scale</a:t>
                </a:r>
              </a:p>
            </c:rich>
          </c:tx>
          <c:layout>
            <c:manualLayout>
              <c:xMode val="edge"/>
              <c:yMode val="edge"/>
              <c:x val="8.0000000000000002E-3"/>
              <c:y val="0.3789690871974336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82304"/>
        <c:crosses val="autoZero"/>
        <c:crossBetween val="midCat"/>
      </c:valAx>
      <c:catAx>
        <c:axId val="40498688"/>
        <c:scaling>
          <c:orientation val="minMax"/>
        </c:scaling>
        <c:delete val="1"/>
        <c:axPos val="b"/>
        <c:numFmt formatCode="General" sourceLinked="1"/>
        <c:majorTickMark val="out"/>
        <c:minorTickMark val="none"/>
        <c:tickLblPos val="nextTo"/>
        <c:crossAx val="40500224"/>
        <c:crosses val="autoZero"/>
        <c:auto val="0"/>
        <c:lblAlgn val="ctr"/>
        <c:lblOffset val="100"/>
        <c:noMultiLvlLbl val="0"/>
      </c:catAx>
      <c:valAx>
        <c:axId val="40500224"/>
        <c:scaling>
          <c:orientation val="minMax"/>
          <c:max val="1000"/>
        </c:scaling>
        <c:delete val="0"/>
        <c:axPos val="r"/>
        <c:title>
          <c:tx>
            <c:rich>
              <a:bodyPr/>
              <a:lstStyle/>
              <a:p>
                <a:pPr>
                  <a:defRPr sz="800" b="1" i="0" u="none" strike="noStrike" baseline="0">
                    <a:solidFill>
                      <a:srgbClr val="000000"/>
                    </a:solidFill>
                    <a:latin typeface="Arial"/>
                    <a:ea typeface="Arial"/>
                    <a:cs typeface="Arial"/>
                  </a:defRPr>
                </a:pPr>
                <a:r>
                  <a:rPr lang="en-GB"/>
                  <a:t>Scale for other modes</a:t>
                </a:r>
              </a:p>
            </c:rich>
          </c:tx>
          <c:layout>
            <c:manualLayout>
              <c:xMode val="edge"/>
              <c:yMode val="edge"/>
              <c:x val="0.95840067191601042"/>
              <c:y val="0.3710323709536307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98688"/>
        <c:crosses val="max"/>
        <c:crossBetween val="midCat"/>
      </c:valAx>
      <c:spPr>
        <a:solidFill>
          <a:srgbClr val="FFFFFF"/>
        </a:solidFill>
        <a:ln w="12700">
          <a:solidFill>
            <a:srgbClr val="808080"/>
          </a:solidFill>
          <a:prstDash val="solid"/>
        </a:ln>
      </c:spPr>
    </c:plotArea>
    <c:legend>
      <c:legendPos val="b"/>
      <c:layout>
        <c:manualLayout>
          <c:xMode val="edge"/>
          <c:yMode val="edge"/>
          <c:x val="3.6799999999999999E-2"/>
          <c:y val="0.91468441444819393"/>
          <c:w val="0.9264006719160105"/>
          <c:h val="7.936528767237427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CCFFCC"/>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13</xdr:col>
      <xdr:colOff>400050</xdr:colOff>
      <xdr:row>30</xdr:row>
      <xdr:rowOff>123825</xdr:rowOff>
    </xdr:to>
    <xdr:graphicFrame macro="">
      <xdr:nvGraphicFramePr>
        <xdr:cNvPr id="616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1"/>
  <dimension ref="B1:E59"/>
  <sheetViews>
    <sheetView workbookViewId="0">
      <selection activeCell="B9" sqref="B9"/>
    </sheetView>
  </sheetViews>
  <sheetFormatPr defaultRowHeight="12.75" x14ac:dyDescent="0.2"/>
  <cols>
    <col min="1" max="1" width="0.85546875" style="4" customWidth="1"/>
    <col min="2" max="2" width="7.7109375" style="6" customWidth="1"/>
    <col min="3" max="3" width="2" style="8" customWidth="1"/>
    <col min="4" max="4" width="51.5703125" style="4" customWidth="1"/>
    <col min="5" max="5" width="12.140625" style="4" customWidth="1"/>
    <col min="6" max="16384" width="9.140625" style="4"/>
  </cols>
  <sheetData>
    <row r="1" spans="2:5" ht="20.100000000000001" customHeight="1" x14ac:dyDescent="0.2">
      <c r="B1" s="482" t="s">
        <v>55</v>
      </c>
      <c r="C1" s="482"/>
      <c r="D1" s="482"/>
      <c r="E1" s="482"/>
    </row>
    <row r="2" spans="2:5" ht="20.100000000000001" customHeight="1" x14ac:dyDescent="0.2">
      <c r="B2" s="483" t="s">
        <v>56</v>
      </c>
      <c r="C2" s="483"/>
      <c r="D2" s="483"/>
      <c r="E2" s="483"/>
    </row>
    <row r="3" spans="2:5" ht="20.100000000000001" customHeight="1" x14ac:dyDescent="0.2">
      <c r="B3" s="484" t="s">
        <v>101</v>
      </c>
      <c r="C3" s="484"/>
      <c r="D3" s="484"/>
      <c r="E3" s="484"/>
    </row>
    <row r="4" spans="2:5" ht="20.100000000000001" customHeight="1" x14ac:dyDescent="0.2">
      <c r="B4" s="485" t="s">
        <v>58</v>
      </c>
      <c r="C4" s="485"/>
      <c r="D4" s="485"/>
      <c r="E4" s="485"/>
    </row>
    <row r="5" spans="2:5" ht="20.100000000000001" customHeight="1" x14ac:dyDescent="0.2">
      <c r="B5" s="51"/>
      <c r="C5" s="51"/>
      <c r="D5" s="51"/>
      <c r="E5" s="51"/>
    </row>
    <row r="6" spans="2:5" ht="20.100000000000001" customHeight="1" x14ac:dyDescent="0.2"/>
    <row r="7" spans="2:5" ht="20.100000000000001" customHeight="1" x14ac:dyDescent="0.2">
      <c r="B7" s="482" t="s">
        <v>102</v>
      </c>
      <c r="C7" s="482"/>
      <c r="D7" s="482"/>
      <c r="E7" s="482"/>
    </row>
    <row r="8" spans="2:5" ht="20.100000000000001" customHeight="1" x14ac:dyDescent="0.2">
      <c r="B8" s="488">
        <v>2015</v>
      </c>
      <c r="C8" s="489"/>
      <c r="D8" s="489"/>
      <c r="E8" s="489"/>
    </row>
    <row r="9" spans="2:5" ht="20.100000000000001" customHeight="1" x14ac:dyDescent="0.2">
      <c r="B9" s="52"/>
      <c r="C9" s="52"/>
      <c r="D9" s="52"/>
      <c r="E9" s="52"/>
    </row>
    <row r="10" spans="2:5" ht="20.100000000000001" customHeight="1" x14ac:dyDescent="0.2">
      <c r="B10" s="486" t="s">
        <v>104</v>
      </c>
      <c r="C10" s="486"/>
      <c r="D10" s="486"/>
      <c r="E10" s="486"/>
    </row>
    <row r="11" spans="2:5" ht="20.100000000000001" customHeight="1" x14ac:dyDescent="0.2">
      <c r="B11" s="5"/>
      <c r="E11" s="5"/>
    </row>
    <row r="12" spans="2:5" ht="20.100000000000001" customHeight="1" x14ac:dyDescent="0.2">
      <c r="B12" s="487" t="s">
        <v>103</v>
      </c>
      <c r="C12" s="487"/>
      <c r="D12" s="487"/>
      <c r="E12" s="487"/>
    </row>
    <row r="13" spans="2:5" customFormat="1" ht="20.100000000000001" customHeight="1" x14ac:dyDescent="0.2">
      <c r="B13" s="487" t="s">
        <v>62</v>
      </c>
      <c r="C13" s="487"/>
      <c r="D13" s="487"/>
      <c r="E13" s="487"/>
    </row>
    <row r="14" spans="2:5" customFormat="1" ht="20.100000000000001" customHeight="1" x14ac:dyDescent="0.2">
      <c r="B14" s="487" t="s">
        <v>63</v>
      </c>
      <c r="C14" s="487"/>
      <c r="D14" s="487"/>
      <c r="E14" s="487"/>
    </row>
    <row r="15" spans="2:5" ht="20.100000000000001" customHeight="1" x14ac:dyDescent="0.2">
      <c r="B15" s="5"/>
      <c r="D15"/>
      <c r="E15" s="5"/>
    </row>
    <row r="16" spans="2:5" ht="20.100000000000001" customHeight="1" x14ac:dyDescent="0.2">
      <c r="B16" s="5"/>
      <c r="E16" s="5"/>
    </row>
    <row r="17" spans="2:5" customFormat="1" ht="15" customHeight="1" x14ac:dyDescent="0.2">
      <c r="B17" s="53" t="s">
        <v>90</v>
      </c>
      <c r="C17" s="54"/>
      <c r="D17" s="55" t="s">
        <v>57</v>
      </c>
      <c r="E17" s="5"/>
    </row>
    <row r="18" spans="2:5" customFormat="1" ht="15" customHeight="1" x14ac:dyDescent="0.2">
      <c r="B18" s="53" t="s">
        <v>94</v>
      </c>
      <c r="C18" s="54"/>
      <c r="D18" s="55" t="s">
        <v>59</v>
      </c>
      <c r="E18" s="5"/>
    </row>
    <row r="19" spans="2:5" customFormat="1" ht="15" customHeight="1" x14ac:dyDescent="0.2">
      <c r="B19" s="53" t="s">
        <v>93</v>
      </c>
      <c r="C19" s="54"/>
      <c r="D19" s="55" t="s">
        <v>60</v>
      </c>
      <c r="E19" s="5"/>
    </row>
    <row r="20" spans="2:5" ht="15" customHeight="1" x14ac:dyDescent="0.2">
      <c r="B20" s="53" t="s">
        <v>95</v>
      </c>
      <c r="C20" s="54"/>
      <c r="D20" s="57" t="s">
        <v>45</v>
      </c>
      <c r="E20" s="5"/>
    </row>
    <row r="21" spans="2:5" ht="15" customHeight="1" x14ac:dyDescent="0.2">
      <c r="B21" s="53" t="s">
        <v>96</v>
      </c>
      <c r="C21" s="54"/>
      <c r="D21" s="57" t="s">
        <v>46</v>
      </c>
      <c r="E21" s="5"/>
    </row>
    <row r="22" spans="2:5" customFormat="1" ht="15" customHeight="1" x14ac:dyDescent="0.2">
      <c r="B22" s="53" t="s">
        <v>97</v>
      </c>
      <c r="C22" s="56"/>
      <c r="D22" s="57" t="s">
        <v>1</v>
      </c>
    </row>
    <row r="23" spans="2:5" ht="15" customHeight="1" x14ac:dyDescent="0.2">
      <c r="B23" s="53" t="s">
        <v>98</v>
      </c>
      <c r="C23" s="56"/>
      <c r="D23" s="57" t="s">
        <v>47</v>
      </c>
      <c r="E23"/>
    </row>
    <row r="24" spans="2:5" ht="15" customHeight="1" x14ac:dyDescent="0.2">
      <c r="B24" s="53" t="s">
        <v>99</v>
      </c>
      <c r="C24" s="56"/>
      <c r="D24" s="55" t="s">
        <v>77</v>
      </c>
      <c r="E24" s="5"/>
    </row>
    <row r="25" spans="2:5" ht="15" customHeight="1" x14ac:dyDescent="0.2">
      <c r="B25" s="53" t="s">
        <v>100</v>
      </c>
      <c r="C25" s="70"/>
      <c r="D25" s="55" t="s">
        <v>78</v>
      </c>
      <c r="E25" s="5"/>
    </row>
    <row r="26" spans="2:5" x14ac:dyDescent="0.2">
      <c r="B26" s="5"/>
      <c r="E26" s="5"/>
    </row>
    <row r="27" spans="2:5" x14ac:dyDescent="0.2">
      <c r="B27" s="5"/>
      <c r="E27" s="5"/>
    </row>
    <row r="28" spans="2:5" x14ac:dyDescent="0.2">
      <c r="C28"/>
    </row>
    <row r="29" spans="2:5" x14ac:dyDescent="0.2">
      <c r="B29"/>
      <c r="C29"/>
      <c r="D29"/>
      <c r="E29"/>
    </row>
    <row r="30" spans="2:5" ht="13.5" x14ac:dyDescent="0.25">
      <c r="B30" s="7"/>
      <c r="E30"/>
    </row>
    <row r="31" spans="2:5" x14ac:dyDescent="0.2">
      <c r="B31" s="5"/>
      <c r="E31" s="5"/>
    </row>
    <row r="32" spans="2:5" x14ac:dyDescent="0.2">
      <c r="B32" s="5"/>
      <c r="E32" s="5"/>
    </row>
    <row r="33" spans="2:5" x14ac:dyDescent="0.2">
      <c r="B33" s="5"/>
      <c r="E33" s="5"/>
    </row>
    <row r="34" spans="2:5" x14ac:dyDescent="0.2">
      <c r="B34" s="5"/>
      <c r="E34" s="5"/>
    </row>
    <row r="35" spans="2:5" x14ac:dyDescent="0.2">
      <c r="B35" s="5"/>
      <c r="E35" s="5"/>
    </row>
    <row r="36" spans="2:5" x14ac:dyDescent="0.2">
      <c r="B36" s="5"/>
      <c r="E36" s="5"/>
    </row>
    <row r="37" spans="2:5" x14ac:dyDescent="0.2">
      <c r="B37" s="5"/>
      <c r="E37" s="5"/>
    </row>
    <row r="39" spans="2:5" ht="13.5" x14ac:dyDescent="0.25">
      <c r="B39" s="7"/>
      <c r="E39"/>
    </row>
    <row r="40" spans="2:5" x14ac:dyDescent="0.2">
      <c r="B40" s="5"/>
      <c r="E40" s="5"/>
    </row>
    <row r="41" spans="2:5" x14ac:dyDescent="0.2">
      <c r="B41" s="5"/>
      <c r="E41" s="5"/>
    </row>
    <row r="42" spans="2:5" x14ac:dyDescent="0.2">
      <c r="B42" s="5"/>
      <c r="E42" s="5"/>
    </row>
    <row r="49" spans="3:5" x14ac:dyDescent="0.2">
      <c r="C49" s="11"/>
      <c r="D49" s="12"/>
    </row>
    <row r="56" spans="3:5" customFormat="1" x14ac:dyDescent="0.2"/>
    <row r="59" spans="3:5" x14ac:dyDescent="0.2">
      <c r="C59"/>
      <c r="D59"/>
      <c r="E59"/>
    </row>
  </sheetData>
  <mergeCells count="10">
    <mergeCell ref="B10:E10"/>
    <mergeCell ref="B12:E12"/>
    <mergeCell ref="B13:E13"/>
    <mergeCell ref="B14:E14"/>
    <mergeCell ref="B8:E8"/>
    <mergeCell ref="B1:E1"/>
    <mergeCell ref="B2:E2"/>
    <mergeCell ref="B3:E3"/>
    <mergeCell ref="B4:E4"/>
    <mergeCell ref="B7:E7"/>
  </mergeCells>
  <phoneticPr fontId="9" type="noConversion"/>
  <printOptions horizontalCentered="1"/>
  <pageMargins left="0.6692913385826772" right="0.27559055118110237" top="0.51181102362204722" bottom="0.27559055118110237"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77"/>
  <sheetViews>
    <sheetView topLeftCell="A10" workbookViewId="0">
      <selection activeCell="I52" sqref="I52"/>
    </sheetView>
  </sheetViews>
  <sheetFormatPr defaultRowHeight="12.75" x14ac:dyDescent="0.2"/>
  <cols>
    <col min="1" max="1" width="2.5703125" customWidth="1"/>
    <col min="2" max="2" width="6.140625" customWidth="1"/>
    <col min="3" max="3" width="9.7109375" customWidth="1"/>
    <col min="4" max="6" width="8.7109375" customWidth="1"/>
    <col min="7" max="7" width="9.28515625" customWidth="1"/>
    <col min="8" max="8" width="8.7109375" customWidth="1"/>
    <col min="9" max="9" width="9.42578125" customWidth="1"/>
  </cols>
  <sheetData>
    <row r="1" spans="2:9" ht="14.25" customHeight="1" x14ac:dyDescent="0.2">
      <c r="B1" s="71"/>
      <c r="C1" s="71"/>
      <c r="D1" s="71"/>
      <c r="E1" s="71"/>
      <c r="F1" s="71"/>
      <c r="G1" s="71"/>
      <c r="H1" s="72"/>
      <c r="I1" s="65" t="s">
        <v>100</v>
      </c>
    </row>
    <row r="2" spans="2:9" s="19" customFormat="1" ht="30" customHeight="1" x14ac:dyDescent="0.2">
      <c r="B2" s="526" t="s">
        <v>64</v>
      </c>
      <c r="C2" s="526"/>
      <c r="D2" s="526"/>
      <c r="E2" s="526"/>
      <c r="F2" s="526"/>
      <c r="G2" s="526"/>
      <c r="H2" s="526"/>
      <c r="I2" s="526"/>
    </row>
    <row r="3" spans="2:9" ht="15" customHeight="1" x14ac:dyDescent="0.2">
      <c r="B3" s="527" t="s">
        <v>65</v>
      </c>
      <c r="C3" s="527"/>
      <c r="D3" s="527"/>
      <c r="E3" s="527"/>
      <c r="F3" s="527"/>
      <c r="G3" s="527"/>
      <c r="H3" s="527"/>
      <c r="I3" s="527"/>
    </row>
    <row r="4" spans="2:9" ht="12" customHeight="1" x14ac:dyDescent="0.2">
      <c r="B4" s="517" t="s">
        <v>115</v>
      </c>
      <c r="C4" s="528"/>
      <c r="D4" s="528"/>
      <c r="E4" s="528"/>
      <c r="F4" s="528"/>
      <c r="G4" s="528"/>
      <c r="H4" s="528"/>
      <c r="I4" s="528"/>
    </row>
    <row r="5" spans="2:9" ht="12.75" customHeight="1" x14ac:dyDescent="0.2">
      <c r="B5" s="29"/>
      <c r="C5" s="518" t="s">
        <v>66</v>
      </c>
      <c r="D5" s="518" t="s">
        <v>67</v>
      </c>
      <c r="E5" s="524" t="s">
        <v>68</v>
      </c>
      <c r="F5" s="524" t="s">
        <v>69</v>
      </c>
      <c r="G5" s="518" t="s">
        <v>70</v>
      </c>
      <c r="H5" s="524" t="s">
        <v>49</v>
      </c>
      <c r="I5" s="524" t="s">
        <v>50</v>
      </c>
    </row>
    <row r="6" spans="2:9" ht="22.5" customHeight="1" x14ac:dyDescent="0.2">
      <c r="B6" s="29"/>
      <c r="C6" s="519"/>
      <c r="D6" s="519"/>
      <c r="E6" s="525"/>
      <c r="F6" s="525"/>
      <c r="G6" s="519"/>
      <c r="H6" s="525"/>
      <c r="I6" s="525"/>
    </row>
    <row r="7" spans="2:9" ht="15" customHeight="1" x14ac:dyDescent="0.2">
      <c r="B7" s="73">
        <v>1990</v>
      </c>
      <c r="C7" s="464">
        <v>5280.4901498342397</v>
      </c>
      <c r="D7" s="465">
        <v>19.994650790400001</v>
      </c>
      <c r="E7" s="465">
        <v>28.215019008000002</v>
      </c>
      <c r="F7" s="465">
        <v>195.681746304</v>
      </c>
      <c r="G7" s="465">
        <v>12.316309632000001</v>
      </c>
      <c r="H7" s="466">
        <v>556.62855684479996</v>
      </c>
      <c r="I7" s="467">
        <f t="shared" ref="I7:I26" si="0">SUM(C7:H7)</f>
        <v>6093.3264324134398</v>
      </c>
    </row>
    <row r="8" spans="2:9" ht="12.75" customHeight="1" x14ac:dyDescent="0.2">
      <c r="B8" s="75">
        <v>1995</v>
      </c>
      <c r="C8" s="468">
        <v>5701.9589003520005</v>
      </c>
      <c r="D8" s="469">
        <v>17.343900288</v>
      </c>
      <c r="E8" s="469">
        <v>25.916875776000001</v>
      </c>
      <c r="F8" s="469">
        <v>219.33910310400003</v>
      </c>
      <c r="G8" s="469">
        <v>14.651467776</v>
      </c>
      <c r="H8" s="470">
        <v>650.03280011366417</v>
      </c>
      <c r="I8" s="471">
        <f t="shared" si="0"/>
        <v>6629.2430474096645</v>
      </c>
    </row>
    <row r="9" spans="2:9" ht="12.75" customHeight="1" x14ac:dyDescent="0.2">
      <c r="B9" s="75">
        <v>1996</v>
      </c>
      <c r="C9" s="468">
        <v>5850.5560692480003</v>
      </c>
      <c r="D9" s="469">
        <v>17.561161728000002</v>
      </c>
      <c r="E9" s="469">
        <v>26.683278058483204</v>
      </c>
      <c r="F9" s="469">
        <v>224.2140695296128</v>
      </c>
      <c r="G9" s="469">
        <v>14.9759861999616</v>
      </c>
      <c r="H9" s="470">
        <v>699.50408456332798</v>
      </c>
      <c r="I9" s="471">
        <f t="shared" si="0"/>
        <v>6833.4946493273856</v>
      </c>
    </row>
    <row r="10" spans="2:9" ht="12.75" customHeight="1" x14ac:dyDescent="0.2">
      <c r="B10" s="75">
        <v>1997</v>
      </c>
      <c r="C10" s="468">
        <v>6021.7468185600001</v>
      </c>
      <c r="D10" s="469">
        <v>17.846015615999999</v>
      </c>
      <c r="E10" s="469">
        <v>27.716231159654402</v>
      </c>
      <c r="F10" s="469">
        <v>233.7558807997037</v>
      </c>
      <c r="G10" s="469">
        <v>14.582578245016322</v>
      </c>
      <c r="H10" s="470">
        <v>725.28795449510415</v>
      </c>
      <c r="I10" s="471">
        <f t="shared" si="0"/>
        <v>7040.935478875479</v>
      </c>
    </row>
    <row r="11" spans="2:9" ht="12.75" customHeight="1" x14ac:dyDescent="0.2">
      <c r="B11" s="75">
        <v>1998</v>
      </c>
      <c r="C11" s="468">
        <v>6186.937933440001</v>
      </c>
      <c r="D11" s="469">
        <v>18.203289984000001</v>
      </c>
      <c r="E11" s="469">
        <v>28.305757559616769</v>
      </c>
      <c r="F11" s="469">
        <v>239.37337062962612</v>
      </c>
      <c r="G11" s="469">
        <v>15.79991311900109</v>
      </c>
      <c r="H11" s="470">
        <v>744.72957675072007</v>
      </c>
      <c r="I11" s="471">
        <f t="shared" si="0"/>
        <v>7233.3498414829646</v>
      </c>
    </row>
    <row r="12" spans="2:9" ht="12.75" customHeight="1" thickBot="1" x14ac:dyDescent="0.25">
      <c r="B12" s="76">
        <v>1999</v>
      </c>
      <c r="C12" s="468">
        <v>6320.6905132800002</v>
      </c>
      <c r="D12" s="469">
        <v>18.735982847999999</v>
      </c>
      <c r="E12" s="469">
        <v>29.34165086629287</v>
      </c>
      <c r="F12" s="469">
        <v>261.72939412338053</v>
      </c>
      <c r="G12" s="469">
        <v>16.01970877368576</v>
      </c>
      <c r="H12" s="470">
        <v>785.26263543552011</v>
      </c>
      <c r="I12" s="471">
        <f t="shared" si="0"/>
        <v>7431.7798853268796</v>
      </c>
    </row>
    <row r="13" spans="2:9" ht="12.75" customHeight="1" thickTop="1" x14ac:dyDescent="0.2">
      <c r="B13" s="76">
        <v>2000</v>
      </c>
      <c r="C13" s="472">
        <v>6372.1836777083063</v>
      </c>
      <c r="D13" s="473">
        <v>24.885070523583629</v>
      </c>
      <c r="E13" s="469">
        <v>31.127146408828796</v>
      </c>
      <c r="F13" s="473">
        <v>505.47695196535153</v>
      </c>
      <c r="G13" s="469">
        <v>17.283235676458752</v>
      </c>
      <c r="H13" s="470">
        <v>834.60261672691195</v>
      </c>
      <c r="I13" s="471">
        <f t="shared" si="0"/>
        <v>7785.5586990094407</v>
      </c>
    </row>
    <row r="14" spans="2:9" ht="12.75" customHeight="1" x14ac:dyDescent="0.2">
      <c r="B14" s="76">
        <v>2001</v>
      </c>
      <c r="C14" s="468">
        <v>6481.2387394498746</v>
      </c>
      <c r="D14" s="469">
        <v>22.728754903041427</v>
      </c>
      <c r="E14" s="469">
        <v>31.763769898848775</v>
      </c>
      <c r="F14" s="469">
        <v>443.24298759236666</v>
      </c>
      <c r="G14" s="469">
        <v>17.65590302713882</v>
      </c>
      <c r="H14" s="470">
        <v>782.95558126579203</v>
      </c>
      <c r="I14" s="471">
        <f t="shared" si="0"/>
        <v>7779.5857361370627</v>
      </c>
    </row>
    <row r="15" spans="2:9" ht="12.75" customHeight="1" x14ac:dyDescent="0.2">
      <c r="B15" s="76">
        <v>2002</v>
      </c>
      <c r="C15" s="468">
        <v>6626.440066457998</v>
      </c>
      <c r="D15" s="469">
        <v>22.831654508056062</v>
      </c>
      <c r="E15" s="469">
        <v>30.788721081702143</v>
      </c>
      <c r="F15" s="469">
        <v>455.32583778822084</v>
      </c>
      <c r="G15" s="469">
        <v>17.59254593158656</v>
      </c>
      <c r="H15" s="470">
        <v>778.23366216710406</v>
      </c>
      <c r="I15" s="471">
        <f t="shared" si="0"/>
        <v>7931.2124879346684</v>
      </c>
    </row>
    <row r="16" spans="2:9" ht="12.75" customHeight="1" x14ac:dyDescent="0.2">
      <c r="B16" s="76">
        <v>2003</v>
      </c>
      <c r="C16" s="468">
        <v>6688.9502334589106</v>
      </c>
      <c r="D16" s="469">
        <v>23.266748527352291</v>
      </c>
      <c r="E16" s="469">
        <v>31.038014883756674</v>
      </c>
      <c r="F16" s="469">
        <v>456.85279000457354</v>
      </c>
      <c r="G16" s="469">
        <v>17.753342758424065</v>
      </c>
      <c r="H16" s="470">
        <v>813.64641162008377</v>
      </c>
      <c r="I16" s="471">
        <f t="shared" si="0"/>
        <v>8031.5075412531014</v>
      </c>
    </row>
    <row r="17" spans="2:9" ht="12.75" customHeight="1" x14ac:dyDescent="0.2">
      <c r="B17" s="76">
        <v>2004</v>
      </c>
      <c r="C17" s="468">
        <v>6884.4806461510834</v>
      </c>
      <c r="D17" s="469">
        <v>30.607388387317819</v>
      </c>
      <c r="E17" s="469">
        <v>31.969881822928901</v>
      </c>
      <c r="F17" s="469">
        <v>461.6996210083197</v>
      </c>
      <c r="G17" s="469">
        <v>18.171870032055171</v>
      </c>
      <c r="H17" s="470">
        <v>898.28163731930351</v>
      </c>
      <c r="I17" s="471">
        <f t="shared" si="0"/>
        <v>8325.2110447210089</v>
      </c>
    </row>
    <row r="18" spans="2:9" ht="12.75" customHeight="1" x14ac:dyDescent="0.2">
      <c r="B18" s="76">
        <v>2005</v>
      </c>
      <c r="C18" s="468">
        <v>6952.3540534159229</v>
      </c>
      <c r="D18" s="469">
        <v>28.15017241567654</v>
      </c>
      <c r="E18" s="469">
        <v>31.863280678834176</v>
      </c>
      <c r="F18" s="469">
        <v>449.06583666606952</v>
      </c>
      <c r="G18" s="469">
        <v>17.975917190145026</v>
      </c>
      <c r="H18" s="470">
        <v>939.46730578239067</v>
      </c>
      <c r="I18" s="471">
        <f t="shared" si="0"/>
        <v>8418.8765661490397</v>
      </c>
    </row>
    <row r="19" spans="2:9" ht="12.75" customHeight="1" x14ac:dyDescent="0.2">
      <c r="B19" s="76">
        <v>2006</v>
      </c>
      <c r="C19" s="468">
        <v>6972.4258527475095</v>
      </c>
      <c r="D19" s="469">
        <v>39.153999290151461</v>
      </c>
      <c r="E19" s="469">
        <v>32.398135356926595</v>
      </c>
      <c r="F19" s="469">
        <v>479.25453844616959</v>
      </c>
      <c r="G19" s="469">
        <v>19.673661797843334</v>
      </c>
      <c r="H19" s="470">
        <v>947.02628097093782</v>
      </c>
      <c r="I19" s="471">
        <f t="shared" si="0"/>
        <v>8489.9324686095388</v>
      </c>
    </row>
    <row r="20" spans="2:9" ht="12.75" customHeight="1" x14ac:dyDescent="0.2">
      <c r="B20" s="76">
        <v>2007</v>
      </c>
      <c r="C20" s="468">
        <v>6987.746520530769</v>
      </c>
      <c r="D20" s="469">
        <v>43.730951230767076</v>
      </c>
      <c r="E20" s="469">
        <v>35.280365167986048</v>
      </c>
      <c r="F20" s="469">
        <v>495.53042293127697</v>
      </c>
      <c r="G20" s="469">
        <v>21.029485214707201</v>
      </c>
      <c r="H20" s="470">
        <v>977.75841067145063</v>
      </c>
      <c r="I20" s="471">
        <f t="shared" si="0"/>
        <v>8561.0761557469577</v>
      </c>
    </row>
    <row r="21" spans="2:9" ht="12.75" customHeight="1" x14ac:dyDescent="0.2">
      <c r="B21" s="76">
        <v>2008</v>
      </c>
      <c r="C21" s="468">
        <v>6837.7527222190893</v>
      </c>
      <c r="D21" s="469">
        <v>42.53431488319994</v>
      </c>
      <c r="E21" s="469">
        <v>37.060658890675199</v>
      </c>
      <c r="F21" s="469">
        <v>506.04016889005527</v>
      </c>
      <c r="G21" s="469">
        <v>21.103427812262403</v>
      </c>
      <c r="H21" s="470">
        <v>938.69906738485372</v>
      </c>
      <c r="I21" s="471">
        <f t="shared" si="0"/>
        <v>8383.1903600801361</v>
      </c>
    </row>
    <row r="22" spans="2:9" ht="12.75" customHeight="1" x14ac:dyDescent="0.2">
      <c r="B22" s="75">
        <v>2009</v>
      </c>
      <c r="C22" s="468">
        <v>5834.8336629002588</v>
      </c>
      <c r="D22" s="469">
        <v>36.094006653647412</v>
      </c>
      <c r="E22" s="469">
        <v>36.563017812583681</v>
      </c>
      <c r="F22" s="469">
        <v>491.14355613029755</v>
      </c>
      <c r="G22" s="469">
        <v>21.445372166385027</v>
      </c>
      <c r="H22" s="470">
        <v>887.92590525063326</v>
      </c>
      <c r="I22" s="471">
        <f t="shared" ref="I22" si="1">SUM(C22:H22)</f>
        <v>7308.0055209138063</v>
      </c>
    </row>
    <row r="23" spans="2:9" ht="12.75" customHeight="1" x14ac:dyDescent="0.2">
      <c r="B23" s="75">
        <v>2010</v>
      </c>
      <c r="C23" s="468">
        <v>5866.6505070177609</v>
      </c>
      <c r="D23" s="469">
        <v>32.002935356761313</v>
      </c>
      <c r="E23" s="469">
        <v>36.736000901183232</v>
      </c>
      <c r="F23" s="469">
        <v>470.7138401676271</v>
      </c>
      <c r="G23" s="469">
        <v>20.835343856840829</v>
      </c>
      <c r="H23" s="470">
        <v>908.78798719286897</v>
      </c>
      <c r="I23" s="471">
        <f t="shared" ref="I23" si="2">SUM(C23:H23)</f>
        <v>7335.7266144930436</v>
      </c>
    </row>
    <row r="24" spans="2:9" ht="15" customHeight="1" x14ac:dyDescent="0.2">
      <c r="B24" s="75">
        <v>2011</v>
      </c>
      <c r="C24" s="468">
        <v>5874.4643725908481</v>
      </c>
      <c r="D24" s="469">
        <v>32.068909617843147</v>
      </c>
      <c r="E24" s="469">
        <v>38.603050084494726</v>
      </c>
      <c r="F24" s="469">
        <v>470.49539183984336</v>
      </c>
      <c r="G24" s="469">
        <v>22.012058910796419</v>
      </c>
      <c r="H24" s="470">
        <v>926.35931077272005</v>
      </c>
      <c r="I24" s="471">
        <f t="shared" si="0"/>
        <v>7364.0030938165455</v>
      </c>
    </row>
    <row r="25" spans="2:9" ht="15" customHeight="1" x14ac:dyDescent="0.2">
      <c r="B25" s="75">
        <v>2012</v>
      </c>
      <c r="C25" s="469">
        <v>5905.1310306602645</v>
      </c>
      <c r="D25" s="469">
        <v>37.07041130329425</v>
      </c>
      <c r="E25" s="469">
        <v>39.139900828731655</v>
      </c>
      <c r="F25" s="469">
        <v>504.560165698746</v>
      </c>
      <c r="G25" s="469">
        <v>21.902334620626942</v>
      </c>
      <c r="H25" s="469">
        <v>934.22646158381303</v>
      </c>
      <c r="I25" s="471">
        <f t="shared" si="0"/>
        <v>7442.0303046954768</v>
      </c>
    </row>
    <row r="26" spans="2:9" ht="15" customHeight="1" x14ac:dyDescent="0.2">
      <c r="B26" s="85">
        <v>2013</v>
      </c>
      <c r="C26" s="474">
        <v>5935.6111048264183</v>
      </c>
      <c r="D26" s="474">
        <v>35.304048990930632</v>
      </c>
      <c r="E26" s="475">
        <v>39.925573224071051</v>
      </c>
      <c r="F26" s="474">
        <v>517.72664763862997</v>
      </c>
      <c r="G26" s="474">
        <v>23.013916104655873</v>
      </c>
      <c r="H26" s="474">
        <v>949.01788842789801</v>
      </c>
      <c r="I26" s="476">
        <f t="shared" si="0"/>
        <v>7500.5991792126042</v>
      </c>
    </row>
    <row r="27" spans="2:9" ht="12.75" customHeight="1" x14ac:dyDescent="0.2">
      <c r="B27" s="39" t="s">
        <v>82</v>
      </c>
      <c r="C27" s="77"/>
      <c r="D27" s="77"/>
      <c r="E27" s="77"/>
      <c r="F27" s="77"/>
      <c r="G27" s="78"/>
      <c r="H27" s="78"/>
      <c r="I27" s="78"/>
    </row>
    <row r="28" spans="2:9" ht="12.75" customHeight="1" x14ac:dyDescent="0.2">
      <c r="B28" s="521" t="s">
        <v>52</v>
      </c>
      <c r="C28" s="521"/>
      <c r="D28" s="79"/>
      <c r="E28" s="10"/>
      <c r="F28" s="10"/>
      <c r="G28" s="10"/>
      <c r="H28" s="10"/>
      <c r="I28" s="10"/>
    </row>
    <row r="29" spans="2:9" ht="12.75" customHeight="1" x14ac:dyDescent="0.2">
      <c r="B29" s="520" t="s">
        <v>107</v>
      </c>
      <c r="C29" s="520"/>
      <c r="D29" s="520"/>
      <c r="E29" s="520"/>
      <c r="F29" s="520"/>
      <c r="G29" s="520"/>
      <c r="H29" s="520"/>
      <c r="I29" s="520"/>
    </row>
    <row r="30" spans="2:9" ht="15" customHeight="1" x14ac:dyDescent="0.2">
      <c r="B30" s="522"/>
      <c r="C30" s="520"/>
      <c r="D30" s="520"/>
      <c r="E30" s="520"/>
      <c r="F30" s="520"/>
      <c r="G30" s="520"/>
      <c r="H30" s="520"/>
      <c r="I30" s="520"/>
    </row>
    <row r="31" spans="2:9" ht="15" customHeight="1" x14ac:dyDescent="0.2">
      <c r="B31" s="80"/>
      <c r="C31" s="78"/>
      <c r="D31" s="78"/>
      <c r="E31" s="81"/>
      <c r="F31" s="81"/>
      <c r="G31" s="81"/>
      <c r="H31" s="81"/>
      <c r="I31" s="81"/>
    </row>
    <row r="32" spans="2:9" ht="12" customHeight="1" x14ac:dyDescent="0.2">
      <c r="B32" s="523" t="s">
        <v>71</v>
      </c>
      <c r="C32" s="523"/>
      <c r="D32" s="523"/>
      <c r="E32" s="523"/>
      <c r="F32" s="523"/>
      <c r="G32" s="523"/>
      <c r="H32" s="523"/>
      <c r="I32" s="523"/>
    </row>
    <row r="33" spans="1:9" ht="12.75" customHeight="1" x14ac:dyDescent="0.2">
      <c r="B33" s="517" t="s">
        <v>72</v>
      </c>
      <c r="C33" s="517"/>
      <c r="D33" s="517"/>
      <c r="E33" s="517"/>
      <c r="F33" s="517"/>
      <c r="G33" s="517"/>
      <c r="H33" s="517"/>
      <c r="I33" s="517"/>
    </row>
    <row r="34" spans="1:9" ht="23.25" customHeight="1" x14ac:dyDescent="0.2">
      <c r="B34" s="29"/>
      <c r="C34" s="518" t="s">
        <v>66</v>
      </c>
      <c r="D34" s="518" t="s">
        <v>67</v>
      </c>
      <c r="E34" s="524" t="s">
        <v>68</v>
      </c>
      <c r="F34" s="524" t="s">
        <v>69</v>
      </c>
      <c r="G34" s="518" t="s">
        <v>70</v>
      </c>
      <c r="H34" s="524" t="s">
        <v>49</v>
      </c>
      <c r="I34" s="524" t="s">
        <v>50</v>
      </c>
    </row>
    <row r="35" spans="1:9" ht="9.9499999999999993" customHeight="1" x14ac:dyDescent="0.2">
      <c r="B35" s="29"/>
      <c r="C35" s="519"/>
      <c r="D35" s="519"/>
      <c r="E35" s="525"/>
      <c r="F35" s="525"/>
      <c r="G35" s="519"/>
      <c r="H35" s="525"/>
      <c r="I35" s="525"/>
    </row>
    <row r="36" spans="1:9" ht="9.9499999999999993" customHeight="1" x14ac:dyDescent="0.2">
      <c r="B36" s="73">
        <v>2001</v>
      </c>
      <c r="C36" s="66">
        <f t="shared" ref="C36:I36" si="3">100*(C14/C13-1)</f>
        <v>1.7114237011571776</v>
      </c>
      <c r="D36" s="67">
        <f t="shared" si="3"/>
        <v>-8.6650974868592741</v>
      </c>
      <c r="E36" s="67">
        <f t="shared" si="3"/>
        <v>2.0452356334193622</v>
      </c>
      <c r="F36" s="67">
        <f t="shared" si="3"/>
        <v>-12.311929185101755</v>
      </c>
      <c r="G36" s="67">
        <f t="shared" si="3"/>
        <v>2.1562360061297525</v>
      </c>
      <c r="H36" s="68">
        <f t="shared" si="3"/>
        <v>-6.1882187314084565</v>
      </c>
      <c r="I36" s="69">
        <f t="shared" si="3"/>
        <v>-7.671848743672216E-2</v>
      </c>
    </row>
    <row r="37" spans="1:9" ht="9.9499999999999993" customHeight="1" x14ac:dyDescent="0.2">
      <c r="B37" s="75">
        <v>2001</v>
      </c>
      <c r="C37" s="66">
        <f t="shared" ref="C37:I44" si="4">100*(C14/C13-1)</f>
        <v>1.7114237011571776</v>
      </c>
      <c r="D37" s="67">
        <f t="shared" si="4"/>
        <v>-8.6650974868592741</v>
      </c>
      <c r="E37" s="67">
        <f t="shared" si="4"/>
        <v>2.0452356334193622</v>
      </c>
      <c r="F37" s="67">
        <f t="shared" si="4"/>
        <v>-12.311929185101755</v>
      </c>
      <c r="G37" s="67">
        <f t="shared" si="4"/>
        <v>2.1562360061297525</v>
      </c>
      <c r="H37" s="68">
        <f t="shared" si="4"/>
        <v>-6.1882187314084565</v>
      </c>
      <c r="I37" s="69">
        <f t="shared" si="4"/>
        <v>-7.671848743672216E-2</v>
      </c>
    </row>
    <row r="38" spans="1:9" ht="9.9499999999999993" customHeight="1" x14ac:dyDescent="0.2">
      <c r="B38" s="75">
        <v>2002</v>
      </c>
      <c r="C38" s="66">
        <f t="shared" si="4"/>
        <v>2.2403329493838164</v>
      </c>
      <c r="D38" s="67">
        <f t="shared" si="4"/>
        <v>0.45272873702757455</v>
      </c>
      <c r="E38" s="67">
        <f t="shared" si="4"/>
        <v>-3.069688579950236</v>
      </c>
      <c r="F38" s="67">
        <f t="shared" si="4"/>
        <v>2.7260104579401201</v>
      </c>
      <c r="G38" s="67">
        <f t="shared" si="4"/>
        <v>-0.35884369921421744</v>
      </c>
      <c r="H38" s="68">
        <f t="shared" si="4"/>
        <v>-0.60308901445649266</v>
      </c>
      <c r="I38" s="69">
        <f t="shared" si="4"/>
        <v>1.9490337524436852</v>
      </c>
    </row>
    <row r="39" spans="1:9" ht="9.9499999999999993" customHeight="1" x14ac:dyDescent="0.2">
      <c r="B39" s="75">
        <v>2003</v>
      </c>
      <c r="C39" s="66">
        <f t="shared" si="4"/>
        <v>0.94334463715033401</v>
      </c>
      <c r="D39" s="67">
        <f t="shared" si="4"/>
        <v>1.9056613665151101</v>
      </c>
      <c r="E39" s="67">
        <f t="shared" si="4"/>
        <v>0.80969196931888199</v>
      </c>
      <c r="F39" s="67">
        <f t="shared" si="4"/>
        <v>0.33535373783530886</v>
      </c>
      <c r="G39" s="67">
        <f t="shared" si="4"/>
        <v>0.91400543993351846</v>
      </c>
      <c r="H39" s="68">
        <f t="shared" si="4"/>
        <v>4.5504006283110021</v>
      </c>
      <c r="I39" s="69">
        <f t="shared" si="4"/>
        <v>1.2645614207286382</v>
      </c>
    </row>
    <row r="40" spans="1:9" ht="9.9499999999999993" customHeight="1" x14ac:dyDescent="0.2">
      <c r="B40" s="75">
        <v>2004</v>
      </c>
      <c r="C40" s="66">
        <f t="shared" si="4"/>
        <v>2.923185341013701</v>
      </c>
      <c r="D40" s="67">
        <f t="shared" si="4"/>
        <v>31.549917047222564</v>
      </c>
      <c r="E40" s="67">
        <f t="shared" si="4"/>
        <v>3.0023406543950859</v>
      </c>
      <c r="F40" s="67">
        <f t="shared" si="4"/>
        <v>1.0609174573931401</v>
      </c>
      <c r="G40" s="67">
        <f t="shared" si="4"/>
        <v>2.3574561665718585</v>
      </c>
      <c r="H40" s="68">
        <f t="shared" si="4"/>
        <v>10.401966319829171</v>
      </c>
      <c r="I40" s="69">
        <f t="shared" si="4"/>
        <v>3.6568913365184086</v>
      </c>
    </row>
    <row r="41" spans="1:9" ht="9.9499999999999993" customHeight="1" x14ac:dyDescent="0.2">
      <c r="A41" s="82"/>
      <c r="B41" s="75">
        <v>2005</v>
      </c>
      <c r="C41" s="66">
        <f t="shared" si="4"/>
        <v>0.98589001485225314</v>
      </c>
      <c r="D41" s="67">
        <f t="shared" si="4"/>
        <v>-8.0281791459849821</v>
      </c>
      <c r="E41" s="67">
        <f t="shared" si="4"/>
        <v>-0.3334424089683985</v>
      </c>
      <c r="F41" s="67">
        <f t="shared" si="4"/>
        <v>-2.7363644602217518</v>
      </c>
      <c r="G41" s="67">
        <f t="shared" si="4"/>
        <v>-1.078330637212821</v>
      </c>
      <c r="H41" s="68">
        <f t="shared" si="4"/>
        <v>4.5849393722436016</v>
      </c>
      <c r="I41" s="69">
        <f t="shared" si="4"/>
        <v>1.1250828468477581</v>
      </c>
    </row>
    <row r="42" spans="1:9" ht="9.9499999999999993" customHeight="1" x14ac:dyDescent="0.2">
      <c r="A42" s="82"/>
      <c r="B42" s="75">
        <v>2006</v>
      </c>
      <c r="C42" s="66">
        <f t="shared" si="4"/>
        <v>0.28870507999696482</v>
      </c>
      <c r="D42" s="67">
        <f t="shared" si="4"/>
        <v>39.089731714563158</v>
      </c>
      <c r="E42" s="67">
        <f t="shared" si="4"/>
        <v>1.6785926204005319</v>
      </c>
      <c r="F42" s="67">
        <f t="shared" si="4"/>
        <v>6.7225558738169378</v>
      </c>
      <c r="G42" s="67">
        <f t="shared" si="4"/>
        <v>9.4445506715455263</v>
      </c>
      <c r="H42" s="68">
        <f t="shared" si="4"/>
        <v>0.80460226151797265</v>
      </c>
      <c r="I42" s="69">
        <f t="shared" si="4"/>
        <v>0.844006939669395</v>
      </c>
    </row>
    <row r="43" spans="1:9" ht="9.9499999999999993" customHeight="1" x14ac:dyDescent="0.2">
      <c r="A43" s="82"/>
      <c r="B43" s="75">
        <v>2007</v>
      </c>
      <c r="C43" s="66">
        <f t="shared" si="4"/>
        <v>0.21973224393949664</v>
      </c>
      <c r="D43" s="67">
        <f t="shared" si="4"/>
        <v>11.689615425229039</v>
      </c>
      <c r="E43" s="67">
        <f t="shared" si="4"/>
        <v>8.8962830092110359</v>
      </c>
      <c r="F43" s="67">
        <f t="shared" si="4"/>
        <v>3.3960835379622578</v>
      </c>
      <c r="G43" s="67">
        <f t="shared" si="4"/>
        <v>6.891566149685957</v>
      </c>
      <c r="H43" s="68">
        <f t="shared" si="4"/>
        <v>3.2451189917353407</v>
      </c>
      <c r="I43" s="69">
        <f t="shared" si="4"/>
        <v>0.83797706754986656</v>
      </c>
    </row>
    <row r="44" spans="1:9" ht="20.100000000000001" customHeight="1" x14ac:dyDescent="0.2">
      <c r="A44" s="82"/>
      <c r="B44" s="75">
        <v>2008</v>
      </c>
      <c r="C44" s="66">
        <f t="shared" si="4"/>
        <v>-2.1465260348380033</v>
      </c>
      <c r="D44" s="67">
        <f t="shared" si="4"/>
        <v>-2.7363602068761761</v>
      </c>
      <c r="E44" s="67">
        <f t="shared" si="4"/>
        <v>5.0461317909050951</v>
      </c>
      <c r="F44" s="67">
        <f t="shared" si="4"/>
        <v>2.1209083181227495</v>
      </c>
      <c r="G44" s="67">
        <f t="shared" si="4"/>
        <v>0.35161392112199596</v>
      </c>
      <c r="H44" s="68">
        <f t="shared" si="4"/>
        <v>-3.9947846891722372</v>
      </c>
      <c r="I44" s="69">
        <f t="shared" si="4"/>
        <v>-2.0778438648441311</v>
      </c>
    </row>
    <row r="45" spans="1:9" ht="20.100000000000001" customHeight="1" x14ac:dyDescent="0.2">
      <c r="A45" s="82"/>
      <c r="B45" s="75">
        <v>2009</v>
      </c>
      <c r="C45" s="66">
        <f>100*(C22/C21-1)</f>
        <v>-14.667378304861368</v>
      </c>
      <c r="D45" s="67">
        <f>100*(D22/D21-1)</f>
        <v>-15.141441086421025</v>
      </c>
      <c r="E45" s="67">
        <f>100*(E22/E21-1)</f>
        <v>-1.3427745026323046</v>
      </c>
      <c r="F45" s="67">
        <f t="shared" ref="F45:H45" si="5">100*(F22/F21-1)</f>
        <v>-2.9437609256260933</v>
      </c>
      <c r="G45" s="67">
        <f t="shared" si="5"/>
        <v>1.6203261250474776</v>
      </c>
      <c r="H45" s="67">
        <f t="shared" si="5"/>
        <v>-5.4088859676478362</v>
      </c>
      <c r="I45" s="189">
        <f>100*(I22/I21-1)</f>
        <v>-12.825485202939513</v>
      </c>
    </row>
    <row r="46" spans="1:9" ht="20.100000000000001" customHeight="1" x14ac:dyDescent="0.2">
      <c r="A46" s="82"/>
      <c r="B46" s="75">
        <v>2010</v>
      </c>
      <c r="C46" s="66">
        <f>100*(C23/C22-1)</f>
        <v>0.54529136485592655</v>
      </c>
      <c r="D46" s="67">
        <f t="shared" ref="D46:H46" si="6">100*(D23/D22-1)</f>
        <v>-11.334489230146705</v>
      </c>
      <c r="E46" s="67">
        <f t="shared" si="6"/>
        <v>0.47310943939649075</v>
      </c>
      <c r="F46" s="67">
        <f t="shared" si="6"/>
        <v>-4.1596221120430599</v>
      </c>
      <c r="G46" s="67">
        <f t="shared" si="6"/>
        <v>-2.8445685381967789</v>
      </c>
      <c r="H46" s="68">
        <f t="shared" si="6"/>
        <v>2.3495295968808394</v>
      </c>
      <c r="I46" s="69">
        <f>100*(I23/I22-1)</f>
        <v>0.3793250224005229</v>
      </c>
    </row>
    <row r="47" spans="1:9" ht="20.100000000000001" customHeight="1" x14ac:dyDescent="0.2">
      <c r="A47" s="82"/>
      <c r="B47" s="75">
        <v>2011</v>
      </c>
      <c r="C47" s="66">
        <f>100*(C24/C23-1)</f>
        <v>0.13319125732376147</v>
      </c>
      <c r="D47" s="67">
        <f t="shared" ref="D47:H47" si="7">100*(D24/D23-1)</f>
        <v>0.20615065570195323</v>
      </c>
      <c r="E47" s="67">
        <f t="shared" si="7"/>
        <v>5.0823419466198727</v>
      </c>
      <c r="F47" s="67">
        <f t="shared" si="7"/>
        <v>-4.6407882909482723E-2</v>
      </c>
      <c r="G47" s="67">
        <f t="shared" si="7"/>
        <v>5.6476872282059443</v>
      </c>
      <c r="H47" s="68">
        <f t="shared" si="7"/>
        <v>1.933489859843629</v>
      </c>
      <c r="I47" s="69">
        <f>100*(I24/I23-1)</f>
        <v>0.3854625561922731</v>
      </c>
    </row>
    <row r="48" spans="1:9" ht="20.100000000000001" customHeight="1" x14ac:dyDescent="0.2">
      <c r="A48" s="82"/>
      <c r="B48" s="75">
        <v>2012</v>
      </c>
      <c r="C48" s="66">
        <f t="shared" ref="C48:I48" si="8">100*(C25/C24-1)</f>
        <v>0.52203326336441869</v>
      </c>
      <c r="D48" s="67">
        <f t="shared" si="8"/>
        <v>15.596107710092721</v>
      </c>
      <c r="E48" s="67">
        <f t="shared" si="8"/>
        <v>1.3906951473053653</v>
      </c>
      <c r="F48" s="67">
        <f t="shared" si="8"/>
        <v>7.2401928796144821</v>
      </c>
      <c r="G48" s="67">
        <f t="shared" si="8"/>
        <v>-0.49847354404298772</v>
      </c>
      <c r="H48" s="68">
        <f t="shared" si="8"/>
        <v>0.84925478910884422</v>
      </c>
      <c r="I48" s="69">
        <f t="shared" si="8"/>
        <v>1.0595760197934956</v>
      </c>
    </row>
    <row r="49" spans="1:9" ht="20.100000000000001" customHeight="1" x14ac:dyDescent="0.2">
      <c r="A49" s="82"/>
      <c r="B49" s="76">
        <v>2013</v>
      </c>
      <c r="C49" s="66">
        <f t="shared" ref="C49:I49" si="9">100*(C26/C25-1)</f>
        <v>0.51616253742545748</v>
      </c>
      <c r="D49" s="67">
        <f t="shared" si="9"/>
        <v>-4.7648845811609668</v>
      </c>
      <c r="E49" s="67">
        <f t="shared" si="9"/>
        <v>2.0073438580678671</v>
      </c>
      <c r="F49" s="67">
        <f t="shared" si="9"/>
        <v>2.6094969113644284</v>
      </c>
      <c r="G49" s="67">
        <f t="shared" si="9"/>
        <v>5.0751735067643411</v>
      </c>
      <c r="H49" s="68">
        <f t="shared" si="9"/>
        <v>1.5832806554214596</v>
      </c>
      <c r="I49" s="69">
        <f t="shared" si="9"/>
        <v>0.78700129022819532</v>
      </c>
    </row>
    <row r="50" spans="1:9" ht="20.100000000000001" customHeight="1" x14ac:dyDescent="0.2">
      <c r="A50" s="82"/>
      <c r="B50" s="117" t="s">
        <v>73</v>
      </c>
      <c r="C50" s="118">
        <f t="shared" ref="C50:I50" si="10">100*(POWER((C8/C7), 1/5) -1)</f>
        <v>1.5476714348274356</v>
      </c>
      <c r="D50" s="119">
        <f t="shared" si="10"/>
        <v>-2.8044036148359153</v>
      </c>
      <c r="E50" s="119">
        <f t="shared" si="10"/>
        <v>-1.6848468710477849</v>
      </c>
      <c r="F50" s="119">
        <f t="shared" si="10"/>
        <v>2.3088374081304375</v>
      </c>
      <c r="G50" s="119">
        <f t="shared" si="10"/>
        <v>3.5333119902342114</v>
      </c>
      <c r="H50" s="120">
        <f t="shared" si="10"/>
        <v>3.151122320246813</v>
      </c>
      <c r="I50" s="121">
        <f t="shared" si="10"/>
        <v>1.7002216390869851</v>
      </c>
    </row>
    <row r="51" spans="1:9" ht="19.5" customHeight="1" x14ac:dyDescent="0.2">
      <c r="B51" s="83" t="s">
        <v>116</v>
      </c>
      <c r="C51" s="66">
        <f>100*(POWER((C13/C8), 1/5) -1)</f>
        <v>2.2475335590066647</v>
      </c>
      <c r="D51" s="67">
        <f t="shared" ref="D51:I51" si="11">100*(POWER((D13/D8), 1/5) -1)</f>
        <v>7.4876137514655605</v>
      </c>
      <c r="E51" s="67">
        <f t="shared" si="11"/>
        <v>3.7316610452985843</v>
      </c>
      <c r="F51" s="67">
        <f t="shared" si="11"/>
        <v>18.172672948678724</v>
      </c>
      <c r="G51" s="67">
        <f t="shared" si="11"/>
        <v>3.3591153554357156</v>
      </c>
      <c r="H51" s="68">
        <f t="shared" si="11"/>
        <v>5.125698423473346</v>
      </c>
      <c r="I51" s="69">
        <f t="shared" si="11"/>
        <v>3.2678578610680464</v>
      </c>
    </row>
    <row r="52" spans="1:9" ht="15" customHeight="1" x14ac:dyDescent="0.2">
      <c r="B52" s="113" t="s">
        <v>136</v>
      </c>
      <c r="C52" s="114">
        <f>100*(POWER((C26/C13), 1/13) -1)</f>
        <v>-0.5444526727632959</v>
      </c>
      <c r="D52" s="115">
        <f t="shared" ref="D52:I52" si="12">100*(POWER((D26/D13), 1/13) -1)</f>
        <v>2.7267411182432921</v>
      </c>
      <c r="E52" s="115">
        <f t="shared" si="12"/>
        <v>1.933349746819113</v>
      </c>
      <c r="F52" s="115">
        <f t="shared" si="12"/>
        <v>0.18436168233073591</v>
      </c>
      <c r="G52" s="115">
        <f t="shared" si="12"/>
        <v>2.2272257135912854</v>
      </c>
      <c r="H52" s="115">
        <f t="shared" si="12"/>
        <v>0.99314500251890259</v>
      </c>
      <c r="I52" s="116">
        <f t="shared" si="12"/>
        <v>-0.28641720171644902</v>
      </c>
    </row>
    <row r="53" spans="1:9" ht="9.75" customHeight="1" x14ac:dyDescent="0.2">
      <c r="B53" s="80"/>
      <c r="C53" s="3"/>
      <c r="D53" s="3"/>
      <c r="E53" s="3"/>
      <c r="F53" s="3"/>
      <c r="G53" s="3"/>
      <c r="H53" s="3"/>
      <c r="I53" s="3"/>
    </row>
    <row r="54" spans="1:9" ht="12.75" customHeight="1" x14ac:dyDescent="0.2">
      <c r="B54" s="523" t="s">
        <v>54</v>
      </c>
      <c r="C54" s="523"/>
      <c r="D54" s="523"/>
      <c r="E54" s="523"/>
      <c r="F54" s="523"/>
      <c r="G54" s="523"/>
      <c r="H54" s="523"/>
      <c r="I54" s="523"/>
    </row>
    <row r="55" spans="1:9" ht="23.25" customHeight="1" x14ac:dyDescent="0.2">
      <c r="B55" s="529" t="s">
        <v>42</v>
      </c>
      <c r="C55" s="529"/>
      <c r="D55" s="529"/>
      <c r="E55" s="529"/>
      <c r="F55" s="529"/>
      <c r="G55" s="529"/>
      <c r="H55" s="529"/>
      <c r="I55" s="529"/>
    </row>
    <row r="56" spans="1:9" ht="9.9499999999999993" customHeight="1" x14ac:dyDescent="0.2">
      <c r="B56" s="29"/>
      <c r="C56" s="518" t="s">
        <v>66</v>
      </c>
      <c r="D56" s="518" t="s">
        <v>67</v>
      </c>
      <c r="E56" s="524" t="s">
        <v>68</v>
      </c>
      <c r="F56" s="524" t="s">
        <v>69</v>
      </c>
      <c r="G56" s="518" t="s">
        <v>70</v>
      </c>
      <c r="H56" s="524" t="s">
        <v>49</v>
      </c>
      <c r="I56" s="530"/>
    </row>
    <row r="57" spans="1:9" ht="27.75" customHeight="1" x14ac:dyDescent="0.2">
      <c r="B57" s="29"/>
      <c r="C57" s="519"/>
      <c r="D57" s="519"/>
      <c r="E57" s="525"/>
      <c r="F57" s="525"/>
      <c r="G57" s="519"/>
      <c r="H57" s="525"/>
      <c r="I57" s="530"/>
    </row>
    <row r="58" spans="1:9" ht="9.9499999999999993" customHeight="1" x14ac:dyDescent="0.2">
      <c r="B58" s="73">
        <v>1990</v>
      </c>
      <c r="C58" s="182">
        <f t="shared" ref="C58:H70" si="13">100*(C7/$I7)</f>
        <v>86.660220954923432</v>
      </c>
      <c r="D58" s="183">
        <f t="shared" si="13"/>
        <v>0.328140154842821</v>
      </c>
      <c r="E58" s="183">
        <f t="shared" si="13"/>
        <v>0.4630478823177806</v>
      </c>
      <c r="F58" s="183">
        <f t="shared" si="13"/>
        <v>3.2114108520933868</v>
      </c>
      <c r="G58" s="183">
        <f t="shared" si="13"/>
        <v>0.20212784869826461</v>
      </c>
      <c r="H58" s="184">
        <f t="shared" si="13"/>
        <v>9.1350523071243206</v>
      </c>
      <c r="I58" s="74"/>
    </row>
    <row r="59" spans="1:9" ht="9.9499999999999993" customHeight="1" x14ac:dyDescent="0.2">
      <c r="B59" s="75">
        <v>1995</v>
      </c>
      <c r="C59" s="95">
        <f t="shared" si="13"/>
        <v>86.01221677307494</v>
      </c>
      <c r="D59" s="96">
        <f t="shared" si="13"/>
        <v>0.26162715960123112</v>
      </c>
      <c r="E59" s="96">
        <f t="shared" si="13"/>
        <v>0.39094773853746184</v>
      </c>
      <c r="F59" s="96">
        <f t="shared" si="13"/>
        <v>3.308659850534601</v>
      </c>
      <c r="G59" s="96">
        <f t="shared" si="13"/>
        <v>0.22101268080259887</v>
      </c>
      <c r="H59" s="97">
        <f t="shared" si="13"/>
        <v>9.8055357974491599</v>
      </c>
      <c r="I59" s="74"/>
    </row>
    <row r="60" spans="1:9" ht="9.9499999999999993" hidden="1" customHeight="1" x14ac:dyDescent="0.2">
      <c r="B60" s="75">
        <v>1996</v>
      </c>
      <c r="C60" s="95">
        <f t="shared" si="13"/>
        <v>85.615872543689846</v>
      </c>
      <c r="D60" s="96">
        <f t="shared" si="13"/>
        <v>0.25698654391612835</v>
      </c>
      <c r="E60" s="96">
        <f t="shared" si="13"/>
        <v>0.39047777788352572</v>
      </c>
      <c r="F60" s="96">
        <f t="shared" si="13"/>
        <v>3.2811040475707696</v>
      </c>
      <c r="G60" s="96">
        <f t="shared" si="13"/>
        <v>0.21915560000380879</v>
      </c>
      <c r="H60" s="97">
        <f t="shared" si="13"/>
        <v>10.236403486935918</v>
      </c>
      <c r="I60" s="74"/>
    </row>
    <row r="61" spans="1:9" ht="9.9499999999999993" hidden="1" customHeight="1" x14ac:dyDescent="0.2">
      <c r="B61" s="75">
        <v>1997</v>
      </c>
      <c r="C61" s="95">
        <f t="shared" si="13"/>
        <v>85.524811818354351</v>
      </c>
      <c r="D61" s="96">
        <f t="shared" si="13"/>
        <v>0.25346085998859658</v>
      </c>
      <c r="E61" s="96">
        <f t="shared" si="13"/>
        <v>0.39364415769480982</v>
      </c>
      <c r="F61" s="96">
        <f t="shared" si="13"/>
        <v>3.3199548767493785</v>
      </c>
      <c r="G61" s="96">
        <f t="shared" si="13"/>
        <v>0.20711137445823227</v>
      </c>
      <c r="H61" s="97">
        <f t="shared" si="13"/>
        <v>10.301016912754628</v>
      </c>
      <c r="I61" s="74"/>
    </row>
    <row r="62" spans="1:9" ht="9.9499999999999993" hidden="1" customHeight="1" x14ac:dyDescent="0.2">
      <c r="B62" s="75">
        <v>1998</v>
      </c>
      <c r="C62" s="95">
        <f t="shared" si="13"/>
        <v>85.533508941571796</v>
      </c>
      <c r="D62" s="96">
        <f t="shared" si="13"/>
        <v>0.25165781253389519</v>
      </c>
      <c r="E62" s="96">
        <f t="shared" si="13"/>
        <v>0.39132294413971808</v>
      </c>
      <c r="F62" s="96">
        <f t="shared" si="13"/>
        <v>3.3093017187808291</v>
      </c>
      <c r="G62" s="96">
        <f t="shared" si="13"/>
        <v>0.21843148009224214</v>
      </c>
      <c r="H62" s="97">
        <f t="shared" si="13"/>
        <v>10.295777102881523</v>
      </c>
    </row>
    <row r="63" spans="1:9" ht="9.9499999999999993" hidden="1" customHeight="1" x14ac:dyDescent="0.2">
      <c r="B63" s="76">
        <v>1999</v>
      </c>
      <c r="C63" s="95">
        <f t="shared" si="13"/>
        <v>85.049484925669205</v>
      </c>
      <c r="D63" s="96">
        <f t="shared" si="13"/>
        <v>0.25210626710018491</v>
      </c>
      <c r="E63" s="96">
        <f t="shared" si="13"/>
        <v>0.3948132388073588</v>
      </c>
      <c r="F63" s="96">
        <f t="shared" si="13"/>
        <v>3.5217592307884753</v>
      </c>
      <c r="G63" s="96">
        <f t="shared" si="13"/>
        <v>0.21555682515994146</v>
      </c>
      <c r="H63" s="97">
        <f t="shared" si="13"/>
        <v>10.566279512474837</v>
      </c>
    </row>
    <row r="64" spans="1:9" ht="9.9499999999999993" customHeight="1" x14ac:dyDescent="0.2">
      <c r="B64" s="75">
        <v>2000</v>
      </c>
      <c r="C64" s="95">
        <f t="shared" si="13"/>
        <v>81.846196580844506</v>
      </c>
      <c r="D64" s="96">
        <f t="shared" si="13"/>
        <v>0.31963114640378687</v>
      </c>
      <c r="E64" s="96">
        <f t="shared" si="13"/>
        <v>0.39980620032816805</v>
      </c>
      <c r="F64" s="96">
        <f t="shared" si="13"/>
        <v>6.4924942641516976</v>
      </c>
      <c r="G64" s="96">
        <f t="shared" si="13"/>
        <v>0.22199094945694395</v>
      </c>
      <c r="H64" s="97">
        <f t="shared" si="13"/>
        <v>10.719880858814907</v>
      </c>
      <c r="I64" s="1"/>
    </row>
    <row r="65" spans="2:9" ht="9.9499999999999993" customHeight="1" x14ac:dyDescent="0.2">
      <c r="B65" s="75">
        <v>2001</v>
      </c>
      <c r="C65" s="95">
        <f t="shared" si="13"/>
        <v>83.310846609013922</v>
      </c>
      <c r="D65" s="96">
        <f t="shared" si="13"/>
        <v>0.29215893588605585</v>
      </c>
      <c r="E65" s="96">
        <f t="shared" si="13"/>
        <v>0.40829641803807681</v>
      </c>
      <c r="F65" s="96">
        <f t="shared" si="13"/>
        <v>5.6975140145760266</v>
      </c>
      <c r="G65" s="96">
        <f t="shared" si="13"/>
        <v>0.22695171216026497</v>
      </c>
      <c r="H65" s="97">
        <f t="shared" si="13"/>
        <v>10.064232310325652</v>
      </c>
      <c r="I65" s="84"/>
    </row>
    <row r="66" spans="2:9" ht="9.9499999999999993" customHeight="1" x14ac:dyDescent="0.2">
      <c r="B66" s="75">
        <v>2002</v>
      </c>
      <c r="C66" s="95">
        <f t="shared" si="13"/>
        <v>83.548890873097264</v>
      </c>
      <c r="D66" s="96">
        <f t="shared" si="13"/>
        <v>0.28787092191501168</v>
      </c>
      <c r="E66" s="96">
        <f t="shared" si="13"/>
        <v>0.38819690089679715</v>
      </c>
      <c r="F66" s="96">
        <f t="shared" si="13"/>
        <v>5.740936060922385</v>
      </c>
      <c r="G66" s="96">
        <f t="shared" si="13"/>
        <v>0.22181407897404293</v>
      </c>
      <c r="H66" s="97">
        <f t="shared" si="13"/>
        <v>9.8122911641944981</v>
      </c>
      <c r="I66" s="84"/>
    </row>
    <row r="67" spans="2:9" ht="9.9499999999999993" customHeight="1" x14ac:dyDescent="0.2">
      <c r="B67" s="75">
        <v>2003</v>
      </c>
      <c r="C67" s="95">
        <f t="shared" si="13"/>
        <v>83.283869175266673</v>
      </c>
      <c r="D67" s="96">
        <f t="shared" si="13"/>
        <v>0.28969341568621798</v>
      </c>
      <c r="E67" s="96">
        <f t="shared" si="13"/>
        <v>0.38645316242726235</v>
      </c>
      <c r="F67" s="96">
        <f t="shared" si="13"/>
        <v>5.6882570010423459</v>
      </c>
      <c r="G67" s="96">
        <f t="shared" si="13"/>
        <v>0.22104620667086033</v>
      </c>
      <c r="H67" s="97">
        <f t="shared" si="13"/>
        <v>10.130681038906626</v>
      </c>
      <c r="I67" s="84"/>
    </row>
    <row r="68" spans="2:9" ht="9.9499999999999993" customHeight="1" x14ac:dyDescent="0.2">
      <c r="B68" s="75">
        <v>2004</v>
      </c>
      <c r="C68" s="95">
        <f t="shared" si="13"/>
        <v>82.694367856494296</v>
      </c>
      <c r="D68" s="96">
        <f t="shared" si="13"/>
        <v>0.36764699684971797</v>
      </c>
      <c r="E68" s="96">
        <f t="shared" si="13"/>
        <v>0.38401286947795643</v>
      </c>
      <c r="F68" s="96">
        <f t="shared" si="13"/>
        <v>5.5458008034653012</v>
      </c>
      <c r="G68" s="96">
        <f t="shared" si="13"/>
        <v>0.218275187673205</v>
      </c>
      <c r="H68" s="97">
        <f t="shared" si="13"/>
        <v>10.789896286039513</v>
      </c>
      <c r="I68" s="84"/>
    </row>
    <row r="69" spans="2:9" ht="9.9499999999999993" customHeight="1" x14ac:dyDescent="0.2">
      <c r="B69" s="75">
        <v>2005</v>
      </c>
      <c r="C69" s="95">
        <f t="shared" si="13"/>
        <v>82.580543838476387</v>
      </c>
      <c r="D69" s="96">
        <f t="shared" si="13"/>
        <v>0.33436970116492615</v>
      </c>
      <c r="E69" s="96">
        <f t="shared" si="13"/>
        <v>0.37847425875028678</v>
      </c>
      <c r="F69" s="96">
        <f t="shared" si="13"/>
        <v>5.3340351665410042</v>
      </c>
      <c r="G69" s="96">
        <f t="shared" si="13"/>
        <v>0.21351919165109653</v>
      </c>
      <c r="H69" s="97">
        <f t="shared" si="13"/>
        <v>11.159057843416292</v>
      </c>
      <c r="I69" s="84"/>
    </row>
    <row r="70" spans="2:9" ht="9.9499999999999993" customHeight="1" x14ac:dyDescent="0.2">
      <c r="B70" s="75">
        <v>2006</v>
      </c>
      <c r="C70" s="95">
        <f t="shared" si="13"/>
        <v>82.125810523548694</v>
      </c>
      <c r="D70" s="96">
        <f t="shared" si="13"/>
        <v>0.46118151628317966</v>
      </c>
      <c r="E70" s="96">
        <f t="shared" si="13"/>
        <v>0.38160651426515629</v>
      </c>
      <c r="F70" s="96">
        <f t="shared" si="13"/>
        <v>5.6449746828747243</v>
      </c>
      <c r="G70" s="96">
        <f t="shared" si="13"/>
        <v>0.23172930845544687</v>
      </c>
      <c r="H70" s="97">
        <f t="shared" si="13"/>
        <v>11.154697454572798</v>
      </c>
      <c r="I70" s="84"/>
    </row>
    <row r="71" spans="2:9" x14ac:dyDescent="0.2">
      <c r="B71" s="75">
        <v>2007</v>
      </c>
      <c r="C71" s="95">
        <f t="shared" ref="C71:H71" si="14">100*(C20/$I20)</f>
        <v>81.62229132654042</v>
      </c>
      <c r="D71" s="96">
        <f t="shared" si="14"/>
        <v>0.51081137972836466</v>
      </c>
      <c r="E71" s="96">
        <f t="shared" si="14"/>
        <v>0.41210198958810473</v>
      </c>
      <c r="F71" s="96">
        <f t="shared" si="14"/>
        <v>5.7881791251048824</v>
      </c>
      <c r="G71" s="96">
        <f t="shared" si="14"/>
        <v>0.2456406745148545</v>
      </c>
      <c r="H71" s="97">
        <f t="shared" si="14"/>
        <v>11.420975504523364</v>
      </c>
      <c r="I71" s="86"/>
    </row>
    <row r="72" spans="2:9" x14ac:dyDescent="0.2">
      <c r="B72" s="75">
        <v>2008</v>
      </c>
      <c r="C72" s="95">
        <f t="shared" ref="C72:H72" si="15">100*(C21/$I21)</f>
        <v>81.56504181009349</v>
      </c>
      <c r="D72" s="96">
        <f t="shared" si="15"/>
        <v>0.50737622618882472</v>
      </c>
      <c r="E72" s="96">
        <f t="shared" si="15"/>
        <v>0.44208299345263741</v>
      </c>
      <c r="F72" s="96">
        <f t="shared" si="15"/>
        <v>6.0363673870483119</v>
      </c>
      <c r="G72" s="96">
        <f t="shared" si="15"/>
        <v>0.25173504245775796</v>
      </c>
      <c r="H72" s="97">
        <f t="shared" si="15"/>
        <v>11.197396540758984</v>
      </c>
      <c r="I72" s="86"/>
    </row>
    <row r="73" spans="2:9" x14ac:dyDescent="0.2">
      <c r="B73" s="75">
        <v>2009</v>
      </c>
      <c r="C73" s="95">
        <f t="shared" ref="C73:H73" si="16">100*(C22/$I22)</f>
        <v>79.841670154768309</v>
      </c>
      <c r="D73" s="96">
        <f t="shared" si="16"/>
        <v>0.49389681699548238</v>
      </c>
      <c r="E73" s="96">
        <f t="shared" si="16"/>
        <v>0.50031458936297812</v>
      </c>
      <c r="F73" s="96">
        <f t="shared" si="16"/>
        <v>6.7206237697106177</v>
      </c>
      <c r="G73" s="96">
        <f t="shared" si="16"/>
        <v>0.29345041003339933</v>
      </c>
      <c r="H73" s="97">
        <f t="shared" si="16"/>
        <v>12.150044259129205</v>
      </c>
      <c r="I73" s="86"/>
    </row>
    <row r="74" spans="2:9" x14ac:dyDescent="0.2">
      <c r="B74" s="75">
        <v>2010</v>
      </c>
      <c r="C74" s="95">
        <f t="shared" ref="C74:H77" si="17">100*(C23/$I23)</f>
        <v>79.973679709207545</v>
      </c>
      <c r="D74" s="96">
        <f t="shared" si="17"/>
        <v>0.43626128723954588</v>
      </c>
      <c r="E74" s="96">
        <f t="shared" si="17"/>
        <v>0.50078203335174287</v>
      </c>
      <c r="F74" s="96">
        <f t="shared" si="17"/>
        <v>6.416730951200492</v>
      </c>
      <c r="G74" s="96">
        <f t="shared" si="17"/>
        <v>0.28402563170329809</v>
      </c>
      <c r="H74" s="97">
        <f t="shared" si="17"/>
        <v>12.388520387297358</v>
      </c>
      <c r="I74" s="86"/>
    </row>
    <row r="75" spans="2:9" x14ac:dyDescent="0.2">
      <c r="B75" s="75">
        <v>2011</v>
      </c>
      <c r="C75" s="95">
        <f t="shared" si="17"/>
        <v>79.772703755699908</v>
      </c>
      <c r="D75" s="96">
        <f t="shared" si="17"/>
        <v>0.43548202260766267</v>
      </c>
      <c r="E75" s="96">
        <f t="shared" si="17"/>
        <v>0.52421284446375627</v>
      </c>
      <c r="F75" s="96">
        <f t="shared" si="17"/>
        <v>6.3891253961437373</v>
      </c>
      <c r="G75" s="96">
        <f t="shared" si="17"/>
        <v>0.29891430829625326</v>
      </c>
      <c r="H75" s="97">
        <f t="shared" si="17"/>
        <v>12.579561672788698</v>
      </c>
    </row>
    <row r="76" spans="2:9" x14ac:dyDescent="0.2">
      <c r="B76" s="75">
        <v>2012</v>
      </c>
      <c r="C76" s="95">
        <f t="shared" si="17"/>
        <v>79.348387320251561</v>
      </c>
      <c r="D76" s="96">
        <f t="shared" ref="D76:H76" si="18">100*(D25/$I25)</f>
        <v>0.49812228364489503</v>
      </c>
      <c r="E76" s="96">
        <f t="shared" si="18"/>
        <v>0.52593041450041822</v>
      </c>
      <c r="F76" s="96">
        <f t="shared" si="18"/>
        <v>6.77987249501522</v>
      </c>
      <c r="G76" s="96">
        <f t="shared" si="18"/>
        <v>0.29430590475838125</v>
      </c>
      <c r="H76" s="97">
        <f t="shared" si="18"/>
        <v>12.553381581829518</v>
      </c>
    </row>
    <row r="77" spans="2:9" x14ac:dyDescent="0.2">
      <c r="B77" s="458">
        <v>2013</v>
      </c>
      <c r="C77" s="459">
        <f t="shared" si="17"/>
        <v>79.13515924536479</v>
      </c>
      <c r="D77" s="460">
        <f t="shared" ref="D77:H77" si="19">100*(D26/$I26)</f>
        <v>0.47068305007916411</v>
      </c>
      <c r="E77" s="460">
        <f t="shared" si="19"/>
        <v>0.53229845069873938</v>
      </c>
      <c r="F77" s="460">
        <f t="shared" si="19"/>
        <v>6.9024705262677388</v>
      </c>
      <c r="G77" s="460">
        <f t="shared" si="19"/>
        <v>0.30682770209128574</v>
      </c>
      <c r="H77" s="461">
        <f t="shared" si="19"/>
        <v>12.652561025498283</v>
      </c>
    </row>
  </sheetData>
  <mergeCells count="31">
    <mergeCell ref="G56:G57"/>
    <mergeCell ref="H56:H57"/>
    <mergeCell ref="I56:I57"/>
    <mergeCell ref="C56:C57"/>
    <mergeCell ref="D56:D57"/>
    <mergeCell ref="E56:E57"/>
    <mergeCell ref="F56:F57"/>
    <mergeCell ref="B54:I54"/>
    <mergeCell ref="B55:I55"/>
    <mergeCell ref="D34:D35"/>
    <mergeCell ref="E34:E35"/>
    <mergeCell ref="F34:F35"/>
    <mergeCell ref="G34:G35"/>
    <mergeCell ref="B2:I2"/>
    <mergeCell ref="B3:I3"/>
    <mergeCell ref="B4:I4"/>
    <mergeCell ref="C5:C6"/>
    <mergeCell ref="D5:D6"/>
    <mergeCell ref="E5:E6"/>
    <mergeCell ref="F5:F6"/>
    <mergeCell ref="G5:G6"/>
    <mergeCell ref="H5:H6"/>
    <mergeCell ref="I5:I6"/>
    <mergeCell ref="B33:I33"/>
    <mergeCell ref="C34:C35"/>
    <mergeCell ref="B29:I29"/>
    <mergeCell ref="B28:C28"/>
    <mergeCell ref="B30:I30"/>
    <mergeCell ref="B32:I32"/>
    <mergeCell ref="H34:H35"/>
    <mergeCell ref="I34:I35"/>
  </mergeCells>
  <phoneticPr fontId="9"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dimension ref="B1:U44"/>
  <sheetViews>
    <sheetView topLeftCell="A7" workbookViewId="0">
      <selection activeCell="E44" sqref="E44"/>
    </sheetView>
  </sheetViews>
  <sheetFormatPr defaultRowHeight="12.75" x14ac:dyDescent="0.2"/>
  <cols>
    <col min="1" max="1" width="1" customWidth="1"/>
    <col min="2" max="2" width="9.7109375" customWidth="1"/>
    <col min="3" max="16" width="6.7109375" customWidth="1"/>
  </cols>
  <sheetData>
    <row r="1" spans="2:14" ht="14.25" customHeight="1" x14ac:dyDescent="0.2">
      <c r="B1" s="19"/>
      <c r="N1" s="18" t="s">
        <v>90</v>
      </c>
    </row>
    <row r="2" spans="2:14" ht="12.75" customHeight="1" x14ac:dyDescent="0.25">
      <c r="C2" s="32"/>
      <c r="D2" s="32"/>
      <c r="E2" s="32"/>
      <c r="I2" s="13"/>
    </row>
    <row r="3" spans="2:14" ht="12.75" customHeight="1" x14ac:dyDescent="0.2">
      <c r="C3" s="13"/>
      <c r="D3" s="13"/>
      <c r="E3" s="13"/>
    </row>
    <row r="4" spans="2:14" ht="12.75" customHeight="1" x14ac:dyDescent="0.25">
      <c r="C4" s="1"/>
      <c r="D4" s="1"/>
      <c r="E4" s="1"/>
      <c r="F4" s="1"/>
      <c r="G4" s="33"/>
    </row>
    <row r="5" spans="2:14" ht="12.75" customHeight="1" x14ac:dyDescent="0.2">
      <c r="C5" s="1"/>
      <c r="D5" s="1"/>
      <c r="E5" s="1"/>
      <c r="F5" s="1"/>
      <c r="G5" s="1"/>
    </row>
    <row r="6" spans="2:14" ht="12.75" customHeight="1" x14ac:dyDescent="0.2">
      <c r="C6" s="1"/>
      <c r="D6" s="1"/>
      <c r="E6" s="1"/>
      <c r="F6" s="1"/>
      <c r="G6" s="1"/>
    </row>
    <row r="7" spans="2:14" ht="12.75" customHeight="1" x14ac:dyDescent="0.2">
      <c r="C7" s="1"/>
      <c r="D7" s="1"/>
      <c r="E7" s="1"/>
      <c r="F7" s="1"/>
      <c r="G7" s="1"/>
      <c r="I7" s="21"/>
    </row>
    <row r="8" spans="2:14" s="20" customFormat="1" ht="12.75" customHeight="1" x14ac:dyDescent="0.2">
      <c r="C8" s="34"/>
      <c r="D8" s="1"/>
      <c r="E8" s="1"/>
      <c r="F8" s="1"/>
      <c r="G8" s="1"/>
    </row>
    <row r="9" spans="2:14" s="20" customFormat="1" ht="12.75" customHeight="1" x14ac:dyDescent="0.2">
      <c r="C9" s="34"/>
      <c r="D9" s="1"/>
      <c r="E9" s="1"/>
      <c r="F9" s="1"/>
      <c r="G9" s="1"/>
    </row>
    <row r="10" spans="2:14" s="21" customFormat="1" ht="12.75" customHeight="1" x14ac:dyDescent="0.2">
      <c r="C10" s="35"/>
      <c r="D10" s="1"/>
      <c r="E10" s="1"/>
      <c r="F10" s="1"/>
      <c r="G10" s="1"/>
    </row>
    <row r="11" spans="2:14" s="21" customFormat="1" ht="12.75" customHeight="1" x14ac:dyDescent="0.2">
      <c r="C11" s="35"/>
      <c r="D11" s="1"/>
      <c r="E11" s="1"/>
      <c r="F11" s="1"/>
      <c r="G11" s="1"/>
    </row>
    <row r="12" spans="2:14" s="21" customFormat="1" ht="12.75" customHeight="1" x14ac:dyDescent="0.2">
      <c r="C12" s="35"/>
      <c r="D12" s="1"/>
      <c r="E12" s="1"/>
      <c r="F12" s="1"/>
      <c r="G12" s="1"/>
    </row>
    <row r="13" spans="2:14" s="21" customFormat="1" ht="12.75" customHeight="1" x14ac:dyDescent="0.2">
      <c r="C13" s="35"/>
      <c r="D13" s="1"/>
      <c r="E13" s="1"/>
      <c r="F13" s="1"/>
      <c r="G13" s="1"/>
    </row>
    <row r="14" spans="2:14" s="21" customFormat="1" ht="12.75" customHeight="1" x14ac:dyDescent="0.2">
      <c r="C14" s="35"/>
      <c r="D14" s="1"/>
      <c r="E14" s="1"/>
      <c r="F14" s="1"/>
      <c r="G14" s="1"/>
    </row>
    <row r="15" spans="2:14" s="21" customFormat="1" ht="12.75" customHeight="1" x14ac:dyDescent="0.2">
      <c r="C15" s="35"/>
      <c r="D15" s="1"/>
      <c r="E15" s="1"/>
      <c r="F15" s="1"/>
      <c r="G15" s="1"/>
    </row>
    <row r="16" spans="2:14" s="22" customFormat="1" ht="12.75" customHeight="1" x14ac:dyDescent="0.2">
      <c r="C16" s="24"/>
      <c r="D16" s="1"/>
      <c r="E16" s="1"/>
      <c r="F16" s="1"/>
      <c r="G16" s="1"/>
    </row>
    <row r="17" spans="2:7" s="27" customFormat="1" ht="12.75" customHeight="1" x14ac:dyDescent="0.2">
      <c r="C17" s="36"/>
      <c r="D17" s="1"/>
      <c r="E17" s="1"/>
      <c r="F17" s="1"/>
      <c r="G17" s="1"/>
    </row>
    <row r="18" spans="2:7" ht="12.75" customHeight="1" x14ac:dyDescent="0.2">
      <c r="C18" s="1"/>
      <c r="D18" s="1"/>
      <c r="E18" s="1"/>
      <c r="F18" s="1"/>
      <c r="G18" s="1"/>
    </row>
    <row r="19" spans="2:7" s="38" customFormat="1" ht="12.75" customHeight="1" x14ac:dyDescent="0.2">
      <c r="C19" s="37"/>
      <c r="D19" s="1"/>
      <c r="E19" s="1"/>
      <c r="F19" s="1"/>
      <c r="G19" s="1"/>
    </row>
    <row r="20" spans="2:7" s="38" customFormat="1" ht="12.75" customHeight="1" x14ac:dyDescent="0.2">
      <c r="C20" s="37"/>
      <c r="D20" s="1"/>
      <c r="E20" s="1"/>
      <c r="F20" s="1"/>
      <c r="G20" s="1"/>
    </row>
    <row r="21" spans="2:7" s="38" customFormat="1" ht="12.75" customHeight="1" x14ac:dyDescent="0.2">
      <c r="C21" s="37"/>
      <c r="D21" s="1"/>
      <c r="E21" s="1"/>
      <c r="F21" s="1"/>
      <c r="G21" s="1"/>
    </row>
    <row r="22" spans="2:7" ht="12.75" customHeight="1" x14ac:dyDescent="0.2">
      <c r="C22" s="1"/>
      <c r="D22" s="1"/>
      <c r="E22" s="1"/>
      <c r="F22" s="1"/>
      <c r="G22" s="1"/>
    </row>
    <row r="23" spans="2:7" ht="12.75" customHeight="1" x14ac:dyDescent="0.2">
      <c r="C23" s="1"/>
      <c r="D23" s="1"/>
      <c r="E23" s="1"/>
      <c r="F23" s="1"/>
      <c r="G23" s="1"/>
    </row>
    <row r="24" spans="2:7" ht="12.75" customHeight="1" x14ac:dyDescent="0.2">
      <c r="C24" s="1"/>
      <c r="D24" s="1"/>
      <c r="E24" s="1"/>
      <c r="F24" s="1"/>
      <c r="G24" s="1"/>
    </row>
    <row r="25" spans="2:7" s="20" customFormat="1" ht="12.75" customHeight="1" x14ac:dyDescent="0.2">
      <c r="C25" s="34"/>
      <c r="D25" s="1"/>
      <c r="E25" s="1"/>
      <c r="F25" s="1"/>
      <c r="G25" s="1"/>
    </row>
    <row r="26" spans="2:7" s="20" customFormat="1" ht="12.75" customHeight="1" x14ac:dyDescent="0.2">
      <c r="C26" s="34"/>
      <c r="D26" s="1"/>
      <c r="E26" s="1"/>
      <c r="F26" s="1"/>
      <c r="G26" s="1"/>
    </row>
    <row r="27" spans="2:7" s="22" customFormat="1" ht="12.75" customHeight="1" x14ac:dyDescent="0.2">
      <c r="C27" s="24"/>
      <c r="D27" s="1"/>
      <c r="E27" s="1"/>
      <c r="F27" s="1"/>
      <c r="G27" s="1"/>
    </row>
    <row r="28" spans="2:7" s="21" customFormat="1" ht="12.75" customHeight="1" x14ac:dyDescent="0.2">
      <c r="C28" s="35"/>
      <c r="D28" s="1"/>
      <c r="E28" s="1"/>
      <c r="F28" s="1"/>
      <c r="G28" s="1"/>
    </row>
    <row r="29" spans="2:7" s="21" customFormat="1" ht="12.75" customHeight="1" x14ac:dyDescent="0.2">
      <c r="C29" s="35"/>
      <c r="D29" s="1"/>
      <c r="E29" s="1"/>
      <c r="F29" s="1"/>
      <c r="G29" s="1"/>
    </row>
    <row r="30" spans="2:7" s="21" customFormat="1" ht="12.75" customHeight="1" x14ac:dyDescent="0.2">
      <c r="C30" s="35"/>
      <c r="D30" s="1"/>
      <c r="E30" s="1"/>
      <c r="F30" s="1"/>
      <c r="G30" s="1"/>
    </row>
    <row r="31" spans="2:7" s="21" customFormat="1" ht="12.75" customHeight="1" x14ac:dyDescent="0.2">
      <c r="C31" s="35"/>
      <c r="D31" s="1"/>
      <c r="E31" s="1"/>
      <c r="F31" s="1"/>
      <c r="G31" s="1"/>
    </row>
    <row r="32" spans="2:7" ht="15" customHeight="1" x14ac:dyDescent="0.2">
      <c r="B32" s="39" t="s">
        <v>91</v>
      </c>
    </row>
    <row r="35" spans="2:21" ht="21.95" customHeight="1" x14ac:dyDescent="0.2"/>
    <row r="36" spans="2:21" ht="21.95" customHeight="1" x14ac:dyDescent="0.2">
      <c r="B36" s="20"/>
      <c r="C36" s="101">
        <v>1995</v>
      </c>
      <c r="D36" s="102">
        <v>1996</v>
      </c>
      <c r="E36" s="102">
        <v>1997</v>
      </c>
      <c r="F36" s="102">
        <v>1998</v>
      </c>
      <c r="G36" s="102">
        <v>1999</v>
      </c>
      <c r="H36" s="102">
        <v>2000</v>
      </c>
      <c r="I36" s="102">
        <v>2001</v>
      </c>
      <c r="J36" s="102">
        <v>2002</v>
      </c>
      <c r="K36" s="102">
        <v>2003</v>
      </c>
      <c r="L36" s="102">
        <v>2004</v>
      </c>
      <c r="M36" s="102">
        <v>2005</v>
      </c>
      <c r="N36" s="102">
        <v>2006</v>
      </c>
      <c r="O36" s="102">
        <v>2007</v>
      </c>
      <c r="P36" s="102">
        <v>2008</v>
      </c>
      <c r="Q36" s="102">
        <v>2009</v>
      </c>
      <c r="R36" s="102">
        <v>2010</v>
      </c>
      <c r="S36" s="215">
        <v>2011</v>
      </c>
      <c r="T36" s="198">
        <v>2012</v>
      </c>
      <c r="U36" s="198">
        <v>2013</v>
      </c>
    </row>
    <row r="37" spans="2:21" ht="21.95" customHeight="1" x14ac:dyDescent="0.2">
      <c r="B37" s="90" t="s">
        <v>45</v>
      </c>
      <c r="C37" s="106">
        <v>3934.8472949825991</v>
      </c>
      <c r="D37" s="107">
        <v>4002.9892634000898</v>
      </c>
      <c r="E37" s="107">
        <v>4087.1699724458103</v>
      </c>
      <c r="F37" s="107">
        <v>4191.0222675965633</v>
      </c>
      <c r="G37" s="107">
        <v>4306.8127589563237</v>
      </c>
      <c r="H37" s="107">
        <v>4355.421721862861</v>
      </c>
      <c r="I37" s="107">
        <v>4454.1986074087799</v>
      </c>
      <c r="J37" s="107">
        <v>4542.3424990272697</v>
      </c>
      <c r="K37" s="107">
        <v>4585.56294581355</v>
      </c>
      <c r="L37" s="107">
        <v>4651.570532845486</v>
      </c>
      <c r="M37" s="107">
        <v>4591.3163466633541</v>
      </c>
      <c r="N37" s="108">
        <v>4636.341548390018</v>
      </c>
      <c r="O37" s="108">
        <v>4690.0408844782132</v>
      </c>
      <c r="P37" s="108">
        <v>4698.4372953873526</v>
      </c>
      <c r="Q37" s="108">
        <v>4773.7939387817532</v>
      </c>
      <c r="R37" s="108">
        <v>4716.8083029451464</v>
      </c>
      <c r="S37" s="108">
        <v>4697.8278373856347</v>
      </c>
      <c r="T37" s="187">
        <v>4614.0834454424476</v>
      </c>
      <c r="U37" s="187">
        <v>4672.2636019642487</v>
      </c>
    </row>
    <row r="38" spans="2:21" ht="21.95" customHeight="1" x14ac:dyDescent="0.2">
      <c r="B38" s="90" t="s">
        <v>8</v>
      </c>
      <c r="C38" s="106">
        <v>116.43349763449469</v>
      </c>
      <c r="D38" s="107">
        <v>117.96439863754195</v>
      </c>
      <c r="E38" s="107">
        <v>122.02008293891569</v>
      </c>
      <c r="F38" s="107">
        <v>126.07642493455046</v>
      </c>
      <c r="G38" s="107">
        <v>129.94084724369375</v>
      </c>
      <c r="H38" s="107">
        <v>107.69282696820279</v>
      </c>
      <c r="I38" s="107">
        <v>112.05720646755084</v>
      </c>
      <c r="J38" s="107">
        <v>113.74168396199428</v>
      </c>
      <c r="K38" s="107">
        <v>116.82360863597165</v>
      </c>
      <c r="L38" s="107">
        <v>120.7063227627053</v>
      </c>
      <c r="M38" s="107">
        <v>123.4366773735735</v>
      </c>
      <c r="N38" s="108">
        <v>122.9870348769134</v>
      </c>
      <c r="O38" s="108">
        <v>119.00157832317467</v>
      </c>
      <c r="P38" s="108">
        <v>124.49542998651297</v>
      </c>
      <c r="Q38" s="108">
        <v>122.27556736209432</v>
      </c>
      <c r="R38" s="108">
        <v>122.51004903961785</v>
      </c>
      <c r="S38" s="108">
        <v>125.31287878486302</v>
      </c>
      <c r="T38" s="187">
        <v>125.68193993272386</v>
      </c>
      <c r="U38" s="187">
        <v>125.06204759518815</v>
      </c>
    </row>
    <row r="39" spans="2:21" ht="21.95" customHeight="1" x14ac:dyDescent="0.2">
      <c r="B39" s="90" t="s">
        <v>46</v>
      </c>
      <c r="C39" s="106">
        <v>502.51010206168331</v>
      </c>
      <c r="D39" s="107">
        <v>506.98555971686721</v>
      </c>
      <c r="E39" s="107">
        <v>508.68803017075322</v>
      </c>
      <c r="F39" s="107">
        <v>515.80697187045746</v>
      </c>
      <c r="G39" s="107">
        <v>517.97291071975974</v>
      </c>
      <c r="H39" s="107">
        <v>548.2944955979774</v>
      </c>
      <c r="I39" s="107">
        <v>547.47297815548859</v>
      </c>
      <c r="J39" s="107">
        <v>538.57792774627455</v>
      </c>
      <c r="K39" s="107">
        <v>542.86003212577236</v>
      </c>
      <c r="L39" s="107">
        <v>543.94497028181354</v>
      </c>
      <c r="M39" s="107">
        <v>540.71316117113236</v>
      </c>
      <c r="N39" s="108">
        <v>537.00008042908155</v>
      </c>
      <c r="O39" s="108">
        <v>549.20351163344651</v>
      </c>
      <c r="P39" s="108">
        <v>554.46311356931756</v>
      </c>
      <c r="Q39" s="108">
        <v>533.78683836346738</v>
      </c>
      <c r="R39" s="108">
        <v>527.80244019140275</v>
      </c>
      <c r="S39" s="108">
        <v>530.14041479525679</v>
      </c>
      <c r="T39" s="187">
        <v>524.09770276396614</v>
      </c>
      <c r="U39" s="187">
        <v>526.48427683823536</v>
      </c>
    </row>
    <row r="40" spans="2:21" ht="21.95" customHeight="1" x14ac:dyDescent="0.2">
      <c r="B40" s="90" t="s">
        <v>47</v>
      </c>
      <c r="C40" s="106">
        <v>350.32250628200006</v>
      </c>
      <c r="D40" s="107">
        <v>348.7789985870001</v>
      </c>
      <c r="E40" s="107">
        <v>349.80795994899984</v>
      </c>
      <c r="F40" s="107">
        <v>350.73916329400004</v>
      </c>
      <c r="G40" s="107">
        <v>358.488527788</v>
      </c>
      <c r="H40" s="107">
        <v>371.50979316390823</v>
      </c>
      <c r="I40" s="107">
        <v>373.59488607944144</v>
      </c>
      <c r="J40" s="107">
        <v>366.12848532880457</v>
      </c>
      <c r="K40" s="107">
        <v>362.43931435149534</v>
      </c>
      <c r="L40" s="107">
        <v>368.79253977899998</v>
      </c>
      <c r="M40" s="107">
        <v>377.38650492200014</v>
      </c>
      <c r="N40" s="108">
        <v>389.34189861599998</v>
      </c>
      <c r="O40" s="108">
        <v>395.59245699900004</v>
      </c>
      <c r="P40" s="108">
        <v>410.69711544400002</v>
      </c>
      <c r="Q40" s="108">
        <v>403.73641833891702</v>
      </c>
      <c r="R40" s="108">
        <v>405.29756774583996</v>
      </c>
      <c r="S40" s="108">
        <v>414.52298075838007</v>
      </c>
      <c r="T40" s="187">
        <v>419.57548485826499</v>
      </c>
      <c r="U40" s="187">
        <v>424.22109999999998</v>
      </c>
    </row>
    <row r="41" spans="2:21" ht="21.95" customHeight="1" x14ac:dyDescent="0.2">
      <c r="B41" s="90" t="s">
        <v>1</v>
      </c>
      <c r="C41" s="106">
        <v>71.891826933853139</v>
      </c>
      <c r="D41" s="107">
        <v>72.75844704285268</v>
      </c>
      <c r="E41" s="107">
        <v>73.401167505661675</v>
      </c>
      <c r="F41" s="107">
        <v>74.514813769858449</v>
      </c>
      <c r="G41" s="107">
        <v>76.185605585658649</v>
      </c>
      <c r="H41" s="107">
        <v>78.388666385006502</v>
      </c>
      <c r="I41" s="107">
        <v>79.073858000126307</v>
      </c>
      <c r="J41" s="107">
        <v>80.321590420302201</v>
      </c>
      <c r="K41" s="107">
        <v>80.632544951289475</v>
      </c>
      <c r="L41" s="107">
        <v>83.29197964551507</v>
      </c>
      <c r="M41" s="107">
        <v>83.878405085217736</v>
      </c>
      <c r="N41" s="108">
        <v>85.734380647038435</v>
      </c>
      <c r="O41" s="108">
        <v>87.67852304119863</v>
      </c>
      <c r="P41" s="108">
        <v>91.072720544643673</v>
      </c>
      <c r="Q41" s="108">
        <v>90.904844763775003</v>
      </c>
      <c r="R41" s="108">
        <v>92.183460178851135</v>
      </c>
      <c r="S41" s="108">
        <v>93.36664850878708</v>
      </c>
      <c r="T41" s="187">
        <v>94.628205964957516</v>
      </c>
      <c r="U41" s="187">
        <v>95.385432105442803</v>
      </c>
    </row>
    <row r="42" spans="2:21" ht="21.95" customHeight="1" x14ac:dyDescent="0.2">
      <c r="B42" s="90" t="s">
        <v>49</v>
      </c>
      <c r="C42" s="109">
        <v>347.90300000000002</v>
      </c>
      <c r="D42" s="110">
        <v>368.01300000000003</v>
      </c>
      <c r="E42" s="110">
        <v>392.14500000000004</v>
      </c>
      <c r="F42" s="110">
        <v>411.24950000000001</v>
      </c>
      <c r="G42" s="110">
        <v>427.33750000000003</v>
      </c>
      <c r="H42" s="110">
        <v>459.51350000000002</v>
      </c>
      <c r="I42" s="110">
        <v>455.49150000000003</v>
      </c>
      <c r="J42" s="110">
        <v>447.44750000000005</v>
      </c>
      <c r="K42" s="110">
        <v>465.54650000000004</v>
      </c>
      <c r="L42" s="110">
        <v>495.71150000000006</v>
      </c>
      <c r="M42" s="107">
        <v>529.89850000000001</v>
      </c>
      <c r="N42" s="108">
        <v>552.01949999999999</v>
      </c>
      <c r="O42" s="108">
        <v>575.14600000000007</v>
      </c>
      <c r="P42" s="108">
        <v>563.29796133939999</v>
      </c>
      <c r="Q42" s="108">
        <v>524.99870159170007</v>
      </c>
      <c r="R42" s="108">
        <v>539.47775820741992</v>
      </c>
      <c r="S42" s="108">
        <v>579.80066050783</v>
      </c>
      <c r="T42" s="187">
        <v>573.51095878296996</v>
      </c>
      <c r="U42" s="187">
        <v>582.54808995462997</v>
      </c>
    </row>
    <row r="43" spans="2:21" ht="21.95" customHeight="1" x14ac:dyDescent="0.2">
      <c r="B43" s="90" t="s">
        <v>48</v>
      </c>
      <c r="C43" s="109">
        <v>44.4</v>
      </c>
      <c r="D43" s="110">
        <v>44</v>
      </c>
      <c r="E43" s="110">
        <v>43.6</v>
      </c>
      <c r="F43" s="110">
        <v>43.1</v>
      </c>
      <c r="G43" s="110">
        <v>42.6</v>
      </c>
      <c r="H43" s="110">
        <v>41.7</v>
      </c>
      <c r="I43" s="110">
        <v>42</v>
      </c>
      <c r="J43" s="110">
        <v>43.314030492915776</v>
      </c>
      <c r="K43" s="110">
        <v>43.114081266229043</v>
      </c>
      <c r="L43" s="110">
        <v>42.607879155803012</v>
      </c>
      <c r="M43" s="107">
        <v>41.716561428007651</v>
      </c>
      <c r="N43" s="108">
        <v>42.268884620020124</v>
      </c>
      <c r="O43" s="108">
        <v>43.43595617914599</v>
      </c>
      <c r="P43" s="108">
        <v>43.479950396729279</v>
      </c>
      <c r="Q43" s="108">
        <v>42.536198751699693</v>
      </c>
      <c r="R43" s="108">
        <v>40.47620197710738</v>
      </c>
      <c r="S43" s="108">
        <v>39.11197573933616</v>
      </c>
      <c r="T43" s="187">
        <v>41.970204085276109</v>
      </c>
      <c r="U43" s="187">
        <v>39.027607867280523</v>
      </c>
    </row>
    <row r="44" spans="2:21" ht="21.95" customHeight="1" x14ac:dyDescent="0.2">
      <c r="B44" s="91" t="s">
        <v>50</v>
      </c>
      <c r="C44" s="111">
        <f>SUM(C37:C43)</f>
        <v>5368.3082278946304</v>
      </c>
      <c r="D44" s="112">
        <f t="shared" ref="D44:U44" si="0">SUM(D37:D43)</f>
        <v>5461.4896673843523</v>
      </c>
      <c r="E44" s="112">
        <f t="shared" si="0"/>
        <v>5576.8322130101424</v>
      </c>
      <c r="F44" s="112">
        <f t="shared" si="0"/>
        <v>5712.5091414654298</v>
      </c>
      <c r="G44" s="112">
        <f t="shared" si="0"/>
        <v>5859.3381502934362</v>
      </c>
      <c r="H44" s="112">
        <f t="shared" si="0"/>
        <v>5962.5210039779558</v>
      </c>
      <c r="I44" s="112">
        <f t="shared" si="0"/>
        <v>6063.8890361113872</v>
      </c>
      <c r="J44" s="112">
        <f t="shared" si="0"/>
        <v>6131.8737169775613</v>
      </c>
      <c r="K44" s="112">
        <f t="shared" si="0"/>
        <v>6196.9790271443089</v>
      </c>
      <c r="L44" s="112">
        <f t="shared" si="0"/>
        <v>6306.6257244703238</v>
      </c>
      <c r="M44" s="112">
        <f t="shared" si="0"/>
        <v>6288.3461566432852</v>
      </c>
      <c r="N44" s="112">
        <f t="shared" si="0"/>
        <v>6365.6933275790707</v>
      </c>
      <c r="O44" s="112">
        <f t="shared" si="0"/>
        <v>6460.0989106541792</v>
      </c>
      <c r="P44" s="112">
        <f t="shared" si="0"/>
        <v>6485.943586667956</v>
      </c>
      <c r="Q44" s="112">
        <f t="shared" si="0"/>
        <v>6492.0325079534077</v>
      </c>
      <c r="R44" s="112">
        <f t="shared" si="0"/>
        <v>6444.5557802853855</v>
      </c>
      <c r="S44" s="112">
        <f t="shared" si="0"/>
        <v>6480.0833964800877</v>
      </c>
      <c r="T44" s="188">
        <f t="shared" si="0"/>
        <v>6393.5479418306068</v>
      </c>
      <c r="U44" s="188">
        <f t="shared" si="0"/>
        <v>6464.9921563250255</v>
      </c>
    </row>
  </sheetData>
  <phoneticPr fontId="9" type="noConversion"/>
  <printOptions horizontalCentered="1"/>
  <pageMargins left="0.47244094488188981" right="0.47244094488188981" top="0.51181102362204722" bottom="0.27559055118110237"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K62"/>
  <sheetViews>
    <sheetView zoomScaleNormal="100" workbookViewId="0">
      <selection activeCell="O13" sqref="O13"/>
    </sheetView>
  </sheetViews>
  <sheetFormatPr defaultRowHeight="12.75" x14ac:dyDescent="0.2"/>
  <cols>
    <col min="1" max="1" width="3" customWidth="1"/>
    <col min="2" max="2" width="4.85546875" customWidth="1"/>
    <col min="3" max="10" width="6.7109375" customWidth="1"/>
  </cols>
  <sheetData>
    <row r="1" spans="1:11" ht="14.25" customHeight="1" x14ac:dyDescent="0.2">
      <c r="B1" s="40"/>
      <c r="C1" s="30"/>
      <c r="D1" s="30"/>
      <c r="E1" s="30"/>
      <c r="F1" s="30"/>
      <c r="G1" s="30"/>
      <c r="H1" s="30"/>
      <c r="I1" s="30"/>
      <c r="J1" s="31" t="s">
        <v>94</v>
      </c>
    </row>
    <row r="2" spans="1:11" s="19" customFormat="1" ht="30" customHeight="1" x14ac:dyDescent="0.2">
      <c r="A2"/>
      <c r="B2" s="494" t="s">
        <v>117</v>
      </c>
      <c r="C2" s="495"/>
      <c r="D2" s="495"/>
      <c r="E2" s="495"/>
      <c r="F2" s="495"/>
      <c r="G2" s="495"/>
      <c r="H2" s="495"/>
      <c r="I2" s="495"/>
      <c r="J2" s="495"/>
      <c r="K2"/>
    </row>
    <row r="3" spans="1:11" ht="15" customHeight="1" x14ac:dyDescent="0.2">
      <c r="B3" s="495" t="s">
        <v>0</v>
      </c>
      <c r="C3" s="495"/>
      <c r="D3" s="495"/>
      <c r="E3" s="495"/>
      <c r="F3" s="495"/>
      <c r="G3" s="495"/>
      <c r="H3" s="495"/>
      <c r="I3" s="495"/>
      <c r="J3" s="495"/>
    </row>
    <row r="4" spans="1:11" s="22" customFormat="1" ht="13.5" customHeight="1" x14ac:dyDescent="0.2">
      <c r="B4" s="496" t="s">
        <v>114</v>
      </c>
      <c r="C4" s="496"/>
      <c r="D4" s="496"/>
      <c r="E4" s="496"/>
      <c r="F4" s="496"/>
      <c r="G4" s="496"/>
      <c r="H4" s="496"/>
      <c r="I4" s="496"/>
      <c r="J4" s="496"/>
      <c r="K4"/>
    </row>
    <row r="5" spans="1:11" s="20" customFormat="1" ht="20.100000000000001" customHeight="1" x14ac:dyDescent="0.2">
      <c r="B5" s="29"/>
      <c r="C5" s="491" t="s">
        <v>83</v>
      </c>
      <c r="D5" s="491" t="s">
        <v>9</v>
      </c>
      <c r="E5" s="491" t="s">
        <v>2</v>
      </c>
      <c r="F5" s="491" t="s">
        <v>84</v>
      </c>
      <c r="G5" s="491" t="s">
        <v>1</v>
      </c>
      <c r="H5" s="491" t="s">
        <v>49</v>
      </c>
      <c r="I5" s="491" t="s">
        <v>48</v>
      </c>
      <c r="J5" s="491" t="s">
        <v>50</v>
      </c>
      <c r="K5" s="27"/>
    </row>
    <row r="6" spans="1:11" s="20" customFormat="1" ht="20.100000000000001" customHeight="1" x14ac:dyDescent="0.2">
      <c r="B6" s="29"/>
      <c r="C6" s="492"/>
      <c r="D6" s="492"/>
      <c r="E6" s="492"/>
      <c r="F6" s="492"/>
      <c r="G6" s="492"/>
      <c r="H6" s="492"/>
      <c r="I6" s="492"/>
      <c r="J6" s="492"/>
      <c r="K6" s="27"/>
    </row>
    <row r="7" spans="1:11" s="20" customFormat="1" ht="12.75" customHeight="1" x14ac:dyDescent="0.2">
      <c r="B7" s="104">
        <v>1995</v>
      </c>
      <c r="C7" s="158">
        <v>3934.8472949825991</v>
      </c>
      <c r="D7" s="158">
        <v>116.43349763449469</v>
      </c>
      <c r="E7" s="158">
        <v>502.51010206168331</v>
      </c>
      <c r="F7" s="159">
        <v>350.32250628200006</v>
      </c>
      <c r="G7" s="158">
        <v>71.891826933853139</v>
      </c>
      <c r="H7" s="160">
        <v>347.90300000000002</v>
      </c>
      <c r="I7" s="158">
        <v>44.4</v>
      </c>
      <c r="J7" s="163">
        <f t="shared" ref="J7:J21" si="0">SUM(C7:I7)</f>
        <v>5368.3082278946304</v>
      </c>
      <c r="K7" s="27"/>
    </row>
    <row r="8" spans="1:11" s="20" customFormat="1" ht="12.75" customHeight="1" x14ac:dyDescent="0.2">
      <c r="A8" s="22"/>
      <c r="B8" s="59">
        <v>1996</v>
      </c>
      <c r="C8" s="160">
        <v>4002.9892634000898</v>
      </c>
      <c r="D8" s="160">
        <v>117.96439863754195</v>
      </c>
      <c r="E8" s="160">
        <v>506.98555971686721</v>
      </c>
      <c r="F8" s="161">
        <v>348.7789985870001</v>
      </c>
      <c r="G8" s="160">
        <v>72.75844704285268</v>
      </c>
      <c r="H8" s="160">
        <v>368.01300000000003</v>
      </c>
      <c r="I8" s="160">
        <v>44</v>
      </c>
      <c r="J8" s="164">
        <f t="shared" si="0"/>
        <v>5461.4896673843523</v>
      </c>
      <c r="K8" s="27"/>
    </row>
    <row r="9" spans="1:11" s="20" customFormat="1" ht="12.75" customHeight="1" x14ac:dyDescent="0.2">
      <c r="A9" s="22"/>
      <c r="B9" s="59">
        <v>1997</v>
      </c>
      <c r="C9" s="160">
        <v>4087.1699724458103</v>
      </c>
      <c r="D9" s="160">
        <v>122.02008293891569</v>
      </c>
      <c r="E9" s="160">
        <v>508.68803017075322</v>
      </c>
      <c r="F9" s="161">
        <v>349.80795994899984</v>
      </c>
      <c r="G9" s="160">
        <v>73.401167505661675</v>
      </c>
      <c r="H9" s="160">
        <v>392.14500000000004</v>
      </c>
      <c r="I9" s="160">
        <v>43.6</v>
      </c>
      <c r="J9" s="164">
        <f t="shared" si="0"/>
        <v>5576.8322130101424</v>
      </c>
      <c r="K9" s="27"/>
    </row>
    <row r="10" spans="1:11" s="20" customFormat="1" ht="12.75" customHeight="1" x14ac:dyDescent="0.2">
      <c r="A10" s="22"/>
      <c r="B10" s="59">
        <v>1998</v>
      </c>
      <c r="C10" s="160">
        <v>4191.0222675965633</v>
      </c>
      <c r="D10" s="160">
        <v>126.07642493455046</v>
      </c>
      <c r="E10" s="160">
        <v>515.80697187045746</v>
      </c>
      <c r="F10" s="161">
        <v>350.73916329400004</v>
      </c>
      <c r="G10" s="160">
        <v>74.514813769858449</v>
      </c>
      <c r="H10" s="160">
        <v>411.24950000000001</v>
      </c>
      <c r="I10" s="160">
        <v>43.1</v>
      </c>
      <c r="J10" s="164">
        <f t="shared" si="0"/>
        <v>5712.5091414654298</v>
      </c>
      <c r="K10" s="27"/>
    </row>
    <row r="11" spans="1:11" s="22" customFormat="1" ht="12.75" customHeight="1" x14ac:dyDescent="0.2">
      <c r="B11" s="59">
        <v>1999</v>
      </c>
      <c r="C11" s="160">
        <v>4306.8127589563237</v>
      </c>
      <c r="D11" s="160">
        <v>129.94084724369375</v>
      </c>
      <c r="E11" s="160">
        <v>517.97291071975974</v>
      </c>
      <c r="F11" s="161">
        <v>358.488527788</v>
      </c>
      <c r="G11" s="160">
        <v>76.185605585658649</v>
      </c>
      <c r="H11" s="160">
        <v>427.33750000000003</v>
      </c>
      <c r="I11" s="160">
        <v>42.6</v>
      </c>
      <c r="J11" s="164">
        <f t="shared" si="0"/>
        <v>5859.3381502934362</v>
      </c>
      <c r="K11" s="27"/>
    </row>
    <row r="12" spans="1:11" s="22" customFormat="1" ht="12.75" customHeight="1" x14ac:dyDescent="0.2">
      <c r="B12" s="59">
        <v>2000</v>
      </c>
      <c r="C12" s="160">
        <v>4355.421721862861</v>
      </c>
      <c r="D12" s="160">
        <v>107.69282696820279</v>
      </c>
      <c r="E12" s="160">
        <v>548.2944955979774</v>
      </c>
      <c r="F12" s="161">
        <v>371.50979316390823</v>
      </c>
      <c r="G12" s="160">
        <v>78.388666385006502</v>
      </c>
      <c r="H12" s="160">
        <v>459.51350000000002</v>
      </c>
      <c r="I12" s="160">
        <v>41.7</v>
      </c>
      <c r="J12" s="164">
        <f t="shared" si="0"/>
        <v>5962.5210039779558</v>
      </c>
      <c r="K12" s="27"/>
    </row>
    <row r="13" spans="1:11" s="22" customFormat="1" ht="36" customHeight="1" x14ac:dyDescent="0.2">
      <c r="B13" s="59">
        <v>2001</v>
      </c>
      <c r="C13" s="160">
        <v>4454.1986074087799</v>
      </c>
      <c r="D13" s="160">
        <v>112.05720646755084</v>
      </c>
      <c r="E13" s="160">
        <v>547.47297815548859</v>
      </c>
      <c r="F13" s="161">
        <v>373.59488607944144</v>
      </c>
      <c r="G13" s="160">
        <v>79.073858000126307</v>
      </c>
      <c r="H13" s="160">
        <v>455.49150000000003</v>
      </c>
      <c r="I13" s="160">
        <v>42</v>
      </c>
      <c r="J13" s="164">
        <f t="shared" si="0"/>
        <v>6063.8890361113872</v>
      </c>
      <c r="K13" s="27"/>
    </row>
    <row r="14" spans="1:11" s="22" customFormat="1" ht="12.75" customHeight="1" x14ac:dyDescent="0.2">
      <c r="B14" s="59">
        <v>2002</v>
      </c>
      <c r="C14" s="160">
        <v>4542.3424990272697</v>
      </c>
      <c r="D14" s="160">
        <v>113.74168396199428</v>
      </c>
      <c r="E14" s="160">
        <v>538.57792774627455</v>
      </c>
      <c r="F14" s="161">
        <v>366.12848532880457</v>
      </c>
      <c r="G14" s="160">
        <v>80.321590420302201</v>
      </c>
      <c r="H14" s="160">
        <v>447.44750000000005</v>
      </c>
      <c r="I14" s="160">
        <v>43.314030492915776</v>
      </c>
      <c r="J14" s="164">
        <f t="shared" si="0"/>
        <v>6131.8737169775613</v>
      </c>
      <c r="K14" s="27"/>
    </row>
    <row r="15" spans="1:11" s="22" customFormat="1" ht="12.75" customHeight="1" x14ac:dyDescent="0.2">
      <c r="A15" s="21"/>
      <c r="B15" s="59">
        <v>2003</v>
      </c>
      <c r="C15" s="160">
        <v>4585.56294581355</v>
      </c>
      <c r="D15" s="160">
        <v>116.82360863597165</v>
      </c>
      <c r="E15" s="160">
        <v>542.86003212577236</v>
      </c>
      <c r="F15" s="161">
        <v>362.43931435149534</v>
      </c>
      <c r="G15" s="160">
        <v>80.632544951289475</v>
      </c>
      <c r="H15" s="160">
        <v>465.54650000000004</v>
      </c>
      <c r="I15" s="160">
        <v>43.114081266229043</v>
      </c>
      <c r="J15" s="164">
        <f t="shared" si="0"/>
        <v>6196.9790271443089</v>
      </c>
      <c r="K15" s="27"/>
    </row>
    <row r="16" spans="1:11" s="22" customFormat="1" ht="12.75" customHeight="1" x14ac:dyDescent="0.2">
      <c r="A16" s="21"/>
      <c r="B16" s="59">
        <v>2004</v>
      </c>
      <c r="C16" s="160">
        <v>4651.570532845486</v>
      </c>
      <c r="D16" s="160">
        <v>120.7063227627053</v>
      </c>
      <c r="E16" s="160">
        <v>543.94497028181354</v>
      </c>
      <c r="F16" s="161">
        <v>368.79253977899998</v>
      </c>
      <c r="G16" s="160">
        <v>83.29197964551507</v>
      </c>
      <c r="H16" s="160">
        <v>495.71150000000006</v>
      </c>
      <c r="I16" s="160">
        <v>42.607879155803012</v>
      </c>
      <c r="J16" s="164">
        <f t="shared" si="0"/>
        <v>6306.6257244703238</v>
      </c>
      <c r="K16" s="27"/>
    </row>
    <row r="17" spans="1:11" s="22" customFormat="1" ht="12.75" customHeight="1" x14ac:dyDescent="0.2">
      <c r="B17" s="59">
        <v>2005</v>
      </c>
      <c r="C17" s="160">
        <v>4591.3163466633541</v>
      </c>
      <c r="D17" s="160">
        <v>123.4366773735735</v>
      </c>
      <c r="E17" s="160">
        <v>540.71316117113236</v>
      </c>
      <c r="F17" s="161">
        <v>377.38650492200014</v>
      </c>
      <c r="G17" s="160">
        <v>83.878405085217736</v>
      </c>
      <c r="H17" s="160">
        <v>529.89850000000001</v>
      </c>
      <c r="I17" s="160">
        <v>41.716561428007651</v>
      </c>
      <c r="J17" s="164">
        <f t="shared" si="0"/>
        <v>6288.3461566432852</v>
      </c>
      <c r="K17" s="27"/>
    </row>
    <row r="18" spans="1:11" s="21" customFormat="1" ht="12.75" customHeight="1" x14ac:dyDescent="0.2">
      <c r="A18" s="27"/>
      <c r="B18" s="59">
        <v>2006</v>
      </c>
      <c r="C18" s="160">
        <v>4636.341548390018</v>
      </c>
      <c r="D18" s="160">
        <v>122.9870348769134</v>
      </c>
      <c r="E18" s="160">
        <v>537.00008042908155</v>
      </c>
      <c r="F18" s="161">
        <v>389.34189861599998</v>
      </c>
      <c r="G18" s="160">
        <v>85.734380647038435</v>
      </c>
      <c r="H18" s="160">
        <v>552.01949999999999</v>
      </c>
      <c r="I18" s="160">
        <v>42.268884620020124</v>
      </c>
      <c r="J18" s="164">
        <f t="shared" si="0"/>
        <v>6365.6933275790707</v>
      </c>
      <c r="K18" s="27"/>
    </row>
    <row r="19" spans="1:11" s="21" customFormat="1" ht="12.75" customHeight="1" x14ac:dyDescent="0.2">
      <c r="A19" s="22"/>
      <c r="B19" s="59">
        <v>2007</v>
      </c>
      <c r="C19" s="160">
        <v>4690.0408844782132</v>
      </c>
      <c r="D19" s="160">
        <v>119.00157832317467</v>
      </c>
      <c r="E19" s="160">
        <v>549.20351163344651</v>
      </c>
      <c r="F19" s="161">
        <v>395.59245699900004</v>
      </c>
      <c r="G19" s="160">
        <v>87.67852304119863</v>
      </c>
      <c r="H19" s="160">
        <v>575.14600000000007</v>
      </c>
      <c r="I19" s="160">
        <v>43.43595617914599</v>
      </c>
      <c r="J19" s="164">
        <f t="shared" si="0"/>
        <v>6460.0989106541792</v>
      </c>
      <c r="K19" s="27"/>
    </row>
    <row r="20" spans="1:11" s="21" customFormat="1" ht="12.75" customHeight="1" x14ac:dyDescent="0.2">
      <c r="A20" s="22"/>
      <c r="B20" s="59">
        <v>2008</v>
      </c>
      <c r="C20" s="160">
        <v>4698.4372953873526</v>
      </c>
      <c r="D20" s="160">
        <v>124.49542998651297</v>
      </c>
      <c r="E20" s="160">
        <v>554.46311356931756</v>
      </c>
      <c r="F20" s="161">
        <v>410.69711544400002</v>
      </c>
      <c r="G20" s="160">
        <v>91.072720544643673</v>
      </c>
      <c r="H20" s="160">
        <v>563.29796133939999</v>
      </c>
      <c r="I20" s="160">
        <v>43.479950396729279</v>
      </c>
      <c r="J20" s="164">
        <f t="shared" si="0"/>
        <v>6485.943586667956</v>
      </c>
      <c r="K20" s="27"/>
    </row>
    <row r="21" spans="1:11" s="21" customFormat="1" ht="12.75" customHeight="1" x14ac:dyDescent="0.2">
      <c r="A21" s="22"/>
      <c r="B21" s="59">
        <v>2009</v>
      </c>
      <c r="C21" s="160">
        <v>4773.7939387817532</v>
      </c>
      <c r="D21" s="160">
        <v>122.27556736209432</v>
      </c>
      <c r="E21" s="160">
        <v>533.78683836346738</v>
      </c>
      <c r="F21" s="161">
        <v>403.73641833891702</v>
      </c>
      <c r="G21" s="160">
        <v>90.904844763775003</v>
      </c>
      <c r="H21" s="160">
        <v>524.99870159170007</v>
      </c>
      <c r="I21" s="160">
        <v>42.536198751699693</v>
      </c>
      <c r="J21" s="164">
        <f t="shared" si="0"/>
        <v>6492.0325079534077</v>
      </c>
      <c r="K21" s="27"/>
    </row>
    <row r="22" spans="1:11" s="21" customFormat="1" ht="12.75" customHeight="1" x14ac:dyDescent="0.2">
      <c r="A22" s="22"/>
      <c r="B22" s="59">
        <v>2010</v>
      </c>
      <c r="C22" s="160">
        <v>4716.8083029451464</v>
      </c>
      <c r="D22" s="160">
        <v>122.51004903961785</v>
      </c>
      <c r="E22" s="160">
        <v>527.80244019140275</v>
      </c>
      <c r="F22" s="199">
        <v>405.29756774583996</v>
      </c>
      <c r="G22" s="160">
        <v>92.183460178851135</v>
      </c>
      <c r="H22" s="160">
        <v>539.47775820741992</v>
      </c>
      <c r="I22" s="160">
        <v>40.47620197710738</v>
      </c>
      <c r="J22" s="164">
        <f>SUM(C22:I22)</f>
        <v>6444.5557802853855</v>
      </c>
      <c r="K22" s="27"/>
    </row>
    <row r="23" spans="1:11" s="21" customFormat="1" ht="12.75" customHeight="1" x14ac:dyDescent="0.2">
      <c r="A23" s="22"/>
      <c r="B23" s="59">
        <v>2011</v>
      </c>
      <c r="C23" s="160">
        <v>4697.8278373856347</v>
      </c>
      <c r="D23" s="160">
        <v>125.31287878486302</v>
      </c>
      <c r="E23" s="160">
        <v>530.14041479525679</v>
      </c>
      <c r="F23" s="199">
        <v>414.52298075838007</v>
      </c>
      <c r="G23" s="160">
        <v>93.36664850878708</v>
      </c>
      <c r="H23" s="160">
        <v>579.80066050783</v>
      </c>
      <c r="I23" s="160">
        <f>(36.5561575595622)*1.06991484746748</f>
        <v>39.11197573933616</v>
      </c>
      <c r="J23" s="164">
        <f>SUM(C23:I23)</f>
        <v>6480.0833964800877</v>
      </c>
      <c r="K23" s="27"/>
    </row>
    <row r="24" spans="1:11" s="21" customFormat="1" ht="12.75" customHeight="1" x14ac:dyDescent="0.2">
      <c r="A24" s="22"/>
      <c r="B24" s="59">
        <v>2012</v>
      </c>
      <c r="C24" s="160">
        <v>4614.0834454424476</v>
      </c>
      <c r="D24" s="160">
        <v>125.68193993272386</v>
      </c>
      <c r="E24" s="160">
        <v>524.09770276396614</v>
      </c>
      <c r="F24" s="199">
        <v>419.57548485826499</v>
      </c>
      <c r="G24" s="160">
        <v>94.628205964957516</v>
      </c>
      <c r="H24" s="160">
        <v>573.51095878296996</v>
      </c>
      <c r="I24" s="160">
        <v>41.970204085276109</v>
      </c>
      <c r="J24" s="164">
        <f>SUM(C24:I24)</f>
        <v>6393.5479418306068</v>
      </c>
      <c r="K24" s="27"/>
    </row>
    <row r="25" spans="1:11" s="21" customFormat="1" ht="12.75" customHeight="1" x14ac:dyDescent="0.2">
      <c r="A25" s="22"/>
      <c r="B25" s="105">
        <v>2013</v>
      </c>
      <c r="C25" s="162">
        <v>4672.2636019642487</v>
      </c>
      <c r="D25" s="162">
        <v>125.06204759518815</v>
      </c>
      <c r="E25" s="162">
        <v>526.48427683823502</v>
      </c>
      <c r="F25" s="209">
        <v>424.22109999999998</v>
      </c>
      <c r="G25" s="162">
        <v>95.385432105442803</v>
      </c>
      <c r="H25" s="160">
        <v>582.54808995462997</v>
      </c>
      <c r="I25" s="162">
        <v>39.027607867280523</v>
      </c>
      <c r="J25" s="164">
        <f>SUM(C25:I25)</f>
        <v>6464.9921563250255</v>
      </c>
      <c r="K25" s="27"/>
    </row>
    <row r="26" spans="1:11" ht="23.1" customHeight="1" x14ac:dyDescent="0.2">
      <c r="A26" s="38"/>
      <c r="B26" s="196" t="s">
        <v>132</v>
      </c>
      <c r="C26" s="165">
        <f>C25/C7-1</f>
        <v>0.1874065882866518</v>
      </c>
      <c r="D26" s="165">
        <f t="shared" ref="D26:J26" si="1">D25/D7-1</f>
        <v>7.4107109517400183E-2</v>
      </c>
      <c r="E26" s="165">
        <f t="shared" si="1"/>
        <v>4.7708841430632365E-2</v>
      </c>
      <c r="F26" s="165">
        <f t="shared" si="1"/>
        <v>0.21094446515095888</v>
      </c>
      <c r="G26" s="165">
        <f t="shared" si="1"/>
        <v>0.32679104389996749</v>
      </c>
      <c r="H26" s="165">
        <f t="shared" si="1"/>
        <v>0.67445549464830701</v>
      </c>
      <c r="I26" s="165">
        <f t="shared" si="1"/>
        <v>-0.12099982280899724</v>
      </c>
      <c r="J26" s="179">
        <f t="shared" si="1"/>
        <v>0.20428855458258544</v>
      </c>
      <c r="K26" s="27"/>
    </row>
    <row r="27" spans="1:11" s="27" customFormat="1" ht="23.1" customHeight="1" x14ac:dyDescent="0.2">
      <c r="A27" s="38"/>
      <c r="B27" s="168" t="s">
        <v>53</v>
      </c>
      <c r="C27" s="166">
        <f>(POWER((C25/C7), 1/18) -1)</f>
        <v>9.5885445180299289E-3</v>
      </c>
      <c r="D27" s="166">
        <f t="shared" ref="D27:J27" si="2">(POWER((D25/D7), 1/18) -1)</f>
        <v>3.9795486052742746E-3</v>
      </c>
      <c r="E27" s="166">
        <f t="shared" si="2"/>
        <v>2.592561793095971E-3</v>
      </c>
      <c r="F27" s="166">
        <f t="shared" si="2"/>
        <v>1.069010209924226E-2</v>
      </c>
      <c r="G27" s="166">
        <f t="shared" si="2"/>
        <v>1.5833107097341426E-2</v>
      </c>
      <c r="H27" s="166">
        <f t="shared" si="2"/>
        <v>2.9052240870403701E-2</v>
      </c>
      <c r="I27" s="166">
        <f t="shared" si="2"/>
        <v>-7.1394024959050562E-3</v>
      </c>
      <c r="J27" s="180">
        <f t="shared" si="2"/>
        <v>1.0380674851836469E-2</v>
      </c>
    </row>
    <row r="28" spans="1:11" ht="23.1" customHeight="1" x14ac:dyDescent="0.2">
      <c r="A28" s="38"/>
      <c r="B28" s="196" t="s">
        <v>133</v>
      </c>
      <c r="C28" s="165">
        <f>C25/C12-1</f>
        <v>7.2746544498995425E-2</v>
      </c>
      <c r="D28" s="165">
        <f t="shared" ref="D28:J28" si="3">D25/D12-1</f>
        <v>0.1612848424167912</v>
      </c>
      <c r="E28" s="165">
        <f t="shared" si="3"/>
        <v>-3.9778292386385972E-2</v>
      </c>
      <c r="F28" s="165">
        <f t="shared" si="3"/>
        <v>0.14188403053169529</v>
      </c>
      <c r="G28" s="165">
        <f t="shared" si="3"/>
        <v>0.21682682592093805</v>
      </c>
      <c r="H28" s="165">
        <f t="shared" si="3"/>
        <v>0.26774967428515151</v>
      </c>
      <c r="I28" s="165">
        <f t="shared" si="3"/>
        <v>-6.4086142271450375E-2</v>
      </c>
      <c r="J28" s="179">
        <f t="shared" si="3"/>
        <v>8.4271594517124626E-2</v>
      </c>
    </row>
    <row r="29" spans="1:11" s="27" customFormat="1" ht="23.1" customHeight="1" x14ac:dyDescent="0.2">
      <c r="A29" s="38"/>
      <c r="B29" s="168" t="s">
        <v>53</v>
      </c>
      <c r="C29" s="166">
        <f>(POWER((C25/C12), 1/13) -1)</f>
        <v>5.4163250544378982E-3</v>
      </c>
      <c r="D29" s="166">
        <f t="shared" ref="D29:J29" si="4">(POWER((D25/D12), 1/13) -1)</f>
        <v>1.1568481319072621E-2</v>
      </c>
      <c r="E29" s="166">
        <f t="shared" si="4"/>
        <v>-3.117520851089628E-3</v>
      </c>
      <c r="F29" s="166">
        <f t="shared" si="4"/>
        <v>1.0258379820448527E-2</v>
      </c>
      <c r="G29" s="166">
        <f t="shared" si="4"/>
        <v>1.5210403633260761E-2</v>
      </c>
      <c r="H29" s="166">
        <f t="shared" si="4"/>
        <v>1.8417033381901593E-2</v>
      </c>
      <c r="I29" s="166">
        <f t="shared" si="4"/>
        <v>-5.0818005910366892E-3</v>
      </c>
      <c r="J29" s="180">
        <f t="shared" si="4"/>
        <v>6.2431322375118281E-3</v>
      </c>
      <c r="K29"/>
    </row>
    <row r="30" spans="1:11" ht="23.1" customHeight="1" x14ac:dyDescent="0.2">
      <c r="B30" s="195" t="s">
        <v>134</v>
      </c>
      <c r="C30" s="167">
        <f>C25/C24-1</f>
        <v>1.2609255382944662E-2</v>
      </c>
      <c r="D30" s="167">
        <f t="shared" ref="D30:J30" si="5">D25/D24-1</f>
        <v>-4.9322308190622444E-3</v>
      </c>
      <c r="E30" s="167">
        <f t="shared" si="5"/>
        <v>4.5536816163906924E-3</v>
      </c>
      <c r="F30" s="167">
        <f t="shared" si="5"/>
        <v>1.1072179642011903E-2</v>
      </c>
      <c r="G30" s="167">
        <f t="shared" si="5"/>
        <v>8.0021187421190909E-3</v>
      </c>
      <c r="H30" s="167">
        <f t="shared" si="5"/>
        <v>1.5757556212766088E-2</v>
      </c>
      <c r="I30" s="167">
        <f t="shared" si="5"/>
        <v>-7.0111553711217245E-2</v>
      </c>
      <c r="J30" s="181">
        <f t="shared" si="5"/>
        <v>1.1174423832342795E-2</v>
      </c>
    </row>
    <row r="31" spans="1:11" s="38" customFormat="1" x14ac:dyDescent="0.2">
      <c r="A31" s="20"/>
      <c r="B31"/>
      <c r="C31"/>
      <c r="D31"/>
      <c r="E31"/>
      <c r="F31"/>
      <c r="G31"/>
      <c r="H31"/>
      <c r="I31"/>
      <c r="J31"/>
      <c r="K31"/>
    </row>
    <row r="32" spans="1:11" ht="12" customHeight="1" x14ac:dyDescent="0.2">
      <c r="A32" s="20"/>
      <c r="B32" s="493" t="s">
        <v>54</v>
      </c>
      <c r="C32" s="493"/>
      <c r="D32" s="493"/>
      <c r="E32" s="493"/>
      <c r="F32" s="493"/>
      <c r="G32" s="493"/>
      <c r="H32" s="493"/>
      <c r="I32" s="493"/>
      <c r="J32" s="493"/>
    </row>
    <row r="33" spans="1:11" s="20" customFormat="1" ht="20.100000000000001" customHeight="1" x14ac:dyDescent="0.2">
      <c r="A33"/>
      <c r="B33" s="490" t="s">
        <v>42</v>
      </c>
      <c r="C33" s="490"/>
      <c r="D33" s="490"/>
      <c r="E33" s="490"/>
      <c r="F33" s="490"/>
      <c r="G33" s="490"/>
      <c r="H33" s="490"/>
      <c r="I33" s="490"/>
      <c r="J33" s="490"/>
      <c r="K33"/>
    </row>
    <row r="34" spans="1:11" s="20" customFormat="1" ht="20.100000000000001" customHeight="1" x14ac:dyDescent="0.2">
      <c r="A34"/>
      <c r="B34" s="29"/>
      <c r="C34" s="491" t="s">
        <v>83</v>
      </c>
      <c r="D34" s="491" t="s">
        <v>9</v>
      </c>
      <c r="E34" s="491" t="s">
        <v>2</v>
      </c>
      <c r="F34" s="491" t="s">
        <v>84</v>
      </c>
      <c r="G34" s="491" t="s">
        <v>1</v>
      </c>
      <c r="H34" s="491" t="s">
        <v>49</v>
      </c>
      <c r="I34" s="491" t="s">
        <v>48</v>
      </c>
      <c r="J34" s="28"/>
      <c r="K34"/>
    </row>
    <row r="35" spans="1:11" s="20" customFormat="1" ht="17.25" customHeight="1" x14ac:dyDescent="0.2">
      <c r="A35"/>
      <c r="B35" s="29"/>
      <c r="C35" s="492"/>
      <c r="D35" s="492"/>
      <c r="E35" s="492"/>
      <c r="F35" s="492"/>
      <c r="G35" s="492"/>
      <c r="H35" s="492"/>
      <c r="I35" s="492"/>
      <c r="J35" s="28"/>
      <c r="K35"/>
    </row>
    <row r="36" spans="1:11" s="20" customFormat="1" ht="12.75" customHeight="1" x14ac:dyDescent="0.2">
      <c r="A36"/>
      <c r="B36" s="104">
        <v>1995</v>
      </c>
      <c r="C36" s="169">
        <f t="shared" ref="C36:I36" si="6">C7/$J7*100</f>
        <v>73.29771555471558</v>
      </c>
      <c r="D36" s="169">
        <f t="shared" si="6"/>
        <v>2.1689048521745953</v>
      </c>
      <c r="E36" s="169">
        <f t="shared" si="6"/>
        <v>9.3606790208236639</v>
      </c>
      <c r="F36" s="169">
        <f t="shared" si="6"/>
        <v>6.5257524607410868</v>
      </c>
      <c r="G36" s="169">
        <f t="shared" si="6"/>
        <v>1.3391896270093275</v>
      </c>
      <c r="H36" s="169">
        <f t="shared" si="6"/>
        <v>6.480682278864645</v>
      </c>
      <c r="I36" s="170">
        <f t="shared" si="6"/>
        <v>0.82707620567109308</v>
      </c>
      <c r="J36" s="28"/>
      <c r="K36"/>
    </row>
    <row r="37" spans="1:11" s="20" customFormat="1" ht="12.75" customHeight="1" x14ac:dyDescent="0.2">
      <c r="A37"/>
      <c r="B37" s="59">
        <v>1996</v>
      </c>
      <c r="C37" s="156">
        <f t="shared" ref="C37:I37" si="7">C8/$J8*100</f>
        <v>73.29482443783921</v>
      </c>
      <c r="D37" s="156">
        <f t="shared" si="7"/>
        <v>2.1599308214756383</v>
      </c>
      <c r="E37" s="156">
        <f t="shared" si="7"/>
        <v>9.2829171268884885</v>
      </c>
      <c r="F37" s="156">
        <f t="shared" si="7"/>
        <v>6.3861513951016828</v>
      </c>
      <c r="G37" s="156">
        <f t="shared" si="7"/>
        <v>1.3322088198273305</v>
      </c>
      <c r="H37" s="156">
        <f t="shared" si="7"/>
        <v>6.7383263983405275</v>
      </c>
      <c r="I37" s="171">
        <f t="shared" si="7"/>
        <v>0.80564100052710941</v>
      </c>
      <c r="J37" s="21"/>
      <c r="K37"/>
    </row>
    <row r="38" spans="1:11" s="20" customFormat="1" ht="12.75" customHeight="1" x14ac:dyDescent="0.2">
      <c r="A38" s="22"/>
      <c r="B38" s="59">
        <v>1997</v>
      </c>
      <c r="C38" s="156">
        <f t="shared" ref="C38:I38" si="8">C9/$J9*100</f>
        <v>73.288379788634984</v>
      </c>
      <c r="D38" s="156">
        <f t="shared" si="8"/>
        <v>2.1879819632058521</v>
      </c>
      <c r="E38" s="156">
        <f t="shared" si="8"/>
        <v>9.1214512242996904</v>
      </c>
      <c r="F38" s="156">
        <f t="shared" si="8"/>
        <v>6.2725207893638251</v>
      </c>
      <c r="G38" s="156">
        <f t="shared" si="8"/>
        <v>1.3161803099333838</v>
      </c>
      <c r="H38" s="156">
        <f t="shared" si="8"/>
        <v>7.0316800832768189</v>
      </c>
      <c r="I38" s="171">
        <f t="shared" si="8"/>
        <v>0.78180584128541564</v>
      </c>
      <c r="J38" s="21"/>
      <c r="K38"/>
    </row>
    <row r="39" spans="1:11" ht="12.75" customHeight="1" x14ac:dyDescent="0.2">
      <c r="A39" s="22"/>
      <c r="B39" s="59">
        <v>1998</v>
      </c>
      <c r="C39" s="156">
        <f t="shared" ref="C39:I39" si="9">C10/$J10*100</f>
        <v>73.36569909665721</v>
      </c>
      <c r="D39" s="156">
        <f t="shared" si="9"/>
        <v>2.2070236005295576</v>
      </c>
      <c r="E39" s="156">
        <f t="shared" si="9"/>
        <v>9.0294292594888947</v>
      </c>
      <c r="F39" s="156">
        <f t="shared" si="9"/>
        <v>6.1398442367135528</v>
      </c>
      <c r="G39" s="156">
        <f t="shared" si="9"/>
        <v>1.3044147838465108</v>
      </c>
      <c r="H39" s="156">
        <f t="shared" si="9"/>
        <v>7.1991044533278803</v>
      </c>
      <c r="I39" s="171">
        <f t="shared" si="9"/>
        <v>0.75448456943639242</v>
      </c>
      <c r="J39" s="21"/>
    </row>
    <row r="40" spans="1:11" ht="12.75" customHeight="1" x14ac:dyDescent="0.2">
      <c r="A40" s="21"/>
      <c r="B40" s="59">
        <v>1999</v>
      </c>
      <c r="C40" s="156">
        <f t="shared" ref="C40:I40" si="10">C11/$J11*100</f>
        <v>73.503400016956491</v>
      </c>
      <c r="D40" s="156">
        <f t="shared" si="10"/>
        <v>2.2176710732625371</v>
      </c>
      <c r="E40" s="156">
        <f t="shared" si="10"/>
        <v>8.8401266053200835</v>
      </c>
      <c r="F40" s="156">
        <f t="shared" si="10"/>
        <v>6.1182426853115972</v>
      </c>
      <c r="G40" s="156">
        <f t="shared" si="10"/>
        <v>1.300242512575303</v>
      </c>
      <c r="H40" s="156">
        <f t="shared" si="10"/>
        <v>7.2932725341786071</v>
      </c>
      <c r="I40" s="171">
        <f t="shared" si="10"/>
        <v>0.72704457239537523</v>
      </c>
      <c r="J40" s="21"/>
    </row>
    <row r="41" spans="1:11" ht="12.75" customHeight="1" x14ac:dyDescent="0.2">
      <c r="A41" s="21"/>
      <c r="B41" s="59">
        <v>2000</v>
      </c>
      <c r="C41" s="156">
        <f t="shared" ref="C41:I41" si="11">C12/$J12*100</f>
        <v>73.046647868529064</v>
      </c>
      <c r="D41" s="156">
        <f t="shared" si="11"/>
        <v>1.8061626432234694</v>
      </c>
      <c r="E41" s="156">
        <f t="shared" si="11"/>
        <v>9.195682417423388</v>
      </c>
      <c r="F41" s="156">
        <f t="shared" si="11"/>
        <v>6.2307502634548664</v>
      </c>
      <c r="G41" s="156">
        <f t="shared" si="11"/>
        <v>1.3146899831918195</v>
      </c>
      <c r="H41" s="156">
        <f t="shared" si="11"/>
        <v>7.7066982186466255</v>
      </c>
      <c r="I41" s="171">
        <f t="shared" si="11"/>
        <v>0.69936860553077174</v>
      </c>
      <c r="J41" s="21"/>
    </row>
    <row r="42" spans="1:11" ht="12.75" customHeight="1" x14ac:dyDescent="0.2">
      <c r="A42" s="22"/>
      <c r="B42" s="59">
        <v>2001</v>
      </c>
      <c r="C42" s="156">
        <f t="shared" ref="C42:I42" si="12">C13/$J13*100</f>
        <v>73.454487390573036</v>
      </c>
      <c r="D42" s="156">
        <f t="shared" si="12"/>
        <v>1.8479428927579815</v>
      </c>
      <c r="E42" s="156">
        <f t="shared" si="12"/>
        <v>9.0284135295880787</v>
      </c>
      <c r="F42" s="156">
        <f t="shared" si="12"/>
        <v>6.1609782740849433</v>
      </c>
      <c r="G42" s="156">
        <f t="shared" si="12"/>
        <v>1.3040122853375018</v>
      </c>
      <c r="H42" s="156">
        <f t="shared" si="12"/>
        <v>7.51154081625634</v>
      </c>
      <c r="I42" s="171">
        <f t="shared" si="12"/>
        <v>0.69262481140211463</v>
      </c>
      <c r="J42" s="24"/>
    </row>
    <row r="43" spans="1:11" ht="12.75" customHeight="1" x14ac:dyDescent="0.2">
      <c r="A43" s="22"/>
      <c r="B43" s="59">
        <v>2002</v>
      </c>
      <c r="C43" s="156">
        <f t="shared" ref="C43:I43" si="13">C14/$J14*100</f>
        <v>74.077561096059526</v>
      </c>
      <c r="D43" s="156">
        <f t="shared" si="13"/>
        <v>1.8549254145119327</v>
      </c>
      <c r="E43" s="156">
        <f t="shared" si="13"/>
        <v>8.7832521119130771</v>
      </c>
      <c r="F43" s="156">
        <f t="shared" si="13"/>
        <v>5.9709071358578401</v>
      </c>
      <c r="G43" s="156">
        <f t="shared" si="13"/>
        <v>1.3099028800595263</v>
      </c>
      <c r="H43" s="156">
        <f t="shared" si="13"/>
        <v>7.2970762388849337</v>
      </c>
      <c r="I43" s="171">
        <f t="shared" si="13"/>
        <v>0.70637512271315217</v>
      </c>
      <c r="J43" s="24"/>
    </row>
    <row r="44" spans="1:11" s="22" customFormat="1" ht="12.75" customHeight="1" x14ac:dyDescent="0.2">
      <c r="B44" s="59">
        <v>2003</v>
      </c>
      <c r="C44" s="156">
        <f t="shared" ref="C44:I44" si="14">C15/$J15*100</f>
        <v>73.996747862589885</v>
      </c>
      <c r="D44" s="156">
        <f t="shared" si="14"/>
        <v>1.8851703083753422</v>
      </c>
      <c r="E44" s="156">
        <f t="shared" si="14"/>
        <v>8.7600753487773719</v>
      </c>
      <c r="F44" s="156">
        <f t="shared" si="14"/>
        <v>5.8486451666839763</v>
      </c>
      <c r="G44" s="156">
        <f t="shared" si="14"/>
        <v>1.3011589130461614</v>
      </c>
      <c r="H44" s="156">
        <f t="shared" si="14"/>
        <v>7.5124749972654516</v>
      </c>
      <c r="I44" s="171">
        <f t="shared" si="14"/>
        <v>0.69572740326179328</v>
      </c>
      <c r="J44" s="35"/>
      <c r="K44"/>
    </row>
    <row r="45" spans="1:11" s="22" customFormat="1" ht="12.75" customHeight="1" x14ac:dyDescent="0.2">
      <c r="A45"/>
      <c r="B45" s="59">
        <v>2004</v>
      </c>
      <c r="C45" s="156">
        <f t="shared" ref="C45:I45" si="15">C16/$J16*100</f>
        <v>73.756882619447964</v>
      </c>
      <c r="D45" s="156">
        <f t="shared" si="15"/>
        <v>1.9139604605732823</v>
      </c>
      <c r="E45" s="156">
        <f t="shared" si="15"/>
        <v>8.6249762400082481</v>
      </c>
      <c r="F45" s="156">
        <f t="shared" si="15"/>
        <v>5.8476997984524264</v>
      </c>
      <c r="G45" s="156">
        <f t="shared" si="15"/>
        <v>1.3207059255527731</v>
      </c>
      <c r="H45" s="156">
        <f t="shared" si="15"/>
        <v>7.8601699491471484</v>
      </c>
      <c r="I45" s="171">
        <f t="shared" si="15"/>
        <v>0.67560500681815128</v>
      </c>
      <c r="J45" s="35"/>
      <c r="K45"/>
    </row>
    <row r="46" spans="1:11" s="21" customFormat="1" ht="12.75" customHeight="1" x14ac:dyDescent="0.2">
      <c r="A46"/>
      <c r="B46" s="59">
        <v>2005</v>
      </c>
      <c r="C46" s="156">
        <f t="shared" ref="C46:I46" si="16">C17/$J17*100</f>
        <v>73.013098075284645</v>
      </c>
      <c r="D46" s="156">
        <f t="shared" si="16"/>
        <v>1.9629434242128923</v>
      </c>
      <c r="E46" s="156">
        <f t="shared" si="16"/>
        <v>8.5986545222212225</v>
      </c>
      <c r="F46" s="156">
        <f t="shared" si="16"/>
        <v>6.0013634033697789</v>
      </c>
      <c r="G46" s="156">
        <f t="shared" si="16"/>
        <v>1.3338706711717023</v>
      </c>
      <c r="H46" s="156">
        <f t="shared" si="16"/>
        <v>8.4266751034402265</v>
      </c>
      <c r="I46" s="171">
        <f t="shared" si="16"/>
        <v>0.66339480029954201</v>
      </c>
      <c r="J46" s="23"/>
      <c r="K46"/>
    </row>
    <row r="47" spans="1:11" s="21" customFormat="1" ht="12.75" customHeight="1" x14ac:dyDescent="0.2">
      <c r="A47"/>
      <c r="B47" s="59">
        <v>2006</v>
      </c>
      <c r="C47" s="156">
        <f t="shared" ref="C47:I47" si="17">C18/$J18*100</f>
        <v>72.833253344192428</v>
      </c>
      <c r="D47" s="156">
        <f t="shared" si="17"/>
        <v>1.932028901613557</v>
      </c>
      <c r="E47" s="156">
        <f t="shared" si="17"/>
        <v>8.435845913320291</v>
      </c>
      <c r="F47" s="156">
        <f t="shared" si="17"/>
        <v>6.1162528350084715</v>
      </c>
      <c r="G47" s="156">
        <f t="shared" si="17"/>
        <v>1.3468192109663564</v>
      </c>
      <c r="H47" s="156">
        <f t="shared" si="17"/>
        <v>8.6717890981081531</v>
      </c>
      <c r="I47" s="171">
        <f t="shared" si="17"/>
        <v>0.66401069679075087</v>
      </c>
      <c r="J47" s="23"/>
      <c r="K47"/>
    </row>
    <row r="48" spans="1:11" s="21" customFormat="1" ht="12.75" customHeight="1" x14ac:dyDescent="0.2">
      <c r="A48"/>
      <c r="B48" s="59">
        <v>2007</v>
      </c>
      <c r="C48" s="156">
        <f t="shared" ref="C48:I48" si="18">C19/$J19*100</f>
        <v>72.600140483039112</v>
      </c>
      <c r="D48" s="156">
        <f t="shared" si="18"/>
        <v>1.8421014905346706</v>
      </c>
      <c r="E48" s="156">
        <f t="shared" si="18"/>
        <v>8.5014721791284718</v>
      </c>
      <c r="F48" s="156">
        <f t="shared" si="18"/>
        <v>6.1236284841796724</v>
      </c>
      <c r="G48" s="156">
        <f t="shared" si="18"/>
        <v>1.3572318977438056</v>
      </c>
      <c r="H48" s="156">
        <f t="shared" si="18"/>
        <v>8.903052537654693</v>
      </c>
      <c r="I48" s="171">
        <f t="shared" si="18"/>
        <v>0.6723729277195768</v>
      </c>
      <c r="J48" s="23"/>
      <c r="K48"/>
    </row>
    <row r="49" spans="2:10" ht="15" customHeight="1" x14ac:dyDescent="0.2">
      <c r="B49" s="59">
        <v>2008</v>
      </c>
      <c r="C49" s="156">
        <f t="shared" ref="C49:I49" si="19">C20/$J20*100</f>
        <v>72.440304677412342</v>
      </c>
      <c r="D49" s="156">
        <f t="shared" si="19"/>
        <v>1.9194651992104419</v>
      </c>
      <c r="E49" s="156">
        <f t="shared" si="19"/>
        <v>8.5486885009150004</v>
      </c>
      <c r="F49" s="156">
        <f t="shared" si="19"/>
        <v>6.3321105087654441</v>
      </c>
      <c r="G49" s="156">
        <f t="shared" si="19"/>
        <v>1.4041552987270236</v>
      </c>
      <c r="H49" s="156">
        <f t="shared" si="19"/>
        <v>8.6849038048569405</v>
      </c>
      <c r="I49" s="171">
        <f t="shared" si="19"/>
        <v>0.67037201011281644</v>
      </c>
      <c r="J49" s="98"/>
    </row>
    <row r="50" spans="2:10" ht="15" customHeight="1" x14ac:dyDescent="0.2">
      <c r="B50" s="59">
        <v>2009</v>
      </c>
      <c r="C50" s="156">
        <f t="shared" ref="C50:I50" si="20">C21/$J21*100</f>
        <v>73.533118217343556</v>
      </c>
      <c r="D50" s="156">
        <f t="shared" si="20"/>
        <v>1.8834712736310881</v>
      </c>
      <c r="E50" s="156">
        <f t="shared" si="20"/>
        <v>8.2221836953145822</v>
      </c>
      <c r="F50" s="156">
        <f t="shared" si="20"/>
        <v>6.2189525059262776</v>
      </c>
      <c r="G50" s="156">
        <f t="shared" si="20"/>
        <v>1.4002524579537645</v>
      </c>
      <c r="H50" s="156">
        <f t="shared" si="20"/>
        <v>8.0868156613282913</v>
      </c>
      <c r="I50" s="171">
        <f t="shared" si="20"/>
        <v>0.65520618850242163</v>
      </c>
      <c r="J50" s="174"/>
    </row>
    <row r="51" spans="2:10" ht="15" customHeight="1" x14ac:dyDescent="0.2">
      <c r="B51" s="59">
        <v>2010</v>
      </c>
      <c r="C51" s="156">
        <f t="shared" ref="C51:I51" si="21">C22/$J22*100</f>
        <v>73.190588517743748</v>
      </c>
      <c r="D51" s="156">
        <f t="shared" si="21"/>
        <v>1.9009851604417756</v>
      </c>
      <c r="E51" s="156">
        <f t="shared" si="21"/>
        <v>8.189896374332104</v>
      </c>
      <c r="F51" s="156">
        <f t="shared" si="21"/>
        <v>6.2889915389620867</v>
      </c>
      <c r="G51" s="156">
        <f t="shared" si="21"/>
        <v>1.4304082906823556</v>
      </c>
      <c r="H51" s="156">
        <f t="shared" si="21"/>
        <v>8.3710619723044761</v>
      </c>
      <c r="I51" s="171">
        <f t="shared" si="21"/>
        <v>0.62806814553345314</v>
      </c>
      <c r="J51" s="174"/>
    </row>
    <row r="52" spans="2:10" ht="15" customHeight="1" x14ac:dyDescent="0.2">
      <c r="B52" s="88">
        <v>2011</v>
      </c>
      <c r="C52" s="211">
        <f>C23/$J23*100</f>
        <v>72.496410153261991</v>
      </c>
      <c r="D52" s="156">
        <f t="shared" ref="D52:I52" si="22">D23/$J23*100</f>
        <v>1.9338158341130551</v>
      </c>
      <c r="E52" s="156">
        <f t="shared" si="22"/>
        <v>8.1810739516596875</v>
      </c>
      <c r="F52" s="212">
        <f t="shared" si="22"/>
        <v>6.396877252899932</v>
      </c>
      <c r="G52" s="156">
        <f t="shared" si="22"/>
        <v>1.4408247980188473</v>
      </c>
      <c r="H52" s="156">
        <f t="shared" si="22"/>
        <v>8.9474259053945442</v>
      </c>
      <c r="I52" s="171">
        <f t="shared" si="22"/>
        <v>0.60357210465194588</v>
      </c>
    </row>
    <row r="53" spans="2:10" ht="12.75" customHeight="1" x14ac:dyDescent="0.2">
      <c r="B53" s="88">
        <v>2012</v>
      </c>
      <c r="C53" s="211">
        <f>C24/$J24*100</f>
        <v>72.167808663077594</v>
      </c>
      <c r="D53" s="156">
        <f t="shared" ref="D53:I54" si="23">D24/$J24*100</f>
        <v>1.9657620631955173</v>
      </c>
      <c r="E53" s="156">
        <f t="shared" si="23"/>
        <v>8.1972905737515429</v>
      </c>
      <c r="F53" s="212">
        <f t="shared" si="23"/>
        <v>6.5624828135429869</v>
      </c>
      <c r="G53" s="156">
        <f t="shared" si="23"/>
        <v>1.4800578149393446</v>
      </c>
      <c r="H53" s="156">
        <f t="shared" si="23"/>
        <v>8.9701518468439261</v>
      </c>
      <c r="I53" s="171">
        <f t="shared" si="23"/>
        <v>0.65644622464908209</v>
      </c>
      <c r="J53" s="21"/>
    </row>
    <row r="54" spans="2:10" ht="12.75" customHeight="1" x14ac:dyDescent="0.2">
      <c r="B54" s="89">
        <v>2013</v>
      </c>
      <c r="C54" s="197">
        <f>C25/$J25*100</f>
        <v>72.270213002395352</v>
      </c>
      <c r="D54" s="172">
        <f t="shared" si="23"/>
        <v>1.9344501056019641</v>
      </c>
      <c r="E54" s="172">
        <f t="shared" si="23"/>
        <v>8.1436181840243851</v>
      </c>
      <c r="F54" s="210">
        <f t="shared" si="23"/>
        <v>6.5618192527111301</v>
      </c>
      <c r="G54" s="172">
        <f t="shared" si="23"/>
        <v>1.4754145062979305</v>
      </c>
      <c r="H54" s="172">
        <f t="shared" si="23"/>
        <v>9.010808920853739</v>
      </c>
      <c r="I54" s="173">
        <f t="shared" si="23"/>
        <v>0.60367602811548438</v>
      </c>
      <c r="J54" s="21"/>
    </row>
    <row r="55" spans="2:10" ht="12.75" customHeight="1" x14ac:dyDescent="0.2">
      <c r="B55" s="39" t="s">
        <v>92</v>
      </c>
      <c r="C55" s="99"/>
      <c r="D55" s="100"/>
      <c r="E55" s="100"/>
      <c r="F55" s="100"/>
      <c r="G55" s="100"/>
      <c r="H55" s="100"/>
      <c r="I55" s="100"/>
      <c r="J55" s="21"/>
    </row>
    <row r="56" spans="2:10" ht="11.85" customHeight="1" x14ac:dyDescent="0.2">
      <c r="B56" s="123" t="s">
        <v>5</v>
      </c>
      <c r="C56" s="100"/>
      <c r="D56" s="98"/>
      <c r="E56" s="98"/>
      <c r="F56" s="98"/>
      <c r="G56" s="98"/>
      <c r="H56" s="98"/>
      <c r="I56" s="98"/>
    </row>
    <row r="57" spans="2:10" ht="11.85" customHeight="1" x14ac:dyDescent="0.2">
      <c r="B57" s="208" t="s">
        <v>118</v>
      </c>
      <c r="C57" s="98"/>
      <c r="D57" s="21"/>
      <c r="E57" s="21"/>
      <c r="F57" s="21"/>
      <c r="G57" s="21"/>
      <c r="H57" s="21"/>
      <c r="I57" s="21"/>
    </row>
    <row r="58" spans="2:10" ht="11.85" customHeight="1" x14ac:dyDescent="0.2">
      <c r="B58" s="41" t="s">
        <v>89</v>
      </c>
      <c r="C58" s="21"/>
    </row>
    <row r="59" spans="2:10" ht="11.85" customHeight="1" x14ac:dyDescent="0.2"/>
    <row r="60" spans="2:10" ht="11.85" customHeight="1" x14ac:dyDescent="0.2"/>
    <row r="61" spans="2:10" ht="11.85" customHeight="1" x14ac:dyDescent="0.2"/>
    <row r="62" spans="2:10" ht="11.85" customHeight="1" x14ac:dyDescent="0.2"/>
  </sheetData>
  <mergeCells count="20">
    <mergeCell ref="B2:J2"/>
    <mergeCell ref="B3:J3"/>
    <mergeCell ref="B4:J4"/>
    <mergeCell ref="H5:H6"/>
    <mergeCell ref="J5:J6"/>
    <mergeCell ref="E5:E6"/>
    <mergeCell ref="G5:G6"/>
    <mergeCell ref="I5:I6"/>
    <mergeCell ref="D5:D6"/>
    <mergeCell ref="C5:C6"/>
    <mergeCell ref="F5:F6"/>
    <mergeCell ref="B33:J33"/>
    <mergeCell ref="C34:C35"/>
    <mergeCell ref="D34:D35"/>
    <mergeCell ref="E34:E35"/>
    <mergeCell ref="B32:J32"/>
    <mergeCell ref="F34:F35"/>
    <mergeCell ref="G34:G35"/>
    <mergeCell ref="H34:H35"/>
    <mergeCell ref="I34:I35"/>
  </mergeCells>
  <phoneticPr fontId="9"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H57"/>
  <sheetViews>
    <sheetView workbookViewId="0">
      <selection activeCell="L35" sqref="L35"/>
    </sheetView>
  </sheetViews>
  <sheetFormatPr defaultRowHeight="12.75" x14ac:dyDescent="0.2"/>
  <cols>
    <col min="1" max="1" width="3.140625" customWidth="1"/>
    <col min="2" max="2" width="4" customWidth="1"/>
    <col min="3" max="6" width="10.7109375" customWidth="1"/>
    <col min="7" max="7" width="5.5703125" customWidth="1"/>
  </cols>
  <sheetData>
    <row r="1" spans="2:8" ht="15.75" x14ac:dyDescent="0.2">
      <c r="B1" s="40"/>
      <c r="C1" s="30"/>
      <c r="D1" s="30"/>
      <c r="E1" s="30"/>
      <c r="G1" s="25" t="s">
        <v>93</v>
      </c>
    </row>
    <row r="2" spans="2:8" x14ac:dyDescent="0.2">
      <c r="B2" s="495" t="s">
        <v>85</v>
      </c>
      <c r="C2" s="495"/>
      <c r="D2" s="495"/>
      <c r="E2" s="495"/>
      <c r="F2" s="495"/>
      <c r="G2" s="495"/>
    </row>
    <row r="3" spans="2:8" ht="19.5" customHeight="1" x14ac:dyDescent="0.2">
      <c r="B3" s="495"/>
      <c r="C3" s="495"/>
      <c r="D3" s="495"/>
      <c r="E3" s="495"/>
      <c r="F3" s="495"/>
      <c r="G3" s="495"/>
    </row>
    <row r="4" spans="2:8" x14ac:dyDescent="0.2">
      <c r="B4" s="497">
        <v>2013</v>
      </c>
      <c r="C4" s="497"/>
      <c r="D4" s="497"/>
      <c r="E4" s="497"/>
      <c r="F4" s="497"/>
      <c r="G4" s="497"/>
    </row>
    <row r="5" spans="2:8" x14ac:dyDescent="0.2">
      <c r="B5" s="498" t="s">
        <v>3</v>
      </c>
      <c r="C5" s="498"/>
      <c r="D5" s="498"/>
      <c r="E5" s="498"/>
      <c r="F5" s="498"/>
    </row>
    <row r="6" spans="2:8" ht="28.5" customHeight="1" x14ac:dyDescent="0.2">
      <c r="B6" s="14"/>
      <c r="C6" s="130" t="s">
        <v>45</v>
      </c>
      <c r="D6" s="151" t="s">
        <v>4</v>
      </c>
      <c r="E6" s="151" t="s">
        <v>47</v>
      </c>
      <c r="F6" s="152" t="s">
        <v>1</v>
      </c>
      <c r="G6" s="42"/>
    </row>
    <row r="7" spans="2:8" x14ac:dyDescent="0.2">
      <c r="B7" s="87" t="s">
        <v>124</v>
      </c>
      <c r="C7" s="153">
        <v>81.706436261658951</v>
      </c>
      <c r="D7" s="153">
        <v>9.2069193164024838</v>
      </c>
      <c r="E7" s="153">
        <v>7.4185870534849316</v>
      </c>
      <c r="F7" s="153">
        <v>1.6680573684536293</v>
      </c>
      <c r="G7" s="87" t="s">
        <v>124</v>
      </c>
      <c r="H7" s="144"/>
    </row>
    <row r="8" spans="2:8" x14ac:dyDescent="0.2">
      <c r="B8" s="88" t="s">
        <v>125</v>
      </c>
      <c r="C8" s="154">
        <v>82.529500239462706</v>
      </c>
      <c r="D8" s="145">
        <v>8.3400565955192043</v>
      </c>
      <c r="E8" s="145">
        <v>7.7231477750536497</v>
      </c>
      <c r="F8" s="145">
        <v>1.4072953899644274</v>
      </c>
      <c r="G8" s="88" t="s">
        <v>125</v>
      </c>
      <c r="H8" s="144"/>
    </row>
    <row r="9" spans="2:8" x14ac:dyDescent="0.2">
      <c r="B9" s="89" t="s">
        <v>126</v>
      </c>
      <c r="C9" s="155">
        <v>76.566047464530911</v>
      </c>
      <c r="D9" s="146">
        <v>14.620850115520453</v>
      </c>
      <c r="E9" s="146">
        <v>5.5164742610206412</v>
      </c>
      <c r="F9" s="146">
        <v>3.2966281589279807</v>
      </c>
      <c r="G9" s="89" t="s">
        <v>126</v>
      </c>
      <c r="H9" s="144"/>
    </row>
    <row r="10" spans="2:8" x14ac:dyDescent="0.2">
      <c r="B10" s="15" t="s">
        <v>29</v>
      </c>
      <c r="C10" s="147">
        <v>76.754848259784424</v>
      </c>
      <c r="D10" s="148">
        <v>15.03439331694689</v>
      </c>
      <c r="E10" s="147">
        <v>7.3446385303161277</v>
      </c>
      <c r="F10" s="147">
        <v>0.86611989295258351</v>
      </c>
      <c r="G10" s="15" t="s">
        <v>29</v>
      </c>
      <c r="H10" s="144"/>
    </row>
    <row r="11" spans="2:8" x14ac:dyDescent="0.2">
      <c r="B11" s="88" t="s">
        <v>12</v>
      </c>
      <c r="C11" s="149">
        <v>79.619331653536776</v>
      </c>
      <c r="D11" s="149">
        <v>15.992345248742105</v>
      </c>
      <c r="E11" s="149">
        <v>2.8227256661780915</v>
      </c>
      <c r="F11" s="149">
        <v>1.5655974315430383</v>
      </c>
      <c r="G11" s="88" t="s">
        <v>12</v>
      </c>
      <c r="H11" s="144"/>
    </row>
    <row r="12" spans="2:8" ht="9.75" customHeight="1" x14ac:dyDescent="0.2">
      <c r="B12" s="16" t="s">
        <v>14</v>
      </c>
      <c r="C12" s="157">
        <v>66.332320307642433</v>
      </c>
      <c r="D12" s="148">
        <v>16.129988775319656</v>
      </c>
      <c r="E12" s="148">
        <v>7.7074770324982191</v>
      </c>
      <c r="F12" s="148">
        <v>9.8302138845396971</v>
      </c>
      <c r="G12" s="16" t="s">
        <v>14</v>
      </c>
      <c r="H12" s="144"/>
    </row>
    <row r="13" spans="2:8" x14ac:dyDescent="0.2">
      <c r="B13" s="88" t="s">
        <v>25</v>
      </c>
      <c r="C13" s="213">
        <v>79.634644444111956</v>
      </c>
      <c r="D13" s="149">
        <v>9.789194931103097</v>
      </c>
      <c r="E13" s="149">
        <v>10.15125899549664</v>
      </c>
      <c r="F13" s="149">
        <v>0.42490162928828962</v>
      </c>
      <c r="G13" s="88" t="s">
        <v>25</v>
      </c>
      <c r="H13" s="144"/>
    </row>
    <row r="14" spans="2:8" x14ac:dyDescent="0.2">
      <c r="B14" s="16" t="s">
        <v>30</v>
      </c>
      <c r="C14" s="148">
        <v>84.401689347724073</v>
      </c>
      <c r="D14" s="148">
        <v>5.678085405912717</v>
      </c>
      <c r="E14" s="148">
        <v>8.352885969028625</v>
      </c>
      <c r="F14" s="148">
        <v>1.5673392773345847</v>
      </c>
      <c r="G14" s="16" t="s">
        <v>30</v>
      </c>
      <c r="H14" s="144"/>
    </row>
    <row r="15" spans="2:8" x14ac:dyDescent="0.2">
      <c r="B15" s="88" t="s">
        <v>15</v>
      </c>
      <c r="C15" s="149">
        <v>80.285376177441862</v>
      </c>
      <c r="D15" s="149">
        <v>17.237769816744148</v>
      </c>
      <c r="E15" s="149">
        <v>1.5919817393374485</v>
      </c>
      <c r="F15" s="149">
        <v>0.88487226647653539</v>
      </c>
      <c r="G15" s="88" t="s">
        <v>15</v>
      </c>
      <c r="H15" s="144"/>
    </row>
    <row r="16" spans="2:8" x14ac:dyDescent="0.2">
      <c r="B16" s="16" t="s">
        <v>33</v>
      </c>
      <c r="C16" s="148">
        <v>82.984552995556044</v>
      </c>
      <c r="D16" s="147">
        <v>14.046741648241982</v>
      </c>
      <c r="E16" s="147">
        <v>2.7099323290984243</v>
      </c>
      <c r="F16" s="147">
        <v>0.25877302710353256</v>
      </c>
      <c r="G16" s="16" t="s">
        <v>33</v>
      </c>
      <c r="H16" s="144"/>
    </row>
    <row r="17" spans="2:8" x14ac:dyDescent="0.2">
      <c r="B17" s="88" t="s">
        <v>26</v>
      </c>
      <c r="C17" s="149">
        <v>80.136973294748614</v>
      </c>
      <c r="D17" s="149">
        <v>17.588000395199973</v>
      </c>
      <c r="E17" s="149">
        <v>0.88324210018250959</v>
      </c>
      <c r="F17" s="149">
        <v>1.3917842098688884</v>
      </c>
      <c r="G17" s="88" t="s">
        <v>26</v>
      </c>
      <c r="H17" s="144"/>
    </row>
    <row r="18" spans="2:8" x14ac:dyDescent="0.2">
      <c r="B18" s="16" t="s">
        <v>31</v>
      </c>
      <c r="C18" s="147">
        <v>79.557328030857789</v>
      </c>
      <c r="D18" s="147">
        <v>13.027698138780632</v>
      </c>
      <c r="E18" s="147">
        <v>5.9704628098686943</v>
      </c>
      <c r="F18" s="147">
        <v>1.4445110204928895</v>
      </c>
      <c r="G18" s="16" t="s">
        <v>31</v>
      </c>
      <c r="H18" s="144"/>
    </row>
    <row r="19" spans="2:8" x14ac:dyDescent="0.2">
      <c r="B19" s="88" t="s">
        <v>32</v>
      </c>
      <c r="C19" s="149">
        <v>83.873590076104946</v>
      </c>
      <c r="D19" s="149">
        <v>5.4469414903428008</v>
      </c>
      <c r="E19" s="149">
        <v>9.1002168412790496</v>
      </c>
      <c r="F19" s="149">
        <v>1.5792515922731929</v>
      </c>
      <c r="G19" s="88" t="s">
        <v>32</v>
      </c>
      <c r="H19" s="144"/>
    </row>
    <row r="20" spans="2:8" x14ac:dyDescent="0.2">
      <c r="B20" s="16" t="s">
        <v>44</v>
      </c>
      <c r="C20" s="148">
        <v>84.014068476301958</v>
      </c>
      <c r="D20" s="148">
        <v>11.269356976339299</v>
      </c>
      <c r="E20" s="148">
        <v>3.0045191824571558</v>
      </c>
      <c r="F20" s="148">
        <v>1.7120553649015862</v>
      </c>
      <c r="G20" s="16" t="s">
        <v>44</v>
      </c>
      <c r="H20" s="144"/>
    </row>
    <row r="21" spans="2:8" x14ac:dyDescent="0.2">
      <c r="B21" s="201" t="s">
        <v>34</v>
      </c>
      <c r="C21" s="202">
        <v>79.679314034121035</v>
      </c>
      <c r="D21" s="202">
        <v>13.172425219726655</v>
      </c>
      <c r="E21" s="202">
        <v>6.2599780883427663</v>
      </c>
      <c r="F21" s="202">
        <v>0.88828265780952786</v>
      </c>
      <c r="G21" s="201" t="s">
        <v>34</v>
      </c>
      <c r="H21" s="144"/>
    </row>
    <row r="22" spans="2:8" x14ac:dyDescent="0.2">
      <c r="B22" s="16" t="s">
        <v>13</v>
      </c>
      <c r="C22" s="148">
        <v>81.473885739129045</v>
      </c>
      <c r="D22" s="148">
        <v>18.526114260870958</v>
      </c>
      <c r="E22" s="205" t="s">
        <v>43</v>
      </c>
      <c r="F22" s="205" t="s">
        <v>43</v>
      </c>
      <c r="G22" s="16" t="s">
        <v>13</v>
      </c>
      <c r="H22" s="144"/>
    </row>
    <row r="23" spans="2:8" x14ac:dyDescent="0.2">
      <c r="B23" s="201" t="s">
        <v>17</v>
      </c>
      <c r="C23" s="202">
        <v>78.715097823302884</v>
      </c>
      <c r="D23" s="202">
        <v>15.557324548062743</v>
      </c>
      <c r="E23" s="202">
        <v>4.8369258297340396</v>
      </c>
      <c r="F23" s="202">
        <v>0.8906517989003474</v>
      </c>
      <c r="G23" s="201" t="s">
        <v>17</v>
      </c>
      <c r="H23" s="144"/>
    </row>
    <row r="24" spans="2:8" x14ac:dyDescent="0.2">
      <c r="B24" s="16" t="s">
        <v>18</v>
      </c>
      <c r="C24" s="148">
        <v>91.426611796982172</v>
      </c>
      <c r="D24" s="148">
        <v>7.810699588477366</v>
      </c>
      <c r="E24" s="148">
        <v>0.76268861454046644</v>
      </c>
      <c r="F24" s="205" t="s">
        <v>43</v>
      </c>
      <c r="G24" s="16" t="s">
        <v>18</v>
      </c>
      <c r="H24" s="144"/>
    </row>
    <row r="25" spans="2:8" x14ac:dyDescent="0.2">
      <c r="B25" s="201" t="s">
        <v>35</v>
      </c>
      <c r="C25" s="202">
        <v>82.917061653373509</v>
      </c>
      <c r="D25" s="202">
        <v>12.42326934184816</v>
      </c>
      <c r="E25" s="202">
        <v>4.6596690047783351</v>
      </c>
      <c r="F25" s="214" t="s">
        <v>43</v>
      </c>
      <c r="G25" s="201" t="s">
        <v>35</v>
      </c>
      <c r="H25" s="144"/>
    </row>
    <row r="26" spans="2:8" x14ac:dyDescent="0.2">
      <c r="B26" s="16" t="s">
        <v>16</v>
      </c>
      <c r="C26" s="148">
        <v>65.329317647681478</v>
      </c>
      <c r="D26" s="148">
        <v>21.619076961486037</v>
      </c>
      <c r="E26" s="148">
        <v>9.8868832647183886</v>
      </c>
      <c r="F26" s="148">
        <v>3.164722126114103</v>
      </c>
      <c r="G26" s="16" t="s">
        <v>16</v>
      </c>
      <c r="H26" s="144"/>
    </row>
    <row r="27" spans="2:8" x14ac:dyDescent="0.2">
      <c r="B27" s="201" t="s">
        <v>19</v>
      </c>
      <c r="C27" s="202">
        <v>83.024516035797504</v>
      </c>
      <c r="D27" s="202">
        <v>16.975483964202496</v>
      </c>
      <c r="E27" s="214" t="s">
        <v>43</v>
      </c>
      <c r="F27" s="214" t="s">
        <v>43</v>
      </c>
      <c r="G27" s="201" t="s">
        <v>19</v>
      </c>
      <c r="H27" s="144"/>
    </row>
    <row r="28" spans="2:8" x14ac:dyDescent="0.2">
      <c r="B28" s="16" t="s">
        <v>27</v>
      </c>
      <c r="C28" s="148">
        <v>82.505430294906247</v>
      </c>
      <c r="D28" s="148">
        <v>6.6415089434164312</v>
      </c>
      <c r="E28" s="148">
        <v>10.026055349936028</v>
      </c>
      <c r="F28" s="148">
        <v>0.82700541174128583</v>
      </c>
      <c r="G28" s="16" t="s">
        <v>27</v>
      </c>
      <c r="H28" s="144"/>
    </row>
    <row r="29" spans="2:8" x14ac:dyDescent="0.2">
      <c r="B29" s="201" t="s">
        <v>36</v>
      </c>
      <c r="C29" s="202">
        <v>74.244528661282956</v>
      </c>
      <c r="D29" s="202">
        <v>9.4416555884045312</v>
      </c>
      <c r="E29" s="202">
        <v>12.184765570745451</v>
      </c>
      <c r="F29" s="202">
        <v>4.1290501795670549</v>
      </c>
      <c r="G29" s="201" t="s">
        <v>36</v>
      </c>
      <c r="H29" s="144"/>
    </row>
    <row r="30" spans="2:8" x14ac:dyDescent="0.2">
      <c r="B30" s="16" t="s">
        <v>20</v>
      </c>
      <c r="C30" s="148">
        <v>78.443885085103432</v>
      </c>
      <c r="D30" s="148">
        <v>13.914494867277849</v>
      </c>
      <c r="E30" s="148">
        <v>6.1323166665074522</v>
      </c>
      <c r="F30" s="148">
        <v>1.5093033811112717</v>
      </c>
      <c r="G30" s="16" t="s">
        <v>20</v>
      </c>
      <c r="H30" s="144"/>
    </row>
    <row r="31" spans="2:8" x14ac:dyDescent="0.2">
      <c r="B31" s="201" t="s">
        <v>37</v>
      </c>
      <c r="C31" s="202">
        <v>88.244959546776002</v>
      </c>
      <c r="D31" s="202">
        <v>6.8070669940650514</v>
      </c>
      <c r="E31" s="202">
        <v>3.9333313477978415</v>
      </c>
      <c r="F31" s="202">
        <v>1.0146421113611173</v>
      </c>
      <c r="G31" s="201" t="s">
        <v>37</v>
      </c>
      <c r="H31" s="144"/>
    </row>
    <row r="32" spans="2:8" x14ac:dyDescent="0.2">
      <c r="B32" s="16" t="s">
        <v>21</v>
      </c>
      <c r="C32" s="148">
        <v>76.231563579886227</v>
      </c>
      <c r="D32" s="148">
        <v>12.258568844668714</v>
      </c>
      <c r="E32" s="148">
        <v>4.156701128015035</v>
      </c>
      <c r="F32" s="148">
        <v>7.3531664474300138</v>
      </c>
      <c r="G32" s="16" t="s">
        <v>21</v>
      </c>
      <c r="H32" s="144"/>
    </row>
    <row r="33" spans="2:8" x14ac:dyDescent="0.2">
      <c r="B33" s="201" t="s">
        <v>23</v>
      </c>
      <c r="C33" s="202">
        <v>86.282661977281336</v>
      </c>
      <c r="D33" s="202">
        <v>11.389576518787567</v>
      </c>
      <c r="E33" s="202">
        <v>2.3277615039310988</v>
      </c>
      <c r="F33" s="214" t="s">
        <v>43</v>
      </c>
      <c r="G33" s="201" t="s">
        <v>23</v>
      </c>
      <c r="H33" s="144"/>
    </row>
    <row r="34" spans="2:8" x14ac:dyDescent="0.2">
      <c r="B34" s="16" t="s">
        <v>22</v>
      </c>
      <c r="C34" s="148">
        <v>77.204322067113637</v>
      </c>
      <c r="D34" s="148">
        <v>14.947570446797348</v>
      </c>
      <c r="E34" s="148">
        <v>7.0650981527076926</v>
      </c>
      <c r="F34" s="148">
        <v>0.78300933338132117</v>
      </c>
      <c r="G34" s="16" t="s">
        <v>22</v>
      </c>
      <c r="H34" s="144"/>
    </row>
    <row r="35" spans="2:8" x14ac:dyDescent="0.2">
      <c r="B35" s="201" t="s">
        <v>38</v>
      </c>
      <c r="C35" s="202">
        <v>84.309815752333833</v>
      </c>
      <c r="D35" s="202">
        <v>9.7626662178084498</v>
      </c>
      <c r="E35" s="202">
        <v>5.2477567879015448</v>
      </c>
      <c r="F35" s="202">
        <v>0.67976124195615861</v>
      </c>
      <c r="G35" s="201" t="s">
        <v>38</v>
      </c>
      <c r="H35" s="144"/>
    </row>
    <row r="36" spans="2:8" x14ac:dyDescent="0.2">
      <c r="B36" s="16" t="s">
        <v>39</v>
      </c>
      <c r="C36" s="148">
        <v>82.394908838402728</v>
      </c>
      <c r="D36" s="148">
        <v>6.6356946085292314</v>
      </c>
      <c r="E36" s="148">
        <v>9.0802865149236016</v>
      </c>
      <c r="F36" s="148">
        <v>1.8891100381444197</v>
      </c>
      <c r="G36" s="16" t="s">
        <v>39</v>
      </c>
      <c r="H36" s="144"/>
    </row>
    <row r="37" spans="2:8" x14ac:dyDescent="0.2">
      <c r="B37" s="201" t="s">
        <v>28</v>
      </c>
      <c r="C37" s="202">
        <v>84.628538197517742</v>
      </c>
      <c r="D37" s="202">
        <v>5.5607581693462427</v>
      </c>
      <c r="E37" s="202">
        <v>8.2251443509165334</v>
      </c>
      <c r="F37" s="202">
        <v>1.5855592822194866</v>
      </c>
      <c r="G37" s="201" t="s">
        <v>28</v>
      </c>
      <c r="H37" s="144"/>
    </row>
    <row r="38" spans="2:8" x14ac:dyDescent="0.2">
      <c r="B38" s="15" t="s">
        <v>122</v>
      </c>
      <c r="C38" s="200">
        <v>87.589471253752009</v>
      </c>
      <c r="D38" s="200">
        <v>12.271992611406141</v>
      </c>
      <c r="E38" s="200">
        <v>0.13853613484183791</v>
      </c>
      <c r="F38" s="481" t="s">
        <v>43</v>
      </c>
      <c r="G38" s="15" t="s">
        <v>122</v>
      </c>
      <c r="H38" s="144"/>
    </row>
    <row r="39" spans="2:8" x14ac:dyDescent="0.2">
      <c r="B39" s="201" t="s">
        <v>111</v>
      </c>
      <c r="C39" s="202">
        <v>95.727659219641481</v>
      </c>
      <c r="D39" s="202">
        <v>2.5568432777668382</v>
      </c>
      <c r="E39" s="202">
        <v>1.715497502591673</v>
      </c>
      <c r="F39" s="214" t="s">
        <v>43</v>
      </c>
      <c r="G39" s="201" t="s">
        <v>111</v>
      </c>
      <c r="H39" s="144"/>
    </row>
    <row r="40" spans="2:8" x14ac:dyDescent="0.2">
      <c r="B40" s="16" t="s">
        <v>6</v>
      </c>
      <c r="C40" s="148">
        <v>80.340245108030743</v>
      </c>
      <c r="D40" s="148">
        <v>18.593463101218379</v>
      </c>
      <c r="E40" s="148">
        <v>1.0662917907508749</v>
      </c>
      <c r="F40" s="205" t="s">
        <v>43</v>
      </c>
      <c r="G40" s="16" t="s">
        <v>6</v>
      </c>
      <c r="H40" s="144"/>
    </row>
    <row r="41" spans="2:8" x14ac:dyDescent="0.2">
      <c r="B41" s="201" t="s">
        <v>112</v>
      </c>
      <c r="C41" s="202">
        <v>77.745787110175712</v>
      </c>
      <c r="D41" s="202">
        <v>20.23786152648497</v>
      </c>
      <c r="E41" s="202">
        <v>1.7553264967872739</v>
      </c>
      <c r="F41" s="202">
        <v>0.261024866552034</v>
      </c>
      <c r="G41" s="201" t="s">
        <v>112</v>
      </c>
      <c r="H41" s="144"/>
    </row>
    <row r="42" spans="2:8" x14ac:dyDescent="0.2">
      <c r="B42" s="17" t="s">
        <v>24</v>
      </c>
      <c r="C42" s="150"/>
      <c r="D42" s="150"/>
      <c r="E42" s="150"/>
      <c r="F42" s="150"/>
      <c r="G42" s="17" t="s">
        <v>24</v>
      </c>
      <c r="H42" s="144"/>
    </row>
    <row r="43" spans="2:8" x14ac:dyDescent="0.2">
      <c r="B43" s="453" t="s">
        <v>10</v>
      </c>
      <c r="C43" s="454">
        <v>88.593833541258249</v>
      </c>
      <c r="D43" s="454">
        <v>11.406166458741758</v>
      </c>
      <c r="E43" s="214" t="s">
        <v>43</v>
      </c>
      <c r="F43" s="214" t="s">
        <v>43</v>
      </c>
      <c r="G43" s="453" t="s">
        <v>10</v>
      </c>
      <c r="H43" s="144"/>
    </row>
    <row r="44" spans="2:8" x14ac:dyDescent="0.2">
      <c r="B44" s="16" t="s">
        <v>40</v>
      </c>
      <c r="C44" s="148">
        <v>88.840369671720708</v>
      </c>
      <c r="D44" s="148">
        <v>5.398619833740705</v>
      </c>
      <c r="E44" s="148">
        <v>4.708266628677019</v>
      </c>
      <c r="F44" s="148">
        <v>1.0527438658615411</v>
      </c>
      <c r="G44" s="16" t="s">
        <v>40</v>
      </c>
      <c r="H44" s="144"/>
    </row>
    <row r="45" spans="2:8" x14ac:dyDescent="0.2">
      <c r="B45" s="203" t="s">
        <v>11</v>
      </c>
      <c r="C45" s="204">
        <v>77.066354266386995</v>
      </c>
      <c r="D45" s="204">
        <v>5.0430393519945458</v>
      </c>
      <c r="E45" s="204">
        <v>16.912595880475706</v>
      </c>
      <c r="F45" s="204">
        <v>0.97801050114275057</v>
      </c>
      <c r="G45" s="203" t="s">
        <v>11</v>
      </c>
      <c r="H45" s="144"/>
    </row>
    <row r="47" spans="2:8" x14ac:dyDescent="0.2">
      <c r="B47" s="122" t="s">
        <v>5</v>
      </c>
      <c r="C47" s="124"/>
      <c r="D47" s="100"/>
      <c r="E47" s="100"/>
      <c r="F47" s="100"/>
      <c r="G47" s="93"/>
    </row>
    <row r="48" spans="2:8" ht="35.25" customHeight="1" x14ac:dyDescent="0.2">
      <c r="B48" s="499" t="s">
        <v>135</v>
      </c>
      <c r="C48" s="499"/>
      <c r="D48" s="499"/>
      <c r="E48" s="499"/>
      <c r="F48" s="499"/>
    </row>
    <row r="49" spans="2:8" x14ac:dyDescent="0.2">
      <c r="B49" s="175" t="s">
        <v>124</v>
      </c>
      <c r="C49" s="176">
        <v>79.957737654747348</v>
      </c>
      <c r="D49" s="176">
        <v>9.0098708619700663</v>
      </c>
      <c r="E49" s="176">
        <v>7.2598128682526086</v>
      </c>
      <c r="F49" s="176">
        <v>1.6323572482437325</v>
      </c>
      <c r="G49" s="175" t="s">
        <v>124</v>
      </c>
      <c r="H49" s="144"/>
    </row>
    <row r="50" spans="2:8" ht="15" customHeight="1" x14ac:dyDescent="0.2">
      <c r="B50" s="177" t="s">
        <v>125</v>
      </c>
      <c r="C50" s="178">
        <v>80.806375920650112</v>
      </c>
      <c r="D50" s="178">
        <v>8.1659254751523704</v>
      </c>
      <c r="E50" s="178">
        <v>7.5618970258019909</v>
      </c>
      <c r="F50" s="178">
        <v>1.377912624975369</v>
      </c>
      <c r="G50" s="177" t="s">
        <v>125</v>
      </c>
      <c r="H50" s="144"/>
    </row>
    <row r="51" spans="2:8" x14ac:dyDescent="0.2">
      <c r="B51" s="177" t="s">
        <v>126</v>
      </c>
      <c r="C51" s="178">
        <v>74.67808315165459</v>
      </c>
      <c r="D51" s="178">
        <v>14.260329438848416</v>
      </c>
      <c r="E51" s="178">
        <v>5.3804491313111251</v>
      </c>
      <c r="F51" s="178">
        <v>3.2153399571338053</v>
      </c>
      <c r="G51" s="177" t="s">
        <v>126</v>
      </c>
      <c r="H51" s="144"/>
    </row>
    <row r="52" spans="2:8" x14ac:dyDescent="0.2">
      <c r="C52" s="103"/>
      <c r="D52" s="103"/>
      <c r="E52" s="103"/>
    </row>
    <row r="53" spans="2:8" x14ac:dyDescent="0.2">
      <c r="B53" s="122" t="s">
        <v>105</v>
      </c>
    </row>
    <row r="57" spans="2:8" x14ac:dyDescent="0.2">
      <c r="D57" s="480"/>
    </row>
  </sheetData>
  <mergeCells count="4">
    <mergeCell ref="B2:G3"/>
    <mergeCell ref="B4:G4"/>
    <mergeCell ref="B5:F5"/>
    <mergeCell ref="B48:F48"/>
  </mergeCells>
  <phoneticPr fontId="9"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50"/>
  <sheetViews>
    <sheetView topLeftCell="A16" zoomScaleNormal="100" workbookViewId="0">
      <selection activeCell="Q58" sqref="E55:Q58"/>
    </sheetView>
  </sheetViews>
  <sheetFormatPr defaultRowHeight="11.25" x14ac:dyDescent="0.2"/>
  <cols>
    <col min="1" max="1" width="2.7109375" style="220" customWidth="1"/>
    <col min="2" max="2" width="5" style="219" customWidth="1"/>
    <col min="3" max="4" width="7.7109375" style="219" customWidth="1"/>
    <col min="5" max="5" width="6.7109375" style="219" customWidth="1"/>
    <col min="6" max="9" width="7.7109375" style="219" customWidth="1"/>
    <col min="10" max="10" width="6.7109375" style="219" customWidth="1"/>
    <col min="11" max="14" width="7.7109375" style="219" customWidth="1"/>
    <col min="15" max="15" width="6.7109375" style="219" customWidth="1"/>
    <col min="16" max="28" width="7.7109375" style="219" customWidth="1"/>
    <col min="29" max="29" width="7.28515625" style="219" customWidth="1"/>
    <col min="30" max="30" width="4.5703125" style="219" customWidth="1"/>
    <col min="31" max="16384" width="9.140625" style="219"/>
  </cols>
  <sheetData>
    <row r="1" spans="1:30" ht="14.25" customHeight="1" x14ac:dyDescent="0.25">
      <c r="B1" s="336"/>
      <c r="C1" s="335"/>
      <c r="D1" s="335"/>
      <c r="E1" s="335"/>
      <c r="F1" s="335"/>
      <c r="G1" s="335"/>
      <c r="H1" s="335"/>
      <c r="I1" s="335"/>
      <c r="J1" s="335"/>
      <c r="K1" s="335"/>
      <c r="L1" s="335"/>
      <c r="M1" s="335"/>
      <c r="N1" s="335"/>
      <c r="O1" s="335"/>
      <c r="P1" s="335"/>
      <c r="Q1" s="334"/>
      <c r="T1" s="333"/>
      <c r="U1" s="333"/>
      <c r="V1" s="333"/>
      <c r="W1" s="333"/>
      <c r="X1" s="333"/>
      <c r="Y1" s="333"/>
      <c r="Z1" s="333"/>
      <c r="AA1" s="333"/>
      <c r="AB1" s="333"/>
      <c r="AD1" s="333" t="s">
        <v>95</v>
      </c>
    </row>
    <row r="2" spans="1:30" s="223" customFormat="1" ht="30" customHeight="1" x14ac:dyDescent="0.2">
      <c r="A2" s="332"/>
      <c r="B2" s="500" t="s">
        <v>45</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row>
    <row r="3" spans="1:30" ht="12" customHeight="1" x14ac:dyDescent="0.2">
      <c r="C3" s="331"/>
      <c r="D3" s="331"/>
      <c r="E3" s="331"/>
      <c r="F3" s="331"/>
      <c r="G3" s="331"/>
      <c r="H3" s="331"/>
      <c r="I3" s="331"/>
      <c r="J3" s="331"/>
      <c r="K3" s="331"/>
      <c r="L3" s="331"/>
      <c r="M3" s="331"/>
      <c r="N3" s="331"/>
      <c r="O3" s="331"/>
      <c r="P3" s="331"/>
      <c r="Q3" s="331"/>
      <c r="R3" s="331"/>
      <c r="X3" s="331" t="s">
        <v>113</v>
      </c>
      <c r="Y3" s="331"/>
      <c r="Z3" s="331"/>
      <c r="AA3" s="331"/>
      <c r="AB3" s="331"/>
      <c r="AC3" s="330"/>
    </row>
    <row r="4" spans="1:30" ht="20.100000000000001" customHeight="1" x14ac:dyDescent="0.2">
      <c r="B4" s="329"/>
      <c r="C4" s="328">
        <v>1970</v>
      </c>
      <c r="D4" s="328">
        <v>1980</v>
      </c>
      <c r="E4" s="327">
        <v>1990</v>
      </c>
      <c r="F4" s="327">
        <v>1991</v>
      </c>
      <c r="G4" s="327">
        <v>1992</v>
      </c>
      <c r="H4" s="327">
        <v>1993</v>
      </c>
      <c r="I4" s="327">
        <v>1994</v>
      </c>
      <c r="J4" s="327">
        <v>1995</v>
      </c>
      <c r="K4" s="327">
        <v>1996</v>
      </c>
      <c r="L4" s="327">
        <v>1997</v>
      </c>
      <c r="M4" s="327">
        <v>1998</v>
      </c>
      <c r="N4" s="327">
        <v>1999</v>
      </c>
      <c r="O4" s="327">
        <v>2000</v>
      </c>
      <c r="P4" s="327">
        <v>2001</v>
      </c>
      <c r="Q4" s="327">
        <v>2002</v>
      </c>
      <c r="R4" s="327">
        <v>2003</v>
      </c>
      <c r="S4" s="327">
        <v>2004</v>
      </c>
      <c r="T4" s="327">
        <v>2005</v>
      </c>
      <c r="U4" s="327">
        <v>2006</v>
      </c>
      <c r="V4" s="327">
        <v>2007</v>
      </c>
      <c r="W4" s="327">
        <v>2008</v>
      </c>
      <c r="X4" s="327">
        <v>2009</v>
      </c>
      <c r="Y4" s="327">
        <v>2010</v>
      </c>
      <c r="Z4" s="327">
        <v>2011</v>
      </c>
      <c r="AA4" s="327">
        <v>2012</v>
      </c>
      <c r="AB4" s="327">
        <v>2013</v>
      </c>
      <c r="AC4" s="326" t="s">
        <v>123</v>
      </c>
      <c r="AD4" s="320"/>
    </row>
    <row r="5" spans="1:30" ht="9.9499999999999993" customHeight="1" x14ac:dyDescent="0.2">
      <c r="B5" s="325"/>
      <c r="C5" s="324"/>
      <c r="D5" s="324"/>
      <c r="E5" s="323"/>
      <c r="F5" s="323"/>
      <c r="G5" s="323"/>
      <c r="H5" s="323"/>
      <c r="I5" s="323"/>
      <c r="J5" s="323"/>
      <c r="K5" s="323"/>
      <c r="L5" s="323"/>
      <c r="M5" s="323"/>
      <c r="N5" s="323"/>
      <c r="O5" s="323"/>
      <c r="P5" s="323"/>
      <c r="Q5" s="323"/>
      <c r="R5" s="323"/>
      <c r="S5" s="323"/>
      <c r="T5" s="323"/>
      <c r="U5" s="323"/>
      <c r="V5" s="323"/>
      <c r="W5" s="322"/>
      <c r="X5" s="322"/>
      <c r="Y5" s="322"/>
      <c r="Z5" s="322"/>
      <c r="AA5" s="322"/>
      <c r="AB5" s="322"/>
      <c r="AC5" s="321" t="s">
        <v>42</v>
      </c>
      <c r="AD5" s="320"/>
    </row>
    <row r="6" spans="1:30" ht="12.75" customHeight="1" x14ac:dyDescent="0.2">
      <c r="B6" s="314" t="s">
        <v>124</v>
      </c>
      <c r="C6" s="319" t="s">
        <v>41</v>
      </c>
      <c r="D6" s="319" t="s">
        <v>41</v>
      </c>
      <c r="E6" s="318" t="s">
        <v>41</v>
      </c>
      <c r="F6" s="317" t="s">
        <v>41</v>
      </c>
      <c r="G6" s="317" t="s">
        <v>41</v>
      </c>
      <c r="H6" s="317" t="s">
        <v>41</v>
      </c>
      <c r="I6" s="317" t="s">
        <v>41</v>
      </c>
      <c r="J6" s="317">
        <f t="shared" ref="J6:AA6" si="0">SUM(J9:J36)</f>
        <v>3934.8472949825991</v>
      </c>
      <c r="K6" s="317">
        <f t="shared" si="0"/>
        <v>4002.9892634000898</v>
      </c>
      <c r="L6" s="317">
        <f t="shared" si="0"/>
        <v>4087.1699724458103</v>
      </c>
      <c r="M6" s="317">
        <f t="shared" si="0"/>
        <v>4191.0222675965633</v>
      </c>
      <c r="N6" s="317">
        <f t="shared" si="0"/>
        <v>4306.8127589563237</v>
      </c>
      <c r="O6" s="317">
        <f t="shared" si="0"/>
        <v>4355.421721862861</v>
      </c>
      <c r="P6" s="317">
        <f t="shared" si="0"/>
        <v>4454.1986074087799</v>
      </c>
      <c r="Q6" s="317">
        <f t="shared" si="0"/>
        <v>4542.3424990272697</v>
      </c>
      <c r="R6" s="317">
        <f t="shared" si="0"/>
        <v>4585.56294581355</v>
      </c>
      <c r="S6" s="317">
        <f t="shared" si="0"/>
        <v>4651.570532845486</v>
      </c>
      <c r="T6" s="317">
        <f t="shared" si="0"/>
        <v>4591.3163466633541</v>
      </c>
      <c r="U6" s="317">
        <f t="shared" si="0"/>
        <v>4636.341548390018</v>
      </c>
      <c r="V6" s="317">
        <f t="shared" si="0"/>
        <v>4690.0408844782132</v>
      </c>
      <c r="W6" s="317">
        <f t="shared" si="0"/>
        <v>4698.4372953873526</v>
      </c>
      <c r="X6" s="316">
        <f t="shared" si="0"/>
        <v>4773.7939387817532</v>
      </c>
      <c r="Y6" s="316">
        <f t="shared" si="0"/>
        <v>4716.8083029451464</v>
      </c>
      <c r="Z6" s="316">
        <f t="shared" si="0"/>
        <v>4697.8278373856347</v>
      </c>
      <c r="AA6" s="316">
        <f t="shared" si="0"/>
        <v>4614.0834454424476</v>
      </c>
      <c r="AB6" s="316">
        <f t="shared" ref="AB6" si="1">SUM(AB9:AB36)</f>
        <v>4672.2636019642487</v>
      </c>
      <c r="AC6" s="315">
        <f>AB6/AA6*100-100</f>
        <v>1.2609255382944724</v>
      </c>
      <c r="AD6" s="314" t="s">
        <v>124</v>
      </c>
    </row>
    <row r="7" spans="1:30" ht="12.75" customHeight="1" x14ac:dyDescent="0.2">
      <c r="A7" s="234"/>
      <c r="B7" s="282" t="s">
        <v>125</v>
      </c>
      <c r="C7" s="313">
        <f>SUM(C9,C12:C13,C15,C16:C20,C24,C27:C28,C30,C34:C36)</f>
        <v>1557.1409999999998</v>
      </c>
      <c r="D7" s="313">
        <f>SUM(D9,D12:D13,D15,D16:D20,D24,D27:D28,D30,D34:D36)</f>
        <v>2229.8367150000004</v>
      </c>
      <c r="E7" s="312">
        <f t="shared" ref="E7:AA7" si="2">SUM(E9,E12:E13,E15,E16:E18,E24,E27:E28,E30,E34:E36,E20)</f>
        <v>3153.4957674828834</v>
      </c>
      <c r="F7" s="311">
        <f t="shared" si="2"/>
        <v>3216.8531286166699</v>
      </c>
      <c r="G7" s="311">
        <f t="shared" si="2"/>
        <v>3342.0845326065319</v>
      </c>
      <c r="H7" s="311">
        <f t="shared" si="2"/>
        <v>3394.1583230930323</v>
      </c>
      <c r="I7" s="311">
        <f t="shared" si="2"/>
        <v>3513.6245740521508</v>
      </c>
      <c r="J7" s="311">
        <f t="shared" si="2"/>
        <v>3578.6887994825993</v>
      </c>
      <c r="K7" s="311">
        <f t="shared" si="2"/>
        <v>3623.6322634000899</v>
      </c>
      <c r="L7" s="311">
        <f t="shared" si="2"/>
        <v>3686.9509724458098</v>
      </c>
      <c r="M7" s="311">
        <f t="shared" si="2"/>
        <v>3773.0118124965634</v>
      </c>
      <c r="N7" s="311">
        <f t="shared" si="2"/>
        <v>3872.2677589563236</v>
      </c>
      <c r="O7" s="311">
        <f t="shared" si="2"/>
        <v>3923.1656061628605</v>
      </c>
      <c r="P7" s="311">
        <f t="shared" si="2"/>
        <v>4015.3824544087797</v>
      </c>
      <c r="Q7" s="311">
        <f t="shared" si="2"/>
        <v>4091.8778594272699</v>
      </c>
      <c r="R7" s="311">
        <f t="shared" si="2"/>
        <v>4117.9176343135505</v>
      </c>
      <c r="S7" s="311">
        <f t="shared" si="2"/>
        <v>4169.5361328454856</v>
      </c>
      <c r="T7" s="311">
        <f t="shared" si="2"/>
        <v>4088.9068466633544</v>
      </c>
      <c r="U7" s="311">
        <f t="shared" si="2"/>
        <v>4111.2609483900178</v>
      </c>
      <c r="V7" s="311">
        <f t="shared" si="2"/>
        <v>4145.5296844782124</v>
      </c>
      <c r="W7" s="311">
        <f t="shared" si="2"/>
        <v>4136.8357953873528</v>
      </c>
      <c r="X7" s="310">
        <f t="shared" si="2"/>
        <v>4196.0542487817538</v>
      </c>
      <c r="Y7" s="310">
        <f t="shared" si="2"/>
        <v>4148.1469629451476</v>
      </c>
      <c r="Z7" s="310">
        <f t="shared" si="2"/>
        <v>4121.8234192219761</v>
      </c>
      <c r="AA7" s="310">
        <f t="shared" si="2"/>
        <v>4019.3170524621078</v>
      </c>
      <c r="AB7" s="310">
        <f t="shared" ref="AB7" si="3">SUM(AB9,AB12:AB13,AB15,AB16:AB18,AB24,AB27:AB28,AB30,AB34:AB36,AB20)</f>
        <v>4067.9768026827837</v>
      </c>
      <c r="AC7" s="309">
        <f t="shared" ref="AC7:AC44" si="4">AB7/AA7*100-100</f>
        <v>1.2106472215439794</v>
      </c>
      <c r="AD7" s="282" t="s">
        <v>125</v>
      </c>
    </row>
    <row r="8" spans="1:30" ht="12.75" customHeight="1" x14ac:dyDescent="0.2">
      <c r="A8" s="234"/>
      <c r="B8" s="303" t="s">
        <v>126</v>
      </c>
      <c r="C8" s="308"/>
      <c r="D8" s="308"/>
      <c r="E8" s="307"/>
      <c r="F8" s="306"/>
      <c r="G8" s="306"/>
      <c r="H8" s="306"/>
      <c r="I8" s="306"/>
      <c r="J8" s="306">
        <f t="shared" ref="J8:AA8" si="5">J6-J7</f>
        <v>356.15849549999984</v>
      </c>
      <c r="K8" s="306">
        <f t="shared" si="5"/>
        <v>379.35699999999997</v>
      </c>
      <c r="L8" s="306">
        <f t="shared" si="5"/>
        <v>400.21900000000051</v>
      </c>
      <c r="M8" s="306">
        <f t="shared" si="5"/>
        <v>418.01045509999994</v>
      </c>
      <c r="N8" s="306">
        <f t="shared" si="5"/>
        <v>434.54500000000007</v>
      </c>
      <c r="O8" s="306">
        <f t="shared" si="5"/>
        <v>432.25611570000046</v>
      </c>
      <c r="P8" s="306">
        <f t="shared" si="5"/>
        <v>438.81615300000021</v>
      </c>
      <c r="Q8" s="306">
        <f t="shared" si="5"/>
        <v>450.46463959999983</v>
      </c>
      <c r="R8" s="306">
        <f t="shared" si="5"/>
        <v>467.64531149999948</v>
      </c>
      <c r="S8" s="306">
        <f t="shared" si="5"/>
        <v>482.03440000000046</v>
      </c>
      <c r="T8" s="306">
        <f t="shared" si="5"/>
        <v>502.40949999999975</v>
      </c>
      <c r="U8" s="306">
        <f t="shared" si="5"/>
        <v>525.08060000000023</v>
      </c>
      <c r="V8" s="306">
        <f t="shared" si="5"/>
        <v>544.51120000000083</v>
      </c>
      <c r="W8" s="306">
        <f t="shared" si="5"/>
        <v>561.60149999999976</v>
      </c>
      <c r="X8" s="305">
        <f t="shared" si="5"/>
        <v>577.73968999999943</v>
      </c>
      <c r="Y8" s="305">
        <f t="shared" si="5"/>
        <v>568.66133999999875</v>
      </c>
      <c r="Z8" s="305">
        <f t="shared" si="5"/>
        <v>576.00441816365856</v>
      </c>
      <c r="AA8" s="305">
        <f t="shared" si="5"/>
        <v>594.76639298033979</v>
      </c>
      <c r="AB8" s="305">
        <f t="shared" ref="AB8" si="6">AB6-AB7</f>
        <v>604.28679928146494</v>
      </c>
      <c r="AC8" s="304">
        <f t="shared" si="4"/>
        <v>1.6006967464013826</v>
      </c>
      <c r="AD8" s="303" t="s">
        <v>126</v>
      </c>
    </row>
    <row r="9" spans="1:30" ht="12.75" customHeight="1" x14ac:dyDescent="0.2">
      <c r="A9" s="234"/>
      <c r="B9" s="241" t="s">
        <v>29</v>
      </c>
      <c r="C9" s="290">
        <v>41.106999999999999</v>
      </c>
      <c r="D9" s="290">
        <v>64.576999999999998</v>
      </c>
      <c r="E9" s="235">
        <v>89.486568154942205</v>
      </c>
      <c r="F9" s="235">
        <v>93.170725494158987</v>
      </c>
      <c r="G9" s="235">
        <v>94.65159259661695</v>
      </c>
      <c r="H9" s="235">
        <v>95.159026932527695</v>
      </c>
      <c r="I9" s="235">
        <v>97.61982726007605</v>
      </c>
      <c r="J9" s="235">
        <v>96.41122844758948</v>
      </c>
      <c r="K9" s="235">
        <v>96.124700750612945</v>
      </c>
      <c r="L9" s="235">
        <v>97.950041818024587</v>
      </c>
      <c r="M9" s="235">
        <v>100.14564232032866</v>
      </c>
      <c r="N9" s="235">
        <v>102.03922550781316</v>
      </c>
      <c r="O9" s="235">
        <v>102.54438530389039</v>
      </c>
      <c r="P9" s="235">
        <v>103.44056228671244</v>
      </c>
      <c r="Q9" s="235">
        <v>104.84343859901594</v>
      </c>
      <c r="R9" s="235">
        <v>102.49487951863394</v>
      </c>
      <c r="S9" s="235">
        <v>103.03402541013166</v>
      </c>
      <c r="T9" s="235">
        <v>102.80426446068903</v>
      </c>
      <c r="U9" s="235">
        <v>102.65959801049536</v>
      </c>
      <c r="V9" s="235">
        <v>104.57039703409255</v>
      </c>
      <c r="W9" s="235">
        <v>107.94287032877924</v>
      </c>
      <c r="X9" s="235">
        <v>108.07377743339944</v>
      </c>
      <c r="Y9" s="235">
        <v>109.38776021905481</v>
      </c>
      <c r="Z9" s="235">
        <v>109.98538444629293</v>
      </c>
      <c r="AA9" s="235">
        <v>110.15689983778451</v>
      </c>
      <c r="AB9" s="235">
        <v>109.84478088724526</v>
      </c>
      <c r="AC9" s="286">
        <f t="shared" si="4"/>
        <v>-0.28334035452964201</v>
      </c>
      <c r="AD9" s="241" t="s">
        <v>29</v>
      </c>
    </row>
    <row r="10" spans="1:30" ht="12.75" customHeight="1" x14ac:dyDescent="0.2">
      <c r="A10" s="234"/>
      <c r="B10" s="282" t="s">
        <v>12</v>
      </c>
      <c r="C10" s="285" t="s">
        <v>41</v>
      </c>
      <c r="D10" s="285" t="s">
        <v>41</v>
      </c>
      <c r="E10" s="284"/>
      <c r="F10" s="284"/>
      <c r="G10" s="284"/>
      <c r="H10" s="284"/>
      <c r="I10" s="284"/>
      <c r="J10" s="292">
        <v>25</v>
      </c>
      <c r="K10" s="292">
        <v>24.5</v>
      </c>
      <c r="L10" s="292">
        <v>23.9</v>
      </c>
      <c r="M10" s="292">
        <v>24.6</v>
      </c>
      <c r="N10" s="292">
        <v>25.4</v>
      </c>
      <c r="O10" s="292">
        <v>26.9</v>
      </c>
      <c r="P10" s="292">
        <v>27.9</v>
      </c>
      <c r="Q10" s="292">
        <v>29.3</v>
      </c>
      <c r="R10" s="292">
        <v>30.7</v>
      </c>
      <c r="S10" s="292">
        <v>32.799999999999997</v>
      </c>
      <c r="T10" s="292">
        <v>35.1</v>
      </c>
      <c r="U10" s="292">
        <v>37.6</v>
      </c>
      <c r="V10" s="292">
        <v>40.4</v>
      </c>
      <c r="W10" s="292">
        <v>43.2</v>
      </c>
      <c r="X10" s="292">
        <v>46.3</v>
      </c>
      <c r="Y10" s="292">
        <v>46.9</v>
      </c>
      <c r="Z10" s="292">
        <v>48.068037489384793</v>
      </c>
      <c r="AA10" s="292">
        <v>49.702936925862396</v>
      </c>
      <c r="AB10" s="292">
        <v>51.364114011617502</v>
      </c>
      <c r="AC10" s="291">
        <f t="shared" si="4"/>
        <v>3.3422111217148824</v>
      </c>
      <c r="AD10" s="282" t="s">
        <v>12</v>
      </c>
    </row>
    <row r="11" spans="1:30" s="256" customFormat="1" ht="12.75" customHeight="1" x14ac:dyDescent="0.2">
      <c r="A11" s="261"/>
      <c r="B11" s="241" t="s">
        <v>14</v>
      </c>
      <c r="C11" s="274"/>
      <c r="D11" s="274"/>
      <c r="E11" s="273"/>
      <c r="F11" s="243"/>
      <c r="G11" s="243"/>
      <c r="H11" s="243">
        <v>49</v>
      </c>
      <c r="I11" s="243">
        <v>51.7</v>
      </c>
      <c r="J11" s="243">
        <v>54.5</v>
      </c>
      <c r="K11" s="243">
        <v>57.9</v>
      </c>
      <c r="L11" s="243">
        <v>59</v>
      </c>
      <c r="M11" s="263">
        <v>59.725999999999999</v>
      </c>
      <c r="N11" s="243">
        <v>62.38</v>
      </c>
      <c r="O11" s="243">
        <v>63.94</v>
      </c>
      <c r="P11" s="243">
        <v>63.47</v>
      </c>
      <c r="Q11" s="243">
        <v>65.290000000000006</v>
      </c>
      <c r="R11" s="243">
        <v>67.36</v>
      </c>
      <c r="S11" s="243">
        <v>67.569999999999993</v>
      </c>
      <c r="T11" s="243">
        <v>68.64</v>
      </c>
      <c r="U11" s="243">
        <v>69.63</v>
      </c>
      <c r="V11" s="243">
        <v>71.540000000000006</v>
      </c>
      <c r="W11" s="243">
        <v>72.38</v>
      </c>
      <c r="X11" s="300">
        <v>72.290000000000006</v>
      </c>
      <c r="Y11" s="301">
        <v>63.57</v>
      </c>
      <c r="Z11" s="300">
        <v>65.489999999999995</v>
      </c>
      <c r="AA11" s="300">
        <v>64.62</v>
      </c>
      <c r="AB11" s="300">
        <v>64.650000000000006</v>
      </c>
      <c r="AC11" s="299">
        <f t="shared" si="4"/>
        <v>4.6425255338917282E-2</v>
      </c>
      <c r="AD11" s="241" t="s">
        <v>14</v>
      </c>
    </row>
    <row r="12" spans="1:30" ht="12.75" customHeight="1" x14ac:dyDescent="0.2">
      <c r="A12" s="234"/>
      <c r="B12" s="282" t="s">
        <v>25</v>
      </c>
      <c r="C12" s="285">
        <v>33.299999999999997</v>
      </c>
      <c r="D12" s="285">
        <f>38.027+0.458</f>
        <v>38.484999999999999</v>
      </c>
      <c r="E12" s="298">
        <v>47.191000000000003</v>
      </c>
      <c r="F12" s="298">
        <v>47.865000000000002</v>
      </c>
      <c r="G12" s="298">
        <v>48.125999999999998</v>
      </c>
      <c r="H12" s="298">
        <v>47.621000000000002</v>
      </c>
      <c r="I12" s="298">
        <v>47.77</v>
      </c>
      <c r="J12" s="298">
        <v>48.389000000000003</v>
      </c>
      <c r="K12" s="298">
        <v>49.042000000000002</v>
      </c>
      <c r="L12" s="298">
        <v>49.91</v>
      </c>
      <c r="M12" s="298">
        <v>50.328000000000003</v>
      </c>
      <c r="N12" s="298">
        <v>51.307000000000002</v>
      </c>
      <c r="O12" s="298">
        <f>50.187+0.429</f>
        <v>50.616</v>
      </c>
      <c r="P12" s="298">
        <f>49.183+0.438</f>
        <v>49.621000000000002</v>
      </c>
      <c r="Q12" s="298">
        <f>49.03+0.424</f>
        <v>49.454000000000001</v>
      </c>
      <c r="R12" s="298">
        <f>49.28+0.415</f>
        <v>49.695</v>
      </c>
      <c r="S12" s="298">
        <f>50.149+0.408</f>
        <v>50.557000000000002</v>
      </c>
      <c r="T12" s="298">
        <f>49.35+0.408</f>
        <v>49.758000000000003</v>
      </c>
      <c r="U12" s="298">
        <f>49.223+0.415</f>
        <v>49.637999999999998</v>
      </c>
      <c r="V12" s="298">
        <f>50.33+0.426</f>
        <v>50.756</v>
      </c>
      <c r="W12" s="298">
        <f>51.046+0.431</f>
        <v>51.476999999999997</v>
      </c>
      <c r="X12" s="298">
        <f>51.494+0.404</f>
        <v>51.898000000000003</v>
      </c>
      <c r="Y12" s="298">
        <f>51.305+0.392</f>
        <v>51.697000000000003</v>
      </c>
      <c r="Z12" s="298">
        <f>52.569+0.376</f>
        <v>52.945</v>
      </c>
      <c r="AA12" s="298">
        <f>52.241+0.359</f>
        <v>52.6</v>
      </c>
      <c r="AB12" s="298">
        <f>52.88+0.347</f>
        <v>53.227000000000004</v>
      </c>
      <c r="AC12" s="297">
        <f t="shared" si="4"/>
        <v>1.1920152091254863</v>
      </c>
      <c r="AD12" s="282" t="s">
        <v>25</v>
      </c>
    </row>
    <row r="13" spans="1:30" s="256" customFormat="1" ht="12.75" customHeight="1" x14ac:dyDescent="0.2">
      <c r="A13" s="261"/>
      <c r="B13" s="241" t="s">
        <v>30</v>
      </c>
      <c r="C13" s="244">
        <v>394.6</v>
      </c>
      <c r="D13" s="244">
        <v>513.70000000000005</v>
      </c>
      <c r="E13" s="243">
        <v>683.1</v>
      </c>
      <c r="F13" s="243">
        <v>700</v>
      </c>
      <c r="G13" s="243">
        <v>719.5</v>
      </c>
      <c r="H13" s="278">
        <v>729.8</v>
      </c>
      <c r="I13" s="243">
        <v>807.02190250460717</v>
      </c>
      <c r="J13" s="243">
        <v>815.29762943489879</v>
      </c>
      <c r="K13" s="243">
        <v>816.07238295987293</v>
      </c>
      <c r="L13" s="243">
        <v>817.07066702101861</v>
      </c>
      <c r="M13" s="243">
        <v>828.06880234826895</v>
      </c>
      <c r="N13" s="243">
        <v>848.42000426863945</v>
      </c>
      <c r="O13" s="243">
        <v>831.26654484178448</v>
      </c>
      <c r="P13" s="243">
        <v>852.62943876994984</v>
      </c>
      <c r="Q13" s="243">
        <v>862.98699999999997</v>
      </c>
      <c r="R13" s="243">
        <v>857.73599999999999</v>
      </c>
      <c r="S13" s="243">
        <v>868.65</v>
      </c>
      <c r="T13" s="243">
        <v>856.875</v>
      </c>
      <c r="U13" s="243">
        <v>863.32799999999997</v>
      </c>
      <c r="V13" s="243">
        <v>866.53100000000006</v>
      </c>
      <c r="W13" s="243">
        <v>871.32799999999997</v>
      </c>
      <c r="X13" s="243">
        <v>881.1</v>
      </c>
      <c r="Y13" s="243">
        <v>887</v>
      </c>
      <c r="Z13" s="243">
        <v>894.4</v>
      </c>
      <c r="AA13" s="243">
        <v>896.3</v>
      </c>
      <c r="AB13" s="243">
        <v>899.3</v>
      </c>
      <c r="AC13" s="242">
        <f t="shared" si="4"/>
        <v>0.33470936070511925</v>
      </c>
      <c r="AD13" s="241" t="s">
        <v>30</v>
      </c>
    </row>
    <row r="14" spans="1:30" ht="13.5" customHeight="1" x14ac:dyDescent="0.2">
      <c r="A14" s="234"/>
      <c r="B14" s="282" t="s">
        <v>15</v>
      </c>
      <c r="C14" s="285" t="s">
        <v>41</v>
      </c>
      <c r="D14" s="285" t="s">
        <v>41</v>
      </c>
      <c r="E14" s="284" t="s">
        <v>41</v>
      </c>
      <c r="F14" s="284" t="s">
        <v>41</v>
      </c>
      <c r="G14" s="284" t="s">
        <v>41</v>
      </c>
      <c r="H14" s="284" t="s">
        <v>41</v>
      </c>
      <c r="I14" s="284" t="s">
        <v>41</v>
      </c>
      <c r="J14" s="292">
        <f>3.956535*1.3</f>
        <v>5.1434955000000002</v>
      </c>
      <c r="K14" s="292">
        <v>5.5</v>
      </c>
      <c r="L14" s="292">
        <v>5.8</v>
      </c>
      <c r="M14" s="292">
        <f>4.763427*1.3</f>
        <v>6.1924551000000001</v>
      </c>
      <c r="N14" s="292">
        <v>6.4</v>
      </c>
      <c r="O14" s="292">
        <f>5.140089*1.3</f>
        <v>6.6821156999999998</v>
      </c>
      <c r="P14" s="292">
        <f>5.23781*1.3</f>
        <v>6.8091529999999993</v>
      </c>
      <c r="Q14" s="292">
        <f>5.430492*1.3</f>
        <v>7.0596396000000006</v>
      </c>
      <c r="R14" s="292">
        <f>5.894855*1.3</f>
        <v>7.6633114999999998</v>
      </c>
      <c r="S14" s="284">
        <v>7.8129999999999997</v>
      </c>
      <c r="T14" s="284">
        <v>9.9290000000000003</v>
      </c>
      <c r="U14" s="284">
        <v>9.9459999999999997</v>
      </c>
      <c r="V14" s="292">
        <v>10</v>
      </c>
      <c r="W14" s="292">
        <v>10.5</v>
      </c>
      <c r="X14" s="292">
        <v>10.5</v>
      </c>
      <c r="Y14" s="292">
        <v>10.1</v>
      </c>
      <c r="Z14" s="292">
        <v>10.381082222547919</v>
      </c>
      <c r="AA14" s="292">
        <v>10.808595077153129</v>
      </c>
      <c r="AB14" s="292">
        <v>11.24613332249695</v>
      </c>
      <c r="AC14" s="291">
        <f t="shared" si="4"/>
        <v>4.0480584407188758</v>
      </c>
      <c r="AD14" s="282" t="s">
        <v>15</v>
      </c>
    </row>
    <row r="15" spans="1:30" ht="12.75" customHeight="1" x14ac:dyDescent="0.2">
      <c r="A15" s="234"/>
      <c r="B15" s="241" t="s">
        <v>33</v>
      </c>
      <c r="C15" s="296">
        <v>10</v>
      </c>
      <c r="D15" s="296">
        <v>19</v>
      </c>
      <c r="E15" s="295">
        <v>28.507000000000001</v>
      </c>
      <c r="F15" s="295">
        <v>29.038</v>
      </c>
      <c r="G15" s="295">
        <v>29.52</v>
      </c>
      <c r="H15" s="295">
        <v>29.835999999999999</v>
      </c>
      <c r="I15" s="295">
        <v>30.56</v>
      </c>
      <c r="J15" s="295">
        <v>31.558</v>
      </c>
      <c r="K15" s="295">
        <v>32.799999999999997</v>
      </c>
      <c r="L15" s="295">
        <v>34.360999999999997</v>
      </c>
      <c r="M15" s="295">
        <v>35.756</v>
      </c>
      <c r="N15" s="295">
        <v>36.838000000000001</v>
      </c>
      <c r="O15" s="295">
        <v>34.607999999999997</v>
      </c>
      <c r="P15" s="294">
        <v>36.459000000000003</v>
      </c>
      <c r="Q15" s="294">
        <v>37.787999999999997</v>
      </c>
      <c r="R15" s="294">
        <v>39.9495</v>
      </c>
      <c r="S15" s="294">
        <v>42.627000000000002</v>
      </c>
      <c r="T15" s="294">
        <v>44.378999999999998</v>
      </c>
      <c r="U15" s="294">
        <v>45.99</v>
      </c>
      <c r="V15" s="294">
        <v>47.959499999999998</v>
      </c>
      <c r="W15" s="294">
        <v>48.887999999999998</v>
      </c>
      <c r="X15" s="294">
        <v>48.857999999999997</v>
      </c>
      <c r="Y15" s="294">
        <v>48.082500000000003</v>
      </c>
      <c r="Z15" s="294">
        <v>47.457000000000001</v>
      </c>
      <c r="AA15" s="294">
        <v>46.613999999999997</v>
      </c>
      <c r="AB15" s="294">
        <f>32.031*1.5</f>
        <v>48.046499999999995</v>
      </c>
      <c r="AC15" s="262">
        <f t="shared" si="4"/>
        <v>3.0731110825073813</v>
      </c>
      <c r="AD15" s="241" t="s">
        <v>33</v>
      </c>
    </row>
    <row r="16" spans="1:30" ht="12.75" customHeight="1" x14ac:dyDescent="0.2">
      <c r="A16" s="234"/>
      <c r="B16" s="282" t="s">
        <v>26</v>
      </c>
      <c r="C16" s="293">
        <v>4.5</v>
      </c>
      <c r="D16" s="293">
        <v>17.5</v>
      </c>
      <c r="E16" s="292">
        <v>35</v>
      </c>
      <c r="F16" s="292">
        <v>36</v>
      </c>
      <c r="G16" s="292">
        <v>37</v>
      </c>
      <c r="H16" s="292">
        <v>39</v>
      </c>
      <c r="I16" s="292">
        <v>42</v>
      </c>
      <c r="J16" s="292">
        <v>44</v>
      </c>
      <c r="K16" s="292">
        <v>47</v>
      </c>
      <c r="L16" s="292">
        <v>50</v>
      </c>
      <c r="M16" s="292">
        <v>53</v>
      </c>
      <c r="N16" s="292">
        <v>58</v>
      </c>
      <c r="O16" s="292">
        <v>63</v>
      </c>
      <c r="P16" s="292">
        <v>68</v>
      </c>
      <c r="Q16" s="292">
        <v>72</v>
      </c>
      <c r="R16" s="292">
        <v>76</v>
      </c>
      <c r="S16" s="292">
        <v>80</v>
      </c>
      <c r="T16" s="292">
        <v>85</v>
      </c>
      <c r="U16" s="292">
        <v>90</v>
      </c>
      <c r="V16" s="292">
        <v>95</v>
      </c>
      <c r="W16" s="292">
        <v>100</v>
      </c>
      <c r="X16" s="292">
        <v>101.3</v>
      </c>
      <c r="Y16" s="292">
        <v>99.6</v>
      </c>
      <c r="Z16" s="292">
        <v>98.322079941260128</v>
      </c>
      <c r="AA16" s="292">
        <v>96.934481527791093</v>
      </c>
      <c r="AB16" s="292">
        <v>95.811379215017098</v>
      </c>
      <c r="AC16" s="291">
        <f t="shared" si="4"/>
        <v>-1.1586200236207986</v>
      </c>
      <c r="AD16" s="282" t="s">
        <v>26</v>
      </c>
    </row>
    <row r="17" spans="1:30" ht="12.75" customHeight="1" x14ac:dyDescent="0.2">
      <c r="A17" s="234"/>
      <c r="B17" s="241" t="s">
        <v>31</v>
      </c>
      <c r="C17" s="290">
        <v>64.3</v>
      </c>
      <c r="D17" s="290">
        <v>130.9</v>
      </c>
      <c r="E17" s="289">
        <v>174.4</v>
      </c>
      <c r="F17" s="287">
        <v>207.542</v>
      </c>
      <c r="G17" s="288">
        <v>218.27</v>
      </c>
      <c r="H17" s="288">
        <v>229</v>
      </c>
      <c r="I17" s="288">
        <v>239.7</v>
      </c>
      <c r="J17" s="287">
        <v>250.374</v>
      </c>
      <c r="K17" s="288">
        <v>259</v>
      </c>
      <c r="L17" s="288">
        <v>267.60000000000002</v>
      </c>
      <c r="M17" s="287">
        <v>276.173</v>
      </c>
      <c r="N17" s="287">
        <v>293.54000000000002</v>
      </c>
      <c r="O17" s="287">
        <v>302.61099999999999</v>
      </c>
      <c r="P17" s="287">
        <v>307.95499999999998</v>
      </c>
      <c r="Q17" s="288">
        <v>315</v>
      </c>
      <c r="R17" s="287">
        <v>321.928</v>
      </c>
      <c r="S17" s="287">
        <v>330.19200000000001</v>
      </c>
      <c r="T17" s="287">
        <v>337.79700000000003</v>
      </c>
      <c r="U17" s="287">
        <v>340.93700000000001</v>
      </c>
      <c r="V17" s="287">
        <v>343.29300000000001</v>
      </c>
      <c r="W17" s="287">
        <v>342.61099999999999</v>
      </c>
      <c r="X17" s="287">
        <v>350.40100000000001</v>
      </c>
      <c r="Y17" s="287">
        <v>341.62900000000002</v>
      </c>
      <c r="Z17" s="287">
        <v>334.02100000000002</v>
      </c>
      <c r="AA17" s="287">
        <v>321.04500000000002</v>
      </c>
      <c r="AB17" s="287">
        <v>316.53899999999999</v>
      </c>
      <c r="AC17" s="286">
        <f t="shared" si="4"/>
        <v>-1.4035415595944585</v>
      </c>
      <c r="AD17" s="241" t="s">
        <v>31</v>
      </c>
    </row>
    <row r="18" spans="1:30" ht="12.75" customHeight="1" x14ac:dyDescent="0.2">
      <c r="A18" s="234"/>
      <c r="B18" s="282" t="s">
        <v>32</v>
      </c>
      <c r="C18" s="285">
        <v>304.7</v>
      </c>
      <c r="D18" s="285">
        <v>443.84071500000005</v>
      </c>
      <c r="E18" s="284">
        <v>611.08818709638592</v>
      </c>
      <c r="F18" s="284">
        <v>618.62189199263867</v>
      </c>
      <c r="G18" s="284">
        <v>636.35146577885587</v>
      </c>
      <c r="H18" s="284">
        <v>641.78429616050516</v>
      </c>
      <c r="I18" s="284">
        <v>654.19984428746773</v>
      </c>
      <c r="J18" s="284">
        <v>671.66794160011148</v>
      </c>
      <c r="K18" s="284">
        <v>678.9887077295499</v>
      </c>
      <c r="L18" s="284">
        <v>693.58282115215138</v>
      </c>
      <c r="M18" s="284">
        <v>718.24584524149861</v>
      </c>
      <c r="N18" s="284">
        <v>741.22432720367533</v>
      </c>
      <c r="O18" s="284">
        <v>744.54216352646506</v>
      </c>
      <c r="P18" s="284">
        <v>776.10841135982719</v>
      </c>
      <c r="Q18" s="284">
        <v>786.3240370641106</v>
      </c>
      <c r="R18" s="284">
        <v>793.03796896002916</v>
      </c>
      <c r="S18" s="284">
        <v>794.52883608313482</v>
      </c>
      <c r="T18" s="284">
        <v>788.13572497980886</v>
      </c>
      <c r="U18" s="284">
        <v>789.0953246869276</v>
      </c>
      <c r="V18" s="284">
        <v>799.23089529088907</v>
      </c>
      <c r="W18" s="284">
        <v>786.60537235067477</v>
      </c>
      <c r="X18" s="284">
        <v>788.96900717323138</v>
      </c>
      <c r="Y18" s="284">
        <v>796.87524778599561</v>
      </c>
      <c r="Z18" s="284">
        <v>798.7243718692016</v>
      </c>
      <c r="AA18" s="284">
        <v>801.06250669811254</v>
      </c>
      <c r="AB18" s="284">
        <v>805.5</v>
      </c>
      <c r="AC18" s="283">
        <f t="shared" si="4"/>
        <v>0.5539509420030555</v>
      </c>
      <c r="AD18" s="282" t="s">
        <v>32</v>
      </c>
    </row>
    <row r="19" spans="1:30" ht="12.75" customHeight="1" x14ac:dyDescent="0.2">
      <c r="A19" s="234"/>
      <c r="B19" s="241" t="s">
        <v>44</v>
      </c>
      <c r="C19" s="244"/>
      <c r="D19" s="244"/>
      <c r="E19" s="243"/>
      <c r="F19" s="243"/>
      <c r="G19" s="243"/>
      <c r="H19" s="243"/>
      <c r="I19" s="243"/>
      <c r="J19" s="263">
        <v>12.5</v>
      </c>
      <c r="K19" s="263">
        <v>14.75</v>
      </c>
      <c r="L19" s="263">
        <v>16.5</v>
      </c>
      <c r="M19" s="263">
        <v>17.5</v>
      </c>
      <c r="N19" s="263">
        <v>19</v>
      </c>
      <c r="O19" s="263">
        <v>20</v>
      </c>
      <c r="P19" s="263">
        <v>21</v>
      </c>
      <c r="Q19" s="263">
        <v>22</v>
      </c>
      <c r="R19" s="263">
        <v>22.5</v>
      </c>
      <c r="S19" s="263">
        <v>23.5</v>
      </c>
      <c r="T19" s="263">
        <v>24</v>
      </c>
      <c r="U19" s="263">
        <v>25</v>
      </c>
      <c r="V19" s="263">
        <v>26</v>
      </c>
      <c r="W19" s="263">
        <v>27</v>
      </c>
      <c r="X19" s="263">
        <v>26.8</v>
      </c>
      <c r="Y19" s="263">
        <v>25.7</v>
      </c>
      <c r="Z19" s="243">
        <v>25.242000000000001</v>
      </c>
      <c r="AA19" s="243">
        <v>26.146999999999998</v>
      </c>
      <c r="AB19" s="243">
        <v>26.145</v>
      </c>
      <c r="AC19" s="242">
        <f t="shared" si="4"/>
        <v>-7.6490610777568691E-3</v>
      </c>
      <c r="AD19" s="241" t="s">
        <v>44</v>
      </c>
    </row>
    <row r="20" spans="1:30" s="256" customFormat="1" ht="12.75" customHeight="1" x14ac:dyDescent="0.2">
      <c r="A20" s="261"/>
      <c r="B20" s="245" t="s">
        <v>34</v>
      </c>
      <c r="C20" s="260">
        <v>211.934</v>
      </c>
      <c r="D20" s="260">
        <v>324.03399999999999</v>
      </c>
      <c r="E20" s="281">
        <v>522.59299999999996</v>
      </c>
      <c r="F20" s="258">
        <v>538.27</v>
      </c>
      <c r="G20" s="258">
        <v>602.21</v>
      </c>
      <c r="H20" s="258">
        <v>603.09</v>
      </c>
      <c r="I20" s="248">
        <v>600.29999999999995</v>
      </c>
      <c r="J20" s="248">
        <v>614.71299999999997</v>
      </c>
      <c r="K20" s="248">
        <v>627.38300000000004</v>
      </c>
      <c r="L20" s="248">
        <v>638.83699999999999</v>
      </c>
      <c r="M20" s="248">
        <v>662.54499999999996</v>
      </c>
      <c r="N20" s="280">
        <v>663.31899999999996</v>
      </c>
      <c r="O20" s="279">
        <v>713.93100000000004</v>
      </c>
      <c r="P20" s="248">
        <f>O20+($T$18-$O$18)/5</f>
        <v>722.64971229066884</v>
      </c>
      <c r="Q20" s="248">
        <f>P20+($T$18-$O$18)/5</f>
        <v>731.36842458133765</v>
      </c>
      <c r="R20" s="248">
        <f>Q20+($T$18-$O$18)/5</f>
        <v>740.08713687200645</v>
      </c>
      <c r="S20" s="248">
        <f>R20+($T$18-$O$18)/5</f>
        <v>748.80584916267526</v>
      </c>
      <c r="T20" s="248">
        <v>677.01400000000001</v>
      </c>
      <c r="U20" s="248">
        <v>676.255</v>
      </c>
      <c r="V20" s="248">
        <v>677.05600000000004</v>
      </c>
      <c r="W20" s="248">
        <v>676.35900000000004</v>
      </c>
      <c r="X20" s="248">
        <v>719.91200000000003</v>
      </c>
      <c r="Y20" s="248">
        <v>698.39</v>
      </c>
      <c r="Z20" s="248">
        <v>665.32799999999997</v>
      </c>
      <c r="AA20" s="248">
        <v>578.66800000000001</v>
      </c>
      <c r="AB20" s="248">
        <v>620.36800000000005</v>
      </c>
      <c r="AC20" s="269">
        <f t="shared" si="4"/>
        <v>7.2062045939986348</v>
      </c>
      <c r="AD20" s="245" t="s">
        <v>34</v>
      </c>
    </row>
    <row r="21" spans="1:30" ht="12.75" customHeight="1" x14ac:dyDescent="0.2">
      <c r="A21" s="234"/>
      <c r="B21" s="241" t="s">
        <v>13</v>
      </c>
      <c r="C21" s="244" t="s">
        <v>41</v>
      </c>
      <c r="D21" s="244" t="s">
        <v>41</v>
      </c>
      <c r="E21" s="243" t="s">
        <v>41</v>
      </c>
      <c r="F21" s="243" t="s">
        <v>41</v>
      </c>
      <c r="G21" s="243" t="s">
        <v>41</v>
      </c>
      <c r="H21" s="243" t="s">
        <v>41</v>
      </c>
      <c r="I21" s="243" t="s">
        <v>41</v>
      </c>
      <c r="J21" s="264">
        <v>3.4</v>
      </c>
      <c r="K21" s="264">
        <v>3.5</v>
      </c>
      <c r="L21" s="264">
        <v>3.6</v>
      </c>
      <c r="M21" s="264">
        <v>3.7</v>
      </c>
      <c r="N21" s="264">
        <v>3.8</v>
      </c>
      <c r="O21" s="264">
        <v>3.9</v>
      </c>
      <c r="P21" s="264">
        <v>4</v>
      </c>
      <c r="Q21" s="264">
        <v>4.0999999999999996</v>
      </c>
      <c r="R21" s="264">
        <v>4.1500000000000004</v>
      </c>
      <c r="S21" s="263">
        <v>4.5999999999999996</v>
      </c>
      <c r="T21" s="263">
        <v>4.8</v>
      </c>
      <c r="U21" s="263">
        <v>5</v>
      </c>
      <c r="V21" s="263">
        <v>5.3</v>
      </c>
      <c r="W21" s="263">
        <v>5.75</v>
      </c>
      <c r="X21" s="263">
        <v>6</v>
      </c>
      <c r="Y21" s="263">
        <v>5.9</v>
      </c>
      <c r="Z21" s="263">
        <v>5.93190592556501</v>
      </c>
      <c r="AA21" s="263">
        <v>5.9515765516010246</v>
      </c>
      <c r="AB21" s="263">
        <v>5.9211434324198757</v>
      </c>
      <c r="AC21" s="262">
        <f t="shared" si="4"/>
        <v>-0.51134550513279464</v>
      </c>
      <c r="AD21" s="241" t="s">
        <v>13</v>
      </c>
    </row>
    <row r="22" spans="1:30" s="256" customFormat="1" ht="12.75" customHeight="1" x14ac:dyDescent="0.2">
      <c r="A22" s="261"/>
      <c r="B22" s="245" t="s">
        <v>17</v>
      </c>
      <c r="C22" s="260" t="s">
        <v>41</v>
      </c>
      <c r="D22" s="260" t="s">
        <v>41</v>
      </c>
      <c r="E22" s="248" t="s">
        <v>41</v>
      </c>
      <c r="F22" s="248" t="s">
        <v>41</v>
      </c>
      <c r="G22" s="248" t="s">
        <v>41</v>
      </c>
      <c r="H22" s="248" t="s">
        <v>41</v>
      </c>
      <c r="I22" s="248" t="s">
        <v>41</v>
      </c>
      <c r="J22" s="259">
        <v>7.5</v>
      </c>
      <c r="K22" s="259">
        <v>8</v>
      </c>
      <c r="L22" s="259">
        <v>9</v>
      </c>
      <c r="M22" s="259">
        <v>10</v>
      </c>
      <c r="N22" s="259">
        <v>11</v>
      </c>
      <c r="O22" s="259">
        <v>11.5</v>
      </c>
      <c r="P22" s="259">
        <v>12</v>
      </c>
      <c r="Q22" s="259">
        <v>12.5</v>
      </c>
      <c r="R22" s="259">
        <v>13</v>
      </c>
      <c r="S22" s="258">
        <v>11.506399999999999</v>
      </c>
      <c r="T22" s="248">
        <v>12.111499999999999</v>
      </c>
      <c r="U22" s="258">
        <v>14.019600000000001</v>
      </c>
      <c r="V22" s="258">
        <v>15.9572</v>
      </c>
      <c r="W22" s="248">
        <v>14.2525</v>
      </c>
      <c r="X22" s="248">
        <v>12.70369</v>
      </c>
      <c r="Y22" s="248">
        <v>12.312340000000001</v>
      </c>
      <c r="Z22" s="248">
        <v>11.3499</v>
      </c>
      <c r="AA22" s="248">
        <v>11.528</v>
      </c>
      <c r="AB22" s="248">
        <v>11.7334</v>
      </c>
      <c r="AC22" s="269">
        <f t="shared" si="4"/>
        <v>1.7817487855655685</v>
      </c>
      <c r="AD22" s="245" t="s">
        <v>17</v>
      </c>
    </row>
    <row r="23" spans="1:30" ht="12.75" customHeight="1" x14ac:dyDescent="0.2">
      <c r="A23" s="234"/>
      <c r="B23" s="241" t="s">
        <v>18</v>
      </c>
      <c r="C23" s="244" t="s">
        <v>41</v>
      </c>
      <c r="D23" s="244" t="s">
        <v>41</v>
      </c>
      <c r="E23" s="243" t="s">
        <v>41</v>
      </c>
      <c r="F23" s="243" t="s">
        <v>41</v>
      </c>
      <c r="G23" s="243" t="s">
        <v>41</v>
      </c>
      <c r="H23" s="243" t="s">
        <v>41</v>
      </c>
      <c r="I23" s="243" t="s">
        <v>41</v>
      </c>
      <c r="J23" s="263">
        <v>16</v>
      </c>
      <c r="K23" s="263">
        <v>18</v>
      </c>
      <c r="L23" s="263">
        <v>20</v>
      </c>
      <c r="M23" s="263">
        <v>22</v>
      </c>
      <c r="N23" s="263">
        <v>25</v>
      </c>
      <c r="O23" s="263">
        <v>26</v>
      </c>
      <c r="P23" s="263">
        <v>26</v>
      </c>
      <c r="Q23" s="263">
        <v>26</v>
      </c>
      <c r="R23" s="263">
        <v>29</v>
      </c>
      <c r="S23" s="263">
        <v>31</v>
      </c>
      <c r="T23" s="243">
        <v>34.792999999999999</v>
      </c>
      <c r="U23" s="243">
        <v>39.472000000000001</v>
      </c>
      <c r="V23" s="243">
        <v>39.119</v>
      </c>
      <c r="W23" s="243">
        <v>37.991</v>
      </c>
      <c r="X23" s="243">
        <v>36.055</v>
      </c>
      <c r="Y23" s="243">
        <v>32.569000000000003</v>
      </c>
      <c r="Z23" s="243">
        <v>29.908000000000001</v>
      </c>
      <c r="AA23" s="243">
        <v>34.191000000000003</v>
      </c>
      <c r="AB23" s="243">
        <v>33.325000000000003</v>
      </c>
      <c r="AC23" s="262">
        <f t="shared" si="4"/>
        <v>-2.5328302769734705</v>
      </c>
      <c r="AD23" s="241" t="s">
        <v>18</v>
      </c>
    </row>
    <row r="24" spans="1:30" s="256" customFormat="1" ht="12.75" customHeight="1" x14ac:dyDescent="0.2">
      <c r="A24" s="261"/>
      <c r="B24" s="245" t="s">
        <v>35</v>
      </c>
      <c r="C24" s="277">
        <v>2.1</v>
      </c>
      <c r="D24" s="277">
        <v>2.7</v>
      </c>
      <c r="E24" s="258">
        <v>4</v>
      </c>
      <c r="F24" s="258">
        <v>4.1500000000000004</v>
      </c>
      <c r="G24" s="258">
        <v>4.3</v>
      </c>
      <c r="H24" s="258">
        <v>4.5</v>
      </c>
      <c r="I24" s="258">
        <v>4.5999999999999996</v>
      </c>
      <c r="J24" s="258">
        <v>4.7</v>
      </c>
      <c r="K24" s="258">
        <v>4.8</v>
      </c>
      <c r="L24" s="258">
        <v>4.9000000000000004</v>
      </c>
      <c r="M24" s="258">
        <v>5</v>
      </c>
      <c r="N24" s="258">
        <v>5</v>
      </c>
      <c r="O24" s="258">
        <v>5.6</v>
      </c>
      <c r="P24" s="258">
        <v>5.8</v>
      </c>
      <c r="Q24" s="258">
        <v>5.9</v>
      </c>
      <c r="R24" s="258">
        <v>6</v>
      </c>
      <c r="S24" s="258">
        <v>6.1</v>
      </c>
      <c r="T24" s="258">
        <v>6.3</v>
      </c>
      <c r="U24" s="258">
        <v>6.5</v>
      </c>
      <c r="V24" s="258">
        <v>6.6</v>
      </c>
      <c r="W24" s="258">
        <v>6.7</v>
      </c>
      <c r="X24" s="258">
        <v>6.7</v>
      </c>
      <c r="Y24" s="258">
        <v>6.5</v>
      </c>
      <c r="Z24" s="258">
        <v>6.5917580235815709</v>
      </c>
      <c r="AA24" s="258">
        <v>6.7331326886577019</v>
      </c>
      <c r="AB24" s="258">
        <v>6.8509305497477948</v>
      </c>
      <c r="AC24" s="257">
        <f t="shared" si="4"/>
        <v>1.7495253181112815</v>
      </c>
      <c r="AD24" s="245" t="s">
        <v>35</v>
      </c>
    </row>
    <row r="25" spans="1:30" ht="12.75" customHeight="1" x14ac:dyDescent="0.2">
      <c r="A25" s="234"/>
      <c r="B25" s="241" t="s">
        <v>16</v>
      </c>
      <c r="C25" s="244" t="s">
        <v>41</v>
      </c>
      <c r="D25" s="244" t="s">
        <v>41</v>
      </c>
      <c r="E25" s="243">
        <v>47</v>
      </c>
      <c r="F25" s="243">
        <v>46.8</v>
      </c>
      <c r="G25" s="243">
        <v>44.6</v>
      </c>
      <c r="H25" s="243">
        <v>44</v>
      </c>
      <c r="I25" s="243">
        <v>44.9</v>
      </c>
      <c r="J25" s="243">
        <v>45.4</v>
      </c>
      <c r="K25" s="243">
        <v>45.6</v>
      </c>
      <c r="L25" s="243">
        <v>46.1</v>
      </c>
      <c r="M25" s="243">
        <v>46.15</v>
      </c>
      <c r="N25" s="243">
        <v>46.17</v>
      </c>
      <c r="O25" s="243">
        <v>46.18</v>
      </c>
      <c r="P25" s="243">
        <v>46.18</v>
      </c>
      <c r="Q25" s="243">
        <v>46.3</v>
      </c>
      <c r="R25" s="243">
        <v>47.517000000000003</v>
      </c>
      <c r="S25" s="243">
        <v>49.121000000000002</v>
      </c>
      <c r="T25" s="278">
        <v>49.402999999999999</v>
      </c>
      <c r="U25" s="243">
        <v>52.314999999999998</v>
      </c>
      <c r="V25" s="243">
        <v>53.945999999999998</v>
      </c>
      <c r="W25" s="243">
        <v>54.005000000000003</v>
      </c>
      <c r="X25" s="243">
        <v>54.396000000000001</v>
      </c>
      <c r="Y25" s="243">
        <v>52.594999999999999</v>
      </c>
      <c r="Z25" s="243">
        <v>52.250999999999998</v>
      </c>
      <c r="AA25" s="243">
        <v>51.792999999999999</v>
      </c>
      <c r="AB25" s="243">
        <v>51.823999999999998</v>
      </c>
      <c r="AC25" s="262">
        <f t="shared" si="4"/>
        <v>5.9853648176400043E-2</v>
      </c>
      <c r="AD25" s="241" t="s">
        <v>16</v>
      </c>
    </row>
    <row r="26" spans="1:30" s="256" customFormat="1" ht="12.75" customHeight="1" x14ac:dyDescent="0.2">
      <c r="A26" s="261"/>
      <c r="B26" s="245" t="s">
        <v>19</v>
      </c>
      <c r="C26" s="260" t="s">
        <v>41</v>
      </c>
      <c r="D26" s="260" t="s">
        <v>41</v>
      </c>
      <c r="E26" s="248" t="s">
        <v>41</v>
      </c>
      <c r="F26" s="248" t="s">
        <v>41</v>
      </c>
      <c r="G26" s="248" t="s">
        <v>41</v>
      </c>
      <c r="H26" s="248" t="s">
        <v>41</v>
      </c>
      <c r="I26" s="248" t="s">
        <v>41</v>
      </c>
      <c r="J26" s="258">
        <v>1.7</v>
      </c>
      <c r="K26" s="258">
        <v>1.72</v>
      </c>
      <c r="L26" s="258">
        <v>1.74</v>
      </c>
      <c r="M26" s="258">
        <v>1.76</v>
      </c>
      <c r="N26" s="258">
        <v>1.78</v>
      </c>
      <c r="O26" s="258">
        <v>1.8</v>
      </c>
      <c r="P26" s="258">
        <v>1.8</v>
      </c>
      <c r="Q26" s="258">
        <v>1.85</v>
      </c>
      <c r="R26" s="258">
        <v>1.9</v>
      </c>
      <c r="S26" s="258">
        <v>1.95</v>
      </c>
      <c r="T26" s="258">
        <v>2</v>
      </c>
      <c r="U26" s="258">
        <v>2.0499999999999998</v>
      </c>
      <c r="V26" s="258">
        <v>2.1</v>
      </c>
      <c r="W26" s="258">
        <v>2.15</v>
      </c>
      <c r="X26" s="258">
        <v>2.2000000000000002</v>
      </c>
      <c r="Y26" s="258">
        <v>2.2000000000000002</v>
      </c>
      <c r="Z26" s="258">
        <v>2.2297181531995443</v>
      </c>
      <c r="AA26" s="258">
        <v>2.2404488975013952</v>
      </c>
      <c r="AB26" s="258">
        <v>2.291235362302769</v>
      </c>
      <c r="AC26" s="257">
        <f t="shared" si="4"/>
        <v>2.2667986249546743</v>
      </c>
      <c r="AD26" s="245" t="s">
        <v>19</v>
      </c>
    </row>
    <row r="27" spans="1:30" ht="12.75" customHeight="1" x14ac:dyDescent="0.2">
      <c r="A27" s="234"/>
      <c r="B27" s="241" t="s">
        <v>27</v>
      </c>
      <c r="C27" s="244">
        <v>67.099999999999994</v>
      </c>
      <c r="D27" s="272">
        <v>108.1</v>
      </c>
      <c r="E27" s="243">
        <v>137.30000000000001</v>
      </c>
      <c r="F27" s="243">
        <v>124.5</v>
      </c>
      <c r="G27" s="243">
        <v>129.1</v>
      </c>
      <c r="H27" s="243">
        <v>126.1</v>
      </c>
      <c r="I27" s="243">
        <v>128.80000000000001</v>
      </c>
      <c r="J27" s="243">
        <v>131.4</v>
      </c>
      <c r="K27" s="243">
        <v>132.69999999999999</v>
      </c>
      <c r="L27" s="243">
        <v>136.5</v>
      </c>
      <c r="M27" s="243">
        <v>137.1</v>
      </c>
      <c r="N27" s="243">
        <v>141.30000000000001</v>
      </c>
      <c r="O27" s="243">
        <v>141.1</v>
      </c>
      <c r="P27" s="243">
        <v>141.6</v>
      </c>
      <c r="Q27" s="243">
        <v>144.19999999999999</v>
      </c>
      <c r="R27" s="243">
        <v>146.1</v>
      </c>
      <c r="S27" s="243">
        <v>151.6</v>
      </c>
      <c r="T27" s="243">
        <v>148.80000000000001</v>
      </c>
      <c r="U27" s="243">
        <v>148</v>
      </c>
      <c r="V27" s="243">
        <v>148.80000000000001</v>
      </c>
      <c r="W27" s="243">
        <v>147</v>
      </c>
      <c r="X27" s="263">
        <v>146.30000000000001</v>
      </c>
      <c r="Y27" s="271">
        <v>135.1</v>
      </c>
      <c r="Z27" s="243">
        <v>140.1</v>
      </c>
      <c r="AA27" s="243">
        <v>136.4</v>
      </c>
      <c r="AB27" s="243">
        <f>99.2+46.2</f>
        <v>145.4</v>
      </c>
      <c r="AC27" s="262">
        <f t="shared" si="4"/>
        <v>6.5982404692082071</v>
      </c>
      <c r="AD27" s="241" t="s">
        <v>27</v>
      </c>
    </row>
    <row r="28" spans="1:30" s="256" customFormat="1" ht="12.75" customHeight="1" x14ac:dyDescent="0.2">
      <c r="A28" s="261"/>
      <c r="B28" s="245" t="s">
        <v>36</v>
      </c>
      <c r="C28" s="260">
        <v>32.9</v>
      </c>
      <c r="D28" s="260">
        <v>47.8</v>
      </c>
      <c r="E28" s="248">
        <v>55.677</v>
      </c>
      <c r="F28" s="248">
        <v>57.390999999999998</v>
      </c>
      <c r="G28" s="248">
        <v>58.959000000000003</v>
      </c>
      <c r="H28" s="248">
        <v>59.784999999999997</v>
      </c>
      <c r="I28" s="248">
        <v>61.802999999999997</v>
      </c>
      <c r="J28" s="248">
        <v>62.155999999999999</v>
      </c>
      <c r="K28" s="248">
        <v>63.073</v>
      </c>
      <c r="L28" s="248">
        <v>63.863999999999997</v>
      </c>
      <c r="M28" s="248">
        <v>64.861000000000004</v>
      </c>
      <c r="N28" s="248">
        <v>66.11</v>
      </c>
      <c r="O28" s="248">
        <v>66.668000000000006</v>
      </c>
      <c r="P28" s="248">
        <v>67.103999999999999</v>
      </c>
      <c r="Q28" s="248">
        <v>67.959999999999994</v>
      </c>
      <c r="R28" s="248">
        <v>68.941000000000003</v>
      </c>
      <c r="S28" s="248">
        <v>69.608000000000004</v>
      </c>
      <c r="T28" s="248">
        <v>70.557000000000002</v>
      </c>
      <c r="U28" s="248">
        <v>70.893000000000001</v>
      </c>
      <c r="V28" s="248">
        <v>72.022999999999996</v>
      </c>
      <c r="W28" s="248">
        <v>73.281000000000006</v>
      </c>
      <c r="X28" s="248">
        <v>72.674999999999997</v>
      </c>
      <c r="Y28" s="248">
        <v>73.466999999999999</v>
      </c>
      <c r="Z28" s="248">
        <v>74.450999999999993</v>
      </c>
      <c r="AA28" s="248">
        <v>74.153999999999996</v>
      </c>
      <c r="AB28" s="248">
        <v>74.837000000000003</v>
      </c>
      <c r="AC28" s="269">
        <f t="shared" si="4"/>
        <v>0.92105618038138459</v>
      </c>
      <c r="AD28" s="245" t="s">
        <v>36</v>
      </c>
    </row>
    <row r="29" spans="1:30" ht="12.75" customHeight="1" x14ac:dyDescent="0.2">
      <c r="A29" s="234"/>
      <c r="B29" s="241" t="s">
        <v>20</v>
      </c>
      <c r="C29" s="244" t="s">
        <v>41</v>
      </c>
      <c r="D29" s="244" t="s">
        <v>41</v>
      </c>
      <c r="E29" s="243" t="s">
        <v>41</v>
      </c>
      <c r="F29" s="243"/>
      <c r="G29" s="243"/>
      <c r="H29" s="243"/>
      <c r="I29" s="243"/>
      <c r="J29" s="243">
        <v>110.7</v>
      </c>
      <c r="K29" s="243">
        <v>121.6</v>
      </c>
      <c r="L29" s="243">
        <v>132</v>
      </c>
      <c r="M29" s="243">
        <v>141.1</v>
      </c>
      <c r="N29" s="243">
        <v>143</v>
      </c>
      <c r="O29" s="271">
        <v>130.1</v>
      </c>
      <c r="P29" s="243">
        <v>132.30000000000001</v>
      </c>
      <c r="Q29" s="243">
        <v>135.80000000000001</v>
      </c>
      <c r="R29" s="243">
        <v>141.30000000000001</v>
      </c>
      <c r="S29" s="243">
        <v>146.80000000000001</v>
      </c>
      <c r="T29" s="243">
        <v>152.30000000000001</v>
      </c>
      <c r="U29" s="243">
        <v>156.6</v>
      </c>
      <c r="V29" s="243">
        <v>162.30000000000001</v>
      </c>
      <c r="W29" s="243">
        <v>172.6</v>
      </c>
      <c r="X29" s="243">
        <v>182.8</v>
      </c>
      <c r="Y29" s="243">
        <v>188.8</v>
      </c>
      <c r="Z29" s="243">
        <v>197.8</v>
      </c>
      <c r="AA29" s="243">
        <v>208.501</v>
      </c>
      <c r="AB29" s="243">
        <v>213.1</v>
      </c>
      <c r="AC29" s="242">
        <f t="shared" si="4"/>
        <v>2.2057448165716096</v>
      </c>
      <c r="AD29" s="241" t="s">
        <v>20</v>
      </c>
    </row>
    <row r="30" spans="1:30" s="256" customFormat="1" ht="12.75" customHeight="1" x14ac:dyDescent="0.2">
      <c r="A30" s="261"/>
      <c r="B30" s="245" t="s">
        <v>37</v>
      </c>
      <c r="C30" s="277">
        <v>13.8</v>
      </c>
      <c r="D30" s="277">
        <v>29</v>
      </c>
      <c r="E30" s="258">
        <v>40</v>
      </c>
      <c r="F30" s="258">
        <v>41</v>
      </c>
      <c r="G30" s="258">
        <v>43</v>
      </c>
      <c r="H30" s="258">
        <v>46</v>
      </c>
      <c r="I30" s="258">
        <v>49</v>
      </c>
      <c r="J30" s="258">
        <v>52.5</v>
      </c>
      <c r="K30" s="258">
        <v>56</v>
      </c>
      <c r="L30" s="258">
        <v>60</v>
      </c>
      <c r="M30" s="258">
        <v>64</v>
      </c>
      <c r="N30" s="258">
        <v>68</v>
      </c>
      <c r="O30" s="258">
        <v>71</v>
      </c>
      <c r="P30" s="258">
        <v>73.2</v>
      </c>
      <c r="Q30" s="258">
        <v>77.7</v>
      </c>
      <c r="R30" s="258">
        <v>81.5</v>
      </c>
      <c r="S30" s="258">
        <v>83</v>
      </c>
      <c r="T30" s="258">
        <v>85</v>
      </c>
      <c r="U30" s="258">
        <v>86</v>
      </c>
      <c r="V30" s="258">
        <v>86.6</v>
      </c>
      <c r="W30" s="258">
        <v>87</v>
      </c>
      <c r="X30" s="258">
        <v>86</v>
      </c>
      <c r="Y30" s="258">
        <v>83.7</v>
      </c>
      <c r="Z30" s="258">
        <v>83.190084528920025</v>
      </c>
      <c r="AA30" s="258">
        <v>82.13077342280117</v>
      </c>
      <c r="AB30" s="258">
        <v>81.865937271332953</v>
      </c>
      <c r="AC30" s="257">
        <f t="shared" si="4"/>
        <v>-0.32245666323494504</v>
      </c>
      <c r="AD30" s="245" t="s">
        <v>37</v>
      </c>
    </row>
    <row r="31" spans="1:30" ht="12.75" customHeight="1" x14ac:dyDescent="0.2">
      <c r="A31" s="234"/>
      <c r="B31" s="241" t="s">
        <v>21</v>
      </c>
      <c r="C31" s="276"/>
      <c r="D31" s="276"/>
      <c r="E31" s="263"/>
      <c r="F31" s="263"/>
      <c r="G31" s="263"/>
      <c r="H31" s="263"/>
      <c r="I31" s="263"/>
      <c r="J31" s="263">
        <v>40</v>
      </c>
      <c r="K31" s="263">
        <v>42.5</v>
      </c>
      <c r="L31" s="263">
        <v>45</v>
      </c>
      <c r="M31" s="263">
        <v>47</v>
      </c>
      <c r="N31" s="263">
        <v>49</v>
      </c>
      <c r="O31" s="263">
        <v>51</v>
      </c>
      <c r="P31" s="263">
        <v>52.5</v>
      </c>
      <c r="Q31" s="263">
        <v>54</v>
      </c>
      <c r="R31" s="263">
        <v>56</v>
      </c>
      <c r="S31" s="263">
        <v>58</v>
      </c>
      <c r="T31" s="263">
        <v>61</v>
      </c>
      <c r="U31" s="263">
        <v>64.099999999999994</v>
      </c>
      <c r="V31" s="263">
        <v>67.5</v>
      </c>
      <c r="W31" s="263">
        <v>70.5</v>
      </c>
      <c r="X31" s="263">
        <v>75.5</v>
      </c>
      <c r="Y31" s="263">
        <v>75.5</v>
      </c>
      <c r="Z31" s="263">
        <v>74.97833815332045</v>
      </c>
      <c r="AA31" s="263">
        <v>77.04505960700007</v>
      </c>
      <c r="AB31" s="263">
        <v>80.363418326056077</v>
      </c>
      <c r="AC31" s="262">
        <f t="shared" si="4"/>
        <v>4.3070363446827855</v>
      </c>
      <c r="AD31" s="241" t="s">
        <v>21</v>
      </c>
    </row>
    <row r="32" spans="1:30" ht="12.75" customHeight="1" x14ac:dyDescent="0.2">
      <c r="A32" s="234"/>
      <c r="B32" s="245" t="s">
        <v>23</v>
      </c>
      <c r="C32" s="260" t="s">
        <v>41</v>
      </c>
      <c r="D32" s="260" t="s">
        <v>41</v>
      </c>
      <c r="E32" s="275">
        <v>13.32</v>
      </c>
      <c r="F32" s="275">
        <v>12.606</v>
      </c>
      <c r="G32" s="275">
        <v>13.385999999999999</v>
      </c>
      <c r="H32" s="275">
        <v>13.978999999999999</v>
      </c>
      <c r="I32" s="275">
        <v>15.178000000000001</v>
      </c>
      <c r="J32" s="275">
        <v>16.338000000000001</v>
      </c>
      <c r="K32" s="275">
        <v>17.794</v>
      </c>
      <c r="L32" s="275">
        <v>19.010999999999999</v>
      </c>
      <c r="M32" s="275">
        <v>18.98</v>
      </c>
      <c r="N32" s="275">
        <v>20.074000000000002</v>
      </c>
      <c r="O32" s="275">
        <v>20.324999999999999</v>
      </c>
      <c r="P32" s="275">
        <v>20.800999999999998</v>
      </c>
      <c r="Q32" s="275">
        <v>21.286999999999999</v>
      </c>
      <c r="R32" s="275">
        <v>21.331</v>
      </c>
      <c r="S32" s="248">
        <v>22.042000000000002</v>
      </c>
      <c r="T32" s="248">
        <v>22.509</v>
      </c>
      <c r="U32" s="248">
        <v>23.006</v>
      </c>
      <c r="V32" s="248">
        <v>24.355</v>
      </c>
      <c r="W32" s="248">
        <v>24.878</v>
      </c>
      <c r="X32" s="248">
        <v>25.774999999999999</v>
      </c>
      <c r="Y32" s="248">
        <v>25.635999999999999</v>
      </c>
      <c r="Z32" s="258">
        <v>25.487436219641157</v>
      </c>
      <c r="AA32" s="258">
        <v>25.302775921222882</v>
      </c>
      <c r="AB32" s="258">
        <v>25.168354826572546</v>
      </c>
      <c r="AC32" s="257">
        <f t="shared" si="4"/>
        <v>-0.53125038560527571</v>
      </c>
      <c r="AD32" s="245" t="s">
        <v>23</v>
      </c>
    </row>
    <row r="33" spans="1:30" ht="12.75" customHeight="1" x14ac:dyDescent="0.2">
      <c r="A33" s="234"/>
      <c r="B33" s="241" t="s">
        <v>22</v>
      </c>
      <c r="C33" s="274"/>
      <c r="D33" s="274"/>
      <c r="E33" s="273"/>
      <c r="F33" s="243"/>
      <c r="G33" s="243"/>
      <c r="H33" s="243">
        <v>17.553999999999998</v>
      </c>
      <c r="I33" s="243">
        <v>17.292999999999999</v>
      </c>
      <c r="J33" s="243">
        <v>17.977</v>
      </c>
      <c r="K33" s="243">
        <v>17.992999999999999</v>
      </c>
      <c r="L33" s="243">
        <v>18.568000000000001</v>
      </c>
      <c r="M33" s="243">
        <v>19.302</v>
      </c>
      <c r="N33" s="243">
        <v>21.541</v>
      </c>
      <c r="O33" s="243">
        <v>23.928999999999998</v>
      </c>
      <c r="P33" s="243">
        <v>24.056000000000001</v>
      </c>
      <c r="Q33" s="243">
        <v>24.978000000000002</v>
      </c>
      <c r="R33" s="243">
        <v>25.224</v>
      </c>
      <c r="S33" s="243">
        <v>25.332000000000001</v>
      </c>
      <c r="T33" s="243">
        <v>25.824000000000002</v>
      </c>
      <c r="U33" s="243">
        <v>26.341999999999999</v>
      </c>
      <c r="V33" s="243">
        <v>25.994</v>
      </c>
      <c r="W33" s="243">
        <v>26.395</v>
      </c>
      <c r="X33" s="243">
        <v>26.42</v>
      </c>
      <c r="Y33" s="243">
        <v>26.879000000000001</v>
      </c>
      <c r="Z33" s="243">
        <v>26.887</v>
      </c>
      <c r="AA33" s="243">
        <v>26.934999999999999</v>
      </c>
      <c r="AB33" s="243">
        <v>27.155000000000001</v>
      </c>
      <c r="AC33" s="242">
        <f t="shared" si="4"/>
        <v>0.81678113978097144</v>
      </c>
      <c r="AD33" s="241" t="s">
        <v>22</v>
      </c>
    </row>
    <row r="34" spans="1:30" ht="12.75" customHeight="1" x14ac:dyDescent="0.2">
      <c r="A34" s="234"/>
      <c r="B34" s="245" t="s">
        <v>38</v>
      </c>
      <c r="C34" s="260">
        <v>23.7</v>
      </c>
      <c r="D34" s="260">
        <v>34.799999999999997</v>
      </c>
      <c r="E34" s="248">
        <v>51.2</v>
      </c>
      <c r="F34" s="248">
        <v>50.6</v>
      </c>
      <c r="G34" s="248">
        <v>50.5</v>
      </c>
      <c r="H34" s="248">
        <v>49.7</v>
      </c>
      <c r="I34" s="248">
        <v>49.6</v>
      </c>
      <c r="J34" s="248">
        <v>50</v>
      </c>
      <c r="K34" s="248">
        <v>50.4</v>
      </c>
      <c r="L34" s="248">
        <v>51.9</v>
      </c>
      <c r="M34" s="248">
        <v>53.3</v>
      </c>
      <c r="N34" s="248">
        <v>54.9</v>
      </c>
      <c r="O34" s="248">
        <v>55.7</v>
      </c>
      <c r="P34" s="248">
        <v>57</v>
      </c>
      <c r="Q34" s="248">
        <v>58.3</v>
      </c>
      <c r="R34" s="248">
        <v>59.59</v>
      </c>
      <c r="S34" s="248">
        <v>60.94</v>
      </c>
      <c r="T34" s="248">
        <v>61.91</v>
      </c>
      <c r="U34" s="248">
        <v>62.454999999999998</v>
      </c>
      <c r="V34" s="248">
        <v>63.784999999999997</v>
      </c>
      <c r="W34" s="248">
        <v>63.4</v>
      </c>
      <c r="X34" s="248">
        <v>64.33</v>
      </c>
      <c r="Y34" s="248">
        <f>64.745</f>
        <v>64.745000000000005</v>
      </c>
      <c r="Z34" s="248">
        <v>65.489999999999995</v>
      </c>
      <c r="AA34" s="248">
        <v>65.27</v>
      </c>
      <c r="AB34" s="248">
        <v>65.114999999999995</v>
      </c>
      <c r="AC34" s="269">
        <f t="shared" si="4"/>
        <v>-0.2374751034165854</v>
      </c>
      <c r="AD34" s="245" t="s">
        <v>38</v>
      </c>
    </row>
    <row r="35" spans="1:30" ht="12.75" customHeight="1" x14ac:dyDescent="0.2">
      <c r="A35" s="234"/>
      <c r="B35" s="241" t="s">
        <v>39</v>
      </c>
      <c r="C35" s="244">
        <v>56.1</v>
      </c>
      <c r="D35" s="272">
        <v>67.400000000000006</v>
      </c>
      <c r="E35" s="243">
        <v>85.944999999999993</v>
      </c>
      <c r="F35" s="243">
        <v>86.494</v>
      </c>
      <c r="G35" s="243">
        <v>87.552000000000007</v>
      </c>
      <c r="H35" s="243">
        <v>85.683000000000007</v>
      </c>
      <c r="I35" s="243">
        <v>86.65</v>
      </c>
      <c r="J35" s="243">
        <v>87.622</v>
      </c>
      <c r="K35" s="243">
        <v>87.983000000000004</v>
      </c>
      <c r="L35" s="243">
        <v>88.106999999999999</v>
      </c>
      <c r="M35" s="243">
        <v>88.811000000000007</v>
      </c>
      <c r="N35" s="271">
        <v>100.18352</v>
      </c>
      <c r="O35" s="243">
        <v>101.41244</v>
      </c>
      <c r="P35" s="243">
        <v>102.41913</v>
      </c>
      <c r="Q35" s="243">
        <v>105.33349</v>
      </c>
      <c r="R35" s="243">
        <v>106.33273</v>
      </c>
      <c r="S35" s="243">
        <v>107.05049</v>
      </c>
      <c r="T35" s="243">
        <v>107.4196</v>
      </c>
      <c r="U35" s="243">
        <v>107.06585</v>
      </c>
      <c r="V35" s="243">
        <v>109.46472</v>
      </c>
      <c r="W35" s="243">
        <v>108.21939</v>
      </c>
      <c r="X35" s="243">
        <v>108.34336999999999</v>
      </c>
      <c r="Y35" s="243">
        <v>107.95001999999999</v>
      </c>
      <c r="Z35" s="243">
        <v>109.1978</v>
      </c>
      <c r="AA35" s="243">
        <v>109.6</v>
      </c>
      <c r="AB35" s="243">
        <v>107.6</v>
      </c>
      <c r="AC35" s="242">
        <f t="shared" si="4"/>
        <v>-1.8248175182481816</v>
      </c>
      <c r="AD35" s="241" t="s">
        <v>39</v>
      </c>
    </row>
    <row r="36" spans="1:30" ht="12.75" customHeight="1" x14ac:dyDescent="0.2">
      <c r="A36" s="234"/>
      <c r="B36" s="245" t="s">
        <v>28</v>
      </c>
      <c r="C36" s="260">
        <v>297</v>
      </c>
      <c r="D36" s="260">
        <v>388</v>
      </c>
      <c r="E36" s="248">
        <v>588.00801223155577</v>
      </c>
      <c r="F36" s="248">
        <v>582.21051112987197</v>
      </c>
      <c r="G36" s="248">
        <v>583.04447423105887</v>
      </c>
      <c r="H36" s="239">
        <v>607.1</v>
      </c>
      <c r="I36" s="238">
        <v>614</v>
      </c>
      <c r="J36" s="270">
        <v>617.9</v>
      </c>
      <c r="K36" s="238">
        <v>622.26547196005436</v>
      </c>
      <c r="L36" s="238">
        <v>632.36844245461566</v>
      </c>
      <c r="M36" s="248">
        <v>635.67752258646681</v>
      </c>
      <c r="N36" s="248">
        <v>642.08668197619511</v>
      </c>
      <c r="O36" s="248">
        <v>638.56607249072079</v>
      </c>
      <c r="P36" s="248">
        <v>651.39619970162107</v>
      </c>
      <c r="Q36" s="248">
        <v>672.71946918280548</v>
      </c>
      <c r="R36" s="248">
        <v>668.52541896288085</v>
      </c>
      <c r="S36" s="248">
        <v>672.84293218954394</v>
      </c>
      <c r="T36" s="248">
        <v>667.15725722285583</v>
      </c>
      <c r="U36" s="248">
        <v>672.44417569259463</v>
      </c>
      <c r="V36" s="248">
        <v>673.86017215323091</v>
      </c>
      <c r="W36" s="248">
        <v>666.02416270789865</v>
      </c>
      <c r="X36" s="248">
        <v>661.19409417512281</v>
      </c>
      <c r="Y36" s="248">
        <v>644.02343494009745</v>
      </c>
      <c r="Z36" s="248">
        <v>641.61994041271998</v>
      </c>
      <c r="AA36" s="248">
        <v>641.64825828696007</v>
      </c>
      <c r="AB36" s="248">
        <v>637.67127475944096</v>
      </c>
      <c r="AC36" s="269">
        <f t="shared" si="4"/>
        <v>-0.61980742192562843</v>
      </c>
      <c r="AD36" s="245" t="s">
        <v>28</v>
      </c>
    </row>
    <row r="37" spans="1:30" ht="12.75" customHeight="1" x14ac:dyDescent="0.2">
      <c r="A37" s="234"/>
      <c r="B37" s="265" t="s">
        <v>122</v>
      </c>
      <c r="C37" s="268"/>
      <c r="D37" s="268"/>
      <c r="E37" s="267"/>
      <c r="F37" s="267"/>
      <c r="G37" s="267">
        <v>2.6850000000000001</v>
      </c>
      <c r="H37" s="267">
        <v>4.2930000000000001</v>
      </c>
      <c r="I37" s="267">
        <v>4.6379999999999999</v>
      </c>
      <c r="J37" s="267">
        <v>4.7590000000000003</v>
      </c>
      <c r="K37" s="267">
        <v>5.01</v>
      </c>
      <c r="L37" s="267">
        <v>3.5310000000000001</v>
      </c>
      <c r="M37" s="267">
        <v>4.734</v>
      </c>
      <c r="N37" s="267">
        <v>4.9619999999999997</v>
      </c>
      <c r="O37" s="267">
        <v>5.1150000000000002</v>
      </c>
      <c r="P37" s="267">
        <v>5.173</v>
      </c>
      <c r="Q37" s="267">
        <v>5.9059999999999997</v>
      </c>
      <c r="R37" s="267">
        <v>6.319</v>
      </c>
      <c r="S37" s="267">
        <v>6.34</v>
      </c>
      <c r="T37" s="267">
        <v>6.6449999999999996</v>
      </c>
      <c r="U37" s="267">
        <v>6.87</v>
      </c>
      <c r="V37" s="267">
        <v>6.3769999999999998</v>
      </c>
      <c r="W37" s="267">
        <v>5.6470000000000002</v>
      </c>
      <c r="X37" s="267">
        <v>6.0679999999999996</v>
      </c>
      <c r="Y37" s="267">
        <v>5.5350000000000001</v>
      </c>
      <c r="Z37" s="267">
        <v>6.726</v>
      </c>
      <c r="AA37" s="267">
        <v>6.6539999999999999</v>
      </c>
      <c r="AB37" s="267">
        <v>7.5869999999999997</v>
      </c>
      <c r="AC37" s="266">
        <f t="shared" si="4"/>
        <v>14.021641118124421</v>
      </c>
      <c r="AD37" s="265" t="s">
        <v>122</v>
      </c>
    </row>
    <row r="38" spans="1:30" ht="12.75" customHeight="1" x14ac:dyDescent="0.2">
      <c r="A38" s="234"/>
      <c r="B38" s="245" t="s">
        <v>111</v>
      </c>
      <c r="C38" s="260"/>
      <c r="D38" s="260"/>
      <c r="E38" s="248"/>
      <c r="F38" s="248"/>
      <c r="G38" s="248"/>
      <c r="H38" s="248"/>
      <c r="I38" s="248"/>
      <c r="J38" s="258"/>
      <c r="K38" s="258"/>
      <c r="L38" s="258"/>
      <c r="M38" s="258"/>
      <c r="N38" s="258"/>
      <c r="O38" s="258"/>
      <c r="P38" s="258"/>
      <c r="Q38" s="258"/>
      <c r="R38" s="258"/>
      <c r="S38" s="258"/>
      <c r="T38" s="258"/>
      <c r="U38" s="258"/>
      <c r="V38" s="258"/>
      <c r="W38" s="258"/>
      <c r="X38" s="258"/>
      <c r="Y38" s="258">
        <v>4.0794439430330511</v>
      </c>
      <c r="Z38" s="258">
        <v>3.9296942863908528</v>
      </c>
      <c r="AA38" s="258">
        <v>3.9769749659620941</v>
      </c>
      <c r="AB38" s="248">
        <v>4.0735233437976959</v>
      </c>
      <c r="AC38" s="257">
        <f t="shared" si="4"/>
        <v>2.4276838215461396</v>
      </c>
      <c r="AD38" s="245" t="s">
        <v>111</v>
      </c>
    </row>
    <row r="39" spans="1:30" s="256" customFormat="1" ht="12.75" customHeight="1" x14ac:dyDescent="0.2">
      <c r="A39" s="261"/>
      <c r="B39" s="241" t="s">
        <v>6</v>
      </c>
      <c r="C39" s="244"/>
      <c r="D39" s="244"/>
      <c r="E39" s="243"/>
      <c r="F39" s="243"/>
      <c r="G39" s="243"/>
      <c r="H39" s="264"/>
      <c r="I39" s="264"/>
      <c r="J39" s="263">
        <v>3.7</v>
      </c>
      <c r="K39" s="263">
        <v>3.8</v>
      </c>
      <c r="L39" s="263">
        <v>3.9</v>
      </c>
      <c r="M39" s="263">
        <v>4</v>
      </c>
      <c r="N39" s="263">
        <v>4.0999999999999996</v>
      </c>
      <c r="O39" s="263">
        <v>4.2</v>
      </c>
      <c r="P39" s="263">
        <v>4</v>
      </c>
      <c r="Q39" s="263">
        <v>4.0999999999999996</v>
      </c>
      <c r="R39" s="263">
        <v>4.25</v>
      </c>
      <c r="S39" s="263">
        <v>4.4000000000000004</v>
      </c>
      <c r="T39" s="263">
        <v>4.5</v>
      </c>
      <c r="U39" s="263">
        <v>4.5999999999999996</v>
      </c>
      <c r="V39" s="263">
        <v>4.7</v>
      </c>
      <c r="W39" s="263">
        <v>5</v>
      </c>
      <c r="X39" s="263">
        <v>5.2</v>
      </c>
      <c r="Y39" s="263">
        <v>5.5</v>
      </c>
      <c r="Z39" s="263">
        <v>5.4932789244635316</v>
      </c>
      <c r="AA39" s="263">
        <v>5.2618234728293096</v>
      </c>
      <c r="AB39" s="263">
        <v>6.027636772966674</v>
      </c>
      <c r="AC39" s="262">
        <f t="shared" si="4"/>
        <v>14.554142762329931</v>
      </c>
      <c r="AD39" s="241" t="s">
        <v>6</v>
      </c>
    </row>
    <row r="40" spans="1:30" s="256" customFormat="1" ht="12.75" customHeight="1" x14ac:dyDescent="0.2">
      <c r="A40" s="261"/>
      <c r="B40" s="245" t="s">
        <v>112</v>
      </c>
      <c r="C40" s="260"/>
      <c r="D40" s="260"/>
      <c r="E40" s="248"/>
      <c r="F40" s="248"/>
      <c r="G40" s="248"/>
      <c r="H40" s="259"/>
      <c r="I40" s="259"/>
      <c r="J40" s="258"/>
      <c r="K40" s="258"/>
      <c r="L40" s="258"/>
      <c r="M40" s="258"/>
      <c r="N40" s="258"/>
      <c r="O40" s="258"/>
      <c r="P40" s="258"/>
      <c r="Q40" s="258"/>
      <c r="R40" s="258"/>
      <c r="S40" s="258"/>
      <c r="T40" s="258"/>
      <c r="U40" s="258"/>
      <c r="V40" s="258"/>
      <c r="W40" s="258"/>
      <c r="X40" s="258"/>
      <c r="Y40" s="258">
        <v>30.589796610169493</v>
      </c>
      <c r="Z40" s="258">
        <v>26.079487179487181</v>
      </c>
      <c r="AA40" s="258">
        <v>26.518480492612699</v>
      </c>
      <c r="AB40" s="258">
        <v>27.106308597581521</v>
      </c>
      <c r="AC40" s="257">
        <f t="shared" si="4"/>
        <v>2.2166734068061373</v>
      </c>
      <c r="AD40" s="245" t="s">
        <v>112</v>
      </c>
    </row>
    <row r="41" spans="1:30" ht="12" customHeight="1" x14ac:dyDescent="0.2">
      <c r="A41" s="234"/>
      <c r="B41" s="250" t="s">
        <v>24</v>
      </c>
      <c r="C41" s="255" t="s">
        <v>41</v>
      </c>
      <c r="D41" s="255" t="s">
        <v>41</v>
      </c>
      <c r="E41" s="252">
        <v>34.325000000000003</v>
      </c>
      <c r="F41" s="252">
        <v>33.58</v>
      </c>
      <c r="G41" s="252">
        <v>36.889000000000003</v>
      </c>
      <c r="H41" s="252">
        <v>41.847999999999999</v>
      </c>
      <c r="I41" s="252">
        <v>45.735999999999997</v>
      </c>
      <c r="J41" s="252">
        <v>52.652000000000001</v>
      </c>
      <c r="K41" s="252">
        <v>57.485999999999997</v>
      </c>
      <c r="L41" s="254">
        <v>62.5</v>
      </c>
      <c r="M41" s="254">
        <v>67.5</v>
      </c>
      <c r="N41" s="254">
        <v>72.5</v>
      </c>
      <c r="O41" s="254">
        <v>79</v>
      </c>
      <c r="P41" s="254">
        <v>81</v>
      </c>
      <c r="Q41" s="254">
        <v>82</v>
      </c>
      <c r="R41" s="254">
        <v>84</v>
      </c>
      <c r="S41" s="254">
        <v>95</v>
      </c>
      <c r="T41" s="254">
        <v>100</v>
      </c>
      <c r="U41" s="254">
        <v>108</v>
      </c>
      <c r="V41" s="254">
        <v>114</v>
      </c>
      <c r="W41" s="254">
        <v>120</v>
      </c>
      <c r="X41" s="253">
        <v>124.038</v>
      </c>
      <c r="Y41" s="252">
        <v>137.857</v>
      </c>
      <c r="Z41" s="252">
        <v>146.93100000000001</v>
      </c>
      <c r="AA41" s="252">
        <v>162.315</v>
      </c>
      <c r="AB41" s="252">
        <v>173.33199999999999</v>
      </c>
      <c r="AC41" s="251">
        <f t="shared" si="4"/>
        <v>6.7874195237655215</v>
      </c>
      <c r="AD41" s="250" t="s">
        <v>24</v>
      </c>
    </row>
    <row r="42" spans="1:30" ht="12.75" customHeight="1" x14ac:dyDescent="0.2">
      <c r="A42" s="234"/>
      <c r="B42" s="245" t="s">
        <v>10</v>
      </c>
      <c r="C42" s="249" t="s">
        <v>41</v>
      </c>
      <c r="D42" s="249" t="s">
        <v>41</v>
      </c>
      <c r="E42" s="247" t="s">
        <v>41</v>
      </c>
      <c r="F42" s="247"/>
      <c r="G42" s="247"/>
      <c r="H42" s="247"/>
      <c r="I42" s="247"/>
      <c r="J42" s="247">
        <v>3.0259999999999998</v>
      </c>
      <c r="K42" s="247">
        <v>3.1680000000000001</v>
      </c>
      <c r="L42" s="247">
        <v>3.36</v>
      </c>
      <c r="M42" s="247">
        <v>3.5609999999999999</v>
      </c>
      <c r="N42" s="247">
        <v>3.7120000000000002</v>
      </c>
      <c r="O42" s="247">
        <v>3.7650000000000001</v>
      </c>
      <c r="P42" s="247">
        <v>3.95</v>
      </c>
      <c r="Q42" s="247">
        <v>4.0599999999999996</v>
      </c>
      <c r="R42" s="247">
        <v>4.1740000000000004</v>
      </c>
      <c r="S42" s="247">
        <v>4.3010000000000002</v>
      </c>
      <c r="T42" s="247">
        <v>4.5579999999999998</v>
      </c>
      <c r="U42" s="248">
        <v>4.8330000000000002</v>
      </c>
      <c r="V42" s="248">
        <v>5.077</v>
      </c>
      <c r="W42" s="248">
        <v>4.9480000000000004</v>
      </c>
      <c r="X42" s="247">
        <v>5.0019999999999998</v>
      </c>
      <c r="Y42" s="247">
        <v>4.9580000000000002</v>
      </c>
      <c r="Z42" s="247">
        <v>4.7759999999999998</v>
      </c>
      <c r="AA42" s="247">
        <v>4.8319999999999999</v>
      </c>
      <c r="AB42" s="247">
        <v>4.9710000000000001</v>
      </c>
      <c r="AC42" s="246">
        <f t="shared" si="4"/>
        <v>2.8766556291390799</v>
      </c>
      <c r="AD42" s="245" t="s">
        <v>10</v>
      </c>
    </row>
    <row r="43" spans="1:30" ht="12.75" customHeight="1" x14ac:dyDescent="0.2">
      <c r="A43" s="234"/>
      <c r="B43" s="241" t="s">
        <v>40</v>
      </c>
      <c r="C43" s="244">
        <f>17.781+0.429</f>
        <v>18.209999999999997</v>
      </c>
      <c r="D43" s="244">
        <f>30.436+0.625</f>
        <v>31.061</v>
      </c>
      <c r="E43" s="243">
        <f>42.696+0.523+0.278</f>
        <v>43.497</v>
      </c>
      <c r="F43" s="243">
        <f>42.252+0.513+0.247</f>
        <v>43.012</v>
      </c>
      <c r="G43" s="243">
        <f>42.39+0.545+0.237</f>
        <v>43.172000000000004</v>
      </c>
      <c r="H43" s="243">
        <f>43.128+0.553+0.262</f>
        <v>43.942999999999998</v>
      </c>
      <c r="I43" s="243">
        <f>43.605+0.561+0.367</f>
        <v>44.532999999999994</v>
      </c>
      <c r="J43" s="243">
        <f>43.659+0.566+0.505</f>
        <v>44.730000000000004</v>
      </c>
      <c r="K43" s="243">
        <f>45.217+0.57+0.642</f>
        <v>46.429000000000002</v>
      </c>
      <c r="L43" s="243">
        <f>46.078+0.6+0.98</f>
        <v>47.658000000000001</v>
      </c>
      <c r="M43" s="243">
        <f>47.294+0.613+1.359</f>
        <v>49.265999999999998</v>
      </c>
      <c r="N43" s="243">
        <f>48.233+0.601+1.497</f>
        <v>50.330999999999996</v>
      </c>
      <c r="O43" s="243">
        <f>49.055+0.583+1.535</f>
        <v>51.172999999999995</v>
      </c>
      <c r="P43" s="243">
        <f>50.226+0.609+1.522</f>
        <v>52.356999999999999</v>
      </c>
      <c r="Q43" s="243">
        <f>51.478+0.58+1.429</f>
        <v>53.487000000000002</v>
      </c>
      <c r="R43" s="243">
        <f>52.127+0.575+1.3</f>
        <v>54.002000000000002</v>
      </c>
      <c r="S43" s="243">
        <f>52.606+0.571+1.165</f>
        <v>54.341999999999999</v>
      </c>
      <c r="T43" s="243">
        <f>52.4+0.556+1.071</f>
        <v>54.026999999999994</v>
      </c>
      <c r="U43" s="243">
        <f>53.302+0.552+1.084</f>
        <v>54.938000000000002</v>
      </c>
      <c r="V43" s="243">
        <f>54.866+0.665+1.143</f>
        <v>56.673999999999999</v>
      </c>
      <c r="W43" s="243">
        <f>55.956+0.636+1.151</f>
        <v>57.743000000000009</v>
      </c>
      <c r="X43" s="243">
        <f>56.536+1.132+0.624</f>
        <v>58.292000000000002</v>
      </c>
      <c r="Y43" s="243">
        <f>57.034+1.199+0.545</f>
        <v>58.777999999999999</v>
      </c>
      <c r="Z43" s="243">
        <f>58.029+1.342+0.532</f>
        <v>59.903000000000006</v>
      </c>
      <c r="AA43" s="243">
        <f>58.701+1.487+0.516</f>
        <v>60.704000000000001</v>
      </c>
      <c r="AB43" s="243">
        <f>61.513</f>
        <v>61.512999999999998</v>
      </c>
      <c r="AC43" s="242">
        <f t="shared" si="4"/>
        <v>1.3326963626778934</v>
      </c>
      <c r="AD43" s="241" t="s">
        <v>40</v>
      </c>
    </row>
    <row r="44" spans="1:30" ht="12.75" customHeight="1" x14ac:dyDescent="0.2">
      <c r="A44" s="234"/>
      <c r="B44" s="236" t="s">
        <v>11</v>
      </c>
      <c r="C44" s="240">
        <v>41.835999999999999</v>
      </c>
      <c r="D44" s="240">
        <v>61.817</v>
      </c>
      <c r="E44" s="238">
        <v>73.271000000000001</v>
      </c>
      <c r="F44" s="238">
        <v>74.744</v>
      </c>
      <c r="G44" s="238">
        <v>73.372</v>
      </c>
      <c r="H44" s="238">
        <v>71.417000000000002</v>
      </c>
      <c r="I44" s="239">
        <v>68.358000000000004</v>
      </c>
      <c r="J44" s="238">
        <v>69.585999999999999</v>
      </c>
      <c r="K44" s="238">
        <v>70.774000000000001</v>
      </c>
      <c r="L44" s="238">
        <v>71.406000000000006</v>
      </c>
      <c r="M44" s="238">
        <v>72.540000000000006</v>
      </c>
      <c r="N44" s="238">
        <v>73.531000000000006</v>
      </c>
      <c r="O44" s="238">
        <v>74.983999999999995</v>
      </c>
      <c r="P44" s="238">
        <v>75.494</v>
      </c>
      <c r="Q44" s="238">
        <v>76.369</v>
      </c>
      <c r="R44" s="238">
        <v>77.001000000000005</v>
      </c>
      <c r="S44" s="238">
        <v>77.739999999999995</v>
      </c>
      <c r="T44" s="238">
        <v>77.843999999999994</v>
      </c>
      <c r="U44" s="238">
        <v>78.394000000000005</v>
      </c>
      <c r="V44" s="238">
        <v>79.260999999999996</v>
      </c>
      <c r="W44" s="238">
        <v>80.688999999999993</v>
      </c>
      <c r="X44" s="238">
        <v>82.459000000000003</v>
      </c>
      <c r="Y44" s="238">
        <v>83.775000000000006</v>
      </c>
      <c r="Z44" s="238">
        <v>84.888999999999996</v>
      </c>
      <c r="AA44" s="238">
        <v>86.650999999999996</v>
      </c>
      <c r="AB44" s="238">
        <v>88.254999999999995</v>
      </c>
      <c r="AC44" s="237">
        <f t="shared" si="4"/>
        <v>1.8511038533888922</v>
      </c>
      <c r="AD44" s="236" t="s">
        <v>11</v>
      </c>
    </row>
    <row r="45" spans="1:30" ht="15" customHeight="1" x14ac:dyDescent="0.2">
      <c r="A45" s="234"/>
      <c r="B45" s="233" t="s">
        <v>109</v>
      </c>
      <c r="C45" s="232"/>
      <c r="D45" s="232"/>
      <c r="E45" s="232"/>
      <c r="F45" s="232"/>
      <c r="G45" s="232"/>
      <c r="H45" s="232"/>
      <c r="I45" s="232"/>
      <c r="J45" s="232"/>
      <c r="K45" s="232"/>
      <c r="L45" s="232"/>
      <c r="M45" s="232"/>
      <c r="N45" s="232"/>
      <c r="O45" s="232"/>
      <c r="P45" s="232"/>
      <c r="Q45" s="232"/>
      <c r="R45" s="232"/>
      <c r="S45" s="232"/>
      <c r="T45" s="231"/>
      <c r="U45" s="231"/>
      <c r="V45" s="231"/>
      <c r="W45" s="231"/>
      <c r="X45" s="231"/>
      <c r="Y45" s="231"/>
      <c r="Z45" s="231"/>
      <c r="AA45" s="231"/>
      <c r="AB45" s="231"/>
      <c r="AD45" s="231"/>
    </row>
    <row r="46" spans="1:30" ht="12.75" customHeight="1" x14ac:dyDescent="0.2">
      <c r="B46" s="230" t="s">
        <v>5</v>
      </c>
      <c r="C46" s="229"/>
      <c r="D46" s="227"/>
      <c r="E46" s="226"/>
      <c r="F46" s="226"/>
      <c r="G46" s="226"/>
      <c r="H46" s="228"/>
      <c r="I46" s="226"/>
      <c r="J46" s="227"/>
      <c r="K46" s="228"/>
      <c r="L46" s="226"/>
      <c r="M46" s="226"/>
      <c r="N46" s="227"/>
      <c r="O46" s="227"/>
      <c r="P46" s="226"/>
      <c r="Q46" s="226"/>
      <c r="R46" s="225"/>
      <c r="S46" s="225"/>
      <c r="T46" s="224"/>
      <c r="U46" s="224"/>
      <c r="V46" s="224"/>
      <c r="W46" s="224"/>
      <c r="X46" s="224"/>
      <c r="Y46" s="224"/>
      <c r="Z46" s="224"/>
      <c r="AA46" s="224"/>
      <c r="AB46" s="224"/>
      <c r="AC46" s="224"/>
      <c r="AD46" s="224"/>
    </row>
    <row r="47" spans="1:30" ht="12.75" customHeight="1" x14ac:dyDescent="0.2">
      <c r="B47" s="223" t="s">
        <v>129</v>
      </c>
    </row>
    <row r="48" spans="1:30" ht="13.5" customHeight="1" x14ac:dyDescent="0.2">
      <c r="A48" s="219"/>
      <c r="B48" s="221" t="s">
        <v>130</v>
      </c>
    </row>
    <row r="49" spans="1:3" ht="12.75" customHeight="1" x14ac:dyDescent="0.2">
      <c r="A49" s="219"/>
      <c r="B49" s="221" t="s">
        <v>75</v>
      </c>
    </row>
    <row r="50" spans="1:3" ht="12.75" customHeight="1" x14ac:dyDescent="0.2">
      <c r="A50" s="219"/>
      <c r="C50" s="221" t="s">
        <v>74</v>
      </c>
    </row>
  </sheetData>
  <mergeCells count="1">
    <mergeCell ref="B2:AD2"/>
  </mergeCells>
  <printOptions horizontalCentered="1"/>
  <pageMargins left="0.47244094488188981" right="0.27559055118110237" top="0.51181102362204722" bottom="0.27559055118110237"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0"/>
  <sheetViews>
    <sheetView tabSelected="1" topLeftCell="G1" workbookViewId="0">
      <selection activeCell="L41" sqref="L41:AE42"/>
    </sheetView>
  </sheetViews>
  <sheetFormatPr defaultRowHeight="11.25" x14ac:dyDescent="0.2"/>
  <cols>
    <col min="1" max="1" width="2.7109375" style="219" customWidth="1"/>
    <col min="2" max="2" width="4.28515625" style="219" customWidth="1"/>
    <col min="3" max="20" width="6.7109375" style="219" customWidth="1"/>
    <col min="21" max="28" width="7.28515625" style="219" customWidth="1"/>
    <col min="29" max="29" width="6.28515625" style="219" customWidth="1"/>
    <col min="30" max="30" width="5.140625" style="219" customWidth="1"/>
    <col min="31" max="16384" width="9.140625" style="219"/>
  </cols>
  <sheetData>
    <row r="1" spans="1:30" ht="14.25" customHeight="1" x14ac:dyDescent="0.2">
      <c r="B1" s="336"/>
      <c r="C1" s="335"/>
      <c r="D1" s="335"/>
      <c r="E1" s="335"/>
      <c r="F1" s="335"/>
      <c r="G1" s="335"/>
      <c r="H1" s="335"/>
      <c r="I1" s="335"/>
      <c r="J1" s="335"/>
      <c r="K1" s="335"/>
      <c r="L1" s="335"/>
      <c r="M1" s="335"/>
      <c r="N1" s="335"/>
      <c r="O1" s="335"/>
      <c r="P1" s="335"/>
      <c r="Q1" s="333"/>
      <c r="T1" s="333"/>
      <c r="U1" s="333"/>
      <c r="V1" s="333"/>
      <c r="W1" s="333"/>
      <c r="X1" s="333"/>
      <c r="Y1" s="333"/>
      <c r="Z1" s="333"/>
      <c r="AA1" s="333"/>
      <c r="AB1" s="333"/>
      <c r="AD1" s="333" t="s">
        <v>96</v>
      </c>
    </row>
    <row r="2" spans="1:30" s="223" customFormat="1" ht="30" customHeight="1" x14ac:dyDescent="0.2">
      <c r="B2" s="500" t="s">
        <v>46</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row>
    <row r="3" spans="1:30" ht="10.5" customHeight="1" x14ac:dyDescent="0.2">
      <c r="C3" s="331"/>
      <c r="D3" s="331"/>
      <c r="E3" s="331"/>
      <c r="F3" s="331"/>
      <c r="G3" s="331"/>
      <c r="H3" s="331"/>
      <c r="I3" s="331"/>
      <c r="J3" s="331"/>
      <c r="K3" s="331"/>
      <c r="L3" s="331"/>
      <c r="M3" s="331"/>
      <c r="N3" s="331"/>
      <c r="O3" s="331"/>
      <c r="P3" s="331"/>
      <c r="Q3" s="331"/>
      <c r="R3" s="331"/>
      <c r="X3" s="331" t="s">
        <v>113</v>
      </c>
      <c r="Y3" s="331"/>
      <c r="Z3" s="331"/>
      <c r="AA3" s="331"/>
      <c r="AB3" s="331"/>
      <c r="AC3" s="330"/>
      <c r="AD3" s="331"/>
    </row>
    <row r="4" spans="1:30" ht="20.100000000000001" customHeight="1" x14ac:dyDescent="0.2">
      <c r="B4" s="329"/>
      <c r="C4" s="328">
        <v>1970</v>
      </c>
      <c r="D4" s="328">
        <v>1980</v>
      </c>
      <c r="E4" s="327">
        <v>1990</v>
      </c>
      <c r="F4" s="327">
        <v>1991</v>
      </c>
      <c r="G4" s="327">
        <v>1992</v>
      </c>
      <c r="H4" s="327">
        <v>1993</v>
      </c>
      <c r="I4" s="327">
        <v>1994</v>
      </c>
      <c r="J4" s="327">
        <v>1995</v>
      </c>
      <c r="K4" s="327">
        <v>1996</v>
      </c>
      <c r="L4" s="327">
        <v>1997</v>
      </c>
      <c r="M4" s="327">
        <v>1998</v>
      </c>
      <c r="N4" s="327">
        <v>1999</v>
      </c>
      <c r="O4" s="327">
        <v>2000</v>
      </c>
      <c r="P4" s="327">
        <v>2001</v>
      </c>
      <c r="Q4" s="327">
        <v>2002</v>
      </c>
      <c r="R4" s="327">
        <v>2003</v>
      </c>
      <c r="S4" s="327">
        <v>2004</v>
      </c>
      <c r="T4" s="327">
        <v>2005</v>
      </c>
      <c r="U4" s="327">
        <v>2006</v>
      </c>
      <c r="V4" s="327">
        <v>2007</v>
      </c>
      <c r="W4" s="327">
        <v>2008</v>
      </c>
      <c r="X4" s="327">
        <v>2009</v>
      </c>
      <c r="Y4" s="327">
        <v>2010</v>
      </c>
      <c r="Z4" s="327">
        <v>2011</v>
      </c>
      <c r="AA4" s="327">
        <v>2012</v>
      </c>
      <c r="AB4" s="327">
        <v>2013</v>
      </c>
      <c r="AC4" s="326" t="s">
        <v>123</v>
      </c>
      <c r="AD4" s="371"/>
    </row>
    <row r="5" spans="1:30" ht="9.9499999999999993" customHeight="1" x14ac:dyDescent="0.2">
      <c r="B5" s="329"/>
      <c r="C5" s="373"/>
      <c r="D5" s="373"/>
      <c r="E5" s="322"/>
      <c r="F5" s="322"/>
      <c r="G5" s="322"/>
      <c r="H5" s="322"/>
      <c r="I5" s="322"/>
      <c r="J5" s="322"/>
      <c r="K5" s="322"/>
      <c r="L5" s="322"/>
      <c r="M5" s="322"/>
      <c r="N5" s="322"/>
      <c r="O5" s="322"/>
      <c r="P5" s="322"/>
      <c r="Q5" s="322"/>
      <c r="R5" s="322"/>
      <c r="S5" s="322"/>
      <c r="T5" s="322"/>
      <c r="U5" s="322"/>
      <c r="V5" s="322"/>
      <c r="W5" s="322"/>
      <c r="X5" s="322"/>
      <c r="Y5" s="322"/>
      <c r="Z5" s="322"/>
      <c r="AA5" s="322"/>
      <c r="AB5" s="322"/>
      <c r="AC5" s="372" t="s">
        <v>42</v>
      </c>
      <c r="AD5" s="371"/>
    </row>
    <row r="6" spans="1:30" ht="12.75" customHeight="1" x14ac:dyDescent="0.2">
      <c r="B6" s="314" t="s">
        <v>124</v>
      </c>
      <c r="C6" s="370" t="s">
        <v>41</v>
      </c>
      <c r="D6" s="370" t="s">
        <v>41</v>
      </c>
      <c r="E6" s="369" t="s">
        <v>41</v>
      </c>
      <c r="F6" s="369" t="s">
        <v>41</v>
      </c>
      <c r="G6" s="369" t="s">
        <v>41</v>
      </c>
      <c r="H6" s="369" t="s">
        <v>41</v>
      </c>
      <c r="I6" s="369" t="s">
        <v>41</v>
      </c>
      <c r="J6" s="368">
        <f t="shared" ref="J6:AA6" si="0">SUM(J9:J36)</f>
        <v>502.51010206168331</v>
      </c>
      <c r="K6" s="368">
        <f t="shared" si="0"/>
        <v>506.98555971686721</v>
      </c>
      <c r="L6" s="368">
        <f t="shared" si="0"/>
        <v>508.68803017075322</v>
      </c>
      <c r="M6" s="368">
        <f t="shared" si="0"/>
        <v>515.80697187045746</v>
      </c>
      <c r="N6" s="368">
        <f t="shared" si="0"/>
        <v>517.97291071975974</v>
      </c>
      <c r="O6" s="368">
        <f t="shared" si="0"/>
        <v>548.2944955979774</v>
      </c>
      <c r="P6" s="368">
        <f t="shared" si="0"/>
        <v>547.47297815548859</v>
      </c>
      <c r="Q6" s="368">
        <f t="shared" si="0"/>
        <v>538.57792774627455</v>
      </c>
      <c r="R6" s="368">
        <f t="shared" si="0"/>
        <v>542.86003212577236</v>
      </c>
      <c r="S6" s="368">
        <f t="shared" si="0"/>
        <v>543.94497028181354</v>
      </c>
      <c r="T6" s="368">
        <f t="shared" si="0"/>
        <v>540.71316117113236</v>
      </c>
      <c r="U6" s="368">
        <f t="shared" si="0"/>
        <v>537.00008042908155</v>
      </c>
      <c r="V6" s="368">
        <f t="shared" si="0"/>
        <v>549.20351163344651</v>
      </c>
      <c r="W6" s="368">
        <f t="shared" si="0"/>
        <v>554.46311356931756</v>
      </c>
      <c r="X6" s="368">
        <f t="shared" si="0"/>
        <v>533.78683836346738</v>
      </c>
      <c r="Y6" s="368">
        <f t="shared" si="0"/>
        <v>527.80244019140275</v>
      </c>
      <c r="Z6" s="368">
        <f t="shared" si="0"/>
        <v>530.14041479525679</v>
      </c>
      <c r="AA6" s="368">
        <f t="shared" si="0"/>
        <v>524.09770276396614</v>
      </c>
      <c r="AB6" s="368">
        <f t="shared" ref="AB6" si="1">SUM(AB9:AB36)</f>
        <v>526.48427683823536</v>
      </c>
      <c r="AC6" s="315">
        <f>AB6/AA6*100-100</f>
        <v>0.45536816163914295</v>
      </c>
      <c r="AD6" s="314" t="s">
        <v>124</v>
      </c>
    </row>
    <row r="7" spans="1:30" ht="12.75" customHeight="1" x14ac:dyDescent="0.2">
      <c r="A7" s="234"/>
      <c r="B7" s="282" t="s">
        <v>125</v>
      </c>
      <c r="C7" s="309">
        <f t="shared" ref="C7:AA7" si="2">SUM(C9,C12:C13,C15,C16:C18,C24,C27:C28,C30,C34:C36,C20)</f>
        <v>272.649</v>
      </c>
      <c r="D7" s="309">
        <f t="shared" si="2"/>
        <v>351.62900000000002</v>
      </c>
      <c r="E7" s="367">
        <f t="shared" si="2"/>
        <v>367.49238409549326</v>
      </c>
      <c r="F7" s="367">
        <f t="shared" si="2"/>
        <v>367.6893811289022</v>
      </c>
      <c r="G7" s="367">
        <f t="shared" si="2"/>
        <v>367.93471572315599</v>
      </c>
      <c r="H7" s="367">
        <f t="shared" si="2"/>
        <v>369.30460778050565</v>
      </c>
      <c r="I7" s="367">
        <f t="shared" si="2"/>
        <v>369.03260030484932</v>
      </c>
      <c r="J7" s="367">
        <f t="shared" si="2"/>
        <v>377.30368706168326</v>
      </c>
      <c r="K7" s="367">
        <f t="shared" si="2"/>
        <v>384.6109417168671</v>
      </c>
      <c r="L7" s="367">
        <f t="shared" si="2"/>
        <v>386.9771631707531</v>
      </c>
      <c r="M7" s="367">
        <f t="shared" si="2"/>
        <v>394.52102487045761</v>
      </c>
      <c r="N7" s="367">
        <f t="shared" si="2"/>
        <v>396.60512771975976</v>
      </c>
      <c r="O7" s="367">
        <f t="shared" si="2"/>
        <v>402.14058509797741</v>
      </c>
      <c r="P7" s="367">
        <f t="shared" si="2"/>
        <v>404.12828393548864</v>
      </c>
      <c r="Q7" s="367">
        <f t="shared" si="2"/>
        <v>397.13494637627468</v>
      </c>
      <c r="R7" s="367">
        <f t="shared" si="2"/>
        <v>404.68738772577245</v>
      </c>
      <c r="S7" s="367">
        <f t="shared" si="2"/>
        <v>409.00395405181359</v>
      </c>
      <c r="T7" s="367">
        <f t="shared" si="2"/>
        <v>406.50900971113242</v>
      </c>
      <c r="U7" s="367">
        <f t="shared" si="2"/>
        <v>403.18735042908156</v>
      </c>
      <c r="V7" s="367">
        <f t="shared" si="2"/>
        <v>416.06946963344649</v>
      </c>
      <c r="W7" s="367">
        <f t="shared" si="2"/>
        <v>420.36380896931757</v>
      </c>
      <c r="X7" s="367">
        <f t="shared" si="2"/>
        <v>413.47070886905675</v>
      </c>
      <c r="Y7" s="367">
        <f t="shared" si="2"/>
        <v>409.56004269140277</v>
      </c>
      <c r="Z7" s="367">
        <f t="shared" si="2"/>
        <v>414.23825812458966</v>
      </c>
      <c r="AA7" s="367">
        <f t="shared" si="2"/>
        <v>408.12472643741387</v>
      </c>
      <c r="AB7" s="367">
        <f t="shared" ref="AB7" si="3">SUM(AB9,AB12:AB13,AB15,AB16:AB18,AB24,AB27:AB28,AB30,AB34:AB36,AB20)</f>
        <v>411.09126633740237</v>
      </c>
      <c r="AC7" s="309">
        <f t="shared" ref="AC7:AC44" si="4">AB7/AA7*100-100</f>
        <v>0.72687090681418454</v>
      </c>
      <c r="AD7" s="282" t="s">
        <v>125</v>
      </c>
    </row>
    <row r="8" spans="1:30" ht="12.75" customHeight="1" x14ac:dyDescent="0.2">
      <c r="A8" s="234"/>
      <c r="B8" s="303" t="s">
        <v>126</v>
      </c>
      <c r="C8" s="366"/>
      <c r="D8" s="366"/>
      <c r="E8" s="364"/>
      <c r="F8" s="365"/>
      <c r="G8" s="365"/>
      <c r="H8" s="365"/>
      <c r="I8" s="365"/>
      <c r="J8" s="364">
        <f t="shared" ref="J8:AA8" si="5">J6-J7</f>
        <v>125.20641500000005</v>
      </c>
      <c r="K8" s="364">
        <f t="shared" si="5"/>
        <v>122.37461800000011</v>
      </c>
      <c r="L8" s="364">
        <f t="shared" si="5"/>
        <v>121.71086700000012</v>
      </c>
      <c r="M8" s="364">
        <f t="shared" si="5"/>
        <v>121.28594699999985</v>
      </c>
      <c r="N8" s="364">
        <f t="shared" si="5"/>
        <v>121.36778299999997</v>
      </c>
      <c r="O8" s="364">
        <f t="shared" si="5"/>
        <v>146.15391049999999</v>
      </c>
      <c r="P8" s="364">
        <f t="shared" si="5"/>
        <v>143.34469421999995</v>
      </c>
      <c r="Q8" s="364">
        <f t="shared" si="5"/>
        <v>141.44298136999987</v>
      </c>
      <c r="R8" s="364">
        <f t="shared" si="5"/>
        <v>138.17264439999991</v>
      </c>
      <c r="S8" s="364">
        <f t="shared" si="5"/>
        <v>134.94101622999995</v>
      </c>
      <c r="T8" s="364">
        <f t="shared" si="5"/>
        <v>134.20415145999993</v>
      </c>
      <c r="U8" s="364">
        <f t="shared" si="5"/>
        <v>133.81272999999999</v>
      </c>
      <c r="V8" s="364">
        <f t="shared" si="5"/>
        <v>133.13404200000002</v>
      </c>
      <c r="W8" s="364">
        <f t="shared" si="5"/>
        <v>134.09930459999998</v>
      </c>
      <c r="X8" s="364">
        <f t="shared" si="5"/>
        <v>120.31612949441063</v>
      </c>
      <c r="Y8" s="364">
        <f t="shared" si="5"/>
        <v>118.24239749999998</v>
      </c>
      <c r="Z8" s="364">
        <f t="shared" si="5"/>
        <v>115.90215667066713</v>
      </c>
      <c r="AA8" s="364">
        <f t="shared" si="5"/>
        <v>115.97297632655227</v>
      </c>
      <c r="AB8" s="364">
        <f t="shared" ref="AB8" si="6">AB6-AB7</f>
        <v>115.39301050083299</v>
      </c>
      <c r="AC8" s="304">
        <f t="shared" si="4"/>
        <v>-0.5000870410415672</v>
      </c>
      <c r="AD8" s="303" t="s">
        <v>126</v>
      </c>
    </row>
    <row r="9" spans="1:30" s="256" customFormat="1" ht="12.75" customHeight="1" x14ac:dyDescent="0.2">
      <c r="A9" s="261"/>
      <c r="B9" s="241" t="s">
        <v>29</v>
      </c>
      <c r="C9" s="290">
        <v>12.153</v>
      </c>
      <c r="D9" s="290">
        <v>14.422000000000001</v>
      </c>
      <c r="E9" s="300">
        <v>11.371379813302717</v>
      </c>
      <c r="F9" s="300">
        <v>11.928856672785459</v>
      </c>
      <c r="G9" s="300">
        <v>12.208590988011615</v>
      </c>
      <c r="H9" s="300">
        <v>12.449307712355173</v>
      </c>
      <c r="I9" s="300">
        <v>12.920557778575041</v>
      </c>
      <c r="J9" s="300">
        <v>13.116392749010901</v>
      </c>
      <c r="K9" s="300">
        <v>13.048036161999931</v>
      </c>
      <c r="L9" s="287">
        <v>13.062294037072977</v>
      </c>
      <c r="M9" s="287">
        <v>13.264206083397962</v>
      </c>
      <c r="N9" s="288">
        <v>13.441653719101833</v>
      </c>
      <c r="O9" s="287">
        <v>13.298261168538518</v>
      </c>
      <c r="P9" s="287">
        <v>13.785338279369089</v>
      </c>
      <c r="Q9" s="287">
        <v>14.959423828844177</v>
      </c>
      <c r="R9" s="287">
        <v>16.483572017775955</v>
      </c>
      <c r="S9" s="287">
        <v>17.142992004139298</v>
      </c>
      <c r="T9" s="287">
        <v>17.515048055482509</v>
      </c>
      <c r="U9" s="287">
        <v>18.078005341336816</v>
      </c>
      <c r="V9" s="287">
        <v>18.729636998103302</v>
      </c>
      <c r="W9" s="287">
        <v>17.61</v>
      </c>
      <c r="X9" s="287">
        <v>17.63</v>
      </c>
      <c r="Y9" s="287">
        <v>17.38</v>
      </c>
      <c r="Z9" s="287">
        <v>17.670000000000002</v>
      </c>
      <c r="AA9" s="287">
        <v>17.91</v>
      </c>
      <c r="AB9" s="287">
        <v>21.515899999999998</v>
      </c>
      <c r="AC9" s="286">
        <f t="shared" si="4"/>
        <v>20.133445002791731</v>
      </c>
      <c r="AD9" s="241" t="s">
        <v>29</v>
      </c>
    </row>
    <row r="10" spans="1:30" ht="12.75" customHeight="1" x14ac:dyDescent="0.2">
      <c r="A10" s="234"/>
      <c r="B10" s="282" t="s">
        <v>12</v>
      </c>
      <c r="C10" s="285">
        <v>12.234999999999999</v>
      </c>
      <c r="D10" s="285">
        <v>21.614000000000001</v>
      </c>
      <c r="E10" s="284">
        <v>25.954999999999998</v>
      </c>
      <c r="F10" s="284">
        <v>19.026</v>
      </c>
      <c r="G10" s="284">
        <v>16.957000000000001</v>
      </c>
      <c r="H10" s="284">
        <v>14.061999999999999</v>
      </c>
      <c r="I10" s="284">
        <v>12.817</v>
      </c>
      <c r="J10" s="298">
        <v>11.566000000000001</v>
      </c>
      <c r="K10" s="298">
        <v>10.577</v>
      </c>
      <c r="L10" s="298">
        <v>11.863</v>
      </c>
      <c r="M10" s="298">
        <v>12.763999999999999</v>
      </c>
      <c r="N10" s="298">
        <v>14.741</v>
      </c>
      <c r="O10" s="298">
        <v>14.587</v>
      </c>
      <c r="P10" s="298">
        <v>14.962999999999999</v>
      </c>
      <c r="Q10" s="298">
        <v>16.984999999999999</v>
      </c>
      <c r="R10" s="298">
        <v>14.4</v>
      </c>
      <c r="S10" s="298">
        <v>13.029</v>
      </c>
      <c r="T10" s="284">
        <v>13.688000000000001</v>
      </c>
      <c r="U10" s="284">
        <v>12.942</v>
      </c>
      <c r="V10" s="284">
        <v>13.571</v>
      </c>
      <c r="W10" s="284">
        <v>13.839</v>
      </c>
      <c r="X10" s="284">
        <v>10.451000000000001</v>
      </c>
      <c r="Y10" s="284">
        <v>10.613</v>
      </c>
      <c r="Z10" s="284">
        <v>10.843</v>
      </c>
      <c r="AA10" s="284">
        <v>10.481999999999999</v>
      </c>
      <c r="AB10" s="284">
        <v>10.317</v>
      </c>
      <c r="AC10" s="283">
        <f t="shared" si="4"/>
        <v>-1.5741270749856824</v>
      </c>
      <c r="AD10" s="282" t="s">
        <v>12</v>
      </c>
    </row>
    <row r="11" spans="1:30" s="256" customFormat="1" ht="12.75" customHeight="1" x14ac:dyDescent="0.2">
      <c r="A11" s="261"/>
      <c r="B11" s="241" t="s">
        <v>14</v>
      </c>
      <c r="C11" s="363"/>
      <c r="D11" s="363"/>
      <c r="E11" s="362"/>
      <c r="F11" s="300" t="s">
        <v>41</v>
      </c>
      <c r="G11" s="300" t="s">
        <v>41</v>
      </c>
      <c r="H11" s="300">
        <v>13.617000000000001</v>
      </c>
      <c r="I11" s="361">
        <v>11.523</v>
      </c>
      <c r="J11" s="300">
        <f>11.7632+1.1693+5.668</f>
        <v>18.6005</v>
      </c>
      <c r="K11" s="300">
        <f>9.7292+1.2833+5.59</f>
        <v>16.602499999999999</v>
      </c>
      <c r="L11" s="300">
        <f>8.804+1.2948+5.512</f>
        <v>15.610800000000001</v>
      </c>
      <c r="M11" s="300">
        <f>8.6809+1.234+5.4582</f>
        <v>15.373099999999999</v>
      </c>
      <c r="N11" s="361">
        <f>8.649+1.2615+5.5333</f>
        <v>15.4438</v>
      </c>
      <c r="O11" s="300">
        <f>9.3513+1.221+5.599</f>
        <v>16.171300000000002</v>
      </c>
      <c r="P11" s="300">
        <f>10.6081+1.2103+5.7009</f>
        <v>17.519300000000001</v>
      </c>
      <c r="Q11" s="300">
        <f>9.6675+1.1339+5.7291</f>
        <v>16.5305</v>
      </c>
      <c r="R11" s="300">
        <f>9.4486+1.1103+5.8659</f>
        <v>16.424800000000001</v>
      </c>
      <c r="S11" s="300">
        <f>8.5162+1.1043+5.5975</f>
        <v>15.218</v>
      </c>
      <c r="T11" s="300">
        <f>8.6073+7.0006</f>
        <v>15.607900000000001</v>
      </c>
      <c r="U11" s="300">
        <f>9.5012+6.5139</f>
        <v>16.0151</v>
      </c>
      <c r="V11" s="300">
        <f>9.5188+6.6021</f>
        <v>16.120899999999999</v>
      </c>
      <c r="W11" s="300">
        <f>9.3691+6.7378</f>
        <v>16.1069</v>
      </c>
      <c r="X11" s="300">
        <v>16.062000000000001</v>
      </c>
      <c r="Y11" s="300">
        <f>10.3357+1.0618+5.5581</f>
        <v>16.955599999999997</v>
      </c>
      <c r="Z11" s="300">
        <f>1.0184+5.5477+9.2667</f>
        <v>15.832799999999999</v>
      </c>
      <c r="AA11" s="300">
        <f>9.0154+0.8681+5.4433</f>
        <v>15.326799999999999</v>
      </c>
      <c r="AB11" s="300">
        <f>0.9886+5.7067+9.0256</f>
        <v>15.7209</v>
      </c>
      <c r="AC11" s="299">
        <f t="shared" si="4"/>
        <v>2.5713129942323434</v>
      </c>
      <c r="AD11" s="241" t="s">
        <v>14</v>
      </c>
    </row>
    <row r="12" spans="1:30" ht="12.75" customHeight="1" x14ac:dyDescent="0.2">
      <c r="A12" s="234"/>
      <c r="B12" s="282" t="s">
        <v>25</v>
      </c>
      <c r="C12" s="285">
        <v>3.8980000000000001</v>
      </c>
      <c r="D12" s="285">
        <v>4.6109999999999998</v>
      </c>
      <c r="E12" s="284">
        <v>6.4429999999999996</v>
      </c>
      <c r="F12" s="284">
        <v>6.3940000000000001</v>
      </c>
      <c r="G12" s="284">
        <v>6.4210000000000003</v>
      </c>
      <c r="H12" s="284">
        <v>6.601</v>
      </c>
      <c r="I12" s="284">
        <v>6.7450000000000001</v>
      </c>
      <c r="J12" s="284">
        <v>7.2839999999999998</v>
      </c>
      <c r="K12" s="284">
        <v>7.7169999999999996</v>
      </c>
      <c r="L12" s="284">
        <v>7.5960000000000001</v>
      </c>
      <c r="M12" s="284">
        <v>7.5430000000000001</v>
      </c>
      <c r="N12" s="284">
        <v>7.3970000000000002</v>
      </c>
      <c r="O12" s="284">
        <v>7.4180000000000001</v>
      </c>
      <c r="P12" s="284">
        <v>7.327</v>
      </c>
      <c r="Q12" s="284">
        <v>7.2919999999999998</v>
      </c>
      <c r="R12" s="284">
        <v>7.2720000000000002</v>
      </c>
      <c r="S12" s="284">
        <v>7.3</v>
      </c>
      <c r="T12" s="284">
        <v>7.1689999999999996</v>
      </c>
      <c r="U12" s="284">
        <v>7.0540000000000003</v>
      </c>
      <c r="V12" s="284">
        <v>6.8540000000000001</v>
      </c>
      <c r="W12" s="284">
        <v>6.7569999999999997</v>
      </c>
      <c r="X12" s="284">
        <v>6.7720000000000002</v>
      </c>
      <c r="Y12" s="284">
        <v>6.8449999999999998</v>
      </c>
      <c r="Z12" s="284">
        <v>6.7</v>
      </c>
      <c r="AA12" s="284">
        <v>6.5220000000000002</v>
      </c>
      <c r="AB12" s="284">
        <v>6.5430000000000001</v>
      </c>
      <c r="AC12" s="297">
        <f t="shared" si="4"/>
        <v>0.32198712051518896</v>
      </c>
      <c r="AD12" s="282" t="s">
        <v>25</v>
      </c>
    </row>
    <row r="13" spans="1:30" s="256" customFormat="1" ht="12.75" customHeight="1" x14ac:dyDescent="0.2">
      <c r="A13" s="261"/>
      <c r="B13" s="241" t="s">
        <v>30</v>
      </c>
      <c r="C13" s="360">
        <v>67.7</v>
      </c>
      <c r="D13" s="359">
        <v>90</v>
      </c>
      <c r="E13" s="300">
        <v>73.099999999999994</v>
      </c>
      <c r="F13" s="300">
        <v>70.3</v>
      </c>
      <c r="G13" s="300">
        <v>69.900000000000006</v>
      </c>
      <c r="H13" s="300">
        <v>70.2</v>
      </c>
      <c r="I13" s="300">
        <v>68.599999999999994</v>
      </c>
      <c r="J13" s="300">
        <v>68.5</v>
      </c>
      <c r="K13" s="300">
        <v>68.3</v>
      </c>
      <c r="L13" s="300">
        <v>68</v>
      </c>
      <c r="M13" s="300">
        <v>68.2</v>
      </c>
      <c r="N13" s="300">
        <v>68</v>
      </c>
      <c r="O13" s="300">
        <v>69</v>
      </c>
      <c r="P13" s="300">
        <v>68.7</v>
      </c>
      <c r="Q13" s="300">
        <v>67.5</v>
      </c>
      <c r="R13" s="300">
        <v>67.5</v>
      </c>
      <c r="S13" s="300">
        <f>40.359+27.447</f>
        <v>67.805999999999997</v>
      </c>
      <c r="T13" s="300">
        <f>40.365+26.697</f>
        <v>67.061999999999998</v>
      </c>
      <c r="U13" s="300">
        <f>38.542+1.495+26.147</f>
        <v>66.183999999999997</v>
      </c>
      <c r="V13" s="300">
        <f xml:space="preserve"> 40.141+25.246</f>
        <v>65.387</v>
      </c>
      <c r="W13" s="300">
        <f>39.479+24.113</f>
        <v>63.591999999999999</v>
      </c>
      <c r="X13" s="300">
        <v>62.097000000000001</v>
      </c>
      <c r="Y13" s="300">
        <v>61.767000000000003</v>
      </c>
      <c r="Z13" s="300">
        <v>61.4</v>
      </c>
      <c r="AA13" s="300">
        <v>59.4</v>
      </c>
      <c r="AB13" s="300">
        <v>60.5</v>
      </c>
      <c r="AC13" s="242">
        <f t="shared" si="4"/>
        <v>1.8518518518518619</v>
      </c>
      <c r="AD13" s="241" t="s">
        <v>30</v>
      </c>
    </row>
    <row r="14" spans="1:30" ht="12.75" customHeight="1" x14ac:dyDescent="0.2">
      <c r="A14" s="234"/>
      <c r="B14" s="282" t="s">
        <v>15</v>
      </c>
      <c r="C14" s="285">
        <v>2.61</v>
      </c>
      <c r="D14" s="285">
        <v>3.66</v>
      </c>
      <c r="E14" s="284">
        <v>4.45</v>
      </c>
      <c r="F14" s="284">
        <v>3.83</v>
      </c>
      <c r="G14" s="284">
        <v>2.97</v>
      </c>
      <c r="H14" s="284">
        <v>2.54</v>
      </c>
      <c r="I14" s="284">
        <v>2.35</v>
      </c>
      <c r="J14" s="284">
        <v>2.048</v>
      </c>
      <c r="K14" s="284">
        <v>2.0910000000000002</v>
      </c>
      <c r="L14" s="284">
        <v>2.238</v>
      </c>
      <c r="M14" s="284">
        <v>2.2650000000000001</v>
      </c>
      <c r="N14" s="284">
        <v>2.2229999999999999</v>
      </c>
      <c r="O14" s="284">
        <v>2.63</v>
      </c>
      <c r="P14" s="284">
        <v>2.4609999999999999</v>
      </c>
      <c r="Q14" s="284">
        <v>2.33</v>
      </c>
      <c r="R14" s="284">
        <v>2.2970000000000002</v>
      </c>
      <c r="S14" s="284">
        <v>2.4689999999999999</v>
      </c>
      <c r="T14" s="284">
        <v>2.7160000000000002</v>
      </c>
      <c r="U14" s="284">
        <v>2.8809999999999998</v>
      </c>
      <c r="V14" s="284">
        <v>2.677</v>
      </c>
      <c r="W14" s="284">
        <v>2.4529999999999998</v>
      </c>
      <c r="X14" s="284">
        <v>2.1139999999999999</v>
      </c>
      <c r="Y14" s="284">
        <f>2.061</f>
        <v>2.0609999999999999</v>
      </c>
      <c r="Z14" s="284">
        <v>2.0706943</v>
      </c>
      <c r="AA14" s="284">
        <v>2.2335885000000002</v>
      </c>
      <c r="AB14" s="284">
        <f>2.4146148</f>
        <v>2.4146147999999998</v>
      </c>
      <c r="AC14" s="283">
        <f t="shared" si="4"/>
        <v>8.1047292283247288</v>
      </c>
      <c r="AD14" s="282" t="s">
        <v>15</v>
      </c>
    </row>
    <row r="15" spans="1:30" ht="12.75" customHeight="1" x14ac:dyDescent="0.2">
      <c r="A15" s="234"/>
      <c r="B15" s="241" t="s">
        <v>33</v>
      </c>
      <c r="C15" s="290">
        <v>3.3</v>
      </c>
      <c r="D15" s="290">
        <v>4.5</v>
      </c>
      <c r="E15" s="287">
        <v>3.86</v>
      </c>
      <c r="F15" s="287">
        <v>4.0999999999999996</v>
      </c>
      <c r="G15" s="287">
        <v>4.3</v>
      </c>
      <c r="H15" s="287">
        <v>4.49</v>
      </c>
      <c r="I15" s="287">
        <v>5</v>
      </c>
      <c r="J15" s="287">
        <v>5.15</v>
      </c>
      <c r="K15" s="287">
        <v>5.3</v>
      </c>
      <c r="L15" s="288">
        <v>5.5</v>
      </c>
      <c r="M15" s="288">
        <v>5.7</v>
      </c>
      <c r="N15" s="288">
        <v>5.9</v>
      </c>
      <c r="O15" s="358">
        <v>6.9631999999999996</v>
      </c>
      <c r="P15" s="288">
        <v>7.2896000000000001</v>
      </c>
      <c r="Q15" s="288">
        <v>7.2624000000000004</v>
      </c>
      <c r="R15" s="288">
        <v>7.5343999999999998</v>
      </c>
      <c r="S15" s="288">
        <v>7.8608000000000002</v>
      </c>
      <c r="T15" s="288">
        <v>7.9151999999999996</v>
      </c>
      <c r="U15" s="288">
        <v>8.0239999999999991</v>
      </c>
      <c r="V15" s="288">
        <v>8.2959999999999994</v>
      </c>
      <c r="W15" s="288">
        <v>8.5679999999999996</v>
      </c>
      <c r="X15" s="288">
        <v>8.9488000000000003</v>
      </c>
      <c r="Y15" s="288">
        <v>8.4591999999999992</v>
      </c>
      <c r="Z15" s="288">
        <v>8.3775999999999993</v>
      </c>
      <c r="AA15" s="288">
        <v>8.1056000000000008</v>
      </c>
      <c r="AB15" s="288">
        <v>8.1327999999999996</v>
      </c>
      <c r="AC15" s="262">
        <f t="shared" si="4"/>
        <v>0.33557046979863969</v>
      </c>
      <c r="AD15" s="241" t="s">
        <v>33</v>
      </c>
    </row>
    <row r="16" spans="1:30" ht="12.75" customHeight="1" x14ac:dyDescent="0.2">
      <c r="A16" s="234"/>
      <c r="B16" s="282" t="s">
        <v>26</v>
      </c>
      <c r="C16" s="285">
        <v>9.4250000000000007</v>
      </c>
      <c r="D16" s="285">
        <v>15.621</v>
      </c>
      <c r="E16" s="284">
        <v>17.718</v>
      </c>
      <c r="F16" s="284">
        <v>17.968</v>
      </c>
      <c r="G16" s="284">
        <v>18.548999999999999</v>
      </c>
      <c r="H16" s="284">
        <v>18.922000000000001</v>
      </c>
      <c r="I16" s="284">
        <v>19.577999999999999</v>
      </c>
      <c r="J16" s="284">
        <v>20.221</v>
      </c>
      <c r="K16" s="284">
        <v>20.449000000000002</v>
      </c>
      <c r="L16" s="284">
        <v>20.695</v>
      </c>
      <c r="M16" s="284">
        <v>21.2</v>
      </c>
      <c r="N16" s="284">
        <v>21.5</v>
      </c>
      <c r="O16" s="284">
        <v>21.7</v>
      </c>
      <c r="P16" s="292">
        <v>21.8</v>
      </c>
      <c r="Q16" s="292">
        <v>22</v>
      </c>
      <c r="R16" s="292">
        <v>21.95</v>
      </c>
      <c r="S16" s="292">
        <v>21.6</v>
      </c>
      <c r="T16" s="292">
        <v>21.7</v>
      </c>
      <c r="U16" s="292">
        <v>21.8</v>
      </c>
      <c r="V16" s="292">
        <v>22</v>
      </c>
      <c r="W16" s="292">
        <v>22.1</v>
      </c>
      <c r="X16" s="292">
        <v>20.919043007800454</v>
      </c>
      <c r="Y16" s="292">
        <v>21.1</v>
      </c>
      <c r="Z16" s="292">
        <v>21.161722909489495</v>
      </c>
      <c r="AA16" s="292">
        <v>21.096100453974149</v>
      </c>
      <c r="AB16" s="292">
        <v>21.028128543117838</v>
      </c>
      <c r="AC16" s="291">
        <f t="shared" si="4"/>
        <v>-0.32220130447619511</v>
      </c>
      <c r="AD16" s="282" t="s">
        <v>26</v>
      </c>
    </row>
    <row r="17" spans="1:30" ht="12.75" customHeight="1" x14ac:dyDescent="0.2">
      <c r="A17" s="234"/>
      <c r="B17" s="241" t="s">
        <v>31</v>
      </c>
      <c r="C17" s="290">
        <v>20.911000000000001</v>
      </c>
      <c r="D17" s="290">
        <v>28.099</v>
      </c>
      <c r="E17" s="287">
        <v>33.36</v>
      </c>
      <c r="F17" s="287">
        <v>35.450000000000003</v>
      </c>
      <c r="G17" s="287">
        <v>35.520000000000003</v>
      </c>
      <c r="H17" s="287">
        <v>37.090000000000003</v>
      </c>
      <c r="I17" s="287">
        <v>38.130000000000003</v>
      </c>
      <c r="J17" s="287">
        <v>39.6</v>
      </c>
      <c r="K17" s="288">
        <v>44</v>
      </c>
      <c r="L17" s="287">
        <v>43.97</v>
      </c>
      <c r="M17" s="287">
        <v>49.4</v>
      </c>
      <c r="N17" s="287">
        <v>50</v>
      </c>
      <c r="O17" s="287">
        <v>50.277999999999999</v>
      </c>
      <c r="P17" s="287">
        <v>51.712000000000003</v>
      </c>
      <c r="Q17" s="287">
        <v>50.052999999999997</v>
      </c>
      <c r="R17" s="287">
        <v>49.209000000000003</v>
      </c>
      <c r="S17" s="287">
        <v>53.457999999999998</v>
      </c>
      <c r="T17" s="287">
        <v>53.176000000000002</v>
      </c>
      <c r="U17" s="287">
        <v>49.369</v>
      </c>
      <c r="V17" s="287">
        <v>59.162999999999997</v>
      </c>
      <c r="W17" s="287">
        <v>60.863999999999997</v>
      </c>
      <c r="X17" s="287">
        <v>57.042999999999999</v>
      </c>
      <c r="Y17" s="287">
        <v>50.902000000000001</v>
      </c>
      <c r="Z17" s="287">
        <v>55.741999999999997</v>
      </c>
      <c r="AA17" s="287">
        <v>54.530999999999999</v>
      </c>
      <c r="AB17" s="287">
        <v>51.834000000000003</v>
      </c>
      <c r="AC17" s="286">
        <f t="shared" si="4"/>
        <v>-4.9458106398195412</v>
      </c>
      <c r="AD17" s="241" t="s">
        <v>31</v>
      </c>
    </row>
    <row r="18" spans="1:30" ht="12.75" customHeight="1" x14ac:dyDescent="0.2">
      <c r="A18" s="234"/>
      <c r="B18" s="282" t="s">
        <v>32</v>
      </c>
      <c r="C18" s="285">
        <v>25.2</v>
      </c>
      <c r="D18" s="285">
        <v>38</v>
      </c>
      <c r="E18" s="284">
        <v>40.672438885832804</v>
      </c>
      <c r="F18" s="284">
        <v>42.46365327657648</v>
      </c>
      <c r="G18" s="284">
        <v>41.437545393896542</v>
      </c>
      <c r="H18" s="284">
        <v>41.68009359438458</v>
      </c>
      <c r="I18" s="284">
        <v>42.3386857962075</v>
      </c>
      <c r="J18" s="284">
        <v>41.242111324326515</v>
      </c>
      <c r="K18" s="284">
        <v>42.346023912398408</v>
      </c>
      <c r="L18" s="284">
        <v>41.899650884321886</v>
      </c>
      <c r="M18" s="284">
        <v>41.880297426830758</v>
      </c>
      <c r="N18" s="284">
        <v>40.904723374820449</v>
      </c>
      <c r="O18" s="284">
        <v>41.996607297897313</v>
      </c>
      <c r="P18" s="284">
        <v>40.594657377293245</v>
      </c>
      <c r="Q18" s="284">
        <v>41.114191704754546</v>
      </c>
      <c r="R18" s="284">
        <v>41.542840944382874</v>
      </c>
      <c r="S18" s="284">
        <v>42.370557949166468</v>
      </c>
      <c r="T18" s="284">
        <v>42.472498489004025</v>
      </c>
      <c r="U18" s="284">
        <v>43.266001821953679</v>
      </c>
      <c r="V18" s="284">
        <v>45.334094732030231</v>
      </c>
      <c r="W18" s="284">
        <v>48.431179216740482</v>
      </c>
      <c r="X18" s="284">
        <v>48.779657100292809</v>
      </c>
      <c r="Y18" s="284">
        <v>49.85328734878</v>
      </c>
      <c r="Z18" s="284">
        <v>51.069691133689801</v>
      </c>
      <c r="AA18" s="284">
        <v>51.6</v>
      </c>
      <c r="AB18" s="284">
        <v>52.311</v>
      </c>
      <c r="AC18" s="283">
        <f t="shared" si="4"/>
        <v>1.3779069767441854</v>
      </c>
      <c r="AD18" s="282" t="s">
        <v>32</v>
      </c>
    </row>
    <row r="19" spans="1:30" ht="12.75" customHeight="1" x14ac:dyDescent="0.2">
      <c r="A19" s="234"/>
      <c r="B19" s="241" t="s">
        <v>44</v>
      </c>
      <c r="C19" s="244">
        <v>3.3</v>
      </c>
      <c r="D19" s="244">
        <v>7.1</v>
      </c>
      <c r="E19" s="243">
        <v>7</v>
      </c>
      <c r="F19" s="243" t="s">
        <v>41</v>
      </c>
      <c r="G19" s="243" t="s">
        <v>41</v>
      </c>
      <c r="H19" s="243" t="s">
        <v>41</v>
      </c>
      <c r="I19" s="243" t="s">
        <v>41</v>
      </c>
      <c r="J19" s="243">
        <v>4.0519150000000002</v>
      </c>
      <c r="K19" s="243">
        <v>4.2661179999999996</v>
      </c>
      <c r="L19" s="243">
        <v>4.4590670000000001</v>
      </c>
      <c r="M19" s="243">
        <v>3.9638469999999999</v>
      </c>
      <c r="N19" s="243">
        <v>3.3549829999999998</v>
      </c>
      <c r="O19" s="243">
        <v>3.3311470000000001</v>
      </c>
      <c r="P19" s="243">
        <v>3.477757</v>
      </c>
      <c r="Q19" s="243">
        <v>3.557693</v>
      </c>
      <c r="R19" s="243">
        <v>3.71685</v>
      </c>
      <c r="S19" s="243">
        <v>3.390253</v>
      </c>
      <c r="T19" s="243">
        <v>3.4034689999999999</v>
      </c>
      <c r="U19" s="243">
        <v>3.5370560000000002</v>
      </c>
      <c r="V19" s="243">
        <v>3.8079800000000001</v>
      </c>
      <c r="W19" s="243">
        <v>4.0934889999999999</v>
      </c>
      <c r="X19" s="243">
        <v>3.4379960000000001</v>
      </c>
      <c r="Y19" s="243">
        <v>3.248418</v>
      </c>
      <c r="Z19" s="243">
        <v>3.1450209999999998</v>
      </c>
      <c r="AA19" s="243">
        <v>3.2490779999999999</v>
      </c>
      <c r="AB19" s="243">
        <v>3.5070000000000001</v>
      </c>
      <c r="AC19" s="242">
        <f t="shared" si="4"/>
        <v>7.9383135769593736</v>
      </c>
      <c r="AD19" s="241" t="s">
        <v>44</v>
      </c>
    </row>
    <row r="20" spans="1:30" s="256" customFormat="1" ht="12.75" customHeight="1" x14ac:dyDescent="0.2">
      <c r="A20" s="261"/>
      <c r="B20" s="245" t="s">
        <v>34</v>
      </c>
      <c r="C20" s="260">
        <v>32.003999999999998</v>
      </c>
      <c r="D20" s="260">
        <v>57.835999999999999</v>
      </c>
      <c r="E20" s="248">
        <v>83.954999999999998</v>
      </c>
      <c r="F20" s="248">
        <v>84.69</v>
      </c>
      <c r="G20" s="248">
        <v>84.7</v>
      </c>
      <c r="H20" s="248">
        <v>81.45</v>
      </c>
      <c r="I20" s="248">
        <v>79.28</v>
      </c>
      <c r="J20" s="248">
        <f>76.797+10.35</f>
        <v>87.146999999999991</v>
      </c>
      <c r="K20" s="248">
        <v>88.736000000000004</v>
      </c>
      <c r="L20" s="248">
        <v>90</v>
      </c>
      <c r="M20" s="248">
        <v>90.6</v>
      </c>
      <c r="N20" s="248">
        <v>92.153000000000006</v>
      </c>
      <c r="O20" s="248">
        <f>82.263+11.158</f>
        <v>93.421000000000006</v>
      </c>
      <c r="P20" s="248">
        <v>95.593999999999994</v>
      </c>
      <c r="Q20" s="248">
        <f>85.512+11.634</f>
        <v>97.146000000000001</v>
      </c>
      <c r="R20" s="248">
        <f>86.816+11.503</f>
        <v>98.319000000000003</v>
      </c>
      <c r="S20" s="248">
        <f>88.196+11.564</f>
        <v>99.759999999999991</v>
      </c>
      <c r="T20" s="248">
        <f>89.329+11.625</f>
        <v>100.95399999999999</v>
      </c>
      <c r="U20" s="248">
        <f>91.442+11.607</f>
        <v>103.04899999999999</v>
      </c>
      <c r="V20" s="248">
        <f>91.108+11.549</f>
        <v>102.65700000000001</v>
      </c>
      <c r="W20" s="248">
        <f>90.693+11.745</f>
        <v>102.438</v>
      </c>
      <c r="X20" s="248">
        <f>89.797+11.909</f>
        <v>101.706</v>
      </c>
      <c r="Y20" s="248">
        <f>90.134+12.085</f>
        <v>102.21899999999999</v>
      </c>
      <c r="Z20" s="248">
        <f>90.903+11.537</f>
        <v>102.44000000000001</v>
      </c>
      <c r="AA20" s="248">
        <f>90.383+10.859</f>
        <v>101.24199999999999</v>
      </c>
      <c r="AB20" s="248">
        <f>90.962+11.596</f>
        <v>102.55800000000001</v>
      </c>
      <c r="AC20" s="269">
        <f t="shared" si="4"/>
        <v>1.2998557910748758</v>
      </c>
      <c r="AD20" s="245" t="s">
        <v>34</v>
      </c>
    </row>
    <row r="21" spans="1:30" ht="12.75" customHeight="1" x14ac:dyDescent="0.2">
      <c r="A21" s="234"/>
      <c r="B21" s="241" t="s">
        <v>13</v>
      </c>
      <c r="C21" s="244" t="s">
        <v>41</v>
      </c>
      <c r="D21" s="244" t="s">
        <v>41</v>
      </c>
      <c r="E21" s="243" t="s">
        <v>41</v>
      </c>
      <c r="F21" s="243" t="s">
        <v>41</v>
      </c>
      <c r="G21" s="243" t="s">
        <v>41</v>
      </c>
      <c r="H21" s="243" t="s">
        <v>41</v>
      </c>
      <c r="I21" s="243" t="s">
        <v>41</v>
      </c>
      <c r="J21" s="263">
        <v>1</v>
      </c>
      <c r="K21" s="263">
        <v>1.04</v>
      </c>
      <c r="L21" s="263">
        <v>1.05</v>
      </c>
      <c r="M21" s="263">
        <v>1.06</v>
      </c>
      <c r="N21" s="263">
        <v>1.08</v>
      </c>
      <c r="O21" s="263">
        <v>1.1200000000000001</v>
      </c>
      <c r="P21" s="263">
        <v>1.1599999999999999</v>
      </c>
      <c r="Q21" s="263">
        <v>1.2</v>
      </c>
      <c r="R21" s="263">
        <v>1.28</v>
      </c>
      <c r="S21" s="263">
        <v>1.24</v>
      </c>
      <c r="T21" s="263">
        <v>1.26</v>
      </c>
      <c r="U21" s="263">
        <v>1.28</v>
      </c>
      <c r="V21" s="263">
        <v>1.3</v>
      </c>
      <c r="W21" s="263">
        <v>1.33</v>
      </c>
      <c r="X21" s="263">
        <v>1.2832081221716343</v>
      </c>
      <c r="Y21" s="263">
        <v>1.29</v>
      </c>
      <c r="Z21" s="263">
        <v>1.3250425730630311</v>
      </c>
      <c r="AA21" s="263">
        <v>1.3655790761715423</v>
      </c>
      <c r="AB21" s="263">
        <v>1.3463918995498854</v>
      </c>
      <c r="AC21" s="262">
        <f t="shared" si="4"/>
        <v>-1.4050578949590431</v>
      </c>
      <c r="AD21" s="241" t="s">
        <v>13</v>
      </c>
    </row>
    <row r="22" spans="1:30" s="256" customFormat="1" ht="12.75" customHeight="1" x14ac:dyDescent="0.2">
      <c r="A22" s="261"/>
      <c r="B22" s="245" t="s">
        <v>17</v>
      </c>
      <c r="C22" s="260">
        <v>3.28</v>
      </c>
      <c r="D22" s="260">
        <v>4.55</v>
      </c>
      <c r="E22" s="248">
        <v>5.8620000000000001</v>
      </c>
      <c r="F22" s="280">
        <v>5.3310000000000004</v>
      </c>
      <c r="G22" s="248">
        <v>2.5830000000000002</v>
      </c>
      <c r="H22" s="248">
        <v>1.722</v>
      </c>
      <c r="I22" s="248">
        <v>1.7949999999999999</v>
      </c>
      <c r="J22" s="248">
        <v>1.835</v>
      </c>
      <c r="K22" s="248">
        <v>1.6060000000000001</v>
      </c>
      <c r="L22" s="248">
        <v>1.72</v>
      </c>
      <c r="M22" s="248">
        <v>1.903</v>
      </c>
      <c r="N22" s="248">
        <v>2.3679999999999999</v>
      </c>
      <c r="O22" s="248">
        <v>2.3479999999999999</v>
      </c>
      <c r="P22" s="248">
        <v>2.3050000000000002</v>
      </c>
      <c r="Q22" s="248">
        <v>2.3610000000000002</v>
      </c>
      <c r="R22" s="248">
        <v>2.5499999999999998</v>
      </c>
      <c r="S22" s="248">
        <v>2.6549999999999998</v>
      </c>
      <c r="T22" s="248">
        <v>2.891</v>
      </c>
      <c r="U22" s="248">
        <v>2.78</v>
      </c>
      <c r="V22" s="248">
        <v>2.6440000000000001</v>
      </c>
      <c r="W22" s="248">
        <v>2.5169999999999999</v>
      </c>
      <c r="X22" s="248">
        <v>2.1429999999999998</v>
      </c>
      <c r="Y22" s="248">
        <v>2.3109999999999999</v>
      </c>
      <c r="Z22" s="248">
        <v>2.4119999999999999</v>
      </c>
      <c r="AA22" s="248">
        <v>2.3580000000000001</v>
      </c>
      <c r="AB22" s="248">
        <v>2.319</v>
      </c>
      <c r="AC22" s="269">
        <f t="shared" si="4"/>
        <v>-1.653944020356235</v>
      </c>
      <c r="AD22" s="245" t="s">
        <v>17</v>
      </c>
    </row>
    <row r="23" spans="1:30" ht="12.75" customHeight="1" x14ac:dyDescent="0.2">
      <c r="A23" s="234"/>
      <c r="B23" s="241" t="s">
        <v>18</v>
      </c>
      <c r="C23" s="244" t="s">
        <v>41</v>
      </c>
      <c r="D23" s="244" t="s">
        <v>41</v>
      </c>
      <c r="E23" s="243">
        <v>7.8890000000000002</v>
      </c>
      <c r="F23" s="243">
        <v>7.798</v>
      </c>
      <c r="G23" s="243">
        <v>6.3920000000000003</v>
      </c>
      <c r="H23" s="243">
        <v>4.5220000000000002</v>
      </c>
      <c r="I23" s="243">
        <v>4.6269999999999998</v>
      </c>
      <c r="J23" s="243">
        <f>3.334+0.835</f>
        <v>4.1690000000000005</v>
      </c>
      <c r="K23" s="243">
        <f>2.879+0.722</f>
        <v>3.601</v>
      </c>
      <c r="L23" s="243">
        <f>2.603+0.588</f>
        <v>3.1910000000000003</v>
      </c>
      <c r="M23" s="243">
        <f>2.39+0.574</f>
        <v>2.964</v>
      </c>
      <c r="N23" s="243">
        <f>2.096+0.569</f>
        <v>2.665</v>
      </c>
      <c r="O23" s="243">
        <f>2.266+0.489</f>
        <v>2.7549999999999999</v>
      </c>
      <c r="P23" s="243">
        <v>2.8330000000000002</v>
      </c>
      <c r="Q23" s="243">
        <f>2.508+0.505</f>
        <v>3.0129999999999999</v>
      </c>
      <c r="R23" s="243">
        <f>2.583+0.404</f>
        <v>2.9870000000000001</v>
      </c>
      <c r="S23" s="243">
        <f>3.14+0.409</f>
        <v>3.5489999999999999</v>
      </c>
      <c r="T23" s="243">
        <f>3.267+0.424</f>
        <v>3.6909999999999998</v>
      </c>
      <c r="U23" s="243">
        <f>3.283+0.413</f>
        <v>3.6959999999999997</v>
      </c>
      <c r="V23" s="243">
        <f>3.1703+0.4498</f>
        <v>3.6200999999999999</v>
      </c>
      <c r="W23" s="243">
        <f>2.9521+0.4691</f>
        <v>3.4212000000000002</v>
      </c>
      <c r="X23" s="243">
        <v>2.7746999999999997</v>
      </c>
      <c r="Y23" s="243">
        <f>2.3479+0.3457</f>
        <v>2.6936</v>
      </c>
      <c r="Z23" s="243">
        <v>2.7480000000000002</v>
      </c>
      <c r="AA23" s="243">
        <f>2.387+0.348</f>
        <v>2.7349999999999999</v>
      </c>
      <c r="AB23" s="243">
        <f>2.521+0.326</f>
        <v>2.847</v>
      </c>
      <c r="AC23" s="242">
        <f t="shared" si="4"/>
        <v>4.0950639853747788</v>
      </c>
      <c r="AD23" s="241" t="s">
        <v>18</v>
      </c>
    </row>
    <row r="24" spans="1:30" s="256" customFormat="1" ht="12.75" customHeight="1" x14ac:dyDescent="0.2">
      <c r="A24" s="357"/>
      <c r="B24" s="245" t="s">
        <v>35</v>
      </c>
      <c r="C24" s="277">
        <v>0.4</v>
      </c>
      <c r="D24" s="277">
        <v>0.44</v>
      </c>
      <c r="E24" s="258">
        <v>0.48</v>
      </c>
      <c r="F24" s="258">
        <v>0.49</v>
      </c>
      <c r="G24" s="258">
        <v>0.51</v>
      </c>
      <c r="H24" s="258">
        <v>0.52</v>
      </c>
      <c r="I24" s="258">
        <v>0.53</v>
      </c>
      <c r="J24" s="258">
        <v>0.54</v>
      </c>
      <c r="K24" s="258">
        <v>0.55000000000000004</v>
      </c>
      <c r="L24" s="258">
        <v>0.56000000000000005</v>
      </c>
      <c r="M24" s="258">
        <v>0.56999999999999995</v>
      </c>
      <c r="N24" s="258">
        <v>0.57999999999999996</v>
      </c>
      <c r="O24" s="258">
        <v>0.62</v>
      </c>
      <c r="P24" s="258">
        <v>0.66</v>
      </c>
      <c r="Q24" s="258">
        <v>0.72</v>
      </c>
      <c r="R24" s="258">
        <v>0.74</v>
      </c>
      <c r="S24" s="258">
        <v>0.77</v>
      </c>
      <c r="T24" s="258">
        <v>0.8</v>
      </c>
      <c r="U24" s="258">
        <v>0.82</v>
      </c>
      <c r="V24" s="258">
        <v>0.86</v>
      </c>
      <c r="W24" s="258">
        <v>0.91</v>
      </c>
      <c r="X24" s="258">
        <v>0.90587268823413103</v>
      </c>
      <c r="Y24" s="258">
        <v>0.94</v>
      </c>
      <c r="Z24" s="258">
        <v>0.9876300463226344</v>
      </c>
      <c r="AA24" s="258">
        <v>1.0049122484837048</v>
      </c>
      <c r="AB24" s="258">
        <v>1.0264588947641511</v>
      </c>
      <c r="AC24" s="257">
        <f t="shared" si="4"/>
        <v>2.1441321182976765</v>
      </c>
      <c r="AD24" s="245" t="s">
        <v>35</v>
      </c>
    </row>
    <row r="25" spans="1:30" ht="12.75" customHeight="1" x14ac:dyDescent="0.2">
      <c r="A25" s="234"/>
      <c r="B25" s="241" t="s">
        <v>16</v>
      </c>
      <c r="C25" s="244" t="s">
        <v>41</v>
      </c>
      <c r="D25" s="244" t="s">
        <v>41</v>
      </c>
      <c r="E25" s="243">
        <v>19.260999999999999</v>
      </c>
      <c r="F25" s="243">
        <v>17.332000000000001</v>
      </c>
      <c r="G25" s="243">
        <v>15.971</v>
      </c>
      <c r="H25" s="243">
        <v>15.8</v>
      </c>
      <c r="I25" s="243">
        <v>16.391999999999999</v>
      </c>
      <c r="J25" s="243">
        <v>16.605</v>
      </c>
      <c r="K25" s="243">
        <v>16.564</v>
      </c>
      <c r="L25" s="243">
        <v>16.632000000000001</v>
      </c>
      <c r="M25" s="243">
        <v>17.172000000000001</v>
      </c>
      <c r="N25" s="243">
        <v>17.795999999999999</v>
      </c>
      <c r="O25" s="243">
        <v>18.731999999999999</v>
      </c>
      <c r="P25" s="243">
        <v>18.617000000000001</v>
      </c>
      <c r="Q25" s="243">
        <v>18.898</v>
      </c>
      <c r="R25" s="243">
        <v>18.707000000000001</v>
      </c>
      <c r="S25" s="243">
        <f>11.612+6.312+0.299</f>
        <v>18.222999999999999</v>
      </c>
      <c r="T25" s="243">
        <f>11.53+6.029+0.286</f>
        <v>17.844999999999999</v>
      </c>
      <c r="U25" s="243">
        <f>11.784+5.863+0.283</f>
        <v>17.930000000000003</v>
      </c>
      <c r="V25" s="243">
        <f>11.254+5.613+0.278</f>
        <v>17.145</v>
      </c>
      <c r="W25" s="243">
        <f>11.862+5.515+0.277</f>
        <v>17.654</v>
      </c>
      <c r="X25" s="243">
        <f>11.321+4.759+0.21</f>
        <v>16.29</v>
      </c>
      <c r="Y25" s="243">
        <f>11.776+4.484+0.201</f>
        <v>16.460999999999999</v>
      </c>
      <c r="Z25" s="243">
        <f>11.852+0.197+4.4067046</f>
        <v>16.455704600000001</v>
      </c>
      <c r="AA25" s="243">
        <f>12.553+4.3348054+0.186545</f>
        <v>17.0743504</v>
      </c>
      <c r="AB25" s="243">
        <f>12.606+4.358511+0.1853244</f>
        <v>17.149835400000001</v>
      </c>
      <c r="AC25" s="242">
        <f t="shared" si="4"/>
        <v>0.44209588201962902</v>
      </c>
      <c r="AD25" s="241" t="s">
        <v>16</v>
      </c>
    </row>
    <row r="26" spans="1:30" s="256" customFormat="1" ht="12.75" customHeight="1" x14ac:dyDescent="0.2">
      <c r="A26" s="261"/>
      <c r="B26" s="245" t="s">
        <v>19</v>
      </c>
      <c r="C26" s="260" t="s">
        <v>41</v>
      </c>
      <c r="D26" s="260" t="s">
        <v>41</v>
      </c>
      <c r="E26" s="248" t="s">
        <v>41</v>
      </c>
      <c r="F26" s="248" t="s">
        <v>41</v>
      </c>
      <c r="G26" s="248" t="s">
        <v>41</v>
      </c>
      <c r="H26" s="248" t="s">
        <v>41</v>
      </c>
      <c r="I26" s="248" t="s">
        <v>41</v>
      </c>
      <c r="J26" s="258">
        <v>0.41</v>
      </c>
      <c r="K26" s="258">
        <v>0.42</v>
      </c>
      <c r="L26" s="258">
        <v>0.44</v>
      </c>
      <c r="M26" s="258">
        <v>0.45</v>
      </c>
      <c r="N26" s="258">
        <v>0.45500000000000002</v>
      </c>
      <c r="O26" s="258">
        <v>0.46</v>
      </c>
      <c r="P26" s="258">
        <v>0.47</v>
      </c>
      <c r="Q26" s="258">
        <v>0.48</v>
      </c>
      <c r="R26" s="258">
        <v>0.49</v>
      </c>
      <c r="S26" s="258">
        <v>0.5</v>
      </c>
      <c r="T26" s="258">
        <v>0.49</v>
      </c>
      <c r="U26" s="258">
        <v>0.5</v>
      </c>
      <c r="V26" s="258">
        <v>0.505</v>
      </c>
      <c r="W26" s="258">
        <v>0.51</v>
      </c>
      <c r="X26" s="258">
        <v>0.48488857223887638</v>
      </c>
      <c r="Y26" s="258">
        <v>0.5</v>
      </c>
      <c r="Z26" s="258">
        <v>0.47567815316050804</v>
      </c>
      <c r="AA26" s="258">
        <v>0.47645189540481242</v>
      </c>
      <c r="AB26" s="258">
        <v>0.46847402439797603</v>
      </c>
      <c r="AC26" s="257">
        <f t="shared" si="4"/>
        <v>-1.6744336802476312</v>
      </c>
      <c r="AD26" s="245" t="s">
        <v>19</v>
      </c>
    </row>
    <row r="27" spans="1:30" ht="12.75" customHeight="1" x14ac:dyDescent="0.2">
      <c r="A27" s="234"/>
      <c r="B27" s="241" t="s">
        <v>27</v>
      </c>
      <c r="C27" s="244">
        <v>9.5</v>
      </c>
      <c r="D27" s="272">
        <v>11.2</v>
      </c>
      <c r="E27" s="243">
        <v>13</v>
      </c>
      <c r="F27" s="264">
        <v>12.3</v>
      </c>
      <c r="G27" s="264">
        <v>13.2</v>
      </c>
      <c r="H27" s="264">
        <v>13.05</v>
      </c>
      <c r="I27" s="264">
        <v>12.15</v>
      </c>
      <c r="J27" s="264">
        <v>12</v>
      </c>
      <c r="K27" s="264">
        <v>11.85</v>
      </c>
      <c r="L27" s="264">
        <v>12</v>
      </c>
      <c r="M27" s="264">
        <v>11.7</v>
      </c>
      <c r="N27" s="264">
        <v>11.25</v>
      </c>
      <c r="O27" s="264">
        <v>11.25</v>
      </c>
      <c r="P27" s="263">
        <v>11.4</v>
      </c>
      <c r="Q27" s="264">
        <v>10.8</v>
      </c>
      <c r="R27" s="264">
        <v>11.25</v>
      </c>
      <c r="S27" s="264">
        <v>11.55</v>
      </c>
      <c r="T27" s="263">
        <v>11.75</v>
      </c>
      <c r="U27" s="263">
        <v>12</v>
      </c>
      <c r="V27" s="263">
        <v>12.25</v>
      </c>
      <c r="W27" s="263">
        <v>12.5</v>
      </c>
      <c r="X27" s="263">
        <v>12.0849760885192</v>
      </c>
      <c r="Y27" s="263">
        <v>12.13</v>
      </c>
      <c r="Z27" s="263">
        <v>12.555614035087721</v>
      </c>
      <c r="AA27" s="263">
        <v>11.278771929824563</v>
      </c>
      <c r="AB27" s="263">
        <v>11.704385964912282</v>
      </c>
      <c r="AC27" s="262">
        <f t="shared" si="4"/>
        <v>3.7735849056603712</v>
      </c>
      <c r="AD27" s="241" t="s">
        <v>27</v>
      </c>
    </row>
    <row r="28" spans="1:30" s="256" customFormat="1" ht="12.75" customHeight="1" x14ac:dyDescent="0.2">
      <c r="A28" s="261"/>
      <c r="B28" s="245" t="s">
        <v>36</v>
      </c>
      <c r="C28" s="260">
        <v>9.1</v>
      </c>
      <c r="D28" s="260">
        <v>9.8000000000000007</v>
      </c>
      <c r="E28" s="248">
        <v>7.9690000000000003</v>
      </c>
      <c r="F28" s="248">
        <v>7.9269999999999996</v>
      </c>
      <c r="G28" s="248">
        <v>8.0890000000000004</v>
      </c>
      <c r="H28" s="248">
        <v>8.3309999999999995</v>
      </c>
      <c r="I28" s="248">
        <v>8.4789999999999992</v>
      </c>
      <c r="J28" s="248">
        <v>8.6999999999999993</v>
      </c>
      <c r="K28" s="248">
        <v>8.6989999999999998</v>
      </c>
      <c r="L28" s="248">
        <v>8.7720000000000002</v>
      </c>
      <c r="M28" s="248">
        <v>8.9359999999999999</v>
      </c>
      <c r="N28" s="248">
        <v>8.9429999999999996</v>
      </c>
      <c r="O28" s="248">
        <v>9.2230000000000008</v>
      </c>
      <c r="P28" s="248">
        <v>9.1739999999999995</v>
      </c>
      <c r="Q28" s="248">
        <v>9.282</v>
      </c>
      <c r="R28" s="248">
        <v>9.4529999999999994</v>
      </c>
      <c r="S28" s="248">
        <v>9.5760000000000005</v>
      </c>
      <c r="T28" s="248">
        <v>9.3190000000000008</v>
      </c>
      <c r="U28" s="248">
        <v>9.2189999999999994</v>
      </c>
      <c r="V28" s="248">
        <v>9.7899999999999991</v>
      </c>
      <c r="W28" s="248">
        <v>9.5510000000000002</v>
      </c>
      <c r="X28" s="248">
        <v>8.8239999999999998</v>
      </c>
      <c r="Y28" s="248">
        <v>9.5869999999999997</v>
      </c>
      <c r="Z28" s="248">
        <v>9.5329999999999995</v>
      </c>
      <c r="AA28" s="248">
        <v>9.4949999999999992</v>
      </c>
      <c r="AB28" s="248">
        <v>9.5169999999999995</v>
      </c>
      <c r="AC28" s="269">
        <f t="shared" si="4"/>
        <v>0.2317008952080073</v>
      </c>
      <c r="AD28" s="245" t="s">
        <v>36</v>
      </c>
    </row>
    <row r="29" spans="1:30" ht="12.75" customHeight="1" x14ac:dyDescent="0.2">
      <c r="A29" s="234"/>
      <c r="B29" s="241" t="s">
        <v>20</v>
      </c>
      <c r="C29" s="244">
        <v>29.14</v>
      </c>
      <c r="D29" s="244">
        <v>49.222999999999999</v>
      </c>
      <c r="E29" s="243">
        <v>46.3</v>
      </c>
      <c r="F29" s="243">
        <v>41.72</v>
      </c>
      <c r="G29" s="243">
        <v>39.008000000000003</v>
      </c>
      <c r="H29" s="243">
        <v>37.811</v>
      </c>
      <c r="I29" s="243">
        <v>34.262</v>
      </c>
      <c r="J29" s="243">
        <v>34.024000000000001</v>
      </c>
      <c r="K29" s="243">
        <v>33.984000000000002</v>
      </c>
      <c r="L29" s="243">
        <v>33.128</v>
      </c>
      <c r="M29" s="243">
        <v>34.034999999999997</v>
      </c>
      <c r="N29" s="243">
        <v>33.25</v>
      </c>
      <c r="O29" s="271">
        <v>59.2</v>
      </c>
      <c r="P29" s="243">
        <v>55.4</v>
      </c>
      <c r="Q29" s="243">
        <v>52</v>
      </c>
      <c r="R29" s="243">
        <v>51.6</v>
      </c>
      <c r="S29" s="243">
        <v>51.1</v>
      </c>
      <c r="T29" s="243">
        <v>49.2</v>
      </c>
      <c r="U29" s="243">
        <v>48.7</v>
      </c>
      <c r="V29" s="243">
        <v>47.7</v>
      </c>
      <c r="W29" s="243">
        <v>47.7</v>
      </c>
      <c r="X29" s="243">
        <v>43.9</v>
      </c>
      <c r="Y29" s="243">
        <v>41.7</v>
      </c>
      <c r="Z29" s="243">
        <v>40.1</v>
      </c>
      <c r="AA29" s="243">
        <v>39.418999999999997</v>
      </c>
      <c r="AB29" s="243">
        <v>37.799999999999997</v>
      </c>
      <c r="AC29" s="242">
        <f t="shared" si="4"/>
        <v>-4.1071564473984665</v>
      </c>
      <c r="AD29" s="241" t="s">
        <v>20</v>
      </c>
    </row>
    <row r="30" spans="1:30" s="256" customFormat="1" ht="12.75" customHeight="1" x14ac:dyDescent="0.2">
      <c r="A30" s="261"/>
      <c r="B30" s="245" t="s">
        <v>37</v>
      </c>
      <c r="C30" s="260">
        <v>4.3579999999999997</v>
      </c>
      <c r="D30" s="260">
        <v>7.6</v>
      </c>
      <c r="E30" s="248">
        <v>10.3</v>
      </c>
      <c r="F30" s="248">
        <v>10.7</v>
      </c>
      <c r="G30" s="248">
        <v>11.4</v>
      </c>
      <c r="H30" s="248">
        <v>11.8</v>
      </c>
      <c r="I30" s="248">
        <v>12.55</v>
      </c>
      <c r="J30" s="248">
        <v>11.3</v>
      </c>
      <c r="K30" s="248">
        <v>11.1</v>
      </c>
      <c r="L30" s="248">
        <v>11.6</v>
      </c>
      <c r="M30" s="248">
        <v>11.55</v>
      </c>
      <c r="N30" s="248">
        <v>11.48</v>
      </c>
      <c r="O30" s="248">
        <v>11.821</v>
      </c>
      <c r="P30" s="248">
        <v>11.159000000000001</v>
      </c>
      <c r="Q30" s="248">
        <v>9.9359999999999999</v>
      </c>
      <c r="R30" s="248">
        <v>10.537000000000001</v>
      </c>
      <c r="S30" s="248">
        <v>10.808999999999999</v>
      </c>
      <c r="T30" s="356">
        <v>6.3762631666458827</v>
      </c>
      <c r="U30" s="258">
        <v>6.0643432657910443</v>
      </c>
      <c r="V30" s="258">
        <v>6.248737903312966</v>
      </c>
      <c r="W30" s="258">
        <v>6.2826297525771189</v>
      </c>
      <c r="X30" s="258">
        <v>6.0003599842101911</v>
      </c>
      <c r="Y30" s="258">
        <v>6.0775553426228326</v>
      </c>
      <c r="Z30" s="248">
        <v>6.2309999999999999</v>
      </c>
      <c r="AA30" s="248">
        <v>6.048</v>
      </c>
      <c r="AB30" s="248">
        <v>6.3150000000000004</v>
      </c>
      <c r="AC30" s="257">
        <f t="shared" si="4"/>
        <v>4.4146825396825307</v>
      </c>
      <c r="AD30" s="245" t="s">
        <v>37</v>
      </c>
    </row>
    <row r="31" spans="1:30" ht="12.75" customHeight="1" x14ac:dyDescent="0.2">
      <c r="A31" s="234"/>
      <c r="B31" s="241" t="s">
        <v>21</v>
      </c>
      <c r="C31" s="244">
        <v>7.8579999999999997</v>
      </c>
      <c r="D31" s="244">
        <v>24.015999999999998</v>
      </c>
      <c r="E31" s="243">
        <v>24.007000000000001</v>
      </c>
      <c r="F31" s="243">
        <v>20.835000000000001</v>
      </c>
      <c r="G31" s="243">
        <v>25.649000000000001</v>
      </c>
      <c r="H31" s="278">
        <v>20.512</v>
      </c>
      <c r="I31" s="243">
        <v>14.058</v>
      </c>
      <c r="J31" s="243">
        <v>12.343</v>
      </c>
      <c r="K31" s="243">
        <v>12.842000000000001</v>
      </c>
      <c r="L31" s="243">
        <v>13.531000000000001</v>
      </c>
      <c r="M31" s="263">
        <v>13</v>
      </c>
      <c r="N31" s="263">
        <v>12.5</v>
      </c>
      <c r="O31" s="263">
        <v>12</v>
      </c>
      <c r="P31" s="263">
        <v>11.5</v>
      </c>
      <c r="Q31" s="263">
        <v>11.5</v>
      </c>
      <c r="R31" s="263">
        <v>11.5</v>
      </c>
      <c r="S31" s="263">
        <v>11.5</v>
      </c>
      <c r="T31" s="243">
        <v>11.811999999999999</v>
      </c>
      <c r="U31" s="243">
        <v>11.734999999999999</v>
      </c>
      <c r="V31" s="243">
        <v>12.156000000000001</v>
      </c>
      <c r="W31" s="278">
        <v>13.88</v>
      </c>
      <c r="X31" s="243">
        <v>12.805</v>
      </c>
      <c r="Y31" s="243">
        <v>11.955</v>
      </c>
      <c r="Z31" s="243">
        <v>11.773</v>
      </c>
      <c r="AA31" s="243">
        <v>12.584</v>
      </c>
      <c r="AB31" s="243">
        <v>12.923</v>
      </c>
      <c r="AC31" s="262">
        <f t="shared" si="4"/>
        <v>2.6938970120788213</v>
      </c>
      <c r="AD31" s="241" t="s">
        <v>21</v>
      </c>
    </row>
    <row r="32" spans="1:30" s="256" customFormat="1" ht="12.75" customHeight="1" x14ac:dyDescent="0.2">
      <c r="A32" s="261"/>
      <c r="B32" s="245" t="s">
        <v>23</v>
      </c>
      <c r="C32" s="260">
        <v>2.6419999999999999</v>
      </c>
      <c r="D32" s="260">
        <v>4.9249999999999998</v>
      </c>
      <c r="E32" s="248">
        <v>6.508</v>
      </c>
      <c r="F32" s="248">
        <v>5.5540000000000003</v>
      </c>
      <c r="G32" s="248">
        <v>4.17</v>
      </c>
      <c r="H32" s="248">
        <v>3.8940000000000001</v>
      </c>
      <c r="I32" s="248">
        <v>4.0529999999999999</v>
      </c>
      <c r="J32" s="248">
        <v>4.1130000000000004</v>
      </c>
      <c r="K32" s="248">
        <v>4.3010000000000002</v>
      </c>
      <c r="L32" s="248">
        <v>4.3789999999999996</v>
      </c>
      <c r="M32" s="248">
        <v>3.8759999999999999</v>
      </c>
      <c r="N32" s="248">
        <v>4.1379999999999999</v>
      </c>
      <c r="O32" s="248">
        <v>3.5019999999999998</v>
      </c>
      <c r="P32" s="248">
        <v>3.3929999999999998</v>
      </c>
      <c r="Q32" s="248">
        <v>3.339</v>
      </c>
      <c r="R32" s="248">
        <v>3.4460000000000002</v>
      </c>
      <c r="S32" s="248">
        <v>3.218</v>
      </c>
      <c r="T32" s="248">
        <v>3.0619999999999998</v>
      </c>
      <c r="U32" s="248">
        <v>3.133</v>
      </c>
      <c r="V32" s="248">
        <v>3.2349999999999999</v>
      </c>
      <c r="W32" s="248">
        <v>3.1459999999999999</v>
      </c>
      <c r="X32" s="248">
        <v>3.1960000000000002</v>
      </c>
      <c r="Y32" s="248">
        <v>3.1829999999999998</v>
      </c>
      <c r="Z32" s="258">
        <v>3.244143134443557</v>
      </c>
      <c r="AA32" s="258">
        <v>3.2370370249757103</v>
      </c>
      <c r="AB32" s="258">
        <v>3.3223001768851614</v>
      </c>
      <c r="AC32" s="269">
        <f t="shared" si="4"/>
        <v>2.6339875401978361</v>
      </c>
      <c r="AD32" s="245" t="s">
        <v>23</v>
      </c>
    </row>
    <row r="33" spans="1:30" ht="12.75" customHeight="1" x14ac:dyDescent="0.2">
      <c r="A33" s="234"/>
      <c r="B33" s="241" t="s">
        <v>22</v>
      </c>
      <c r="C33" s="274"/>
      <c r="D33" s="274"/>
      <c r="E33" s="273"/>
      <c r="F33" s="243"/>
      <c r="G33" s="243"/>
      <c r="H33" s="243"/>
      <c r="I33" s="243"/>
      <c r="J33" s="243">
        <f>11.191+3.25</f>
        <v>14.441000000000001</v>
      </c>
      <c r="K33" s="243">
        <f>11.1+3.38</f>
        <v>14.48</v>
      </c>
      <c r="L33" s="243">
        <f>9.969+3.5</f>
        <v>13.468999999999999</v>
      </c>
      <c r="M33" s="243">
        <f>8.84+3.62</f>
        <v>12.46</v>
      </c>
      <c r="N33" s="243">
        <f>7.833+3.52</f>
        <v>11.353</v>
      </c>
      <c r="O33" s="263">
        <v>9.3174635000000006</v>
      </c>
      <c r="P33" s="263">
        <v>9.2456372200000008</v>
      </c>
      <c r="Q33" s="263">
        <v>9.2487883699999998</v>
      </c>
      <c r="R33" s="263">
        <v>8.7739943999999994</v>
      </c>
      <c r="S33" s="263">
        <v>8.8497632300000006</v>
      </c>
      <c r="T33" s="263">
        <v>8.5377824600000007</v>
      </c>
      <c r="U33" s="263">
        <v>8.6835740000000001</v>
      </c>
      <c r="V33" s="263">
        <v>8.6520620000000008</v>
      </c>
      <c r="W33" s="263">
        <v>7.4487155999999999</v>
      </c>
      <c r="X33" s="263">
        <v>5.3743368</v>
      </c>
      <c r="Y33" s="263">
        <v>5.2707794999999997</v>
      </c>
      <c r="Z33" s="263">
        <v>5.4770729099999995</v>
      </c>
      <c r="AA33" s="263">
        <v>5.4320914300000007</v>
      </c>
      <c r="AB33" s="263">
        <f>4.388+((219.763+60.719)*3.1)/1000</f>
        <v>5.2574942</v>
      </c>
      <c r="AC33" s="262">
        <f t="shared" si="4"/>
        <v>-3.214180619931156</v>
      </c>
      <c r="AD33" s="241" t="s">
        <v>22</v>
      </c>
    </row>
    <row r="34" spans="1:30" ht="12.75" customHeight="1" x14ac:dyDescent="0.2">
      <c r="A34" s="234"/>
      <c r="B34" s="245" t="s">
        <v>38</v>
      </c>
      <c r="C34" s="260">
        <v>7.5</v>
      </c>
      <c r="D34" s="260">
        <v>8.5</v>
      </c>
      <c r="E34" s="248">
        <v>8.5</v>
      </c>
      <c r="F34" s="248">
        <v>8.1</v>
      </c>
      <c r="G34" s="248">
        <v>8</v>
      </c>
      <c r="H34" s="248">
        <v>8</v>
      </c>
      <c r="I34" s="248">
        <v>8</v>
      </c>
      <c r="J34" s="248">
        <v>8</v>
      </c>
      <c r="K34" s="248">
        <v>8</v>
      </c>
      <c r="L34" s="248">
        <v>8</v>
      </c>
      <c r="M34" s="248">
        <v>7.8</v>
      </c>
      <c r="N34" s="248">
        <v>7.6</v>
      </c>
      <c r="O34" s="248">
        <v>7.7</v>
      </c>
      <c r="P34" s="248">
        <v>7.7</v>
      </c>
      <c r="Q34" s="248">
        <v>7.7</v>
      </c>
      <c r="R34" s="248">
        <v>7.67</v>
      </c>
      <c r="S34" s="248">
        <v>7.6050000000000004</v>
      </c>
      <c r="T34" s="248">
        <v>7.54</v>
      </c>
      <c r="U34" s="248">
        <v>7.54</v>
      </c>
      <c r="V34" s="248">
        <v>7.54</v>
      </c>
      <c r="W34" s="248">
        <v>7.54</v>
      </c>
      <c r="X34" s="248">
        <v>7.54</v>
      </c>
      <c r="Y34" s="248">
        <v>7.54</v>
      </c>
      <c r="Z34" s="248">
        <v>7.54</v>
      </c>
      <c r="AA34" s="248">
        <v>7.54</v>
      </c>
      <c r="AB34" s="248">
        <v>7.54</v>
      </c>
      <c r="AC34" s="269">
        <f t="shared" si="4"/>
        <v>0</v>
      </c>
      <c r="AD34" s="245" t="s">
        <v>38</v>
      </c>
    </row>
    <row r="35" spans="1:30" ht="12.75" customHeight="1" x14ac:dyDescent="0.2">
      <c r="A35" s="234"/>
      <c r="B35" s="241" t="s">
        <v>39</v>
      </c>
      <c r="C35" s="244">
        <v>5.5</v>
      </c>
      <c r="D35" s="272">
        <v>7.3</v>
      </c>
      <c r="E35" s="243">
        <v>9.6635653963577433</v>
      </c>
      <c r="F35" s="243">
        <v>9.6778711795402756</v>
      </c>
      <c r="G35" s="243">
        <v>9.6995793412478779</v>
      </c>
      <c r="H35" s="243">
        <v>9.4212064737659045</v>
      </c>
      <c r="I35" s="243">
        <v>9.5313567300668325</v>
      </c>
      <c r="J35" s="243">
        <v>9.7031829883458602</v>
      </c>
      <c r="K35" s="243">
        <v>9.8158816424687956</v>
      </c>
      <c r="L35" s="243">
        <v>9.8222182493582775</v>
      </c>
      <c r="M35" s="243">
        <v>9.7775213602288478</v>
      </c>
      <c r="N35" s="243">
        <v>9.7557506258374378</v>
      </c>
      <c r="O35" s="243">
        <v>9.4515166315415957</v>
      </c>
      <c r="P35" s="243">
        <v>9.1926882788262816</v>
      </c>
      <c r="Q35" s="243">
        <v>9.2699308426758886</v>
      </c>
      <c r="R35" s="243">
        <v>9.1265747636135206</v>
      </c>
      <c r="S35" s="243">
        <v>8.895604098507814</v>
      </c>
      <c r="T35" s="243">
        <v>8.76</v>
      </c>
      <c r="U35" s="243">
        <v>8.7200000000000006</v>
      </c>
      <c r="V35" s="243">
        <v>8.76</v>
      </c>
      <c r="W35" s="243">
        <v>8.52</v>
      </c>
      <c r="X35" s="243">
        <v>8.52</v>
      </c>
      <c r="Y35" s="243">
        <v>8.56</v>
      </c>
      <c r="Z35" s="243">
        <v>8.73</v>
      </c>
      <c r="AA35" s="243">
        <v>8.651341805131489</v>
      </c>
      <c r="AB35" s="243">
        <v>8.6655929346081493</v>
      </c>
      <c r="AC35" s="242">
        <f t="shared" si="4"/>
        <v>0.164727389087858</v>
      </c>
      <c r="AD35" s="241" t="s">
        <v>39</v>
      </c>
    </row>
    <row r="36" spans="1:30" ht="12.75" customHeight="1" x14ac:dyDescent="0.2">
      <c r="A36" s="234"/>
      <c r="B36" s="236" t="s">
        <v>28</v>
      </c>
      <c r="C36" s="355">
        <f>60.2+1.5</f>
        <v>61.7</v>
      </c>
      <c r="D36" s="355">
        <f>52.2+1.5</f>
        <v>53.7</v>
      </c>
      <c r="E36" s="353">
        <v>47.1</v>
      </c>
      <c r="F36" s="353">
        <v>45.2</v>
      </c>
      <c r="G36" s="353">
        <v>44</v>
      </c>
      <c r="H36" s="353">
        <v>45.3</v>
      </c>
      <c r="I36" s="353">
        <v>45.2</v>
      </c>
      <c r="J36" s="353">
        <v>44.8</v>
      </c>
      <c r="K36" s="353">
        <v>44.7</v>
      </c>
      <c r="L36" s="353">
        <v>45.5</v>
      </c>
      <c r="M36" s="353">
        <v>46.4</v>
      </c>
      <c r="N36" s="353">
        <v>47.7</v>
      </c>
      <c r="O36" s="353">
        <v>48</v>
      </c>
      <c r="P36" s="353">
        <v>48.04</v>
      </c>
      <c r="Q36" s="353">
        <v>42.1</v>
      </c>
      <c r="R36" s="354">
        <v>46.1</v>
      </c>
      <c r="S36" s="353">
        <v>42.5</v>
      </c>
      <c r="T36" s="353">
        <v>44</v>
      </c>
      <c r="U36" s="353">
        <v>42</v>
      </c>
      <c r="V36" s="353">
        <v>42.2</v>
      </c>
      <c r="W36" s="353">
        <v>44.7</v>
      </c>
      <c r="X36" s="353">
        <v>45.7</v>
      </c>
      <c r="Y36" s="353">
        <v>46.2</v>
      </c>
      <c r="Z36" s="353">
        <v>44.1</v>
      </c>
      <c r="AA36" s="353">
        <v>43.7</v>
      </c>
      <c r="AB36" s="353">
        <v>41.9</v>
      </c>
      <c r="AC36" s="352">
        <f t="shared" si="4"/>
        <v>-4.1189931350114506</v>
      </c>
      <c r="AD36" s="236" t="s">
        <v>28</v>
      </c>
    </row>
    <row r="37" spans="1:30" ht="12.75" customHeight="1" x14ac:dyDescent="0.2">
      <c r="A37" s="234"/>
      <c r="B37" s="241" t="s">
        <v>122</v>
      </c>
      <c r="C37" s="244">
        <v>0.77600000000000002</v>
      </c>
      <c r="D37" s="244">
        <v>1.421</v>
      </c>
      <c r="E37" s="243">
        <v>2.1739999999999999</v>
      </c>
      <c r="F37" s="243">
        <v>1.28</v>
      </c>
      <c r="G37" s="243">
        <v>0.51500000000000001</v>
      </c>
      <c r="H37" s="243">
        <v>0.307</v>
      </c>
      <c r="I37" s="243">
        <v>0.19700000000000001</v>
      </c>
      <c r="J37" s="243">
        <v>0.19600000000000001</v>
      </c>
      <c r="K37" s="243">
        <v>0.223</v>
      </c>
      <c r="L37" s="243">
        <v>0.19</v>
      </c>
      <c r="M37" s="243">
        <v>0.19</v>
      </c>
      <c r="N37" s="243">
        <v>0.221</v>
      </c>
      <c r="O37" s="243">
        <v>0.184</v>
      </c>
      <c r="P37" s="243">
        <v>0.19700000000000001</v>
      </c>
      <c r="Q37" s="243">
        <v>0.159</v>
      </c>
      <c r="R37" s="243">
        <v>0.17599999999999999</v>
      </c>
      <c r="S37" s="243">
        <v>0.14099999999999999</v>
      </c>
      <c r="T37" s="243">
        <v>0.28000000000000003</v>
      </c>
      <c r="U37" s="243">
        <v>0.48</v>
      </c>
      <c r="V37" s="243">
        <v>0.66300000000000003</v>
      </c>
      <c r="W37" s="243">
        <v>0.79</v>
      </c>
      <c r="X37" s="243">
        <v>1.302</v>
      </c>
      <c r="Y37" s="243">
        <v>2.37</v>
      </c>
      <c r="Z37" s="243">
        <v>1.254</v>
      </c>
      <c r="AA37" s="243">
        <v>0.98299999999999998</v>
      </c>
      <c r="AB37" s="243">
        <v>1.0629999999999999</v>
      </c>
      <c r="AC37" s="242">
        <f t="shared" si="4"/>
        <v>8.1383519837232967</v>
      </c>
      <c r="AD37" s="241" t="s">
        <v>122</v>
      </c>
    </row>
    <row r="38" spans="1:30" ht="12.75" customHeight="1" x14ac:dyDescent="0.2">
      <c r="A38" s="234"/>
      <c r="B38" s="245" t="s">
        <v>111</v>
      </c>
      <c r="C38" s="277"/>
      <c r="D38" s="277"/>
      <c r="E38" s="258"/>
      <c r="F38" s="258"/>
      <c r="G38" s="258"/>
      <c r="H38" s="258"/>
      <c r="I38" s="258"/>
      <c r="J38" s="258"/>
      <c r="K38" s="258"/>
      <c r="L38" s="258"/>
      <c r="M38" s="258"/>
      <c r="N38" s="258"/>
      <c r="O38" s="258"/>
      <c r="P38" s="258"/>
      <c r="Q38" s="258"/>
      <c r="R38" s="258"/>
      <c r="S38" s="258"/>
      <c r="T38" s="258"/>
      <c r="U38" s="258"/>
      <c r="V38" s="258"/>
      <c r="W38" s="248">
        <v>0.124</v>
      </c>
      <c r="X38" s="248">
        <v>0.10199999999999999</v>
      </c>
      <c r="Y38" s="248">
        <v>8.1000000000000003E-2</v>
      </c>
      <c r="Z38" s="248">
        <v>0.08</v>
      </c>
      <c r="AA38" s="248">
        <v>0.112</v>
      </c>
      <c r="AB38" s="248">
        <v>0.108802</v>
      </c>
      <c r="AC38" s="269">
        <f t="shared" si="4"/>
        <v>-2.8553571428571445</v>
      </c>
      <c r="AD38" s="245" t="s">
        <v>111</v>
      </c>
    </row>
    <row r="39" spans="1:30" s="256" customFormat="1" ht="12.75" customHeight="1" x14ac:dyDescent="0.2">
      <c r="A39" s="261"/>
      <c r="B39" s="241" t="s">
        <v>6</v>
      </c>
      <c r="C39" s="274"/>
      <c r="D39" s="274"/>
      <c r="E39" s="273"/>
      <c r="F39" s="243"/>
      <c r="G39" s="243"/>
      <c r="H39" s="243"/>
      <c r="I39" s="243"/>
      <c r="J39" s="263">
        <v>0.9</v>
      </c>
      <c r="K39" s="263">
        <v>0.9</v>
      </c>
      <c r="L39" s="263">
        <v>0.9</v>
      </c>
      <c r="M39" s="263">
        <v>0.9</v>
      </c>
      <c r="N39" s="263">
        <v>0.9</v>
      </c>
      <c r="O39" s="263">
        <v>0.9</v>
      </c>
      <c r="P39" s="243">
        <v>0.83099999999999996</v>
      </c>
      <c r="Q39" s="263">
        <v>1</v>
      </c>
      <c r="R39" s="243">
        <v>1.3440000000000001</v>
      </c>
      <c r="S39" s="243">
        <v>1.1100000000000001</v>
      </c>
      <c r="T39" s="243">
        <v>1.0860000000000001</v>
      </c>
      <c r="U39" s="243">
        <v>1.016</v>
      </c>
      <c r="V39" s="243">
        <v>1.0269999999999999</v>
      </c>
      <c r="W39" s="243">
        <v>1.2390000000000001</v>
      </c>
      <c r="X39" s="243">
        <v>1.2130000000000001</v>
      </c>
      <c r="Y39" s="243">
        <f>1.441</f>
        <v>1.4410000000000001</v>
      </c>
      <c r="Z39" s="243">
        <v>1.64</v>
      </c>
      <c r="AA39" s="243">
        <v>1.403</v>
      </c>
      <c r="AB39" s="243">
        <v>1.395</v>
      </c>
      <c r="AC39" s="242">
        <f t="shared" si="4"/>
        <v>-0.57020669992871831</v>
      </c>
      <c r="AD39" s="241" t="s">
        <v>6</v>
      </c>
    </row>
    <row r="40" spans="1:30" s="256" customFormat="1" ht="12.75" customHeight="1" x14ac:dyDescent="0.2">
      <c r="A40" s="261"/>
      <c r="B40" s="245" t="s">
        <v>112</v>
      </c>
      <c r="C40" s="350"/>
      <c r="D40" s="350"/>
      <c r="E40" s="349"/>
      <c r="F40" s="248"/>
      <c r="G40" s="248"/>
      <c r="H40" s="248"/>
      <c r="I40" s="248"/>
      <c r="J40" s="258"/>
      <c r="K40" s="258"/>
      <c r="L40" s="258"/>
      <c r="M40" s="258"/>
      <c r="N40" s="258"/>
      <c r="O40" s="258"/>
      <c r="P40" s="248"/>
      <c r="Q40" s="258"/>
      <c r="R40" s="248"/>
      <c r="S40" s="248"/>
      <c r="T40" s="248"/>
      <c r="U40" s="248"/>
      <c r="V40" s="248"/>
      <c r="W40" s="258"/>
      <c r="X40" s="258">
        <v>6.9497292599420595</v>
      </c>
      <c r="Y40" s="258">
        <v>7.1218990578734855</v>
      </c>
      <c r="Z40" s="258">
        <v>7.1643603017689914</v>
      </c>
      <c r="AA40" s="258">
        <v>7.1235192207792206</v>
      </c>
      <c r="AB40" s="258">
        <v>7.0559928747602081</v>
      </c>
      <c r="AC40" s="269">
        <f t="shared" si="4"/>
        <v>-0.94793519784489888</v>
      </c>
      <c r="AD40" s="245" t="s">
        <v>112</v>
      </c>
    </row>
    <row r="41" spans="1:30" ht="12.75" customHeight="1" x14ac:dyDescent="0.2">
      <c r="A41" s="234"/>
      <c r="B41" s="250" t="s">
        <v>24</v>
      </c>
      <c r="C41" s="244" t="s">
        <v>41</v>
      </c>
      <c r="D41" s="244" t="s">
        <v>41</v>
      </c>
      <c r="E41" s="243" t="s">
        <v>41</v>
      </c>
      <c r="F41" s="243" t="s">
        <v>41</v>
      </c>
      <c r="G41" s="243" t="s">
        <v>41</v>
      </c>
      <c r="H41" s="243">
        <v>86.914000000000001</v>
      </c>
      <c r="I41" s="243">
        <v>79.17</v>
      </c>
      <c r="J41" s="243">
        <v>85.674000000000007</v>
      </c>
      <c r="K41" s="243">
        <v>91.658000000000001</v>
      </c>
      <c r="L41" s="243">
        <v>95.36</v>
      </c>
      <c r="M41" s="243">
        <v>94.914000000000001</v>
      </c>
      <c r="N41" s="243">
        <v>91.263000000000005</v>
      </c>
      <c r="O41" s="243">
        <v>87.391000000000005</v>
      </c>
      <c r="P41" s="243">
        <v>76.8</v>
      </c>
      <c r="Q41" s="263">
        <v>80</v>
      </c>
      <c r="R41" s="263">
        <v>81</v>
      </c>
      <c r="S41" s="263">
        <v>85</v>
      </c>
      <c r="T41" s="263">
        <v>95</v>
      </c>
      <c r="U41" s="263">
        <v>100</v>
      </c>
      <c r="V41" s="263">
        <v>105</v>
      </c>
      <c r="W41" s="263">
        <v>110</v>
      </c>
      <c r="X41" s="253">
        <v>88.426000000000002</v>
      </c>
      <c r="Y41" s="243">
        <v>89.055999999999997</v>
      </c>
      <c r="Z41" s="243">
        <v>95.334000000000003</v>
      </c>
      <c r="AA41" s="243">
        <v>96.558999999999997</v>
      </c>
      <c r="AB41" s="243">
        <v>94.846000000000004</v>
      </c>
      <c r="AC41" s="348">
        <f t="shared" si="4"/>
        <v>-1.7740448844747618</v>
      </c>
      <c r="AD41" s="250" t="s">
        <v>24</v>
      </c>
    </row>
    <row r="42" spans="1:30" s="256" customFormat="1" ht="12.75" customHeight="1" x14ac:dyDescent="0.2">
      <c r="A42" s="261"/>
      <c r="B42" s="245" t="s">
        <v>10</v>
      </c>
      <c r="C42" s="249" t="s">
        <v>41</v>
      </c>
      <c r="D42" s="249" t="s">
        <v>41</v>
      </c>
      <c r="E42" s="247" t="s">
        <v>41</v>
      </c>
      <c r="F42" s="247" t="s">
        <v>41</v>
      </c>
      <c r="G42" s="247" t="s">
        <v>41</v>
      </c>
      <c r="H42" s="247" t="s">
        <v>41</v>
      </c>
      <c r="I42" s="247" t="s">
        <v>41</v>
      </c>
      <c r="J42" s="247">
        <v>0.38900000000000001</v>
      </c>
      <c r="K42" s="247">
        <v>0.40799999999999997</v>
      </c>
      <c r="L42" s="247">
        <v>0.433</v>
      </c>
      <c r="M42" s="247">
        <v>0.45800000000000002</v>
      </c>
      <c r="N42" s="247">
        <v>0.46800000000000003</v>
      </c>
      <c r="O42" s="247">
        <v>0.48499999999999999</v>
      </c>
      <c r="P42" s="247">
        <v>0.50800000000000001</v>
      </c>
      <c r="Q42" s="247">
        <v>0.52300000000000002</v>
      </c>
      <c r="R42" s="247">
        <v>0.53700000000000003</v>
      </c>
      <c r="S42" s="247">
        <v>0.55400000000000005</v>
      </c>
      <c r="T42" s="247">
        <v>0.58699999999999997</v>
      </c>
      <c r="U42" s="247">
        <v>0.622</v>
      </c>
      <c r="V42" s="247">
        <v>0.65300000000000002</v>
      </c>
      <c r="W42" s="247">
        <v>0.63600000000000001</v>
      </c>
      <c r="X42" s="247">
        <v>0.64400000000000002</v>
      </c>
      <c r="Y42" s="247">
        <v>0.63800000000000001</v>
      </c>
      <c r="Z42" s="247">
        <v>0.61499999999999999</v>
      </c>
      <c r="AA42" s="247">
        <v>0.622</v>
      </c>
      <c r="AB42" s="247">
        <v>0.64</v>
      </c>
      <c r="AC42" s="246">
        <f t="shared" si="4"/>
        <v>2.8938906752411526</v>
      </c>
      <c r="AD42" s="245" t="s">
        <v>10</v>
      </c>
    </row>
    <row r="43" spans="1:30" ht="12.75" customHeight="1" x14ac:dyDescent="0.2">
      <c r="A43" s="234"/>
      <c r="B43" s="241" t="s">
        <v>40</v>
      </c>
      <c r="C43" s="244">
        <v>3.726</v>
      </c>
      <c r="D43" s="244">
        <v>4.2569999999999997</v>
      </c>
      <c r="E43" s="243">
        <v>3.89</v>
      </c>
      <c r="F43" s="243">
        <v>3.9350000000000001</v>
      </c>
      <c r="G43" s="243">
        <v>3.9350000000000001</v>
      </c>
      <c r="H43" s="243">
        <v>3.9350000000000001</v>
      </c>
      <c r="I43" s="243">
        <v>4</v>
      </c>
      <c r="J43" s="243">
        <v>3.7519999999999998</v>
      </c>
      <c r="K43" s="243">
        <v>4.117</v>
      </c>
      <c r="L43" s="243">
        <v>4.2480000000000002</v>
      </c>
      <c r="M43" s="243">
        <v>4.2119999999999997</v>
      </c>
      <c r="N43" s="243">
        <v>4.1769999999999996</v>
      </c>
      <c r="O43" s="243">
        <v>4.141</v>
      </c>
      <c r="P43" s="243">
        <v>4.1050000000000004</v>
      </c>
      <c r="Q43" s="243">
        <v>4.125</v>
      </c>
      <c r="R43" s="243">
        <v>4.0049999999999999</v>
      </c>
      <c r="S43" s="243">
        <v>4.2309999999999999</v>
      </c>
      <c r="T43" s="243">
        <v>4.3120000000000003</v>
      </c>
      <c r="U43" s="243">
        <v>4.258</v>
      </c>
      <c r="V43" s="243">
        <v>4.2679999999999998</v>
      </c>
      <c r="W43" s="243">
        <v>4.3600000000000003</v>
      </c>
      <c r="X43" s="243">
        <v>4.4009999999999998</v>
      </c>
      <c r="Y43" s="243">
        <f>4.506</f>
        <v>4.5060000000000002</v>
      </c>
      <c r="Z43" s="243">
        <v>4.7480000000000002</v>
      </c>
      <c r="AA43" s="243">
        <v>3.7879999999999998</v>
      </c>
      <c r="AB43" s="243">
        <v>3.738</v>
      </c>
      <c r="AC43" s="242">
        <f t="shared" si="4"/>
        <v>-1.3199577613516311</v>
      </c>
      <c r="AD43" s="241" t="s">
        <v>40</v>
      </c>
    </row>
    <row r="44" spans="1:30" s="256" customFormat="1" ht="12.75" customHeight="1" x14ac:dyDescent="0.2">
      <c r="A44" s="261"/>
      <c r="B44" s="236" t="s">
        <v>11</v>
      </c>
      <c r="C44" s="240">
        <v>1.885</v>
      </c>
      <c r="D44" s="240">
        <v>2.4860000000000002</v>
      </c>
      <c r="E44" s="238">
        <v>3.3180000000000001</v>
      </c>
      <c r="F44" s="238">
        <v>3.6269999999999998</v>
      </c>
      <c r="G44" s="238">
        <v>3.5830000000000002</v>
      </c>
      <c r="H44" s="238">
        <v>3.5390000000000001</v>
      </c>
      <c r="I44" s="270">
        <v>3.5310000000000001</v>
      </c>
      <c r="J44" s="238">
        <f>2.3881+0.8137+2.327</f>
        <v>5.5288000000000004</v>
      </c>
      <c r="K44" s="238">
        <f>2.2944+0.8259+2.304</f>
        <v>5.4242999999999997</v>
      </c>
      <c r="L44" s="238">
        <f>2.2758+0.8245+2.287</f>
        <v>5.3872999999999998</v>
      </c>
      <c r="M44" s="239">
        <f>0.547+2.0788+2.129</f>
        <v>4.7548000000000004</v>
      </c>
      <c r="N44" s="238">
        <f>0.529+2.1269+2.069</f>
        <v>4.7248999999999999</v>
      </c>
      <c r="O44" s="238">
        <f>0.5283+2.1834+2.087</f>
        <v>4.7987000000000002</v>
      </c>
      <c r="P44" s="238">
        <f>0.5267+2.3116+2.01</f>
        <v>4.8483000000000001</v>
      </c>
      <c r="Q44" s="238">
        <f>0.5281+2.3648+1.968</f>
        <v>4.8609</v>
      </c>
      <c r="R44" s="238">
        <f>0.5193+2.4579+2.017</f>
        <v>4.9941999999999993</v>
      </c>
      <c r="S44" s="238">
        <f>0.5348+2.4569+2.066</f>
        <v>5.0577000000000005</v>
      </c>
      <c r="T44" s="238">
        <v>5.3114999999999997</v>
      </c>
      <c r="U44" s="238">
        <v>5.6021000000000001</v>
      </c>
      <c r="V44" s="238">
        <v>5.673</v>
      </c>
      <c r="W44" s="238">
        <v>5.3265000000000002</v>
      </c>
      <c r="X44" s="238">
        <v>5.4176910015999997</v>
      </c>
      <c r="Y44" s="238">
        <v>5.5076538815999996</v>
      </c>
      <c r="Z44" s="238">
        <v>5.6060850047999997</v>
      </c>
      <c r="AA44" s="238">
        <v>5.7069478847999999</v>
      </c>
      <c r="AB44" s="238">
        <v>5.7751977792</v>
      </c>
      <c r="AC44" s="237">
        <f t="shared" si="4"/>
        <v>1.1959088426543758</v>
      </c>
      <c r="AD44" s="236" t="s">
        <v>11</v>
      </c>
    </row>
    <row r="45" spans="1:30" ht="15" customHeight="1" x14ac:dyDescent="0.2">
      <c r="B45" s="347" t="s">
        <v>110</v>
      </c>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6"/>
    </row>
    <row r="46" spans="1:30" ht="12.75" customHeight="1" x14ac:dyDescent="0.2">
      <c r="B46" s="345" t="s">
        <v>5</v>
      </c>
      <c r="C46" s="344"/>
      <c r="D46" s="228"/>
      <c r="E46" s="228"/>
      <c r="F46" s="228"/>
      <c r="G46" s="228"/>
      <c r="H46" s="343"/>
      <c r="I46" s="228"/>
      <c r="J46" s="228"/>
      <c r="K46" s="229"/>
      <c r="L46" s="228"/>
      <c r="M46" s="227"/>
      <c r="N46" s="227"/>
      <c r="O46" s="228"/>
      <c r="P46" s="227"/>
      <c r="Q46" s="227"/>
      <c r="R46" s="342"/>
      <c r="S46" s="341"/>
      <c r="T46" s="341"/>
      <c r="U46" s="341"/>
      <c r="V46" s="341"/>
      <c r="W46" s="341"/>
      <c r="X46" s="341"/>
      <c r="Y46" s="341"/>
      <c r="Z46" s="341"/>
      <c r="AA46" s="341"/>
      <c r="AB46" s="341"/>
      <c r="AC46" s="341"/>
    </row>
    <row r="47" spans="1:30" s="223" customFormat="1" ht="12.75" customHeight="1" x14ac:dyDescent="0.2">
      <c r="B47" s="223" t="s">
        <v>131</v>
      </c>
      <c r="D47" s="339"/>
      <c r="E47" s="339"/>
      <c r="F47" s="339"/>
      <c r="G47" s="339"/>
      <c r="H47" s="339"/>
      <c r="I47" s="339"/>
      <c r="J47" s="339"/>
      <c r="K47" s="339"/>
      <c r="L47" s="339"/>
      <c r="M47" s="339"/>
      <c r="N47" s="339"/>
      <c r="O47" s="339"/>
      <c r="P47" s="339"/>
      <c r="Q47" s="339"/>
      <c r="R47" s="339"/>
    </row>
    <row r="48" spans="1:30" s="223" customFormat="1" ht="12.75" customHeight="1" x14ac:dyDescent="0.2">
      <c r="B48" s="501" t="s">
        <v>127</v>
      </c>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row>
    <row r="49" spans="2:30" s="223" customFormat="1" ht="11.25" customHeight="1" x14ac:dyDescent="0.2">
      <c r="B49" s="340" t="s">
        <v>86</v>
      </c>
      <c r="D49" s="339"/>
      <c r="E49" s="339"/>
      <c r="F49" s="339"/>
      <c r="G49" s="339"/>
      <c r="H49" s="339"/>
      <c r="I49" s="339"/>
      <c r="J49" s="339"/>
      <c r="K49" s="339"/>
      <c r="L49" s="339"/>
      <c r="M49" s="339"/>
      <c r="N49" s="339"/>
      <c r="O49" s="339"/>
      <c r="P49" s="339"/>
      <c r="Q49" s="339"/>
      <c r="R49" s="339"/>
      <c r="S49" s="339"/>
      <c r="T49" s="219"/>
      <c r="U49" s="219"/>
      <c r="V49" s="219"/>
      <c r="W49" s="219"/>
      <c r="X49" s="219"/>
      <c r="Y49" s="219"/>
      <c r="Z49" s="219"/>
      <c r="AA49" s="219"/>
      <c r="AB49" s="219"/>
      <c r="AC49" s="219"/>
      <c r="AD49" s="219"/>
    </row>
    <row r="50" spans="2:30" ht="12.75" customHeight="1" x14ac:dyDescent="0.2">
      <c r="C50" s="337"/>
      <c r="D50" s="337"/>
      <c r="E50" s="337"/>
      <c r="F50" s="337"/>
      <c r="G50" s="337"/>
      <c r="H50" s="337"/>
      <c r="I50" s="337"/>
      <c r="J50" s="337"/>
      <c r="K50" s="337"/>
      <c r="L50" s="338"/>
      <c r="M50" s="338"/>
      <c r="N50" s="338"/>
      <c r="O50" s="338"/>
      <c r="P50" s="338"/>
      <c r="Q50" s="338"/>
      <c r="R50" s="337"/>
      <c r="S50" s="337"/>
    </row>
  </sheetData>
  <mergeCells count="2">
    <mergeCell ref="B2:AD2"/>
    <mergeCell ref="B48:AC48"/>
  </mergeCells>
  <printOptions horizontalCentered="1"/>
  <pageMargins left="0.47244094488188981" right="0.47244094488188981" top="0.51181102362204722" bottom="0.27559055118110237"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D65"/>
  <sheetViews>
    <sheetView workbookViewId="0">
      <selection activeCell="AE23" sqref="AE23"/>
    </sheetView>
  </sheetViews>
  <sheetFormatPr defaultRowHeight="11.25" x14ac:dyDescent="0.2"/>
  <cols>
    <col min="1" max="1" width="2.7109375" style="234" customWidth="1"/>
    <col min="2" max="2" width="4" style="219" customWidth="1"/>
    <col min="3" max="10" width="6.7109375" style="219" customWidth="1"/>
    <col min="11" max="14" width="6.7109375" style="219" hidden="1" customWidth="1"/>
    <col min="15" max="20" width="6.7109375" style="219" customWidth="1"/>
    <col min="21" max="28" width="7.28515625" style="219" customWidth="1"/>
    <col min="29" max="29" width="6.28515625" style="219" customWidth="1"/>
    <col min="30" max="30" width="4" style="219" customWidth="1"/>
    <col min="31" max="16384" width="9.140625" style="219"/>
  </cols>
  <sheetData>
    <row r="1" spans="1:30" ht="14.25" customHeight="1" x14ac:dyDescent="0.25">
      <c r="B1" s="336"/>
      <c r="C1" s="335"/>
      <c r="D1" s="335"/>
      <c r="E1" s="335"/>
      <c r="F1" s="335"/>
      <c r="G1" s="335"/>
      <c r="H1" s="335"/>
      <c r="I1" s="335"/>
      <c r="J1" s="335"/>
      <c r="K1" s="335"/>
      <c r="L1" s="335"/>
      <c r="M1" s="335"/>
      <c r="N1" s="335"/>
      <c r="O1" s="335"/>
      <c r="P1" s="335"/>
      <c r="Q1" s="334"/>
      <c r="T1" s="333"/>
      <c r="U1" s="333"/>
      <c r="V1" s="333"/>
      <c r="W1" s="333"/>
      <c r="X1" s="333"/>
      <c r="Y1" s="333"/>
      <c r="Z1" s="333"/>
      <c r="AA1" s="333"/>
      <c r="AB1" s="333"/>
      <c r="AD1" s="333" t="s">
        <v>97</v>
      </c>
    </row>
    <row r="2" spans="1:30" s="223" customFormat="1" ht="30" customHeight="1" x14ac:dyDescent="0.2">
      <c r="A2" s="411"/>
      <c r="B2" s="500" t="s">
        <v>1</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row>
    <row r="3" spans="1:30" ht="15" customHeight="1" x14ac:dyDescent="0.2">
      <c r="C3" s="331"/>
      <c r="D3" s="331"/>
      <c r="E3" s="331"/>
      <c r="F3" s="331"/>
      <c r="G3" s="331"/>
      <c r="H3" s="331"/>
      <c r="I3" s="331"/>
      <c r="J3" s="331"/>
      <c r="K3" s="331"/>
      <c r="L3" s="331"/>
      <c r="M3" s="331"/>
      <c r="N3" s="331"/>
      <c r="O3" s="331"/>
      <c r="P3" s="331"/>
      <c r="Q3" s="331"/>
      <c r="X3" s="331" t="s">
        <v>113</v>
      </c>
      <c r="Y3" s="331"/>
      <c r="Z3" s="331"/>
      <c r="AA3" s="331"/>
      <c r="AB3" s="331"/>
      <c r="AC3" s="330"/>
      <c r="AD3" s="331"/>
    </row>
    <row r="4" spans="1:30" ht="20.100000000000001" customHeight="1" x14ac:dyDescent="0.2">
      <c r="B4" s="329"/>
      <c r="C4" s="328">
        <v>1970</v>
      </c>
      <c r="D4" s="328">
        <v>1980</v>
      </c>
      <c r="E4" s="327">
        <v>1990</v>
      </c>
      <c r="F4" s="327">
        <v>1991</v>
      </c>
      <c r="G4" s="327">
        <v>1992</v>
      </c>
      <c r="H4" s="327">
        <v>1993</v>
      </c>
      <c r="I4" s="327">
        <v>1994</v>
      </c>
      <c r="J4" s="327">
        <v>1995</v>
      </c>
      <c r="K4" s="327">
        <v>1996</v>
      </c>
      <c r="L4" s="327">
        <v>1997</v>
      </c>
      <c r="M4" s="327">
        <v>1998</v>
      </c>
      <c r="N4" s="327">
        <v>1999</v>
      </c>
      <c r="O4" s="327">
        <v>2000</v>
      </c>
      <c r="P4" s="327">
        <v>2001</v>
      </c>
      <c r="Q4" s="327">
        <v>2002</v>
      </c>
      <c r="R4" s="327">
        <v>2003</v>
      </c>
      <c r="S4" s="327">
        <v>2004</v>
      </c>
      <c r="T4" s="327">
        <v>2005</v>
      </c>
      <c r="U4" s="327">
        <v>2006</v>
      </c>
      <c r="V4" s="327">
        <v>2007</v>
      </c>
      <c r="W4" s="327">
        <v>2008</v>
      </c>
      <c r="X4" s="327">
        <v>2009</v>
      </c>
      <c r="Y4" s="327">
        <v>2010</v>
      </c>
      <c r="Z4" s="327">
        <v>2011</v>
      </c>
      <c r="AA4" s="327">
        <v>2012</v>
      </c>
      <c r="AB4" s="327">
        <v>2013</v>
      </c>
      <c r="AC4" s="326" t="s">
        <v>123</v>
      </c>
      <c r="AD4" s="371"/>
    </row>
    <row r="5" spans="1:30" ht="9.9499999999999993" customHeight="1" x14ac:dyDescent="0.2">
      <c r="B5" s="329"/>
      <c r="C5" s="373"/>
      <c r="D5" s="373"/>
      <c r="E5" s="322"/>
      <c r="F5" s="322"/>
      <c r="G5" s="322"/>
      <c r="H5" s="322"/>
      <c r="I5" s="322"/>
      <c r="J5" s="322"/>
      <c r="K5" s="322"/>
      <c r="L5" s="322"/>
      <c r="M5" s="322"/>
      <c r="N5" s="322"/>
      <c r="O5" s="322"/>
      <c r="P5" s="322"/>
      <c r="Q5" s="322"/>
      <c r="R5" s="322"/>
      <c r="S5" s="322"/>
      <c r="T5" s="322"/>
      <c r="U5" s="322"/>
      <c r="V5" s="322"/>
      <c r="W5" s="322"/>
      <c r="X5" s="322"/>
      <c r="Y5" s="322"/>
      <c r="Z5" s="322"/>
      <c r="AA5" s="322"/>
      <c r="AB5" s="322"/>
      <c r="AC5" s="372" t="s">
        <v>42</v>
      </c>
      <c r="AD5" s="371"/>
    </row>
    <row r="6" spans="1:30" ht="12.75" customHeight="1" x14ac:dyDescent="0.2">
      <c r="B6" s="314" t="s">
        <v>124</v>
      </c>
      <c r="C6" s="410" t="s">
        <v>41</v>
      </c>
      <c r="D6" s="410" t="s">
        <v>41</v>
      </c>
      <c r="E6" s="369" t="s">
        <v>41</v>
      </c>
      <c r="F6" s="369" t="s">
        <v>41</v>
      </c>
      <c r="G6" s="369" t="s">
        <v>41</v>
      </c>
      <c r="H6" s="369" t="s">
        <v>41</v>
      </c>
      <c r="I6" s="369" t="s">
        <v>41</v>
      </c>
      <c r="J6" s="368">
        <f t="shared" ref="J6:AA6" si="0">SUM(J9:J36)</f>
        <v>71.891826933853139</v>
      </c>
      <c r="K6" s="368">
        <f t="shared" si="0"/>
        <v>72.75844704285268</v>
      </c>
      <c r="L6" s="368">
        <f t="shared" si="0"/>
        <v>73.401167505661675</v>
      </c>
      <c r="M6" s="368">
        <f t="shared" si="0"/>
        <v>74.514813769858449</v>
      </c>
      <c r="N6" s="368">
        <f t="shared" si="0"/>
        <v>76.185605585658649</v>
      </c>
      <c r="O6" s="368">
        <f t="shared" si="0"/>
        <v>78.388666385006502</v>
      </c>
      <c r="P6" s="368">
        <f t="shared" si="0"/>
        <v>79.073858000126307</v>
      </c>
      <c r="Q6" s="368">
        <f t="shared" si="0"/>
        <v>80.321590420302201</v>
      </c>
      <c r="R6" s="368">
        <f t="shared" si="0"/>
        <v>80.632544951289475</v>
      </c>
      <c r="S6" s="368">
        <f t="shared" si="0"/>
        <v>83.29197964551507</v>
      </c>
      <c r="T6" s="368">
        <f t="shared" si="0"/>
        <v>83.878405085217736</v>
      </c>
      <c r="U6" s="368">
        <f t="shared" si="0"/>
        <v>85.734380647038435</v>
      </c>
      <c r="V6" s="368">
        <f t="shared" si="0"/>
        <v>87.67852304119863</v>
      </c>
      <c r="W6" s="368">
        <f t="shared" si="0"/>
        <v>91.072720544643673</v>
      </c>
      <c r="X6" s="368">
        <f t="shared" si="0"/>
        <v>90.904844763775003</v>
      </c>
      <c r="Y6" s="368">
        <f t="shared" si="0"/>
        <v>92.183460178851135</v>
      </c>
      <c r="Z6" s="368">
        <f t="shared" si="0"/>
        <v>93.36664850878708</v>
      </c>
      <c r="AA6" s="368">
        <f t="shared" si="0"/>
        <v>94.628205964957516</v>
      </c>
      <c r="AB6" s="368">
        <f t="shared" ref="AB6" si="1">SUM(AB9:AB36)</f>
        <v>95.385432105442803</v>
      </c>
      <c r="AC6" s="409">
        <f>AB6/AA6*100-100</f>
        <v>0.80021187421191087</v>
      </c>
      <c r="AD6" s="408" t="s">
        <v>124</v>
      </c>
    </row>
    <row r="7" spans="1:30" ht="12.75" customHeight="1" x14ac:dyDescent="0.2">
      <c r="B7" s="282" t="s">
        <v>125</v>
      </c>
      <c r="C7" s="309">
        <f t="shared" ref="C7:AA7" si="2">SUM(C9,C12:C13,C15,C16:C18,C24,C27:C28,C30,C34:C36,C20)</f>
        <v>38.910000000000004</v>
      </c>
      <c r="D7" s="309">
        <f t="shared" si="2"/>
        <v>40.669999999999987</v>
      </c>
      <c r="E7" s="367">
        <f t="shared" si="2"/>
        <v>49.32144336889526</v>
      </c>
      <c r="F7" s="367">
        <f t="shared" si="2"/>
        <v>49.937383195251677</v>
      </c>
      <c r="G7" s="367">
        <f t="shared" si="2"/>
        <v>49.34032365057525</v>
      </c>
      <c r="H7" s="367">
        <f t="shared" si="2"/>
        <v>49.79658002638481</v>
      </c>
      <c r="I7" s="367">
        <f t="shared" si="2"/>
        <v>49.574352069536808</v>
      </c>
      <c r="J7" s="367">
        <f t="shared" si="2"/>
        <v>49.047540933853142</v>
      </c>
      <c r="K7" s="367">
        <f t="shared" si="2"/>
        <v>50.019268042852659</v>
      </c>
      <c r="L7" s="367">
        <f t="shared" si="2"/>
        <v>50.606174505661677</v>
      </c>
      <c r="M7" s="367">
        <f t="shared" si="2"/>
        <v>51.612653769858461</v>
      </c>
      <c r="N7" s="367">
        <f t="shared" si="2"/>
        <v>53.091897585658636</v>
      </c>
      <c r="O7" s="367">
        <f t="shared" si="2"/>
        <v>55.406095385006502</v>
      </c>
      <c r="P7" s="367">
        <f t="shared" si="2"/>
        <v>55.919451220126305</v>
      </c>
      <c r="Q7" s="367">
        <f t="shared" si="2"/>
        <v>57.172640790302204</v>
      </c>
      <c r="R7" s="367">
        <f t="shared" si="2"/>
        <v>57.525516351289482</v>
      </c>
      <c r="S7" s="367">
        <f t="shared" si="2"/>
        <v>59.776014875515109</v>
      </c>
      <c r="T7" s="367">
        <f t="shared" si="2"/>
        <v>60.892913545217723</v>
      </c>
      <c r="U7" s="367">
        <f t="shared" si="2"/>
        <v>62.654481647038452</v>
      </c>
      <c r="V7" s="367">
        <f t="shared" si="2"/>
        <v>64.290425041198631</v>
      </c>
      <c r="W7" s="367">
        <f t="shared" si="2"/>
        <v>66.183832144643659</v>
      </c>
      <c r="X7" s="367">
        <f t="shared" si="2"/>
        <v>66.221498863774997</v>
      </c>
      <c r="Y7" s="367">
        <f t="shared" si="2"/>
        <v>67.280449981075094</v>
      </c>
      <c r="Z7" s="367">
        <f t="shared" si="2"/>
        <v>68.791686941460298</v>
      </c>
      <c r="AA7" s="367">
        <f t="shared" si="2"/>
        <v>68.638391504567522</v>
      </c>
      <c r="AB7" s="367">
        <f t="shared" ref="AB7" si="3">SUM(AB9,AB12:AB13,AB15,AB16:AB18,AB24,AB27:AB28,AB30,AB34:AB36,AB20)</f>
        <v>69.367256366351938</v>
      </c>
      <c r="AC7" s="407">
        <f t="shared" ref="AC7:AC44" si="4">AB7/AA7*100-100</f>
        <v>1.0618909415089064</v>
      </c>
      <c r="AD7" s="406" t="s">
        <v>125</v>
      </c>
    </row>
    <row r="8" spans="1:30" ht="12.75" customHeight="1" x14ac:dyDescent="0.2">
      <c r="B8" s="303" t="s">
        <v>126</v>
      </c>
      <c r="C8" s="304"/>
      <c r="D8" s="304"/>
      <c r="E8" s="364"/>
      <c r="F8" s="364"/>
      <c r="G8" s="364"/>
      <c r="H8" s="364"/>
      <c r="I8" s="364"/>
      <c r="J8" s="364">
        <f t="shared" ref="J8:AA8" si="5">J6-J7</f>
        <v>22.844285999999997</v>
      </c>
      <c r="K8" s="364">
        <f t="shared" si="5"/>
        <v>22.739179000000021</v>
      </c>
      <c r="L8" s="364">
        <f t="shared" si="5"/>
        <v>22.794992999999998</v>
      </c>
      <c r="M8" s="364">
        <f t="shared" si="5"/>
        <v>22.902159999999988</v>
      </c>
      <c r="N8" s="364">
        <f t="shared" si="5"/>
        <v>23.093708000000014</v>
      </c>
      <c r="O8" s="364">
        <f t="shared" si="5"/>
        <v>22.982571</v>
      </c>
      <c r="P8" s="364">
        <f t="shared" si="5"/>
        <v>23.154406780000002</v>
      </c>
      <c r="Q8" s="364">
        <f t="shared" si="5"/>
        <v>23.148949629999997</v>
      </c>
      <c r="R8" s="364">
        <f t="shared" si="5"/>
        <v>23.107028599999992</v>
      </c>
      <c r="S8" s="364">
        <f t="shared" si="5"/>
        <v>23.515964769999961</v>
      </c>
      <c r="T8" s="364">
        <f t="shared" si="5"/>
        <v>22.985491540000012</v>
      </c>
      <c r="U8" s="364">
        <f t="shared" si="5"/>
        <v>23.079898999999983</v>
      </c>
      <c r="V8" s="364">
        <f t="shared" si="5"/>
        <v>23.388097999999999</v>
      </c>
      <c r="W8" s="364">
        <f t="shared" si="5"/>
        <v>24.888888400000013</v>
      </c>
      <c r="X8" s="364">
        <f t="shared" si="5"/>
        <v>24.683345900000006</v>
      </c>
      <c r="Y8" s="364">
        <f t="shared" si="5"/>
        <v>24.903010197776041</v>
      </c>
      <c r="Z8" s="364">
        <f t="shared" si="5"/>
        <v>24.574961567326781</v>
      </c>
      <c r="AA8" s="364">
        <f t="shared" si="5"/>
        <v>25.989814460389994</v>
      </c>
      <c r="AB8" s="364">
        <f t="shared" ref="AB8" si="6">AB6-AB7</f>
        <v>26.018175739090864</v>
      </c>
      <c r="AC8" s="405">
        <f t="shared" si="4"/>
        <v>0.10912459088191895</v>
      </c>
      <c r="AD8" s="303" t="s">
        <v>126</v>
      </c>
    </row>
    <row r="9" spans="1:30" ht="12.75" customHeight="1" x14ac:dyDescent="0.2">
      <c r="B9" s="241" t="s">
        <v>29</v>
      </c>
      <c r="C9" s="290">
        <v>0.86</v>
      </c>
      <c r="D9" s="290">
        <v>0.77</v>
      </c>
      <c r="E9" s="287">
        <v>0.74</v>
      </c>
      <c r="F9" s="287">
        <v>0.75</v>
      </c>
      <c r="G9" s="287">
        <v>0.76</v>
      </c>
      <c r="H9" s="287">
        <v>0.77</v>
      </c>
      <c r="I9" s="287">
        <v>0.79</v>
      </c>
      <c r="J9" s="287">
        <v>0.8</v>
      </c>
      <c r="K9" s="287">
        <v>0.81</v>
      </c>
      <c r="L9" s="287">
        <v>0.82</v>
      </c>
      <c r="M9" s="287">
        <v>0.82</v>
      </c>
      <c r="N9" s="287">
        <v>0.82</v>
      </c>
      <c r="O9" s="287">
        <v>0.87</v>
      </c>
      <c r="P9" s="287">
        <v>0.876</v>
      </c>
      <c r="Q9" s="288">
        <v>0.89</v>
      </c>
      <c r="R9" s="288">
        <v>0.9</v>
      </c>
      <c r="S9" s="288">
        <v>0.91</v>
      </c>
      <c r="T9" s="288">
        <v>0.93</v>
      </c>
      <c r="U9" s="288">
        <v>0.95</v>
      </c>
      <c r="V9" s="288">
        <v>0.97</v>
      </c>
      <c r="W9" s="288">
        <v>1</v>
      </c>
      <c r="X9" s="288">
        <v>1</v>
      </c>
      <c r="Y9" s="288">
        <v>1.07</v>
      </c>
      <c r="Z9" s="288">
        <f>Y9*329.9/311.6</f>
        <v>1.1328401797175867</v>
      </c>
      <c r="AA9" s="288">
        <f>Z9*(132.4+123.5)/(125.8+112.1)</f>
        <v>1.2185531819660802</v>
      </c>
      <c r="AB9" s="288">
        <f>AA9*354.8/348.8</f>
        <v>1.2395145325732948</v>
      </c>
      <c r="AC9" s="302">
        <f t="shared" si="4"/>
        <v>1.7201834862385255</v>
      </c>
      <c r="AD9" s="265" t="s">
        <v>29</v>
      </c>
    </row>
    <row r="10" spans="1:30" ht="12.75" customHeight="1" x14ac:dyDescent="0.2">
      <c r="B10" s="282" t="s">
        <v>12</v>
      </c>
      <c r="C10" s="285"/>
      <c r="D10" s="285"/>
      <c r="E10" s="284">
        <v>0.58599999999999997</v>
      </c>
      <c r="F10" s="284">
        <v>0.45400000000000001</v>
      </c>
      <c r="G10" s="284">
        <v>0.52400000000000002</v>
      </c>
      <c r="H10" s="284">
        <v>0.28299999999999997</v>
      </c>
      <c r="I10" s="284">
        <v>0.25</v>
      </c>
      <c r="J10" s="284">
        <v>0.28299999999999997</v>
      </c>
      <c r="K10" s="284">
        <v>0.29599999999999999</v>
      </c>
      <c r="L10" s="404">
        <v>0.308</v>
      </c>
      <c r="M10" s="284">
        <v>0.44400000000000001</v>
      </c>
      <c r="N10" s="284">
        <v>0.46</v>
      </c>
      <c r="O10" s="284">
        <v>0.41899999999999998</v>
      </c>
      <c r="P10" s="284">
        <v>0.46899999999999997</v>
      </c>
      <c r="Q10" s="284">
        <v>0.436</v>
      </c>
      <c r="R10" s="284">
        <v>0.48599999999999999</v>
      </c>
      <c r="S10" s="284">
        <v>0.44</v>
      </c>
      <c r="T10" s="284">
        <v>0.434</v>
      </c>
      <c r="U10" s="284">
        <v>0.44600000000000001</v>
      </c>
      <c r="V10" s="284">
        <v>0.443</v>
      </c>
      <c r="W10" s="284">
        <v>0.48599999999999999</v>
      </c>
      <c r="X10" s="284">
        <v>0.68799999999999994</v>
      </c>
      <c r="Y10" s="284">
        <f>0.909</f>
        <v>0.90900000000000003</v>
      </c>
      <c r="Z10" s="284">
        <v>0.872</v>
      </c>
      <c r="AA10" s="284">
        <v>1.02</v>
      </c>
      <c r="AB10" s="284">
        <v>1.01</v>
      </c>
      <c r="AC10" s="283">
        <f t="shared" si="4"/>
        <v>-0.98039215686273451</v>
      </c>
      <c r="AD10" s="282" t="s">
        <v>12</v>
      </c>
    </row>
    <row r="11" spans="1:30" s="256" customFormat="1" ht="12.75" customHeight="1" x14ac:dyDescent="0.2">
      <c r="A11" s="261"/>
      <c r="B11" s="241" t="s">
        <v>14</v>
      </c>
      <c r="C11" s="360"/>
      <c r="D11" s="360"/>
      <c r="E11" s="300"/>
      <c r="F11" s="300"/>
      <c r="G11" s="300"/>
      <c r="H11" s="300" t="s">
        <v>41</v>
      </c>
      <c r="I11" s="300" t="s">
        <v>41</v>
      </c>
      <c r="J11" s="300">
        <v>7.6879999999999997</v>
      </c>
      <c r="K11" s="300">
        <v>7.7910000000000004</v>
      </c>
      <c r="L11" s="300">
        <v>7.8630000000000004</v>
      </c>
      <c r="M11" s="300">
        <v>7.8550000000000004</v>
      </c>
      <c r="N11" s="300">
        <v>8.1539999999999999</v>
      </c>
      <c r="O11" s="300">
        <v>8.0679999999999996</v>
      </c>
      <c r="P11" s="300">
        <v>8.2270000000000003</v>
      </c>
      <c r="Q11" s="300">
        <v>8.3070000000000004</v>
      </c>
      <c r="R11" s="300">
        <v>8.5633999999999997</v>
      </c>
      <c r="S11" s="300">
        <f>4.8847+3.8408</f>
        <v>8.7255000000000003</v>
      </c>
      <c r="T11" s="300">
        <f>4.769+3.1652</f>
        <v>7.9342000000000006</v>
      </c>
      <c r="U11" s="300">
        <f>4.5344+3.2644</f>
        <v>7.7988</v>
      </c>
      <c r="V11" s="300">
        <f>4.4489+3.3015</f>
        <v>7.7504</v>
      </c>
      <c r="W11" s="300">
        <f>4.678+4.4648</f>
        <v>9.1428000000000011</v>
      </c>
      <c r="X11" s="300">
        <v>8.9867000000000008</v>
      </c>
      <c r="Y11" s="300">
        <f>4.624+4.373</f>
        <v>8.9969999999999999</v>
      </c>
      <c r="Z11" s="300">
        <f>4.461+4.255</f>
        <v>8.7160000000000011</v>
      </c>
      <c r="AA11" s="300">
        <f>4.465+5.037</f>
        <v>9.5019999999999989</v>
      </c>
      <c r="AB11" s="300">
        <v>9.5809000000000015</v>
      </c>
      <c r="AC11" s="242">
        <f t="shared" si="4"/>
        <v>0.83035150494634991</v>
      </c>
      <c r="AD11" s="241" t="s">
        <v>14</v>
      </c>
    </row>
    <row r="12" spans="1:30" ht="12.75" customHeight="1" x14ac:dyDescent="0.2">
      <c r="B12" s="282" t="s">
        <v>25</v>
      </c>
      <c r="C12" s="403" t="s">
        <v>43</v>
      </c>
      <c r="D12" s="403" t="s">
        <v>43</v>
      </c>
      <c r="E12" s="402" t="s">
        <v>43</v>
      </c>
      <c r="F12" s="402" t="s">
        <v>43</v>
      </c>
      <c r="G12" s="402" t="s">
        <v>43</v>
      </c>
      <c r="H12" s="402" t="s">
        <v>43</v>
      </c>
      <c r="I12" s="402" t="s">
        <v>43</v>
      </c>
      <c r="J12" s="402" t="s">
        <v>43</v>
      </c>
      <c r="K12" s="402" t="s">
        <v>43</v>
      </c>
      <c r="L12" s="402" t="s">
        <v>43</v>
      </c>
      <c r="M12" s="402" t="s">
        <v>43</v>
      </c>
      <c r="N12" s="402" t="s">
        <v>43</v>
      </c>
      <c r="O12" s="402" t="s">
        <v>43</v>
      </c>
      <c r="P12" s="402" t="s">
        <v>43</v>
      </c>
      <c r="Q12" s="284">
        <v>8.9999999999999993E-3</v>
      </c>
      <c r="R12" s="284">
        <v>6.7000000000000004E-2</v>
      </c>
      <c r="S12" s="284">
        <v>0.128</v>
      </c>
      <c r="T12" s="284">
        <v>0.16200000000000001</v>
      </c>
      <c r="U12" s="284">
        <v>0.16400000000000001</v>
      </c>
      <c r="V12" s="284">
        <v>0.17699999999999999</v>
      </c>
      <c r="W12" s="284">
        <v>0.19500000000000001</v>
      </c>
      <c r="X12" s="284">
        <v>0.215</v>
      </c>
      <c r="Y12" s="284">
        <f>0.239</f>
        <v>0.23899999999999999</v>
      </c>
      <c r="Z12" s="284">
        <v>0.27800000000000002</v>
      </c>
      <c r="AA12" s="284">
        <v>0.27400000000000002</v>
      </c>
      <c r="AB12" s="284">
        <v>0.28399999999999997</v>
      </c>
      <c r="AC12" s="283">
        <f t="shared" si="4"/>
        <v>3.6496350364963348</v>
      </c>
      <c r="AD12" s="282" t="s">
        <v>25</v>
      </c>
    </row>
    <row r="13" spans="1:30" s="256" customFormat="1" ht="12.75" customHeight="1" x14ac:dyDescent="0.2">
      <c r="A13" s="261"/>
      <c r="B13" s="241" t="s">
        <v>30</v>
      </c>
      <c r="C13" s="401">
        <v>14.63</v>
      </c>
      <c r="D13" s="401">
        <v>13.84</v>
      </c>
      <c r="E13" s="400">
        <v>15.1</v>
      </c>
      <c r="F13" s="400">
        <v>15.14</v>
      </c>
      <c r="G13" s="400">
        <v>14.43</v>
      </c>
      <c r="H13" s="400">
        <v>14.62</v>
      </c>
      <c r="I13" s="400">
        <v>14.47</v>
      </c>
      <c r="J13" s="400">
        <v>14.43</v>
      </c>
      <c r="K13" s="400">
        <v>14.47</v>
      </c>
      <c r="L13" s="400">
        <v>14.5</v>
      </c>
      <c r="M13" s="400">
        <v>14.4</v>
      </c>
      <c r="N13" s="400">
        <v>14.5</v>
      </c>
      <c r="O13" s="400">
        <v>14.6</v>
      </c>
      <c r="P13" s="400">
        <v>14.7</v>
      </c>
      <c r="Q13" s="300">
        <v>14.74</v>
      </c>
      <c r="R13" s="300">
        <v>14.75</v>
      </c>
      <c r="S13" s="300">
        <v>14.986000000000001</v>
      </c>
      <c r="T13" s="300">
        <v>15.484999999999999</v>
      </c>
      <c r="U13" s="300">
        <v>15.568</v>
      </c>
      <c r="V13" s="300">
        <v>15.92</v>
      </c>
      <c r="W13" s="300">
        <v>15.991</v>
      </c>
      <c r="X13" s="300">
        <v>16.495999999999999</v>
      </c>
      <c r="Y13" s="300">
        <f>16.349</f>
        <v>16.349</v>
      </c>
      <c r="Z13" s="300">
        <v>16.600000000000001</v>
      </c>
      <c r="AA13" s="300">
        <v>16.600000000000001</v>
      </c>
      <c r="AB13" s="300">
        <v>16.7</v>
      </c>
      <c r="AC13" s="242">
        <f t="shared" si="4"/>
        <v>0.60240963855420659</v>
      </c>
      <c r="AD13" s="241" t="s">
        <v>30</v>
      </c>
    </row>
    <row r="14" spans="1:30" ht="12.75" customHeight="1" x14ac:dyDescent="0.2">
      <c r="B14" s="282" t="s">
        <v>15</v>
      </c>
      <c r="C14" s="285" t="s">
        <v>41</v>
      </c>
      <c r="D14" s="285" t="s">
        <v>41</v>
      </c>
      <c r="E14" s="284" t="s">
        <v>41</v>
      </c>
      <c r="F14" s="284" t="s">
        <v>41</v>
      </c>
      <c r="G14" s="284" t="s">
        <v>41</v>
      </c>
      <c r="H14" s="284" t="s">
        <v>41</v>
      </c>
      <c r="I14" s="284" t="s">
        <v>41</v>
      </c>
      <c r="J14" s="292">
        <f>0.0352*3</f>
        <v>0.1056</v>
      </c>
      <c r="K14" s="292">
        <f>0.0356*3</f>
        <v>0.10680000000000001</v>
      </c>
      <c r="L14" s="292">
        <f>0.0369*3</f>
        <v>0.11070000000000001</v>
      </c>
      <c r="M14" s="292">
        <f>0.0306*3</f>
        <v>9.1799999999999993E-2</v>
      </c>
      <c r="N14" s="292">
        <f>0.0293*3</f>
        <v>8.7900000000000006E-2</v>
      </c>
      <c r="O14" s="292">
        <f>0.0349*3</f>
        <v>0.1047</v>
      </c>
      <c r="P14" s="292">
        <f>0.0292*3</f>
        <v>8.7599999999999997E-2</v>
      </c>
      <c r="Q14" s="292">
        <f>0.0308*3</f>
        <v>9.240000000000001E-2</v>
      </c>
      <c r="R14" s="292">
        <f>0.0311*3</f>
        <v>9.3299999999999994E-2</v>
      </c>
      <c r="S14" s="292">
        <f>0.0278*3</f>
        <v>8.3400000000000002E-2</v>
      </c>
      <c r="T14" s="292">
        <f>0.0251*3</f>
        <v>7.5300000000000006E-2</v>
      </c>
      <c r="U14" s="292">
        <f>0.0262*3</f>
        <v>7.8600000000000003E-2</v>
      </c>
      <c r="V14" s="292">
        <f>0.0264*3</f>
        <v>7.9199999999999993E-2</v>
      </c>
      <c r="W14" s="292">
        <f>0.0253*3</f>
        <v>7.5899999999999995E-2</v>
      </c>
      <c r="X14" s="292">
        <f>0.0251*3</f>
        <v>7.5300000000000006E-2</v>
      </c>
      <c r="Y14" s="292">
        <f>0.0245*3</f>
        <v>7.350000000000001E-2</v>
      </c>
      <c r="Z14" s="292">
        <f>0.0221*3</f>
        <v>6.6299999999999998E-2</v>
      </c>
      <c r="AA14" s="292">
        <f>0.0315*3</f>
        <v>9.4500000000000001E-2</v>
      </c>
      <c r="AB14" s="292">
        <f>AA14*1.31164272977145</f>
        <v>0.12395023796340202</v>
      </c>
      <c r="AC14" s="291">
        <f t="shared" si="4"/>
        <v>31.164272977145004</v>
      </c>
      <c r="AD14" s="282" t="s">
        <v>15</v>
      </c>
    </row>
    <row r="15" spans="1:30" ht="12.75" customHeight="1" x14ac:dyDescent="0.2">
      <c r="B15" s="241" t="s">
        <v>33</v>
      </c>
      <c r="C15" s="399" t="s">
        <v>43</v>
      </c>
      <c r="D15" s="399" t="s">
        <v>43</v>
      </c>
      <c r="E15" s="398" t="s">
        <v>43</v>
      </c>
      <c r="F15" s="398" t="s">
        <v>43</v>
      </c>
      <c r="G15" s="398" t="s">
        <v>43</v>
      </c>
      <c r="H15" s="398" t="s">
        <v>43</v>
      </c>
      <c r="I15" s="398" t="s">
        <v>43</v>
      </c>
      <c r="J15" s="398" t="s">
        <v>43</v>
      </c>
      <c r="K15" s="398" t="s">
        <v>43</v>
      </c>
      <c r="L15" s="398" t="s">
        <v>43</v>
      </c>
      <c r="M15" s="398" t="s">
        <v>43</v>
      </c>
      <c r="N15" s="398" t="s">
        <v>43</v>
      </c>
      <c r="O15" s="398" t="s">
        <v>43</v>
      </c>
      <c r="P15" s="398" t="s">
        <v>43</v>
      </c>
      <c r="Q15" s="398" t="s">
        <v>43</v>
      </c>
      <c r="R15" s="398" t="s">
        <v>43</v>
      </c>
      <c r="S15" s="288">
        <v>0.05</v>
      </c>
      <c r="T15" s="288">
        <v>0.11</v>
      </c>
      <c r="U15" s="287">
        <f>0.06713+0.04598</f>
        <v>0.11310999999999999</v>
      </c>
      <c r="V15" s="287">
        <f>0.107+0.068</f>
        <v>0.17499999999999999</v>
      </c>
      <c r="W15" s="287">
        <f>0.083+0.058</f>
        <v>0.14100000000000001</v>
      </c>
      <c r="X15" s="287">
        <f>0.079+0.053</f>
        <v>0.13200000000000001</v>
      </c>
      <c r="Y15" s="287">
        <f>0.069+0.062</f>
        <v>0.13100000000000001</v>
      </c>
      <c r="Z15" s="287">
        <f>0.073+0.065</f>
        <v>0.13800000000000001</v>
      </c>
      <c r="AA15" s="287">
        <f>0.0711+0.0729</f>
        <v>0.14400000000000002</v>
      </c>
      <c r="AB15" s="287">
        <v>0.14982472999999999</v>
      </c>
      <c r="AC15" s="286">
        <f t="shared" si="4"/>
        <v>4.044951388888876</v>
      </c>
      <c r="AD15" s="241" t="s">
        <v>33</v>
      </c>
    </row>
    <row r="16" spans="1:30" ht="12.75" customHeight="1" x14ac:dyDescent="0.2">
      <c r="B16" s="282" t="s">
        <v>26</v>
      </c>
      <c r="C16" s="293">
        <v>0.63</v>
      </c>
      <c r="D16" s="293">
        <v>0.68</v>
      </c>
      <c r="E16" s="292">
        <v>0.83</v>
      </c>
      <c r="F16" s="292">
        <v>0.81</v>
      </c>
      <c r="G16" s="292">
        <v>0.79</v>
      </c>
      <c r="H16" s="292">
        <v>0.77</v>
      </c>
      <c r="I16" s="292">
        <v>0.72</v>
      </c>
      <c r="J16" s="292">
        <v>0.74</v>
      </c>
      <c r="K16" s="292">
        <v>0.74</v>
      </c>
      <c r="L16" s="292">
        <v>0.75</v>
      </c>
      <c r="M16" s="292">
        <v>0.8</v>
      </c>
      <c r="N16" s="292">
        <v>0.81</v>
      </c>
      <c r="O16" s="292">
        <v>1.19</v>
      </c>
      <c r="P16" s="292">
        <v>1.33</v>
      </c>
      <c r="Q16" s="292">
        <v>1.35</v>
      </c>
      <c r="R16" s="292">
        <v>1.4</v>
      </c>
      <c r="S16" s="292">
        <v>1.5</v>
      </c>
      <c r="T16" s="292">
        <v>1.5</v>
      </c>
      <c r="U16" s="292">
        <v>1.55</v>
      </c>
      <c r="V16" s="292">
        <v>1.6</v>
      </c>
      <c r="W16" s="292">
        <v>1.66</v>
      </c>
      <c r="X16" s="292">
        <v>1.671</v>
      </c>
      <c r="Y16" s="292">
        <v>1.6927464982806519</v>
      </c>
      <c r="Z16" s="292">
        <f>AVERAGE(W16:Y16)</f>
        <v>1.6745821660935505</v>
      </c>
      <c r="AA16" s="292">
        <v>1.6693892905336882</v>
      </c>
      <c r="AB16" s="292">
        <v>1.6640104964628029</v>
      </c>
      <c r="AC16" s="291">
        <f t="shared" si="4"/>
        <v>-0.32220130447619511</v>
      </c>
      <c r="AD16" s="282" t="s">
        <v>26</v>
      </c>
    </row>
    <row r="17" spans="1:30" ht="12.75" customHeight="1" x14ac:dyDescent="0.2">
      <c r="B17" s="241" t="s">
        <v>31</v>
      </c>
      <c r="C17" s="290">
        <v>3.67</v>
      </c>
      <c r="D17" s="290">
        <v>3.88</v>
      </c>
      <c r="E17" s="287">
        <v>4.38</v>
      </c>
      <c r="F17" s="287">
        <v>4.3</v>
      </c>
      <c r="G17" s="287">
        <v>4.25</v>
      </c>
      <c r="H17" s="287">
        <v>4.2</v>
      </c>
      <c r="I17" s="287">
        <v>4.1500000000000004</v>
      </c>
      <c r="J17" s="287">
        <v>4.25</v>
      </c>
      <c r="K17" s="287">
        <v>4.49</v>
      </c>
      <c r="L17" s="287">
        <v>4.57</v>
      </c>
      <c r="M17" s="287">
        <v>4.84</v>
      </c>
      <c r="N17" s="288">
        <v>5.0599999999999996</v>
      </c>
      <c r="O17" s="288">
        <v>5.23</v>
      </c>
      <c r="P17" s="288">
        <v>5.34</v>
      </c>
      <c r="Q17" s="288">
        <v>5.5</v>
      </c>
      <c r="R17" s="288">
        <v>5.6</v>
      </c>
      <c r="S17" s="288">
        <v>5.8</v>
      </c>
      <c r="T17" s="288">
        <v>6</v>
      </c>
      <c r="U17" s="288">
        <v>6.2</v>
      </c>
      <c r="V17" s="288">
        <v>6.4</v>
      </c>
      <c r="W17" s="288">
        <v>6.5</v>
      </c>
      <c r="X17" s="288">
        <v>6.2725</v>
      </c>
      <c r="Y17" s="288">
        <f>6.25</f>
        <v>6.25</v>
      </c>
      <c r="Z17" s="288">
        <v>6.3428000000000004</v>
      </c>
      <c r="AA17" s="288">
        <v>6.042279538961874</v>
      </c>
      <c r="AB17" s="288">
        <f>AA17*(369.939+557)/(373.505+601)</f>
        <v>5.7473533266281658</v>
      </c>
      <c r="AC17" s="302">
        <f t="shared" si="4"/>
        <v>-4.8810421701273867</v>
      </c>
      <c r="AD17" s="241" t="s">
        <v>31</v>
      </c>
    </row>
    <row r="18" spans="1:30" ht="12.75" customHeight="1" x14ac:dyDescent="0.2">
      <c r="B18" s="282" t="s">
        <v>32</v>
      </c>
      <c r="C18" s="285">
        <v>6.5</v>
      </c>
      <c r="D18" s="397">
        <v>7.7</v>
      </c>
      <c r="E18" s="396">
        <v>10.476443368895263</v>
      </c>
      <c r="F18" s="284">
        <v>10.233383195251669</v>
      </c>
      <c r="G18" s="284">
        <v>10.414323650575252</v>
      </c>
      <c r="H18" s="284">
        <v>10.379180026384811</v>
      </c>
      <c r="I18" s="284">
        <v>10.453352069536807</v>
      </c>
      <c r="J18" s="284">
        <v>9.3273409338531454</v>
      </c>
      <c r="K18" s="284">
        <v>9.8182680428526741</v>
      </c>
      <c r="L18" s="284">
        <v>10.054374505661677</v>
      </c>
      <c r="M18" s="284">
        <v>10.475653769858466</v>
      </c>
      <c r="N18" s="284">
        <v>10.935597585658641</v>
      </c>
      <c r="O18" s="284">
        <v>11.552395385006502</v>
      </c>
      <c r="P18" s="284">
        <v>11.641851220126304</v>
      </c>
      <c r="Q18" s="284">
        <v>12.347140790302205</v>
      </c>
      <c r="R18" s="284">
        <v>12.153216351289489</v>
      </c>
      <c r="S18" s="284">
        <v>13.148014875515091</v>
      </c>
      <c r="T18" s="284">
        <v>13.327197545217711</v>
      </c>
      <c r="U18" s="284">
        <v>13.68957164703845</v>
      </c>
      <c r="V18" s="284">
        <v>13.686135041198632</v>
      </c>
      <c r="W18" s="284">
        <v>14.539071144643675</v>
      </c>
      <c r="X18" s="284">
        <v>14.37481486377499</v>
      </c>
      <c r="Y18" s="284">
        <v>14.698168545440868</v>
      </c>
      <c r="Z18" s="284">
        <v>15.015286050531287</v>
      </c>
      <c r="AA18" s="284">
        <f>12.8+2.4</f>
        <v>15.200000000000001</v>
      </c>
      <c r="AB18" s="284">
        <v>15.166718825577808</v>
      </c>
      <c r="AC18" s="283">
        <f t="shared" si="4"/>
        <v>-0.21895509488284404</v>
      </c>
      <c r="AD18" s="282" t="s">
        <v>32</v>
      </c>
    </row>
    <row r="19" spans="1:30" ht="12.75" customHeight="1" x14ac:dyDescent="0.2">
      <c r="B19" s="241" t="s">
        <v>44</v>
      </c>
      <c r="C19" s="244"/>
      <c r="D19" s="395"/>
      <c r="E19" s="394"/>
      <c r="F19" s="243"/>
      <c r="G19" s="243"/>
      <c r="H19" s="263">
        <v>0.54662699999999997</v>
      </c>
      <c r="I19" s="263">
        <v>0.542601</v>
      </c>
      <c r="J19" s="263">
        <v>0.52539599999999997</v>
      </c>
      <c r="K19" s="263">
        <v>0.48687899999999995</v>
      </c>
      <c r="L19" s="263">
        <v>0.49809300000000001</v>
      </c>
      <c r="M19" s="263">
        <v>0.487896</v>
      </c>
      <c r="N19" s="263">
        <v>0.48726600000000003</v>
      </c>
      <c r="O19" s="263">
        <v>0.50417100000000004</v>
      </c>
      <c r="P19" s="263">
        <v>0.53174399999999999</v>
      </c>
      <c r="Q19" s="263">
        <v>0.53473799999999994</v>
      </c>
      <c r="R19" s="263">
        <v>0.55030800000000002</v>
      </c>
      <c r="S19" s="263">
        <v>0.52908299999999997</v>
      </c>
      <c r="T19" s="263">
        <v>0.53316600000000003</v>
      </c>
      <c r="U19" s="263">
        <v>0.55977300000000008</v>
      </c>
      <c r="V19" s="263">
        <v>0.66095999999999999</v>
      </c>
      <c r="W19" s="263">
        <v>0.62360400000000005</v>
      </c>
      <c r="X19" s="263">
        <v>0.57882</v>
      </c>
      <c r="Y19" s="263">
        <v>0.54935699999999998</v>
      </c>
      <c r="Z19" s="263">
        <v>0.51953099999999997</v>
      </c>
      <c r="AA19" s="263">
        <f>0.174139*3</f>
        <v>0.52241699999999991</v>
      </c>
      <c r="AB19" s="263">
        <f>0.177596*3</f>
        <v>0.53278800000000004</v>
      </c>
      <c r="AC19" s="242">
        <f t="shared" si="4"/>
        <v>1.9851957344420441</v>
      </c>
      <c r="AD19" s="241" t="s">
        <v>44</v>
      </c>
    </row>
    <row r="20" spans="1:30" s="256" customFormat="1" ht="12.75" customHeight="1" x14ac:dyDescent="0.2">
      <c r="A20" s="261"/>
      <c r="B20" s="245" t="s">
        <v>34</v>
      </c>
      <c r="C20" s="260">
        <v>2.21</v>
      </c>
      <c r="D20" s="260">
        <v>3.66</v>
      </c>
      <c r="E20" s="248">
        <f>2.58+1.629</f>
        <v>4.2089999999999996</v>
      </c>
      <c r="F20" s="248">
        <v>5.3280000000000003</v>
      </c>
      <c r="G20" s="248">
        <v>5.4</v>
      </c>
      <c r="H20" s="248">
        <v>5.5</v>
      </c>
      <c r="I20" s="248">
        <v>5.0999999999999996</v>
      </c>
      <c r="J20" s="248">
        <f>4.038+1.1136</f>
        <v>5.1516000000000002</v>
      </c>
      <c r="K20" s="248">
        <v>5.282</v>
      </c>
      <c r="L20" s="248">
        <v>5.319</v>
      </c>
      <c r="M20" s="248">
        <v>5.2510000000000003</v>
      </c>
      <c r="N20" s="248">
        <f>4.167+1.072</f>
        <v>5.2389999999999999</v>
      </c>
      <c r="O20" s="248">
        <f>4.503+1.1057</f>
        <v>5.6086999999999998</v>
      </c>
      <c r="P20" s="248">
        <f>4.506+1.083</f>
        <v>5.5890000000000004</v>
      </c>
      <c r="Q20" s="248">
        <f>4.843+1.042</f>
        <v>5.8849999999999998</v>
      </c>
      <c r="R20" s="248">
        <f>4.935+1.05</f>
        <v>5.9849999999999994</v>
      </c>
      <c r="S20" s="248">
        <f>4.954+1.051</f>
        <v>6.0049999999999999</v>
      </c>
      <c r="T20" s="248">
        <f>4.982+1.053</f>
        <v>6.0350000000000001</v>
      </c>
      <c r="U20" s="248">
        <f>5.204+1.075</f>
        <v>6.2789999999999999</v>
      </c>
      <c r="V20" s="248">
        <f>5.637+1.088</f>
        <v>6.7249999999999996</v>
      </c>
      <c r="W20" s="248">
        <f>5.777+1.107</f>
        <v>6.8840000000000003</v>
      </c>
      <c r="X20" s="248">
        <f>1.108+5.84</f>
        <v>6.9480000000000004</v>
      </c>
      <c r="Y20" s="248">
        <f>5.948+1.135</f>
        <v>7.0830000000000002</v>
      </c>
      <c r="Z20" s="248">
        <f>5.849+1.246</f>
        <v>7.0950000000000006</v>
      </c>
      <c r="AA20" s="248">
        <f>1.243+5.295</f>
        <v>6.5380000000000003</v>
      </c>
      <c r="AB20" s="248">
        <f>1.243+5.673</f>
        <v>6.9160000000000004</v>
      </c>
      <c r="AC20" s="269">
        <f t="shared" si="4"/>
        <v>5.7815845824411127</v>
      </c>
      <c r="AD20" s="245" t="s">
        <v>34</v>
      </c>
    </row>
    <row r="21" spans="1:30" ht="12.75" customHeight="1" x14ac:dyDescent="0.2">
      <c r="B21" s="241" t="s">
        <v>13</v>
      </c>
      <c r="C21" s="389" t="s">
        <v>43</v>
      </c>
      <c r="D21" s="389" t="s">
        <v>43</v>
      </c>
      <c r="E21" s="388" t="s">
        <v>43</v>
      </c>
      <c r="F21" s="388" t="s">
        <v>43</v>
      </c>
      <c r="G21" s="388" t="s">
        <v>43</v>
      </c>
      <c r="H21" s="388" t="s">
        <v>43</v>
      </c>
      <c r="I21" s="388" t="s">
        <v>43</v>
      </c>
      <c r="J21" s="388" t="s">
        <v>43</v>
      </c>
      <c r="K21" s="388" t="s">
        <v>43</v>
      </c>
      <c r="L21" s="388" t="s">
        <v>43</v>
      </c>
      <c r="M21" s="388" t="s">
        <v>43</v>
      </c>
      <c r="N21" s="388" t="s">
        <v>43</v>
      </c>
      <c r="O21" s="388" t="s">
        <v>43</v>
      </c>
      <c r="P21" s="388" t="s">
        <v>43</v>
      </c>
      <c r="Q21" s="388" t="s">
        <v>43</v>
      </c>
      <c r="R21" s="388" t="s">
        <v>43</v>
      </c>
      <c r="S21" s="388" t="s">
        <v>43</v>
      </c>
      <c r="T21" s="388" t="s">
        <v>43</v>
      </c>
      <c r="U21" s="388" t="s">
        <v>43</v>
      </c>
      <c r="V21" s="388" t="s">
        <v>43</v>
      </c>
      <c r="W21" s="388" t="s">
        <v>43</v>
      </c>
      <c r="X21" s="388" t="s">
        <v>43</v>
      </c>
      <c r="Y21" s="388" t="s">
        <v>43</v>
      </c>
      <c r="Z21" s="388" t="s">
        <v>43</v>
      </c>
      <c r="AA21" s="388" t="s">
        <v>43</v>
      </c>
      <c r="AB21" s="388" t="s">
        <v>43</v>
      </c>
      <c r="AC21" s="387" t="s">
        <v>43</v>
      </c>
      <c r="AD21" s="241" t="s">
        <v>13</v>
      </c>
    </row>
    <row r="22" spans="1:30" s="256" customFormat="1" ht="12.75" customHeight="1" x14ac:dyDescent="0.2">
      <c r="A22" s="261"/>
      <c r="B22" s="245" t="s">
        <v>17</v>
      </c>
      <c r="C22" s="260" t="s">
        <v>41</v>
      </c>
      <c r="D22" s="260" t="s">
        <v>41</v>
      </c>
      <c r="E22" s="258">
        <f>0.2431*3</f>
        <v>0.72930000000000006</v>
      </c>
      <c r="F22" s="258">
        <f>0.2516*3</f>
        <v>0.75479999999999992</v>
      </c>
      <c r="G22" s="258">
        <f>0.1937*3</f>
        <v>0.58110000000000006</v>
      </c>
      <c r="H22" s="258">
        <f>0.1149*3</f>
        <v>0.34470000000000001</v>
      </c>
      <c r="I22" s="258">
        <f>0.1128*3</f>
        <v>0.33839999999999998</v>
      </c>
      <c r="J22" s="258">
        <f>0.1012*3</f>
        <v>0.30359999999999998</v>
      </c>
      <c r="K22" s="258">
        <f>0.0795*3</f>
        <v>0.23849999999999999</v>
      </c>
      <c r="L22" s="258">
        <f>0.0884*3</f>
        <v>0.26519999999999999</v>
      </c>
      <c r="M22" s="258">
        <f>0.098*3</f>
        <v>0.29400000000000004</v>
      </c>
      <c r="N22" s="258">
        <f>0.0938*3</f>
        <v>0.28139999999999998</v>
      </c>
      <c r="O22" s="258">
        <f>0.0889*3</f>
        <v>0.26670000000000005</v>
      </c>
      <c r="P22" s="258">
        <f>0.0869*3</f>
        <v>0.26070000000000004</v>
      </c>
      <c r="Q22" s="258">
        <f>0.0882*3</f>
        <v>0.2646</v>
      </c>
      <c r="R22" s="258">
        <f>0.0846*3</f>
        <v>0.25379999999999997</v>
      </c>
      <c r="S22" s="258">
        <f>0.0879*3</f>
        <v>0.26370000000000005</v>
      </c>
      <c r="T22" s="258">
        <f>0.0909*3</f>
        <v>0.2727</v>
      </c>
      <c r="U22" s="258">
        <f>0.0931*3</f>
        <v>0.27929999999999999</v>
      </c>
      <c r="V22" s="258">
        <f>0.0932*3</f>
        <v>0.27960000000000002</v>
      </c>
      <c r="W22" s="258">
        <f>0.0861*3</f>
        <v>0.25829999999999997</v>
      </c>
      <c r="X22" s="393">
        <f>0.057*3</f>
        <v>0.17100000000000001</v>
      </c>
      <c r="Y22" s="258">
        <f>0.041*3</f>
        <v>0.123</v>
      </c>
      <c r="Z22" s="258">
        <f>0.0416*3</f>
        <v>0.12479999999999999</v>
      </c>
      <c r="AA22" s="258">
        <f>(30695+2777+7112)*3/1000000</f>
        <v>0.121752</v>
      </c>
      <c r="AB22" s="258">
        <v>0.13276199999999999</v>
      </c>
      <c r="AC22" s="257">
        <f t="shared" si="4"/>
        <v>9.0429726000394055</v>
      </c>
      <c r="AD22" s="245" t="s">
        <v>17</v>
      </c>
    </row>
    <row r="23" spans="1:30" ht="12.75" customHeight="1" x14ac:dyDescent="0.2">
      <c r="B23" s="241" t="s">
        <v>18</v>
      </c>
      <c r="C23" s="389" t="s">
        <v>43</v>
      </c>
      <c r="D23" s="389" t="s">
        <v>43</v>
      </c>
      <c r="E23" s="388" t="s">
        <v>43</v>
      </c>
      <c r="F23" s="388" t="s">
        <v>43</v>
      </c>
      <c r="G23" s="388" t="s">
        <v>43</v>
      </c>
      <c r="H23" s="388" t="s">
        <v>43</v>
      </c>
      <c r="I23" s="388" t="s">
        <v>43</v>
      </c>
      <c r="J23" s="388" t="s">
        <v>43</v>
      </c>
      <c r="K23" s="388" t="s">
        <v>43</v>
      </c>
      <c r="L23" s="388" t="s">
        <v>43</v>
      </c>
      <c r="M23" s="388" t="s">
        <v>43</v>
      </c>
      <c r="N23" s="388" t="s">
        <v>43</v>
      </c>
      <c r="O23" s="388" t="s">
        <v>43</v>
      </c>
      <c r="P23" s="388" t="s">
        <v>43</v>
      </c>
      <c r="Q23" s="388" t="s">
        <v>43</v>
      </c>
      <c r="R23" s="388" t="s">
        <v>43</v>
      </c>
      <c r="S23" s="388" t="s">
        <v>43</v>
      </c>
      <c r="T23" s="388" t="s">
        <v>43</v>
      </c>
      <c r="U23" s="388" t="s">
        <v>43</v>
      </c>
      <c r="V23" s="388" t="s">
        <v>43</v>
      </c>
      <c r="W23" s="388" t="s">
        <v>43</v>
      </c>
      <c r="X23" s="388" t="s">
        <v>43</v>
      </c>
      <c r="Y23" s="388" t="s">
        <v>43</v>
      </c>
      <c r="Z23" s="388" t="s">
        <v>43</v>
      </c>
      <c r="AA23" s="388" t="s">
        <v>43</v>
      </c>
      <c r="AB23" s="388" t="s">
        <v>43</v>
      </c>
      <c r="AC23" s="387" t="s">
        <v>43</v>
      </c>
      <c r="AD23" s="241" t="s">
        <v>18</v>
      </c>
    </row>
    <row r="24" spans="1:30" s="256" customFormat="1" ht="12.75" customHeight="1" x14ac:dyDescent="0.2">
      <c r="A24" s="261"/>
      <c r="B24" s="245" t="s">
        <v>35</v>
      </c>
      <c r="C24" s="386" t="s">
        <v>43</v>
      </c>
      <c r="D24" s="386" t="s">
        <v>43</v>
      </c>
      <c r="E24" s="385" t="s">
        <v>43</v>
      </c>
      <c r="F24" s="385" t="s">
        <v>43</v>
      </c>
      <c r="G24" s="385" t="s">
        <v>43</v>
      </c>
      <c r="H24" s="385" t="s">
        <v>43</v>
      </c>
      <c r="I24" s="385" t="s">
        <v>43</v>
      </c>
      <c r="J24" s="385" t="s">
        <v>43</v>
      </c>
      <c r="K24" s="385" t="s">
        <v>43</v>
      </c>
      <c r="L24" s="385" t="s">
        <v>43</v>
      </c>
      <c r="M24" s="385" t="s">
        <v>43</v>
      </c>
      <c r="N24" s="385" t="s">
        <v>43</v>
      </c>
      <c r="O24" s="385" t="s">
        <v>43</v>
      </c>
      <c r="P24" s="385" t="s">
        <v>43</v>
      </c>
      <c r="Q24" s="385" t="s">
        <v>43</v>
      </c>
      <c r="R24" s="385" t="s">
        <v>43</v>
      </c>
      <c r="S24" s="385" t="s">
        <v>43</v>
      </c>
      <c r="T24" s="385" t="s">
        <v>43</v>
      </c>
      <c r="U24" s="385" t="s">
        <v>43</v>
      </c>
      <c r="V24" s="385" t="s">
        <v>43</v>
      </c>
      <c r="W24" s="385" t="s">
        <v>43</v>
      </c>
      <c r="X24" s="385" t="s">
        <v>43</v>
      </c>
      <c r="Y24" s="385" t="s">
        <v>43</v>
      </c>
      <c r="Z24" s="385" t="s">
        <v>43</v>
      </c>
      <c r="AA24" s="385" t="s">
        <v>43</v>
      </c>
      <c r="AB24" s="385" t="s">
        <v>43</v>
      </c>
      <c r="AC24" s="392" t="s">
        <v>43</v>
      </c>
      <c r="AD24" s="245" t="s">
        <v>35</v>
      </c>
    </row>
    <row r="25" spans="1:30" ht="12.75" customHeight="1" x14ac:dyDescent="0.2">
      <c r="B25" s="241" t="s">
        <v>16</v>
      </c>
      <c r="C25" s="244" t="s">
        <v>41</v>
      </c>
      <c r="D25" s="244" t="s">
        <v>41</v>
      </c>
      <c r="E25" s="243" t="s">
        <v>41</v>
      </c>
      <c r="F25" s="243" t="s">
        <v>41</v>
      </c>
      <c r="G25" s="243" t="s">
        <v>41</v>
      </c>
      <c r="H25" s="243" t="s">
        <v>41</v>
      </c>
      <c r="I25" s="243" t="s">
        <v>41</v>
      </c>
      <c r="J25" s="263">
        <v>2.5</v>
      </c>
      <c r="K25" s="263">
        <v>2.5</v>
      </c>
      <c r="L25" s="263">
        <v>2.5</v>
      </c>
      <c r="M25" s="263">
        <v>2.5499999999999998</v>
      </c>
      <c r="N25" s="243">
        <f>1.193+1.327</f>
        <v>2.52</v>
      </c>
      <c r="O25" s="243">
        <f>1.212+1.358</f>
        <v>2.5700000000000003</v>
      </c>
      <c r="P25" s="243">
        <f>1.214+1.357</f>
        <v>2.5709999999999997</v>
      </c>
      <c r="Q25" s="243">
        <f>1.201+1.335</f>
        <v>2.536</v>
      </c>
      <c r="R25" s="243">
        <f>1.193+1.323</f>
        <v>2.516</v>
      </c>
      <c r="S25" s="243">
        <f>1.169+1.251</f>
        <v>2.42</v>
      </c>
      <c r="T25" s="243">
        <f>1.144+1.209</f>
        <v>2.3529999999999998</v>
      </c>
      <c r="U25" s="243">
        <f>1.113+1.17</f>
        <v>2.2829999999999999</v>
      </c>
      <c r="V25" s="243">
        <f>1.104+1.176</f>
        <v>2.2800000000000002</v>
      </c>
      <c r="W25" s="243">
        <f>1.095+1.24</f>
        <v>2.335</v>
      </c>
      <c r="X25" s="243">
        <f>1.185+1.339</f>
        <v>2.524</v>
      </c>
      <c r="Y25" s="243">
        <f>1.15+1.339</f>
        <v>2.4889999999999999</v>
      </c>
      <c r="Z25" s="243">
        <f>1.161535+1.342378</f>
        <v>2.5039129999999998</v>
      </c>
      <c r="AA25" s="243">
        <v>2.4990787000000001</v>
      </c>
      <c r="AB25" s="243">
        <v>2.5104894</v>
      </c>
      <c r="AC25" s="242">
        <f t="shared" si="4"/>
        <v>0.45659626485551996</v>
      </c>
      <c r="AD25" s="241" t="s">
        <v>16</v>
      </c>
    </row>
    <row r="26" spans="1:30" s="256" customFormat="1" ht="12.75" customHeight="1" x14ac:dyDescent="0.2">
      <c r="A26" s="261"/>
      <c r="B26" s="245" t="s">
        <v>19</v>
      </c>
      <c r="C26" s="386" t="s">
        <v>43</v>
      </c>
      <c r="D26" s="386" t="s">
        <v>43</v>
      </c>
      <c r="E26" s="385" t="s">
        <v>43</v>
      </c>
      <c r="F26" s="385" t="s">
        <v>43</v>
      </c>
      <c r="G26" s="385" t="s">
        <v>43</v>
      </c>
      <c r="H26" s="385" t="s">
        <v>43</v>
      </c>
      <c r="I26" s="385" t="s">
        <v>43</v>
      </c>
      <c r="J26" s="385" t="s">
        <v>43</v>
      </c>
      <c r="K26" s="385" t="s">
        <v>43</v>
      </c>
      <c r="L26" s="385" t="s">
        <v>43</v>
      </c>
      <c r="M26" s="385" t="s">
        <v>43</v>
      </c>
      <c r="N26" s="385" t="s">
        <v>43</v>
      </c>
      <c r="O26" s="385" t="s">
        <v>43</v>
      </c>
      <c r="P26" s="385" t="s">
        <v>43</v>
      </c>
      <c r="Q26" s="385" t="s">
        <v>43</v>
      </c>
      <c r="R26" s="385" t="s">
        <v>43</v>
      </c>
      <c r="S26" s="385" t="s">
        <v>43</v>
      </c>
      <c r="T26" s="385" t="s">
        <v>43</v>
      </c>
      <c r="U26" s="385" t="s">
        <v>43</v>
      </c>
      <c r="V26" s="385" t="s">
        <v>43</v>
      </c>
      <c r="W26" s="385" t="s">
        <v>43</v>
      </c>
      <c r="X26" s="385" t="s">
        <v>43</v>
      </c>
      <c r="Y26" s="385" t="s">
        <v>43</v>
      </c>
      <c r="Z26" s="385" t="s">
        <v>43</v>
      </c>
      <c r="AA26" s="385" t="s">
        <v>43</v>
      </c>
      <c r="AB26" s="385" t="s">
        <v>43</v>
      </c>
      <c r="AC26" s="383" t="s">
        <v>43</v>
      </c>
      <c r="AD26" s="245" t="s">
        <v>19</v>
      </c>
    </row>
    <row r="27" spans="1:30" ht="12.75" customHeight="1" x14ac:dyDescent="0.2">
      <c r="B27" s="241" t="s">
        <v>27</v>
      </c>
      <c r="C27" s="244">
        <v>1.24</v>
      </c>
      <c r="D27" s="244">
        <v>1.35</v>
      </c>
      <c r="E27" s="243">
        <v>1.26</v>
      </c>
      <c r="F27" s="243">
        <v>1.29</v>
      </c>
      <c r="G27" s="243">
        <v>1.32</v>
      </c>
      <c r="H27" s="243">
        <v>1.34</v>
      </c>
      <c r="I27" s="243">
        <v>1.39</v>
      </c>
      <c r="J27" s="243">
        <v>1.38</v>
      </c>
      <c r="K27" s="243">
        <v>1.39</v>
      </c>
      <c r="L27" s="263">
        <v>1.4</v>
      </c>
      <c r="M27" s="263">
        <v>1.4</v>
      </c>
      <c r="N27" s="263">
        <v>1.42</v>
      </c>
      <c r="O27" s="263">
        <v>1.43</v>
      </c>
      <c r="P27" s="263">
        <v>1.4379999999999999</v>
      </c>
      <c r="Q27" s="263">
        <v>1.45</v>
      </c>
      <c r="R27" s="263">
        <v>1.48</v>
      </c>
      <c r="S27" s="263">
        <v>1.5</v>
      </c>
      <c r="T27" s="263">
        <v>1.5</v>
      </c>
      <c r="U27" s="263">
        <v>1.5</v>
      </c>
      <c r="V27" s="263">
        <v>1.52</v>
      </c>
      <c r="W27" s="263">
        <v>1.55</v>
      </c>
      <c r="X27" s="263">
        <v>1.56</v>
      </c>
      <c r="Y27" s="263">
        <v>1.5803019373535709</v>
      </c>
      <c r="Z27" s="263">
        <f>AVERAGE(W27:Y27)</f>
        <v>1.5634339791178571</v>
      </c>
      <c r="AA27" s="263">
        <v>1.4044406931058715</v>
      </c>
      <c r="AB27" s="263">
        <v>1.4574384551098667</v>
      </c>
      <c r="AC27" s="262">
        <f t="shared" si="4"/>
        <v>3.7735849056603712</v>
      </c>
      <c r="AD27" s="241" t="s">
        <v>27</v>
      </c>
    </row>
    <row r="28" spans="1:30" s="256" customFormat="1" ht="12.75" customHeight="1" x14ac:dyDescent="0.2">
      <c r="A28" s="261"/>
      <c r="B28" s="245" t="s">
        <v>36</v>
      </c>
      <c r="C28" s="260">
        <v>1.5</v>
      </c>
      <c r="D28" s="260">
        <v>1.65</v>
      </c>
      <c r="E28" s="248">
        <v>2.7959999999999998</v>
      </c>
      <c r="F28" s="248">
        <v>2.9260000000000002</v>
      </c>
      <c r="G28" s="248">
        <v>2.9409999999999998</v>
      </c>
      <c r="H28" s="248">
        <v>3.1</v>
      </c>
      <c r="I28" s="248">
        <v>3.1539999999999999</v>
      </c>
      <c r="J28" s="248">
        <v>3.3</v>
      </c>
      <c r="K28" s="248">
        <v>3.4510000000000001</v>
      </c>
      <c r="L28" s="248">
        <v>3.407</v>
      </c>
      <c r="M28" s="248">
        <v>3.46</v>
      </c>
      <c r="N28" s="248">
        <v>3.536</v>
      </c>
      <c r="O28" s="248">
        <v>3.577</v>
      </c>
      <c r="P28" s="248">
        <v>3.6179999999999999</v>
      </c>
      <c r="Q28" s="248">
        <v>3.613</v>
      </c>
      <c r="R28" s="248">
        <v>3.6040000000000001</v>
      </c>
      <c r="S28" s="248">
        <v>3.6760000000000002</v>
      </c>
      <c r="T28" s="248">
        <v>3.77</v>
      </c>
      <c r="U28" s="248">
        <v>3.8660000000000001</v>
      </c>
      <c r="V28" s="248">
        <v>3.867</v>
      </c>
      <c r="W28" s="248">
        <v>3.9609999999999999</v>
      </c>
      <c r="X28" s="248">
        <v>3.9630000000000001</v>
      </c>
      <c r="Y28" s="248">
        <v>4.0590000000000002</v>
      </c>
      <c r="Z28" s="248">
        <v>4.0609999999999999</v>
      </c>
      <c r="AA28" s="248">
        <v>4.0629999999999997</v>
      </c>
      <c r="AB28" s="248">
        <v>4.1619999999999999</v>
      </c>
      <c r="AC28" s="269">
        <f t="shared" si="4"/>
        <v>2.436623184838794</v>
      </c>
      <c r="AD28" s="245" t="s">
        <v>36</v>
      </c>
    </row>
    <row r="29" spans="1:30" ht="12.75" customHeight="1" x14ac:dyDescent="0.2">
      <c r="B29" s="241" t="s">
        <v>20</v>
      </c>
      <c r="C29" s="244" t="s">
        <v>41</v>
      </c>
      <c r="D29" s="244" t="s">
        <v>41</v>
      </c>
      <c r="E29" s="243" t="s">
        <v>41</v>
      </c>
      <c r="F29" s="243" t="s">
        <v>41</v>
      </c>
      <c r="G29" s="243" t="s">
        <v>41</v>
      </c>
      <c r="H29" s="243" t="s">
        <v>41</v>
      </c>
      <c r="I29" s="243" t="s">
        <v>41</v>
      </c>
      <c r="J29" s="263">
        <v>5</v>
      </c>
      <c r="K29" s="263">
        <v>4.9000000000000004</v>
      </c>
      <c r="L29" s="263">
        <v>4.8499999999999996</v>
      </c>
      <c r="M29" s="263">
        <v>4.8</v>
      </c>
      <c r="N29" s="263">
        <v>4.75</v>
      </c>
      <c r="O29" s="263">
        <v>4.7</v>
      </c>
      <c r="P29" s="263">
        <v>4.6500000000000004</v>
      </c>
      <c r="Q29" s="263">
        <v>4.62</v>
      </c>
      <c r="R29" s="263">
        <v>4.5</v>
      </c>
      <c r="S29" s="263">
        <v>4.5</v>
      </c>
      <c r="T29" s="263">
        <v>4.4000000000000004</v>
      </c>
      <c r="U29" s="263">
        <v>4.45</v>
      </c>
      <c r="V29" s="263">
        <v>4.5999999999999996</v>
      </c>
      <c r="W29" s="263">
        <v>4.5999999999999996</v>
      </c>
      <c r="X29" s="263">
        <v>4.32</v>
      </c>
      <c r="Y29" s="263">
        <f>4.34</f>
        <v>4.34</v>
      </c>
      <c r="Z29" s="263">
        <v>4.4037127814014561</v>
      </c>
      <c r="AA29" s="263">
        <v>4.3922452068246658</v>
      </c>
      <c r="AB29" s="263">
        <f>AA29*(3620.9+113.1)/(3867.5+132.5)</f>
        <v>4.1001609005708248</v>
      </c>
      <c r="AC29" s="262">
        <f t="shared" si="4"/>
        <v>-6.6500000000000057</v>
      </c>
      <c r="AD29" s="241" t="s">
        <v>20</v>
      </c>
    </row>
    <row r="30" spans="1:30" s="256" customFormat="1" ht="12.75" customHeight="1" x14ac:dyDescent="0.2">
      <c r="A30" s="261"/>
      <c r="B30" s="245" t="s">
        <v>37</v>
      </c>
      <c r="C30" s="260">
        <v>0.93</v>
      </c>
      <c r="D30" s="260">
        <v>0.74</v>
      </c>
      <c r="E30" s="248">
        <v>0.67</v>
      </c>
      <c r="F30" s="248">
        <v>0.65</v>
      </c>
      <c r="G30" s="248">
        <v>0.63</v>
      </c>
      <c r="H30" s="248">
        <v>0.61</v>
      </c>
      <c r="I30" s="248">
        <v>0.57999999999999996</v>
      </c>
      <c r="J30" s="248">
        <v>0.53</v>
      </c>
      <c r="K30" s="248">
        <v>0.54</v>
      </c>
      <c r="L30" s="248">
        <v>0.5</v>
      </c>
      <c r="M30" s="248">
        <v>0.5</v>
      </c>
      <c r="N30" s="248">
        <v>0.5</v>
      </c>
      <c r="O30" s="248">
        <v>0.53</v>
      </c>
      <c r="P30" s="248">
        <v>0.54500000000000004</v>
      </c>
      <c r="Q30" s="248">
        <v>0.55000000000000004</v>
      </c>
      <c r="R30" s="248">
        <v>0.77</v>
      </c>
      <c r="S30" s="248">
        <v>0.84699999999999998</v>
      </c>
      <c r="T30" s="248">
        <f>0.80121+0.046506</f>
        <v>0.84771600000000003</v>
      </c>
      <c r="U30" s="248">
        <f>0.785327+0.202473</f>
        <v>0.98780000000000001</v>
      </c>
      <c r="V30" s="248">
        <f>0.803969+0.245921</f>
        <v>1.04989</v>
      </c>
      <c r="W30" s="248">
        <f>0.8354+0.259361</f>
        <v>1.0947610000000001</v>
      </c>
      <c r="X30" s="248">
        <f>0.829067+0.261117</f>
        <v>1.090184</v>
      </c>
      <c r="Y30" s="248">
        <f>0.866169+0.267064</f>
        <v>1.1332329999999999</v>
      </c>
      <c r="Z30" s="248">
        <v>1.1479999999999999</v>
      </c>
      <c r="AA30" s="248">
        <f>0.745589+0.28248</f>
        <v>1.0280689999999999</v>
      </c>
      <c r="AB30" s="248">
        <f>0.655705+0.285591</f>
        <v>0.94129599999999991</v>
      </c>
      <c r="AC30" s="269">
        <f t="shared" si="4"/>
        <v>-8.4403867833773916</v>
      </c>
      <c r="AD30" s="245" t="s">
        <v>37</v>
      </c>
    </row>
    <row r="31" spans="1:30" ht="12.75" customHeight="1" x14ac:dyDescent="0.2">
      <c r="B31" s="241" t="s">
        <v>21</v>
      </c>
      <c r="C31" s="244"/>
      <c r="D31" s="244"/>
      <c r="E31" s="243"/>
      <c r="F31" s="243"/>
      <c r="G31" s="243"/>
      <c r="H31" s="243"/>
      <c r="I31" s="243"/>
      <c r="J31" s="263">
        <v>6</v>
      </c>
      <c r="K31" s="263">
        <v>6</v>
      </c>
      <c r="L31" s="263">
        <v>6</v>
      </c>
      <c r="M31" s="263">
        <v>6</v>
      </c>
      <c r="N31" s="263">
        <v>6</v>
      </c>
      <c r="O31" s="263">
        <v>6</v>
      </c>
      <c r="P31" s="263">
        <v>6</v>
      </c>
      <c r="Q31" s="263">
        <v>6</v>
      </c>
      <c r="R31" s="243">
        <v>5.777215</v>
      </c>
      <c r="S31" s="243">
        <v>6.1920450000000002</v>
      </c>
      <c r="T31" s="243">
        <v>6.5969080000000009</v>
      </c>
      <c r="U31" s="263">
        <v>6.8</v>
      </c>
      <c r="V31" s="263">
        <v>6.9</v>
      </c>
      <c r="W31" s="263">
        <v>7</v>
      </c>
      <c r="X31" s="263">
        <v>7.0469999999999997</v>
      </c>
      <c r="Y31" s="263">
        <v>7.1387100977760349</v>
      </c>
      <c r="Z31" s="263">
        <f>AVERAGE(W31:Y31)</f>
        <v>7.0619033659253452</v>
      </c>
      <c r="AA31" s="263">
        <v>7.548372713565322</v>
      </c>
      <c r="AB31" s="263">
        <v>7.7517181005566318</v>
      </c>
      <c r="AC31" s="262">
        <f t="shared" si="4"/>
        <v>2.6938970120788213</v>
      </c>
      <c r="AD31" s="241" t="s">
        <v>21</v>
      </c>
    </row>
    <row r="32" spans="1:30" ht="12.75" customHeight="1" x14ac:dyDescent="0.2">
      <c r="B32" s="245" t="s">
        <v>23</v>
      </c>
      <c r="C32" s="386" t="s">
        <v>43</v>
      </c>
      <c r="D32" s="386" t="s">
        <v>43</v>
      </c>
      <c r="E32" s="385" t="s">
        <v>43</v>
      </c>
      <c r="F32" s="385" t="s">
        <v>43</v>
      </c>
      <c r="G32" s="385" t="s">
        <v>43</v>
      </c>
      <c r="H32" s="385" t="s">
        <v>43</v>
      </c>
      <c r="I32" s="385" t="s">
        <v>43</v>
      </c>
      <c r="J32" s="385" t="s">
        <v>43</v>
      </c>
      <c r="K32" s="385" t="s">
        <v>43</v>
      </c>
      <c r="L32" s="385" t="s">
        <v>43</v>
      </c>
      <c r="M32" s="385" t="s">
        <v>43</v>
      </c>
      <c r="N32" s="385" t="s">
        <v>43</v>
      </c>
      <c r="O32" s="385" t="s">
        <v>43</v>
      </c>
      <c r="P32" s="385" t="s">
        <v>43</v>
      </c>
      <c r="Q32" s="385" t="s">
        <v>43</v>
      </c>
      <c r="R32" s="385" t="s">
        <v>43</v>
      </c>
      <c r="S32" s="385" t="s">
        <v>43</v>
      </c>
      <c r="T32" s="385" t="s">
        <v>43</v>
      </c>
      <c r="U32" s="385" t="s">
        <v>43</v>
      </c>
      <c r="V32" s="385" t="s">
        <v>43</v>
      </c>
      <c r="W32" s="385" t="s">
        <v>43</v>
      </c>
      <c r="X32" s="385" t="s">
        <v>43</v>
      </c>
      <c r="Y32" s="385" t="s">
        <v>43</v>
      </c>
      <c r="Z32" s="385" t="s">
        <v>43</v>
      </c>
      <c r="AA32" s="385" t="s">
        <v>43</v>
      </c>
      <c r="AB32" s="385" t="s">
        <v>43</v>
      </c>
      <c r="AC32" s="392" t="s">
        <v>43</v>
      </c>
      <c r="AD32" s="245" t="s">
        <v>23</v>
      </c>
    </row>
    <row r="33" spans="1:30" ht="12.75" customHeight="1" x14ac:dyDescent="0.2">
      <c r="B33" s="241" t="s">
        <v>22</v>
      </c>
      <c r="C33" s="244"/>
      <c r="D33" s="244"/>
      <c r="E33" s="243"/>
      <c r="F33" s="243"/>
      <c r="G33" s="243"/>
      <c r="H33" s="243" t="s">
        <v>41</v>
      </c>
      <c r="I33" s="243" t="s">
        <v>41</v>
      </c>
      <c r="J33" s="263">
        <f>0.14623*3</f>
        <v>0.43869000000000002</v>
      </c>
      <c r="K33" s="263">
        <v>0.42</v>
      </c>
      <c r="L33" s="263">
        <v>0.4</v>
      </c>
      <c r="M33" s="263">
        <f>0.126488*3</f>
        <v>0.37946399999999997</v>
      </c>
      <c r="N33" s="263">
        <f>0.117714*3</f>
        <v>0.35314200000000001</v>
      </c>
      <c r="O33" s="263">
        <v>0.35</v>
      </c>
      <c r="P33" s="263">
        <v>0.35736277999999999</v>
      </c>
      <c r="Q33" s="263">
        <v>0.35821163</v>
      </c>
      <c r="R33" s="263">
        <v>0.36700559999999993</v>
      </c>
      <c r="S33" s="263">
        <v>0.36223677000000004</v>
      </c>
      <c r="T33" s="263">
        <v>0.38621753999999997</v>
      </c>
      <c r="U33" s="263">
        <v>0.38442599999999999</v>
      </c>
      <c r="V33" s="263">
        <f>0.109705*3.6</f>
        <v>0.39493800000000001</v>
      </c>
      <c r="W33" s="263">
        <f>0.10708*3.43</f>
        <v>0.36728440000000001</v>
      </c>
      <c r="X33" s="263">
        <v>0.29252590000000001</v>
      </c>
      <c r="Y33" s="263">
        <v>0.2834431</v>
      </c>
      <c r="Z33" s="263">
        <f>2.81*0.109182</f>
        <v>0.30680141999999999</v>
      </c>
      <c r="AA33" s="263">
        <f>0.098788*2.93</f>
        <v>0.28944884000000004</v>
      </c>
      <c r="AB33" s="263">
        <f>3.1*88.841/1000</f>
        <v>0.27540710000000002</v>
      </c>
      <c r="AC33" s="262">
        <f t="shared" si="4"/>
        <v>-4.851199265472971</v>
      </c>
      <c r="AD33" s="241" t="s">
        <v>22</v>
      </c>
    </row>
    <row r="34" spans="1:30" ht="12.75" customHeight="1" x14ac:dyDescent="0.2">
      <c r="B34" s="245" t="s">
        <v>38</v>
      </c>
      <c r="C34" s="260">
        <v>0.1</v>
      </c>
      <c r="D34" s="260">
        <v>0.13</v>
      </c>
      <c r="E34" s="248">
        <v>0.35</v>
      </c>
      <c r="F34" s="248">
        <v>0.34</v>
      </c>
      <c r="G34" s="248">
        <v>0.34499999999999997</v>
      </c>
      <c r="H34" s="248">
        <f>0.0993+0.2581</f>
        <v>0.3574</v>
      </c>
      <c r="I34" s="248">
        <v>0.37</v>
      </c>
      <c r="J34" s="248">
        <f>0.1091+0.2785</f>
        <v>0.38760000000000006</v>
      </c>
      <c r="K34" s="248">
        <v>0.4</v>
      </c>
      <c r="L34" s="248">
        <f>0.1162+0.3006</f>
        <v>0.41679999999999995</v>
      </c>
      <c r="M34" s="248">
        <v>0.439</v>
      </c>
      <c r="N34" s="248">
        <f>0.1205+0.3598</f>
        <v>0.4803</v>
      </c>
      <c r="O34" s="248">
        <f>0.118+0.379</f>
        <v>0.497</v>
      </c>
      <c r="P34" s="248">
        <f>0.1193+0.3853</f>
        <v>0.50459999999999994</v>
      </c>
      <c r="Q34" s="248">
        <f>0.1167+0.4008</f>
        <v>0.51749999999999996</v>
      </c>
      <c r="R34" s="248">
        <f>0.1182+0.4041</f>
        <v>0.52229999999999999</v>
      </c>
      <c r="S34" s="248">
        <f>0.119+0.404</f>
        <v>0.52300000000000002</v>
      </c>
      <c r="T34" s="248">
        <f>0.117+0.409</f>
        <v>0.52600000000000002</v>
      </c>
      <c r="U34" s="248">
        <f>0.11+0.414</f>
        <v>0.52400000000000002</v>
      </c>
      <c r="V34" s="248">
        <f>0.11+0.41</f>
        <v>0.52</v>
      </c>
      <c r="W34" s="248">
        <f>0.112+0.42</f>
        <v>0.53200000000000003</v>
      </c>
      <c r="X34" s="248">
        <v>0.53200000000000003</v>
      </c>
      <c r="Y34" s="248">
        <f>0.113+0.417</f>
        <v>0.53</v>
      </c>
      <c r="Z34" s="248">
        <f>0.397+0.118</f>
        <v>0.51500000000000001</v>
      </c>
      <c r="AA34" s="248">
        <f>0.401+0.125</f>
        <v>0.52600000000000002</v>
      </c>
      <c r="AB34" s="391">
        <f>0.124+0.401</f>
        <v>0.52500000000000002</v>
      </c>
      <c r="AC34" s="269">
        <f t="shared" si="4"/>
        <v>-0.19011406844106205</v>
      </c>
      <c r="AD34" s="245" t="s">
        <v>38</v>
      </c>
    </row>
    <row r="35" spans="1:30" ht="12.75" customHeight="1" x14ac:dyDescent="0.2">
      <c r="B35" s="241" t="s">
        <v>39</v>
      </c>
      <c r="C35" s="244">
        <v>1.44</v>
      </c>
      <c r="D35" s="244">
        <v>1.97</v>
      </c>
      <c r="E35" s="243">
        <v>2.0099999999999998</v>
      </c>
      <c r="F35" s="243">
        <v>1.93</v>
      </c>
      <c r="G35" s="243">
        <v>1.91</v>
      </c>
      <c r="H35" s="243">
        <v>1.91</v>
      </c>
      <c r="I35" s="243">
        <v>1.89</v>
      </c>
      <c r="J35" s="243">
        <v>1.94</v>
      </c>
      <c r="K35" s="278">
        <v>1.98</v>
      </c>
      <c r="L35" s="243">
        <f>1.496+0.375</f>
        <v>1.871</v>
      </c>
      <c r="M35" s="243">
        <f>1.505+0.374</f>
        <v>1.879</v>
      </c>
      <c r="N35" s="243">
        <f>1.526+0.38</f>
        <v>1.9060000000000001</v>
      </c>
      <c r="O35" s="243">
        <f>1.588+0.394</f>
        <v>1.9820000000000002</v>
      </c>
      <c r="P35" s="243">
        <f>1.581+0.41</f>
        <v>1.9909999999999999</v>
      </c>
      <c r="Q35" s="243">
        <f>1.578+0.415</f>
        <v>1.9930000000000001</v>
      </c>
      <c r="R35" s="243">
        <f>1.558+0.436</f>
        <v>1.994</v>
      </c>
      <c r="S35" s="243">
        <f>1.556+0.462</f>
        <v>2.0180000000000002</v>
      </c>
      <c r="T35" s="243">
        <f>1.541+0.473</f>
        <v>2.0139999999999998</v>
      </c>
      <c r="U35" s="243">
        <f>1.657+0.482</f>
        <v>2.1390000000000002</v>
      </c>
      <c r="V35" s="243">
        <f>1.69+0.514</f>
        <v>2.2039999999999997</v>
      </c>
      <c r="W35" s="243">
        <f>1.715+0.524</f>
        <v>2.2389999999999999</v>
      </c>
      <c r="X35" s="243">
        <f>1.715+0.524</f>
        <v>2.2389999999999999</v>
      </c>
      <c r="Y35" s="243">
        <f>1.731+0.549</f>
        <v>2.2800000000000002</v>
      </c>
      <c r="Z35" s="243">
        <f>1.725+0.615</f>
        <v>2.34</v>
      </c>
      <c r="AA35" s="243">
        <f>1.796+0.576</f>
        <v>2.3719999999999999</v>
      </c>
      <c r="AB35" s="243">
        <v>2.4670000000000001</v>
      </c>
      <c r="AC35" s="242">
        <f t="shared" si="4"/>
        <v>4.0050590219224347</v>
      </c>
      <c r="AD35" s="241" t="s">
        <v>39</v>
      </c>
    </row>
    <row r="36" spans="1:30" ht="12.75" customHeight="1" x14ac:dyDescent="0.2">
      <c r="B36" s="245" t="s">
        <v>28</v>
      </c>
      <c r="C36" s="260">
        <v>5.2</v>
      </c>
      <c r="D36" s="260">
        <v>4.3</v>
      </c>
      <c r="E36" s="248">
        <v>6.5</v>
      </c>
      <c r="F36" s="248">
        <v>6.24</v>
      </c>
      <c r="G36" s="248">
        <v>6.15</v>
      </c>
      <c r="H36" s="248">
        <v>6.24</v>
      </c>
      <c r="I36" s="248">
        <v>6.5069999999999997</v>
      </c>
      <c r="J36" s="248">
        <v>6.8109999999999999</v>
      </c>
      <c r="K36" s="248">
        <v>6.6479999999999997</v>
      </c>
      <c r="L36" s="248">
        <v>6.9980000000000002</v>
      </c>
      <c r="M36" s="248">
        <f>6.716+0.632</f>
        <v>7.3479999999999999</v>
      </c>
      <c r="N36" s="248">
        <f>7.171+0.714</f>
        <v>7.8849999999999998</v>
      </c>
      <c r="O36" s="248">
        <f>7.47+0.869</f>
        <v>8.3390000000000004</v>
      </c>
      <c r="P36" s="248">
        <f>7.451+0.895</f>
        <v>8.3460000000000001</v>
      </c>
      <c r="Q36" s="248">
        <f>7.367+0.961</f>
        <v>8.3279999999999994</v>
      </c>
      <c r="R36" s="248">
        <f>7.34+0.96</f>
        <v>8.3000000000000007</v>
      </c>
      <c r="S36" s="248">
        <f>7.606+1.079</f>
        <v>8.6850000000000005</v>
      </c>
      <c r="T36" s="248">
        <f>7.586+1.1</f>
        <v>8.6859999999999999</v>
      </c>
      <c r="U36" s="248">
        <f>7.947+1.177</f>
        <v>9.1240000000000006</v>
      </c>
      <c r="V36" s="248">
        <f>8.352+1.1244</f>
        <v>9.4763999999999999</v>
      </c>
      <c r="W36" s="248">
        <f>8.646+1.251</f>
        <v>9.8970000000000002</v>
      </c>
      <c r="X36" s="248">
        <f>8.457+1.271</f>
        <v>9.7280000000000015</v>
      </c>
      <c r="Y36" s="248">
        <f>8.875+1.31</f>
        <v>10.185</v>
      </c>
      <c r="Z36" s="248">
        <f>9.519+0.8249*1.60934+0.0412</f>
        <v>10.887744566</v>
      </c>
      <c r="AA36" s="248">
        <f>10.099+0.0402+0.8822*1.609</f>
        <v>11.558659800000001</v>
      </c>
      <c r="AB36" s="390">
        <f>10.422+0.0406+1.4845</f>
        <v>11.947100000000001</v>
      </c>
      <c r="AC36" s="269">
        <f t="shared" si="4"/>
        <v>3.3605989510998597</v>
      </c>
      <c r="AD36" s="245" t="s">
        <v>28</v>
      </c>
    </row>
    <row r="37" spans="1:30" ht="12.75" customHeight="1" x14ac:dyDescent="0.2">
      <c r="B37" s="265" t="s">
        <v>122</v>
      </c>
      <c r="C37" s="455" t="s">
        <v>43</v>
      </c>
      <c r="D37" s="455" t="s">
        <v>43</v>
      </c>
      <c r="E37" s="456" t="s">
        <v>43</v>
      </c>
      <c r="F37" s="456" t="s">
        <v>43</v>
      </c>
      <c r="G37" s="456" t="s">
        <v>43</v>
      </c>
      <c r="H37" s="456" t="s">
        <v>43</v>
      </c>
      <c r="I37" s="456" t="s">
        <v>43</v>
      </c>
      <c r="J37" s="456" t="s">
        <v>43</v>
      </c>
      <c r="K37" s="456" t="s">
        <v>43</v>
      </c>
      <c r="L37" s="456" t="s">
        <v>43</v>
      </c>
      <c r="M37" s="456" t="s">
        <v>43</v>
      </c>
      <c r="N37" s="456" t="s">
        <v>43</v>
      </c>
      <c r="O37" s="456" t="s">
        <v>43</v>
      </c>
      <c r="P37" s="456" t="s">
        <v>43</v>
      </c>
      <c r="Q37" s="456" t="s">
        <v>43</v>
      </c>
      <c r="R37" s="456" t="s">
        <v>43</v>
      </c>
      <c r="S37" s="456" t="s">
        <v>43</v>
      </c>
      <c r="T37" s="456" t="s">
        <v>43</v>
      </c>
      <c r="U37" s="456" t="s">
        <v>43</v>
      </c>
      <c r="V37" s="456" t="s">
        <v>43</v>
      </c>
      <c r="W37" s="456" t="s">
        <v>43</v>
      </c>
      <c r="X37" s="456" t="s">
        <v>43</v>
      </c>
      <c r="Y37" s="456" t="s">
        <v>43</v>
      </c>
      <c r="Z37" s="456" t="s">
        <v>43</v>
      </c>
      <c r="AA37" s="456" t="s">
        <v>43</v>
      </c>
      <c r="AB37" s="456" t="s">
        <v>43</v>
      </c>
      <c r="AC37" s="457" t="s">
        <v>43</v>
      </c>
      <c r="AD37" s="265" t="s">
        <v>122</v>
      </c>
    </row>
    <row r="38" spans="1:30" ht="12.75" customHeight="1" x14ac:dyDescent="0.2">
      <c r="B38" s="245" t="s">
        <v>111</v>
      </c>
      <c r="C38" s="386" t="s">
        <v>43</v>
      </c>
      <c r="D38" s="386" t="s">
        <v>43</v>
      </c>
      <c r="E38" s="385" t="s">
        <v>43</v>
      </c>
      <c r="F38" s="385" t="s">
        <v>43</v>
      </c>
      <c r="G38" s="385" t="s">
        <v>43</v>
      </c>
      <c r="H38" s="384" t="s">
        <v>43</v>
      </c>
      <c r="I38" s="384" t="s">
        <v>43</v>
      </c>
      <c r="J38" s="384" t="s">
        <v>43</v>
      </c>
      <c r="K38" s="384" t="s">
        <v>43</v>
      </c>
      <c r="L38" s="384" t="s">
        <v>43</v>
      </c>
      <c r="M38" s="384" t="s">
        <v>43</v>
      </c>
      <c r="N38" s="384" t="s">
        <v>43</v>
      </c>
      <c r="O38" s="384" t="s">
        <v>43</v>
      </c>
      <c r="P38" s="384" t="s">
        <v>43</v>
      </c>
      <c r="Q38" s="384" t="s">
        <v>43</v>
      </c>
      <c r="R38" s="384" t="s">
        <v>43</v>
      </c>
      <c r="S38" s="384" t="s">
        <v>43</v>
      </c>
      <c r="T38" s="384" t="s">
        <v>43</v>
      </c>
      <c r="U38" s="384" t="s">
        <v>43</v>
      </c>
      <c r="V38" s="384" t="s">
        <v>43</v>
      </c>
      <c r="W38" s="384" t="s">
        <v>43</v>
      </c>
      <c r="X38" s="384" t="s">
        <v>43</v>
      </c>
      <c r="Y38" s="384" t="s">
        <v>43</v>
      </c>
      <c r="Z38" s="384" t="s">
        <v>43</v>
      </c>
      <c r="AA38" s="384" t="s">
        <v>43</v>
      </c>
      <c r="AB38" s="384" t="s">
        <v>43</v>
      </c>
      <c r="AC38" s="383" t="s">
        <v>43</v>
      </c>
      <c r="AD38" s="245" t="s">
        <v>111</v>
      </c>
    </row>
    <row r="39" spans="1:30" s="256" customFormat="1" ht="12.75" customHeight="1" x14ac:dyDescent="0.2">
      <c r="A39" s="261"/>
      <c r="B39" s="241" t="s">
        <v>6</v>
      </c>
      <c r="C39" s="389" t="s">
        <v>43</v>
      </c>
      <c r="D39" s="389" t="s">
        <v>43</v>
      </c>
      <c r="E39" s="388" t="s">
        <v>43</v>
      </c>
      <c r="F39" s="388" t="s">
        <v>43</v>
      </c>
      <c r="G39" s="388" t="s">
        <v>43</v>
      </c>
      <c r="H39" s="388" t="s">
        <v>43</v>
      </c>
      <c r="I39" s="388" t="s">
        <v>43</v>
      </c>
      <c r="J39" s="388" t="s">
        <v>43</v>
      </c>
      <c r="K39" s="388" t="s">
        <v>43</v>
      </c>
      <c r="L39" s="388" t="s">
        <v>43</v>
      </c>
      <c r="M39" s="388" t="s">
        <v>43</v>
      </c>
      <c r="N39" s="388" t="s">
        <v>43</v>
      </c>
      <c r="O39" s="388" t="s">
        <v>43</v>
      </c>
      <c r="P39" s="388" t="s">
        <v>43</v>
      </c>
      <c r="Q39" s="388" t="s">
        <v>43</v>
      </c>
      <c r="R39" s="388" t="s">
        <v>43</v>
      </c>
      <c r="S39" s="388" t="s">
        <v>43</v>
      </c>
      <c r="T39" s="388" t="s">
        <v>43</v>
      </c>
      <c r="U39" s="388" t="s">
        <v>43</v>
      </c>
      <c r="V39" s="388" t="s">
        <v>43</v>
      </c>
      <c r="W39" s="388" t="s">
        <v>43</v>
      </c>
      <c r="X39" s="388" t="s">
        <v>43</v>
      </c>
      <c r="Y39" s="388" t="s">
        <v>43</v>
      </c>
      <c r="Z39" s="388" t="s">
        <v>43</v>
      </c>
      <c r="AA39" s="388" t="s">
        <v>43</v>
      </c>
      <c r="AB39" s="388" t="s">
        <v>43</v>
      </c>
      <c r="AC39" s="387" t="s">
        <v>43</v>
      </c>
      <c r="AD39" s="241" t="s">
        <v>6</v>
      </c>
    </row>
    <row r="40" spans="1:30" s="256" customFormat="1" ht="12.75" customHeight="1" x14ac:dyDescent="0.2">
      <c r="A40" s="261"/>
      <c r="B40" s="245" t="s">
        <v>112</v>
      </c>
      <c r="C40" s="386"/>
      <c r="D40" s="386"/>
      <c r="E40" s="385"/>
      <c r="F40" s="385"/>
      <c r="G40" s="385"/>
      <c r="H40" s="385"/>
      <c r="I40" s="385"/>
      <c r="J40" s="385"/>
      <c r="K40" s="385"/>
      <c r="L40" s="385"/>
      <c r="M40" s="385"/>
      <c r="N40" s="385"/>
      <c r="O40" s="385"/>
      <c r="P40" s="385"/>
      <c r="Q40" s="385"/>
      <c r="R40" s="385"/>
      <c r="S40" s="385"/>
      <c r="T40" s="385"/>
      <c r="U40" s="385"/>
      <c r="V40" s="385"/>
      <c r="W40" s="384"/>
      <c r="X40" s="384">
        <v>8.3270740057940537E-2</v>
      </c>
      <c r="Y40" s="384">
        <v>9.3100942126514263E-2</v>
      </c>
      <c r="Z40" s="384">
        <v>8.8639698231009451E-2</v>
      </c>
      <c r="AA40" s="384">
        <v>8.7480779220779362E-2</v>
      </c>
      <c r="AB40" s="384">
        <v>9.1007125239792E-2</v>
      </c>
      <c r="AC40" s="383">
        <f t="shared" si="4"/>
        <v>4.030995208802409</v>
      </c>
      <c r="AD40" s="245" t="s">
        <v>112</v>
      </c>
    </row>
    <row r="41" spans="1:30" ht="12.75" customHeight="1" x14ac:dyDescent="0.2">
      <c r="B41" s="250" t="s">
        <v>24</v>
      </c>
      <c r="C41" s="244"/>
      <c r="D41" s="244"/>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382"/>
      <c r="AD41" s="250" t="s">
        <v>24</v>
      </c>
    </row>
    <row r="42" spans="1:30" s="256" customFormat="1" ht="12.75" customHeight="1" x14ac:dyDescent="0.2">
      <c r="A42" s="261"/>
      <c r="B42" s="245" t="s">
        <v>10</v>
      </c>
      <c r="C42" s="381" t="s">
        <v>43</v>
      </c>
      <c r="D42" s="381" t="s">
        <v>43</v>
      </c>
      <c r="E42" s="380" t="s">
        <v>43</v>
      </c>
      <c r="F42" s="380" t="s">
        <v>43</v>
      </c>
      <c r="G42" s="380" t="s">
        <v>43</v>
      </c>
      <c r="H42" s="380" t="s">
        <v>43</v>
      </c>
      <c r="I42" s="380" t="s">
        <v>43</v>
      </c>
      <c r="J42" s="380" t="s">
        <v>43</v>
      </c>
      <c r="K42" s="380" t="s">
        <v>43</v>
      </c>
      <c r="L42" s="380" t="s">
        <v>43</v>
      </c>
      <c r="M42" s="380" t="s">
        <v>43</v>
      </c>
      <c r="N42" s="380" t="s">
        <v>43</v>
      </c>
      <c r="O42" s="380" t="s">
        <v>43</v>
      </c>
      <c r="P42" s="380" t="s">
        <v>43</v>
      </c>
      <c r="Q42" s="380" t="s">
        <v>43</v>
      </c>
      <c r="R42" s="380" t="s">
        <v>43</v>
      </c>
      <c r="S42" s="380" t="s">
        <v>43</v>
      </c>
      <c r="T42" s="380" t="s">
        <v>43</v>
      </c>
      <c r="U42" s="380" t="s">
        <v>43</v>
      </c>
      <c r="V42" s="380" t="s">
        <v>43</v>
      </c>
      <c r="W42" s="380" t="s">
        <v>43</v>
      </c>
      <c r="X42" s="380" t="s">
        <v>43</v>
      </c>
      <c r="Y42" s="380" t="s">
        <v>43</v>
      </c>
      <c r="Z42" s="380" t="s">
        <v>43</v>
      </c>
      <c r="AA42" s="380" t="s">
        <v>43</v>
      </c>
      <c r="AB42" s="380" t="s">
        <v>43</v>
      </c>
      <c r="AC42" s="379"/>
      <c r="AD42" s="245" t="s">
        <v>10</v>
      </c>
    </row>
    <row r="43" spans="1:30" ht="12.75" customHeight="1" x14ac:dyDescent="0.2">
      <c r="B43" s="241" t="s">
        <v>40</v>
      </c>
      <c r="C43" s="244">
        <v>0.42799999999999999</v>
      </c>
      <c r="D43" s="244">
        <v>0.501</v>
      </c>
      <c r="E43" s="243">
        <v>0.41899999999999998</v>
      </c>
      <c r="F43" s="278">
        <v>0.42</v>
      </c>
      <c r="G43" s="243">
        <v>0.34899999999999998</v>
      </c>
      <c r="H43" s="243">
        <v>0.37</v>
      </c>
      <c r="I43" s="243">
        <v>0.375</v>
      </c>
      <c r="J43" s="243">
        <v>0.38100000000000001</v>
      </c>
      <c r="K43" s="243">
        <v>0.41899999999999998</v>
      </c>
      <c r="L43" s="243">
        <v>0.42699999999999999</v>
      </c>
      <c r="M43" s="243">
        <v>0.46899999999999997</v>
      </c>
      <c r="N43" s="243">
        <v>0.50700000000000001</v>
      </c>
      <c r="O43" s="243">
        <v>0.496</v>
      </c>
      <c r="P43" s="243">
        <v>0.50800000000000001</v>
      </c>
      <c r="Q43" s="243">
        <v>0.498</v>
      </c>
      <c r="R43" s="243">
        <v>0.47599999999999998</v>
      </c>
      <c r="S43" s="243">
        <v>0.45800000000000002</v>
      </c>
      <c r="T43" s="243">
        <v>0.51800000000000002</v>
      </c>
      <c r="U43" s="243">
        <v>0.50800000000000001</v>
      </c>
      <c r="V43" s="243">
        <v>0.53500000000000003</v>
      </c>
      <c r="W43" s="243">
        <v>0.57199999999999995</v>
      </c>
      <c r="X43" s="243">
        <v>0.58799999999999997</v>
      </c>
      <c r="Y43" s="243">
        <v>0.62</v>
      </c>
      <c r="Z43" s="243">
        <v>0.63100000000000001</v>
      </c>
      <c r="AA43" s="243">
        <v>0.66038399999999997</v>
      </c>
      <c r="AB43" s="378">
        <v>0.72891899999999998</v>
      </c>
      <c r="AC43" s="235">
        <f t="shared" si="4"/>
        <v>10.378052769297867</v>
      </c>
      <c r="AD43" s="241" t="s">
        <v>40</v>
      </c>
    </row>
    <row r="44" spans="1:30" s="256" customFormat="1" ht="12.75" customHeight="1" x14ac:dyDescent="0.2">
      <c r="A44" s="261"/>
      <c r="B44" s="236" t="s">
        <v>11</v>
      </c>
      <c r="C44" s="240"/>
      <c r="D44" s="240"/>
      <c r="E44" s="238"/>
      <c r="F44" s="238"/>
      <c r="G44" s="238"/>
      <c r="H44" s="238"/>
      <c r="I44" s="238"/>
      <c r="J44" s="238">
        <v>1.5002</v>
      </c>
      <c r="K44" s="238">
        <v>1.5463</v>
      </c>
      <c r="L44" s="238">
        <v>1.5072000000000001</v>
      </c>
      <c r="M44" s="238">
        <v>1.3951</v>
      </c>
      <c r="N44" s="238">
        <v>1.403</v>
      </c>
      <c r="O44" s="238">
        <v>1.403</v>
      </c>
      <c r="P44" s="238">
        <v>1.4358</v>
      </c>
      <c r="Q44" s="238">
        <v>1.4478</v>
      </c>
      <c r="R44" s="238">
        <v>1.4394</v>
      </c>
      <c r="S44" s="270">
        <v>1.4695</v>
      </c>
      <c r="T44" s="238">
        <v>0.78149999999999997</v>
      </c>
      <c r="U44" s="238">
        <v>0.78639999999999999</v>
      </c>
      <c r="V44" s="238">
        <v>0.8226</v>
      </c>
      <c r="W44" s="238">
        <v>0.90310000000000001</v>
      </c>
      <c r="X44" s="238">
        <v>0.93459999999999999</v>
      </c>
      <c r="Y44" s="238">
        <v>0.97819999999999996</v>
      </c>
      <c r="Z44" s="238">
        <v>1.0706</v>
      </c>
      <c r="AA44" s="238">
        <v>1.1303000000000001</v>
      </c>
      <c r="AB44" s="238">
        <v>1.1200000000000001</v>
      </c>
      <c r="AC44" s="237">
        <f t="shared" si="4"/>
        <v>-0.91126249668229775</v>
      </c>
      <c r="AD44" s="236" t="s">
        <v>11</v>
      </c>
    </row>
    <row r="45" spans="1:30" ht="31.5" customHeight="1" x14ac:dyDescent="0.2">
      <c r="B45" s="502" t="s">
        <v>79</v>
      </c>
      <c r="C45" s="502"/>
      <c r="D45" s="502"/>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2"/>
    </row>
    <row r="46" spans="1:30" ht="12.75" customHeight="1" x14ac:dyDescent="0.2">
      <c r="B46" s="345" t="s">
        <v>7</v>
      </c>
      <c r="C46" s="377"/>
      <c r="D46" s="377"/>
      <c r="E46" s="377"/>
      <c r="F46" s="377"/>
      <c r="G46" s="377"/>
      <c r="H46" s="341"/>
      <c r="I46" s="377"/>
      <c r="J46" s="377"/>
      <c r="K46" s="377"/>
      <c r="L46" s="377"/>
      <c r="M46" s="377"/>
      <c r="N46" s="377"/>
      <c r="O46" s="377"/>
      <c r="P46" s="351"/>
      <c r="Q46" s="341"/>
      <c r="R46" s="342"/>
      <c r="S46" s="377"/>
      <c r="T46" s="377"/>
      <c r="U46" s="377"/>
      <c r="V46" s="377"/>
      <c r="W46" s="377"/>
      <c r="X46" s="377"/>
      <c r="Y46" s="377"/>
      <c r="Z46" s="377"/>
      <c r="AA46" s="377"/>
      <c r="AB46" s="377"/>
      <c r="AC46" s="341"/>
      <c r="AD46" s="377"/>
    </row>
    <row r="47" spans="1:30" ht="12.75" customHeight="1" x14ac:dyDescent="0.2">
      <c r="B47" s="223" t="s">
        <v>88</v>
      </c>
      <c r="C47" s="223"/>
      <c r="D47" s="223"/>
      <c r="E47" s="223"/>
      <c r="F47" s="223"/>
      <c r="G47" s="223"/>
      <c r="H47" s="223"/>
      <c r="I47" s="223"/>
      <c r="J47" s="223"/>
      <c r="K47" s="223"/>
      <c r="L47" s="223"/>
      <c r="M47" s="223"/>
      <c r="N47" s="223"/>
      <c r="O47" s="223"/>
      <c r="P47" s="223"/>
      <c r="Q47" s="223"/>
      <c r="R47" s="223"/>
      <c r="S47" s="375"/>
      <c r="T47" s="375"/>
      <c r="U47" s="375"/>
      <c r="V47" s="375"/>
      <c r="W47" s="375"/>
      <c r="X47" s="375"/>
      <c r="Y47" s="375"/>
      <c r="Z47" s="375"/>
      <c r="AA47" s="375"/>
      <c r="AB47" s="375"/>
      <c r="AC47" s="375"/>
    </row>
    <row r="48" spans="1:30" ht="12.75" customHeight="1" x14ac:dyDescent="0.2">
      <c r="B48" s="222" t="s">
        <v>87</v>
      </c>
      <c r="N48" s="376"/>
      <c r="O48" s="376"/>
      <c r="P48" s="376"/>
      <c r="Q48" s="376"/>
      <c r="R48" s="376"/>
      <c r="S48" s="376"/>
      <c r="T48" s="376"/>
      <c r="U48" s="376"/>
      <c r="V48" s="376"/>
      <c r="W48" s="376"/>
      <c r="X48" s="376"/>
      <c r="Y48" s="376"/>
      <c r="Z48" s="376"/>
      <c r="AA48" s="376"/>
      <c r="AB48" s="376"/>
      <c r="AC48" s="376"/>
    </row>
    <row r="49" spans="2:29" s="219" customFormat="1" ht="12.75" customHeight="1" x14ac:dyDescent="0.2">
      <c r="B49" s="222" t="s">
        <v>76</v>
      </c>
      <c r="C49" s="223"/>
      <c r="D49" s="223"/>
      <c r="E49" s="223"/>
      <c r="F49" s="223"/>
      <c r="G49" s="223"/>
      <c r="H49" s="223"/>
      <c r="I49" s="223"/>
      <c r="J49" s="218"/>
      <c r="K49" s="218"/>
      <c r="L49" s="218"/>
      <c r="M49" s="218"/>
      <c r="N49" s="218"/>
      <c r="O49" s="218"/>
      <c r="P49" s="223"/>
      <c r="Q49" s="223"/>
      <c r="R49" s="223"/>
      <c r="S49" s="374"/>
      <c r="T49" s="374"/>
      <c r="U49" s="374"/>
      <c r="V49" s="374"/>
      <c r="W49" s="374"/>
      <c r="X49" s="374"/>
      <c r="Y49" s="374"/>
      <c r="Z49" s="374"/>
      <c r="AA49" s="452"/>
      <c r="AB49" s="374"/>
      <c r="AC49" s="374"/>
    </row>
    <row r="50" spans="2:29" s="219" customFormat="1" ht="12.75" customHeight="1" x14ac:dyDescent="0.2">
      <c r="B50" s="223"/>
      <c r="V50" s="374"/>
      <c r="W50" s="374"/>
      <c r="X50" s="374"/>
      <c r="Y50" s="374"/>
      <c r="Z50" s="374"/>
      <c r="AA50" s="452"/>
      <c r="AB50" s="374"/>
      <c r="AC50" s="374"/>
    </row>
    <row r="51" spans="2:29" s="219" customFormat="1" x14ac:dyDescent="0.2">
      <c r="V51" s="374"/>
      <c r="W51" s="374"/>
      <c r="X51" s="374"/>
      <c r="Y51" s="374"/>
      <c r="Z51" s="374"/>
      <c r="AA51" s="452"/>
      <c r="AB51" s="374"/>
      <c r="AC51" s="374"/>
    </row>
    <row r="52" spans="2:29" s="219" customFormat="1" x14ac:dyDescent="0.2">
      <c r="V52" s="374"/>
      <c r="W52" s="374"/>
      <c r="X52" s="374"/>
      <c r="Y52" s="374"/>
      <c r="Z52" s="374"/>
    </row>
    <row r="53" spans="2:29" s="219" customFormat="1" x14ac:dyDescent="0.2">
      <c r="V53" s="374"/>
      <c r="W53" s="374"/>
      <c r="X53" s="374"/>
      <c r="Y53" s="374"/>
      <c r="Z53" s="374"/>
    </row>
    <row r="54" spans="2:29" s="219" customFormat="1" ht="12.75" customHeight="1" x14ac:dyDescent="0.2">
      <c r="P54" s="503"/>
      <c r="V54" s="374"/>
      <c r="W54" s="374"/>
      <c r="X54" s="374"/>
      <c r="Y54" s="374"/>
      <c r="Z54" s="374"/>
    </row>
    <row r="55" spans="2:29" s="219" customFormat="1" x14ac:dyDescent="0.2">
      <c r="P55" s="503"/>
      <c r="V55" s="374"/>
      <c r="W55" s="374"/>
      <c r="X55" s="374"/>
      <c r="Y55" s="374"/>
      <c r="Z55" s="374"/>
    </row>
    <row r="56" spans="2:29" s="219" customFormat="1" x14ac:dyDescent="0.2">
      <c r="P56" s="503"/>
      <c r="V56" s="374"/>
      <c r="W56" s="374"/>
      <c r="X56" s="374"/>
      <c r="Y56" s="374"/>
      <c r="Z56" s="374"/>
    </row>
    <row r="57" spans="2:29" s="219" customFormat="1" x14ac:dyDescent="0.2">
      <c r="P57" s="504"/>
    </row>
    <row r="58" spans="2:29" s="219" customFormat="1" x14ac:dyDescent="0.2">
      <c r="P58" s="504"/>
    </row>
    <row r="59" spans="2:29" s="219" customFormat="1" x14ac:dyDescent="0.2">
      <c r="P59" s="504"/>
    </row>
    <row r="60" spans="2:29" s="219" customFormat="1" x14ac:dyDescent="0.2">
      <c r="P60" s="504"/>
    </row>
    <row r="61" spans="2:29" s="219" customFormat="1" x14ac:dyDescent="0.2">
      <c r="P61" s="504"/>
    </row>
    <row r="62" spans="2:29" s="219" customFormat="1" x14ac:dyDescent="0.2">
      <c r="P62" s="504"/>
    </row>
    <row r="63" spans="2:29" s="219" customFormat="1" x14ac:dyDescent="0.2">
      <c r="P63" s="504"/>
    </row>
    <row r="64" spans="2:29" s="219" customFormat="1" x14ac:dyDescent="0.2">
      <c r="P64" s="504"/>
    </row>
    <row r="65" spans="16:16" s="219" customFormat="1" x14ac:dyDescent="0.2">
      <c r="P65" s="504"/>
    </row>
  </sheetData>
  <mergeCells count="4">
    <mergeCell ref="B2:AD2"/>
    <mergeCell ref="B45:AD45"/>
    <mergeCell ref="P54:P56"/>
    <mergeCell ref="P57:P65"/>
  </mergeCells>
  <printOptions horizontalCentered="1"/>
  <pageMargins left="0.47244094488188981" right="0.47244094488188981" top="0.51181102362204722" bottom="0.27559055118110237"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52"/>
  <sheetViews>
    <sheetView topLeftCell="D1" zoomScaleNormal="100" workbookViewId="0">
      <selection activeCell="AB20" sqref="AB20"/>
    </sheetView>
  </sheetViews>
  <sheetFormatPr defaultRowHeight="11.25" x14ac:dyDescent="0.2"/>
  <cols>
    <col min="1" max="1" width="2.7109375" style="219" customWidth="1"/>
    <col min="2" max="2" width="4" style="219" customWidth="1"/>
    <col min="3" max="10" width="6.7109375" style="219" customWidth="1"/>
    <col min="11" max="14" width="6.7109375" style="219" hidden="1" customWidth="1"/>
    <col min="15" max="20" width="6.7109375" style="219" customWidth="1"/>
    <col min="21" max="28" width="7.28515625" style="219" customWidth="1"/>
    <col min="29" max="30" width="9" style="219" customWidth="1"/>
    <col min="31" max="31" width="6" style="219" customWidth="1"/>
    <col min="32" max="32" width="5.42578125" style="219" customWidth="1"/>
    <col min="33" max="16384" width="9.140625" style="219"/>
  </cols>
  <sheetData>
    <row r="1" spans="1:32" ht="14.25" customHeight="1" x14ac:dyDescent="0.2">
      <c r="B1" s="336"/>
      <c r="C1" s="335"/>
      <c r="D1" s="335"/>
      <c r="E1" s="335"/>
      <c r="F1" s="335"/>
      <c r="G1" s="335"/>
      <c r="H1" s="335"/>
      <c r="I1" s="335"/>
      <c r="J1" s="335"/>
      <c r="K1" s="335"/>
      <c r="L1" s="335"/>
      <c r="M1" s="335"/>
      <c r="N1" s="335"/>
      <c r="O1" s="335"/>
      <c r="P1" s="335"/>
      <c r="Q1" s="451"/>
      <c r="U1" s="333"/>
      <c r="V1" s="333"/>
      <c r="W1" s="333"/>
      <c r="X1" s="333"/>
      <c r="Y1" s="333"/>
      <c r="Z1" s="333"/>
      <c r="AA1" s="333"/>
      <c r="AB1" s="333"/>
      <c r="AC1" s="333"/>
      <c r="AD1" s="333"/>
      <c r="AF1" s="333" t="s">
        <v>98</v>
      </c>
    </row>
    <row r="2" spans="1:32" s="223" customFormat="1" ht="30" customHeight="1" x14ac:dyDescent="0.2">
      <c r="B2" s="505" t="s">
        <v>47</v>
      </c>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row>
    <row r="3" spans="1:32" ht="8.25" customHeight="1" x14ac:dyDescent="0.2">
      <c r="C3" s="331"/>
      <c r="D3" s="331"/>
      <c r="E3" s="331"/>
      <c r="F3" s="331"/>
      <c r="G3" s="331"/>
      <c r="H3" s="331"/>
      <c r="I3" s="331"/>
      <c r="J3" s="331"/>
      <c r="K3" s="331"/>
      <c r="L3" s="331"/>
      <c r="M3" s="331"/>
      <c r="N3" s="331"/>
      <c r="O3" s="331"/>
      <c r="P3" s="331"/>
      <c r="Q3" s="331"/>
      <c r="R3" s="331"/>
      <c r="X3" s="331" t="s">
        <v>113</v>
      </c>
      <c r="Y3" s="331"/>
      <c r="Z3" s="331"/>
      <c r="AA3" s="331"/>
      <c r="AB3" s="331"/>
      <c r="AC3" s="331"/>
      <c r="AD3" s="331"/>
      <c r="AE3" s="330"/>
      <c r="AF3" s="331"/>
    </row>
    <row r="4" spans="1:32" ht="24.75" customHeight="1" x14ac:dyDescent="0.2">
      <c r="B4" s="329"/>
      <c r="C4" s="328">
        <v>1970</v>
      </c>
      <c r="D4" s="328">
        <v>1980</v>
      </c>
      <c r="E4" s="327">
        <v>1990</v>
      </c>
      <c r="F4" s="327">
        <v>1991</v>
      </c>
      <c r="G4" s="327">
        <v>1992</v>
      </c>
      <c r="H4" s="327">
        <v>1993</v>
      </c>
      <c r="I4" s="327">
        <v>1994</v>
      </c>
      <c r="J4" s="327">
        <v>1995</v>
      </c>
      <c r="K4" s="327">
        <v>1996</v>
      </c>
      <c r="L4" s="327">
        <v>1997</v>
      </c>
      <c r="M4" s="327">
        <v>1998</v>
      </c>
      <c r="N4" s="327">
        <v>1999</v>
      </c>
      <c r="O4" s="327">
        <v>2000</v>
      </c>
      <c r="P4" s="327">
        <v>2001</v>
      </c>
      <c r="Q4" s="327">
        <v>2002</v>
      </c>
      <c r="R4" s="327">
        <v>2003</v>
      </c>
      <c r="S4" s="327">
        <v>2004</v>
      </c>
      <c r="T4" s="327">
        <v>2005</v>
      </c>
      <c r="U4" s="327">
        <v>2006</v>
      </c>
      <c r="V4" s="327">
        <v>2007</v>
      </c>
      <c r="W4" s="327">
        <v>2008</v>
      </c>
      <c r="X4" s="327">
        <v>2009</v>
      </c>
      <c r="Y4" s="327">
        <v>2010</v>
      </c>
      <c r="Z4" s="327">
        <v>2011</v>
      </c>
      <c r="AA4" s="327">
        <v>2012</v>
      </c>
      <c r="AB4" s="327">
        <v>2013</v>
      </c>
      <c r="AC4" s="450"/>
      <c r="AD4" s="450" t="s">
        <v>119</v>
      </c>
      <c r="AE4" s="326" t="s">
        <v>123</v>
      </c>
      <c r="AF4" s="371"/>
    </row>
    <row r="5" spans="1:32" ht="9.9499999999999993" customHeight="1" x14ac:dyDescent="0.2">
      <c r="B5" s="325"/>
      <c r="C5" s="324"/>
      <c r="D5" s="324"/>
      <c r="E5" s="323"/>
      <c r="F5" s="323"/>
      <c r="G5" s="323"/>
      <c r="H5" s="323"/>
      <c r="I5" s="323"/>
      <c r="J5" s="323"/>
      <c r="K5" s="323"/>
      <c r="L5" s="323"/>
      <c r="M5" s="323"/>
      <c r="N5" s="323"/>
      <c r="O5" s="323"/>
      <c r="P5" s="323"/>
      <c r="Q5" s="323"/>
      <c r="R5" s="323"/>
      <c r="S5" s="323"/>
      <c r="T5" s="323"/>
      <c r="U5" s="323"/>
      <c r="V5" s="323"/>
      <c r="W5" s="323"/>
      <c r="X5" s="323"/>
      <c r="Y5" s="323"/>
      <c r="Z5" s="323"/>
      <c r="AA5" s="322"/>
      <c r="AB5" s="322"/>
      <c r="AC5" s="449">
        <v>2012</v>
      </c>
      <c r="AD5" s="449">
        <v>2013</v>
      </c>
      <c r="AE5" s="372" t="s">
        <v>42</v>
      </c>
      <c r="AF5" s="371"/>
    </row>
    <row r="6" spans="1:32" ht="12.75" customHeight="1" x14ac:dyDescent="0.2">
      <c r="B6" s="314" t="s">
        <v>124</v>
      </c>
      <c r="C6" s="448">
        <f>20.5+SUM(C9:C36)</f>
        <v>330.16699999999997</v>
      </c>
      <c r="D6" s="448">
        <f>18+SUM(D9:D36)</f>
        <v>369.59900000000005</v>
      </c>
      <c r="E6" s="447">
        <f t="shared" ref="E6:AB6" si="0">SUM(E9:E36)</f>
        <v>404.13599999999997</v>
      </c>
      <c r="F6" s="446">
        <f t="shared" si="0"/>
        <v>386.78900000000004</v>
      </c>
      <c r="G6" s="445">
        <f t="shared" si="0"/>
        <v>375.52500000000009</v>
      </c>
      <c r="H6" s="445">
        <f t="shared" si="0"/>
        <v>350.16800000000001</v>
      </c>
      <c r="I6" s="445">
        <f t="shared" si="0"/>
        <v>343.34399999999999</v>
      </c>
      <c r="J6" s="445">
        <f t="shared" si="0"/>
        <v>350.32250628200006</v>
      </c>
      <c r="K6" s="445">
        <f t="shared" si="0"/>
        <v>348.7789985870001</v>
      </c>
      <c r="L6" s="445">
        <f t="shared" si="0"/>
        <v>349.80795994899984</v>
      </c>
      <c r="M6" s="445">
        <f t="shared" si="0"/>
        <v>350.73916329400004</v>
      </c>
      <c r="N6" s="445">
        <f t="shared" si="0"/>
        <v>358.488527788</v>
      </c>
      <c r="O6" s="445">
        <f t="shared" si="0"/>
        <v>371.50979316390823</v>
      </c>
      <c r="P6" s="445">
        <f t="shared" si="0"/>
        <v>373.59488607944144</v>
      </c>
      <c r="Q6" s="445">
        <f t="shared" si="0"/>
        <v>366.12848532880457</v>
      </c>
      <c r="R6" s="445">
        <f t="shared" si="0"/>
        <v>362.43931435149534</v>
      </c>
      <c r="S6" s="445">
        <f t="shared" si="0"/>
        <v>368.79253977899998</v>
      </c>
      <c r="T6" s="445">
        <f t="shared" si="0"/>
        <v>377.38650492200014</v>
      </c>
      <c r="U6" s="445">
        <f t="shared" si="0"/>
        <v>389.34189861599998</v>
      </c>
      <c r="V6" s="445">
        <f t="shared" si="0"/>
        <v>395.59245699900004</v>
      </c>
      <c r="W6" s="445">
        <f t="shared" si="0"/>
        <v>410.69711544400002</v>
      </c>
      <c r="X6" s="445">
        <f t="shared" si="0"/>
        <v>403.73641833891702</v>
      </c>
      <c r="Y6" s="445">
        <f t="shared" si="0"/>
        <v>405.29756774583996</v>
      </c>
      <c r="Z6" s="445">
        <f t="shared" si="0"/>
        <v>414.52298075838007</v>
      </c>
      <c r="AA6" s="445">
        <f t="shared" si="0"/>
        <v>419.57548485826499</v>
      </c>
      <c r="AB6" s="445">
        <f t="shared" si="0"/>
        <v>424.22109999999998</v>
      </c>
      <c r="AC6" s="444">
        <v>63.257180369229602</v>
      </c>
      <c r="AD6" s="443">
        <v>66.254478730155427</v>
      </c>
      <c r="AE6" s="442">
        <f t="shared" ref="AE6:AE20" si="1">AB6/AA6*100-100</f>
        <v>1.1072179642011974</v>
      </c>
      <c r="AF6" s="314" t="s">
        <v>124</v>
      </c>
    </row>
    <row r="7" spans="1:32" ht="12.75" customHeight="1" x14ac:dyDescent="0.2">
      <c r="A7" s="234"/>
      <c r="B7" s="282" t="s">
        <v>125</v>
      </c>
      <c r="C7" s="441">
        <f t="shared" ref="C7:AB7" si="2">SUM(C9,C12:C13,C15:C18,C24,C27:C28,C30,C34:C36,C20)</f>
        <v>220.18699999999993</v>
      </c>
      <c r="D7" s="441">
        <f t="shared" si="2"/>
        <v>246.90300000000002</v>
      </c>
      <c r="E7" s="440">
        <f t="shared" si="2"/>
        <v>268.91700000000003</v>
      </c>
      <c r="F7" s="439">
        <f t="shared" si="2"/>
        <v>277.34700000000004</v>
      </c>
      <c r="G7" s="439">
        <f t="shared" si="2"/>
        <v>278.471</v>
      </c>
      <c r="H7" s="439">
        <f t="shared" si="2"/>
        <v>265.07499999999999</v>
      </c>
      <c r="I7" s="439">
        <f t="shared" si="2"/>
        <v>265.14800000000002</v>
      </c>
      <c r="J7" s="439">
        <f t="shared" si="2"/>
        <v>274.79150628199994</v>
      </c>
      <c r="K7" s="439">
        <f t="shared" si="2"/>
        <v>280.85899858699997</v>
      </c>
      <c r="L7" s="439">
        <f t="shared" si="2"/>
        <v>284.69395994899998</v>
      </c>
      <c r="M7" s="439">
        <f t="shared" si="2"/>
        <v>289.21516329399998</v>
      </c>
      <c r="N7" s="439">
        <f t="shared" si="2"/>
        <v>297.70952778799995</v>
      </c>
      <c r="O7" s="439">
        <f t="shared" si="2"/>
        <v>308.90579316390824</v>
      </c>
      <c r="P7" s="439">
        <f t="shared" si="2"/>
        <v>313.68423707944157</v>
      </c>
      <c r="Q7" s="439">
        <f t="shared" si="2"/>
        <v>311.10653532880451</v>
      </c>
      <c r="R7" s="439">
        <f t="shared" si="2"/>
        <v>309.35150035149547</v>
      </c>
      <c r="S7" s="439">
        <f t="shared" si="2"/>
        <v>317.04053977900003</v>
      </c>
      <c r="T7" s="439">
        <f t="shared" si="2"/>
        <v>327.070504922</v>
      </c>
      <c r="U7" s="439">
        <f t="shared" si="2"/>
        <v>338.24889861599996</v>
      </c>
      <c r="V7" s="439">
        <f t="shared" si="2"/>
        <v>344.56545699899993</v>
      </c>
      <c r="W7" s="439">
        <f t="shared" si="2"/>
        <v>360.29111544399996</v>
      </c>
      <c r="X7" s="439">
        <f t="shared" si="2"/>
        <v>356.73141833891697</v>
      </c>
      <c r="Y7" s="439">
        <f t="shared" si="2"/>
        <v>360.05356774584004</v>
      </c>
      <c r="Z7" s="439">
        <f t="shared" si="2"/>
        <v>369.47088275837996</v>
      </c>
      <c r="AA7" s="439">
        <f t="shared" si="2"/>
        <v>375.05145685826488</v>
      </c>
      <c r="AB7" s="439">
        <f t="shared" si="2"/>
        <v>380.68309999999997</v>
      </c>
      <c r="AC7" s="438"/>
      <c r="AD7" s="437"/>
      <c r="AE7" s="436">
        <f t="shared" si="1"/>
        <v>1.501565462219574</v>
      </c>
      <c r="AF7" s="282" t="s">
        <v>125</v>
      </c>
    </row>
    <row r="8" spans="1:32" ht="12.75" customHeight="1" thickBot="1" x14ac:dyDescent="0.25">
      <c r="A8" s="234"/>
      <c r="B8" s="303" t="s">
        <v>126</v>
      </c>
      <c r="C8" s="435">
        <f>20.5+SUM(C10,C11,C14,C21,C22,C23,C25,C26,C29,C31,C32,C33,C19)</f>
        <v>109.97999999999999</v>
      </c>
      <c r="D8" s="435">
        <f>18+SUM(D10,D11,D14,D21,D22,D23,D25,D26,D29,D31,D32,D33,D19)</f>
        <v>122.696</v>
      </c>
      <c r="E8" s="434">
        <f t="shared" ref="E8:AB8" si="3">E6-E7</f>
        <v>135.21899999999994</v>
      </c>
      <c r="F8" s="433">
        <f t="shared" si="3"/>
        <v>109.44200000000001</v>
      </c>
      <c r="G8" s="432">
        <f t="shared" si="3"/>
        <v>97.054000000000087</v>
      </c>
      <c r="H8" s="432">
        <f t="shared" si="3"/>
        <v>85.093000000000018</v>
      </c>
      <c r="I8" s="432">
        <f t="shared" si="3"/>
        <v>78.19599999999997</v>
      </c>
      <c r="J8" s="432">
        <f t="shared" si="3"/>
        <v>75.53100000000012</v>
      </c>
      <c r="K8" s="432">
        <f t="shared" si="3"/>
        <v>67.92000000000013</v>
      </c>
      <c r="L8" s="432">
        <f t="shared" si="3"/>
        <v>65.113999999999862</v>
      </c>
      <c r="M8" s="432">
        <f t="shared" si="3"/>
        <v>61.524000000000058</v>
      </c>
      <c r="N8" s="432">
        <f t="shared" si="3"/>
        <v>60.779000000000053</v>
      </c>
      <c r="O8" s="432">
        <f t="shared" si="3"/>
        <v>62.603999999999985</v>
      </c>
      <c r="P8" s="432">
        <f t="shared" si="3"/>
        <v>59.910648999999864</v>
      </c>
      <c r="Q8" s="432">
        <f t="shared" si="3"/>
        <v>55.021950000000061</v>
      </c>
      <c r="R8" s="432">
        <f t="shared" si="3"/>
        <v>53.087813999999867</v>
      </c>
      <c r="S8" s="432">
        <f t="shared" si="3"/>
        <v>51.751999999999953</v>
      </c>
      <c r="T8" s="432">
        <f t="shared" si="3"/>
        <v>50.316000000000145</v>
      </c>
      <c r="U8" s="432">
        <f t="shared" si="3"/>
        <v>51.093000000000018</v>
      </c>
      <c r="V8" s="432">
        <f t="shared" si="3"/>
        <v>51.0270000000001</v>
      </c>
      <c r="W8" s="432">
        <f t="shared" si="3"/>
        <v>50.406000000000063</v>
      </c>
      <c r="X8" s="432">
        <f t="shared" si="3"/>
        <v>47.005000000000052</v>
      </c>
      <c r="Y8" s="432">
        <f t="shared" si="3"/>
        <v>45.243999999999915</v>
      </c>
      <c r="Z8" s="432">
        <f t="shared" si="3"/>
        <v>45.052098000000115</v>
      </c>
      <c r="AA8" s="432">
        <f t="shared" si="3"/>
        <v>44.524028000000101</v>
      </c>
      <c r="AB8" s="432">
        <f t="shared" si="3"/>
        <v>43.538000000000011</v>
      </c>
      <c r="AC8" s="431"/>
      <c r="AD8" s="430"/>
      <c r="AE8" s="429">
        <f t="shared" si="1"/>
        <v>-2.2145974753229609</v>
      </c>
      <c r="AF8" s="303" t="s">
        <v>126</v>
      </c>
    </row>
    <row r="9" spans="1:32" ht="12.75" customHeight="1" x14ac:dyDescent="0.2">
      <c r="A9" s="234"/>
      <c r="B9" s="241" t="s">
        <v>29</v>
      </c>
      <c r="C9" s="428">
        <v>8.26</v>
      </c>
      <c r="D9" s="428">
        <v>6.9630000000000001</v>
      </c>
      <c r="E9" s="287">
        <v>6.5389999999999997</v>
      </c>
      <c r="F9" s="287">
        <v>6.77</v>
      </c>
      <c r="G9" s="287">
        <v>6.798</v>
      </c>
      <c r="H9" s="287">
        <v>6.694</v>
      </c>
      <c r="I9" s="287">
        <v>6.6379999999999999</v>
      </c>
      <c r="J9" s="287">
        <v>6.7569999999999997</v>
      </c>
      <c r="K9" s="287">
        <v>6.7880000000000003</v>
      </c>
      <c r="L9" s="287">
        <v>6.98</v>
      </c>
      <c r="M9" s="287">
        <v>7.0970000000000004</v>
      </c>
      <c r="N9" s="287">
        <v>7.3540000000000001</v>
      </c>
      <c r="O9" s="287">
        <v>7.734</v>
      </c>
      <c r="P9" s="287">
        <v>8.0380000000000003</v>
      </c>
      <c r="Q9" s="287">
        <v>8.26</v>
      </c>
      <c r="R9" s="287">
        <v>8.2650000000000006</v>
      </c>
      <c r="S9" s="287">
        <v>9.2249999999999996</v>
      </c>
      <c r="T9" s="287">
        <v>8.51</v>
      </c>
      <c r="U9" s="287">
        <v>8.9640000000000004</v>
      </c>
      <c r="V9" s="287">
        <v>9.4030000000000005</v>
      </c>
      <c r="W9" s="287">
        <v>10.138999999999999</v>
      </c>
      <c r="X9" s="287">
        <v>10.237</v>
      </c>
      <c r="Y9" s="287">
        <v>10.564</v>
      </c>
      <c r="Z9" s="287">
        <v>10.669</v>
      </c>
      <c r="AA9" s="287">
        <v>10.3</v>
      </c>
      <c r="AB9" s="288">
        <f>AVERAGE(Y9:AA9)</f>
        <v>10.511000000000001</v>
      </c>
      <c r="AC9" s="419"/>
      <c r="AD9" s="416">
        <v>89.334925592504135</v>
      </c>
      <c r="AE9" s="286">
        <f t="shared" si="1"/>
        <v>2.0485436893203968</v>
      </c>
      <c r="AF9" s="241" t="s">
        <v>29</v>
      </c>
    </row>
    <row r="10" spans="1:32" ht="12.75" customHeight="1" x14ac:dyDescent="0.2">
      <c r="A10" s="234"/>
      <c r="B10" s="282" t="s">
        <v>12</v>
      </c>
      <c r="C10" s="285">
        <v>6.2240000000000002</v>
      </c>
      <c r="D10" s="285">
        <v>7.0549999999999997</v>
      </c>
      <c r="E10" s="284">
        <v>7.7930000000000001</v>
      </c>
      <c r="F10" s="284">
        <v>4.8659999999999997</v>
      </c>
      <c r="G10" s="284">
        <v>5.3929999999999998</v>
      </c>
      <c r="H10" s="284">
        <v>5.8369999999999997</v>
      </c>
      <c r="I10" s="284">
        <v>5.0590000000000002</v>
      </c>
      <c r="J10" s="284">
        <v>4.6929999999999996</v>
      </c>
      <c r="K10" s="284">
        <v>5.0650000000000004</v>
      </c>
      <c r="L10" s="284">
        <v>5.8860000000000001</v>
      </c>
      <c r="M10" s="284">
        <v>4.74</v>
      </c>
      <c r="N10" s="284">
        <v>3.819</v>
      </c>
      <c r="O10" s="284">
        <v>3.472</v>
      </c>
      <c r="P10" s="284">
        <v>2.99</v>
      </c>
      <c r="Q10" s="284">
        <v>2.5979999999999999</v>
      </c>
      <c r="R10" s="284">
        <v>2.5169999999999999</v>
      </c>
      <c r="S10" s="284">
        <v>2.4039999999999999</v>
      </c>
      <c r="T10" s="284">
        <v>2.3889999999999998</v>
      </c>
      <c r="U10" s="284">
        <v>2.411</v>
      </c>
      <c r="V10" s="284">
        <v>2.4039999999999999</v>
      </c>
      <c r="W10" s="284">
        <v>2.3170000000000002</v>
      </c>
      <c r="X10" s="284">
        <v>2.1379999999999999</v>
      </c>
      <c r="Y10" s="284">
        <v>2.09</v>
      </c>
      <c r="Z10" s="284">
        <v>2.0590000000000002</v>
      </c>
      <c r="AA10" s="284">
        <v>1.87</v>
      </c>
      <c r="AB10" s="284">
        <v>1.821</v>
      </c>
      <c r="AC10" s="417">
        <v>85.273416350839199</v>
      </c>
      <c r="AD10" s="416">
        <v>88.083470620538165</v>
      </c>
      <c r="AE10" s="283">
        <f t="shared" si="1"/>
        <v>-2.6203208556149775</v>
      </c>
      <c r="AF10" s="282" t="s">
        <v>12</v>
      </c>
    </row>
    <row r="11" spans="1:32" s="256" customFormat="1" ht="12.75" customHeight="1" x14ac:dyDescent="0.2">
      <c r="A11" s="261"/>
      <c r="B11" s="241" t="s">
        <v>14</v>
      </c>
      <c r="C11" s="360"/>
      <c r="D11" s="360"/>
      <c r="E11" s="300">
        <v>13.313000000000001</v>
      </c>
      <c r="F11" s="400">
        <v>12.5</v>
      </c>
      <c r="G11" s="300">
        <v>11.147</v>
      </c>
      <c r="H11" s="300">
        <v>8.548</v>
      </c>
      <c r="I11" s="300">
        <v>8.4809999999999999</v>
      </c>
      <c r="J11" s="300">
        <v>8.0229999999999997</v>
      </c>
      <c r="K11" s="300">
        <v>8.1110000000000007</v>
      </c>
      <c r="L11" s="300">
        <v>7.71</v>
      </c>
      <c r="M11" s="300">
        <v>7.0010000000000003</v>
      </c>
      <c r="N11" s="300">
        <v>6.9290000000000003</v>
      </c>
      <c r="O11" s="300">
        <v>7.3</v>
      </c>
      <c r="P11" s="300">
        <v>7.2990000000000004</v>
      </c>
      <c r="Q11" s="300">
        <v>6.5970000000000004</v>
      </c>
      <c r="R11" s="300">
        <v>6.5179999999999998</v>
      </c>
      <c r="S11" s="300">
        <v>6.58</v>
      </c>
      <c r="T11" s="300">
        <v>6.6669999999999998</v>
      </c>
      <c r="U11" s="300">
        <v>6.9219999999999997</v>
      </c>
      <c r="V11" s="300">
        <v>6.8979999999999997</v>
      </c>
      <c r="W11" s="300">
        <v>6.7729999999999997</v>
      </c>
      <c r="X11" s="300">
        <v>6.4720000000000004</v>
      </c>
      <c r="Y11" s="300">
        <v>6.5590000000000002</v>
      </c>
      <c r="Z11" s="300">
        <v>6.6689999999999996</v>
      </c>
      <c r="AA11" s="300">
        <v>7.1959999999999997</v>
      </c>
      <c r="AB11" s="300">
        <v>7.5119999999999996</v>
      </c>
      <c r="AC11" s="417">
        <v>92.307692307692307</v>
      </c>
      <c r="AD11" s="416"/>
      <c r="AE11" s="242">
        <f t="shared" si="1"/>
        <v>4.3913285158421473</v>
      </c>
      <c r="AF11" s="241" t="s">
        <v>14</v>
      </c>
    </row>
    <row r="12" spans="1:32" ht="12.75" customHeight="1" x14ac:dyDescent="0.2">
      <c r="A12" s="234"/>
      <c r="B12" s="282" t="s">
        <v>25</v>
      </c>
      <c r="C12" s="285">
        <v>3.8980000000000001</v>
      </c>
      <c r="D12" s="285">
        <v>3.8029999999999999</v>
      </c>
      <c r="E12" s="284">
        <v>5.0510000000000002</v>
      </c>
      <c r="F12" s="284">
        <v>4.9130000000000003</v>
      </c>
      <c r="G12" s="284">
        <v>4.9740000000000002</v>
      </c>
      <c r="H12" s="284">
        <v>4.9390000000000001</v>
      </c>
      <c r="I12" s="284">
        <v>5.0519999999999996</v>
      </c>
      <c r="J12" s="284">
        <v>4.8879999999999999</v>
      </c>
      <c r="K12" s="284">
        <v>4.8209999999999997</v>
      </c>
      <c r="L12" s="284">
        <v>5.173</v>
      </c>
      <c r="M12" s="284">
        <v>5.3650000000000002</v>
      </c>
      <c r="N12" s="284">
        <v>5.31</v>
      </c>
      <c r="O12" s="284">
        <v>5.5369999999999999</v>
      </c>
      <c r="P12" s="284">
        <v>5.7210000000000001</v>
      </c>
      <c r="Q12" s="284">
        <f>5.754-0.009</f>
        <v>5.7449999999999992</v>
      </c>
      <c r="R12" s="284">
        <f>5.893-0.067</f>
        <v>5.8259999999999996</v>
      </c>
      <c r="S12" s="284">
        <v>5.9210000000000003</v>
      </c>
      <c r="T12" s="284">
        <v>5.9610000000000003</v>
      </c>
      <c r="U12" s="284">
        <v>6.0970000000000004</v>
      </c>
      <c r="V12" s="284">
        <v>6.1630000000000003</v>
      </c>
      <c r="W12" s="284">
        <v>6.2670000000000003</v>
      </c>
      <c r="X12" s="284">
        <v>6.1609999999999996</v>
      </c>
      <c r="Y12" s="284">
        <v>6.3410000000000002</v>
      </c>
      <c r="Z12" s="284">
        <v>6.6050000000000004</v>
      </c>
      <c r="AA12" s="284">
        <v>6.7439999999999998</v>
      </c>
      <c r="AB12" s="284">
        <v>6.7850000000000001</v>
      </c>
      <c r="AC12" s="417">
        <v>90.592086535724448</v>
      </c>
      <c r="AD12" s="416">
        <v>95.972300734878459</v>
      </c>
      <c r="AE12" s="283">
        <f t="shared" si="1"/>
        <v>0.60794780545670335</v>
      </c>
      <c r="AF12" s="282" t="s">
        <v>25</v>
      </c>
    </row>
    <row r="13" spans="1:32" s="256" customFormat="1" ht="12.75" customHeight="1" x14ac:dyDescent="0.2">
      <c r="A13" s="261"/>
      <c r="B13" s="241" t="s">
        <v>30</v>
      </c>
      <c r="C13" s="360">
        <v>62.4</v>
      </c>
      <c r="D13" s="360">
        <v>62.499000000000002</v>
      </c>
      <c r="E13" s="300">
        <v>61.024000000000001</v>
      </c>
      <c r="F13" s="300">
        <v>67.31</v>
      </c>
      <c r="G13" s="361">
        <v>67.55</v>
      </c>
      <c r="H13" s="300">
        <v>63.360999999999997</v>
      </c>
      <c r="I13" s="300">
        <v>65.2</v>
      </c>
      <c r="J13" s="300">
        <v>70.977000000000004</v>
      </c>
      <c r="K13" s="300">
        <v>71.73</v>
      </c>
      <c r="L13" s="300">
        <v>72.402999999999992</v>
      </c>
      <c r="M13" s="300">
        <v>72.665999999999997</v>
      </c>
      <c r="N13" s="300">
        <v>73.795999999999992</v>
      </c>
      <c r="O13" s="300">
        <v>75.403999999999996</v>
      </c>
      <c r="P13" s="300">
        <v>75.753999999999991</v>
      </c>
      <c r="Q13" s="300">
        <v>70.819000000000003</v>
      </c>
      <c r="R13" s="300">
        <v>71.293000000000006</v>
      </c>
      <c r="S13" s="300">
        <v>72.900000000000006</v>
      </c>
      <c r="T13" s="300">
        <v>76.8</v>
      </c>
      <c r="U13" s="300">
        <v>79</v>
      </c>
      <c r="V13" s="300">
        <v>79.097999999999999</v>
      </c>
      <c r="W13" s="300">
        <v>82.5</v>
      </c>
      <c r="X13" s="300">
        <v>82.3</v>
      </c>
      <c r="Y13" s="300">
        <v>83.9</v>
      </c>
      <c r="Z13" s="300">
        <v>85.4</v>
      </c>
      <c r="AA13" s="300">
        <v>88.8</v>
      </c>
      <c r="AB13" s="300">
        <v>89</v>
      </c>
      <c r="AC13" s="417"/>
      <c r="AD13" s="416">
        <v>60.311042341965873</v>
      </c>
      <c r="AE13" s="242">
        <f t="shared" si="1"/>
        <v>0.22522522522523047</v>
      </c>
      <c r="AF13" s="241" t="s">
        <v>30</v>
      </c>
    </row>
    <row r="14" spans="1:32" ht="12.75" customHeight="1" x14ac:dyDescent="0.2">
      <c r="A14" s="234"/>
      <c r="B14" s="282" t="s">
        <v>15</v>
      </c>
      <c r="C14" s="285">
        <v>1.2310000000000001</v>
      </c>
      <c r="D14" s="285">
        <v>1.5529999999999999</v>
      </c>
      <c r="E14" s="284">
        <v>1.51</v>
      </c>
      <c r="F14" s="284">
        <v>1.2729999999999999</v>
      </c>
      <c r="G14" s="284">
        <v>0.95</v>
      </c>
      <c r="H14" s="284">
        <v>0.72199999999999998</v>
      </c>
      <c r="I14" s="284">
        <v>0.53700000000000003</v>
      </c>
      <c r="J14" s="284">
        <v>0.42099999999999999</v>
      </c>
      <c r="K14" s="284">
        <v>0.309</v>
      </c>
      <c r="L14" s="284">
        <v>0.26200000000000001</v>
      </c>
      <c r="M14" s="284">
        <v>0.23599999999999999</v>
      </c>
      <c r="N14" s="284">
        <v>0.23799999999999999</v>
      </c>
      <c r="O14" s="284">
        <v>0.26100000000000001</v>
      </c>
      <c r="P14" s="284">
        <v>0.18264900000000001</v>
      </c>
      <c r="Q14" s="284">
        <v>0.17695</v>
      </c>
      <c r="R14" s="284">
        <v>0.181814</v>
      </c>
      <c r="S14" s="284">
        <v>0.193</v>
      </c>
      <c r="T14" s="284">
        <v>0.248</v>
      </c>
      <c r="U14" s="284">
        <v>0.25700000000000001</v>
      </c>
      <c r="V14" s="284">
        <v>0.27400000000000002</v>
      </c>
      <c r="W14" s="284">
        <v>0.27400000000000002</v>
      </c>
      <c r="X14" s="284">
        <v>0.249</v>
      </c>
      <c r="Y14" s="284">
        <v>0.247</v>
      </c>
      <c r="Z14" s="284">
        <v>0.24299999999999999</v>
      </c>
      <c r="AA14" s="284">
        <v>0.23499999999999999</v>
      </c>
      <c r="AB14" s="284">
        <v>0.223</v>
      </c>
      <c r="AC14" s="417">
        <v>92.765957446808514</v>
      </c>
      <c r="AD14" s="416">
        <v>90.016143497757838</v>
      </c>
      <c r="AE14" s="283">
        <f t="shared" si="1"/>
        <v>-5.1063829787234027</v>
      </c>
      <c r="AF14" s="282" t="s">
        <v>15</v>
      </c>
    </row>
    <row r="15" spans="1:32" ht="12.75" customHeight="1" x14ac:dyDescent="0.2">
      <c r="A15" s="234"/>
      <c r="B15" s="241" t="s">
        <v>33</v>
      </c>
      <c r="C15" s="290">
        <v>0.58199999999999996</v>
      </c>
      <c r="D15" s="290">
        <v>1.032</v>
      </c>
      <c r="E15" s="287">
        <v>1.226</v>
      </c>
      <c r="F15" s="287">
        <v>1.29</v>
      </c>
      <c r="G15" s="287">
        <v>1.226</v>
      </c>
      <c r="H15" s="287">
        <v>1.274</v>
      </c>
      <c r="I15" s="287">
        <v>1.26</v>
      </c>
      <c r="J15" s="287">
        <v>1.2909999999999999</v>
      </c>
      <c r="K15" s="287">
        <v>1.2949999999999999</v>
      </c>
      <c r="L15" s="287">
        <v>1.387</v>
      </c>
      <c r="M15" s="287">
        <v>1.421</v>
      </c>
      <c r="N15" s="287">
        <v>1.458</v>
      </c>
      <c r="O15" s="287">
        <v>1.389</v>
      </c>
      <c r="P15" s="287">
        <v>1.5149999999999999</v>
      </c>
      <c r="Q15" s="287">
        <v>1.6279999999999999</v>
      </c>
      <c r="R15" s="287">
        <v>1.601</v>
      </c>
      <c r="S15" s="287">
        <v>1.5820000000000001</v>
      </c>
      <c r="T15" s="287">
        <v>1.7809999999999999</v>
      </c>
      <c r="U15" s="287">
        <v>1.8720000000000001</v>
      </c>
      <c r="V15" s="287">
        <v>2.0070000000000001</v>
      </c>
      <c r="W15" s="287">
        <v>1.976</v>
      </c>
      <c r="X15" s="287">
        <v>1.6830000000000001</v>
      </c>
      <c r="Y15" s="287">
        <v>1.6779999999999999</v>
      </c>
      <c r="Z15" s="287">
        <v>1.6379999999999999</v>
      </c>
      <c r="AA15" s="287">
        <v>1.5780000000000001</v>
      </c>
      <c r="AB15" s="287">
        <v>1.569</v>
      </c>
      <c r="AC15" s="417">
        <v>93.931731984829327</v>
      </c>
      <c r="AD15" s="416">
        <v>100</v>
      </c>
      <c r="AE15" s="286">
        <f t="shared" si="1"/>
        <v>-0.57034220532320035</v>
      </c>
      <c r="AF15" s="241" t="s">
        <v>33</v>
      </c>
    </row>
    <row r="16" spans="1:32" ht="12.75" customHeight="1" x14ac:dyDescent="0.2">
      <c r="A16" s="234"/>
      <c r="B16" s="282" t="s">
        <v>26</v>
      </c>
      <c r="C16" s="285">
        <v>1.9510000000000001</v>
      </c>
      <c r="D16" s="285">
        <v>1.464</v>
      </c>
      <c r="E16" s="284">
        <v>1.9770000000000001</v>
      </c>
      <c r="F16" s="284">
        <v>1.9950000000000001</v>
      </c>
      <c r="G16" s="284">
        <v>2.0459999999999998</v>
      </c>
      <c r="H16" s="284">
        <v>1.726</v>
      </c>
      <c r="I16" s="284">
        <v>1.599</v>
      </c>
      <c r="J16" s="284">
        <v>1.5680000000000001</v>
      </c>
      <c r="K16" s="284">
        <v>1.7509999999999999</v>
      </c>
      <c r="L16" s="284">
        <v>1.8839999999999999</v>
      </c>
      <c r="M16" s="284">
        <v>1.552</v>
      </c>
      <c r="N16" s="284">
        <v>1.583</v>
      </c>
      <c r="O16" s="284">
        <v>1.8859999999999999</v>
      </c>
      <c r="P16" s="284">
        <v>1.7470000000000001</v>
      </c>
      <c r="Q16" s="284">
        <v>1.8360000000000001</v>
      </c>
      <c r="R16" s="284">
        <v>1.5740000000000001</v>
      </c>
      <c r="S16" s="284">
        <v>1.6679999999999999</v>
      </c>
      <c r="T16" s="284">
        <v>1.8540000000000001</v>
      </c>
      <c r="U16" s="284">
        <v>1.8109999999999999</v>
      </c>
      <c r="V16" s="284">
        <v>1.93</v>
      </c>
      <c r="W16" s="284">
        <v>1.657</v>
      </c>
      <c r="X16" s="284">
        <v>1.4670000000000001</v>
      </c>
      <c r="Y16" s="284">
        <v>1.383</v>
      </c>
      <c r="Z16" s="284">
        <v>0.95799999999999996</v>
      </c>
      <c r="AA16" s="284">
        <v>0.83199999999999996</v>
      </c>
      <c r="AB16" s="284">
        <v>1.056</v>
      </c>
      <c r="AC16" s="417">
        <v>100</v>
      </c>
      <c r="AD16" s="416">
        <v>100</v>
      </c>
      <c r="AE16" s="283">
        <f t="shared" si="1"/>
        <v>26.923076923076934</v>
      </c>
      <c r="AF16" s="282" t="s">
        <v>26</v>
      </c>
    </row>
    <row r="17" spans="1:32" ht="12.75" customHeight="1" x14ac:dyDescent="0.2">
      <c r="A17" s="234"/>
      <c r="B17" s="241" t="s">
        <v>31</v>
      </c>
      <c r="C17" s="290">
        <v>14.013</v>
      </c>
      <c r="D17" s="290">
        <v>13.526999999999999</v>
      </c>
      <c r="E17" s="287">
        <v>15.476000000000001</v>
      </c>
      <c r="F17" s="287">
        <v>15.022</v>
      </c>
      <c r="G17" s="287">
        <v>16.302</v>
      </c>
      <c r="H17" s="287">
        <v>15.234</v>
      </c>
      <c r="I17" s="287">
        <v>14.853</v>
      </c>
      <c r="J17" s="287">
        <v>16.577000000000002</v>
      </c>
      <c r="K17" s="288">
        <v>16.850000000000001</v>
      </c>
      <c r="L17" s="288">
        <v>17.829999999999998</v>
      </c>
      <c r="M17" s="288">
        <v>18.73</v>
      </c>
      <c r="N17" s="287">
        <v>19.655000000000001</v>
      </c>
      <c r="O17" s="287">
        <v>20.143999999999998</v>
      </c>
      <c r="P17" s="287">
        <v>20.829000000000001</v>
      </c>
      <c r="Q17" s="287">
        <v>21.210999999999999</v>
      </c>
      <c r="R17" s="287">
        <v>21.126999999999999</v>
      </c>
      <c r="S17" s="287">
        <v>20.327999999999999</v>
      </c>
      <c r="T17" s="287">
        <v>21.151</v>
      </c>
      <c r="U17" s="287">
        <v>21.62</v>
      </c>
      <c r="V17" s="287">
        <v>21.361999999999998</v>
      </c>
      <c r="W17" s="287">
        <v>23.452999999999999</v>
      </c>
      <c r="X17" s="287">
        <v>23.055</v>
      </c>
      <c r="Y17" s="287">
        <v>22.347999999999999</v>
      </c>
      <c r="Z17" s="287">
        <v>22.937000000000001</v>
      </c>
      <c r="AA17" s="287">
        <v>22.452000000000002</v>
      </c>
      <c r="AB17" s="287">
        <v>23.754999999999999</v>
      </c>
      <c r="AC17" s="417">
        <v>50.858063904427794</v>
      </c>
      <c r="AD17" s="416"/>
      <c r="AE17" s="286">
        <f t="shared" si="1"/>
        <v>5.8034918938179061</v>
      </c>
      <c r="AF17" s="241" t="s">
        <v>31</v>
      </c>
    </row>
    <row r="18" spans="1:32" ht="12.75" customHeight="1" x14ac:dyDescent="0.2">
      <c r="A18" s="234"/>
      <c r="B18" s="282" t="s">
        <v>32</v>
      </c>
      <c r="C18" s="285">
        <v>40.978999999999999</v>
      </c>
      <c r="D18" s="285">
        <v>54.496000000000002</v>
      </c>
      <c r="E18" s="284">
        <v>63.74</v>
      </c>
      <c r="F18" s="284">
        <v>62.37</v>
      </c>
      <c r="G18" s="284">
        <v>62.99</v>
      </c>
      <c r="H18" s="284">
        <v>58.43</v>
      </c>
      <c r="I18" s="284">
        <v>58.94</v>
      </c>
      <c r="J18" s="284">
        <v>54.218806281999981</v>
      </c>
      <c r="K18" s="284">
        <v>58.372198586999971</v>
      </c>
      <c r="L18" s="284">
        <v>59.898359948999953</v>
      </c>
      <c r="M18" s="284">
        <v>63.543963293999958</v>
      </c>
      <c r="N18" s="284">
        <v>64.967827787999951</v>
      </c>
      <c r="O18" s="284">
        <v>69.415908138999981</v>
      </c>
      <c r="P18" s="284">
        <v>71.118605769999974</v>
      </c>
      <c r="Q18" s="284">
        <v>72.897382714999978</v>
      </c>
      <c r="R18" s="284">
        <v>71.096366788141935</v>
      </c>
      <c r="S18" s="284">
        <v>73.914539778999995</v>
      </c>
      <c r="T18" s="284">
        <v>75.981504921999971</v>
      </c>
      <c r="U18" s="284">
        <v>79.275898615999978</v>
      </c>
      <c r="V18" s="284">
        <v>81.293456998999986</v>
      </c>
      <c r="W18" s="284">
        <v>86.339115443999987</v>
      </c>
      <c r="X18" s="284">
        <v>85.612418338916967</v>
      </c>
      <c r="Y18" s="284">
        <v>85.601567745840001</v>
      </c>
      <c r="Z18" s="284">
        <v>88.73188275838001</v>
      </c>
      <c r="AA18" s="284">
        <v>88.003456858264911</v>
      </c>
      <c r="AB18" s="284">
        <v>87.396100000000004</v>
      </c>
      <c r="AC18" s="417">
        <v>37.609649122807014</v>
      </c>
      <c r="AD18" s="416">
        <v>37.086092715231786</v>
      </c>
      <c r="AE18" s="283">
        <f t="shared" si="1"/>
        <v>-0.69015113717986765</v>
      </c>
      <c r="AF18" s="282" t="s">
        <v>32</v>
      </c>
    </row>
    <row r="19" spans="1:32" ht="12.75" customHeight="1" x14ac:dyDescent="0.2">
      <c r="A19" s="234"/>
      <c r="B19" s="241" t="s">
        <v>44</v>
      </c>
      <c r="C19" s="244">
        <v>3.7320000000000002</v>
      </c>
      <c r="D19" s="244">
        <v>3.6190000000000002</v>
      </c>
      <c r="E19" s="243">
        <v>3.4289999999999998</v>
      </c>
      <c r="F19" s="243">
        <v>1.427</v>
      </c>
      <c r="G19" s="243">
        <v>1.145</v>
      </c>
      <c r="H19" s="243">
        <v>1.0940000000000001</v>
      </c>
      <c r="I19" s="243">
        <v>1.1819999999999999</v>
      </c>
      <c r="J19" s="243">
        <v>1.139</v>
      </c>
      <c r="K19" s="243">
        <v>1.2050000000000001</v>
      </c>
      <c r="L19" s="243">
        <v>1.1579999999999999</v>
      </c>
      <c r="M19" s="243">
        <v>1.0920000000000001</v>
      </c>
      <c r="N19" s="243">
        <v>1.137</v>
      </c>
      <c r="O19" s="243">
        <v>1.252</v>
      </c>
      <c r="P19" s="243">
        <v>1.2410000000000001</v>
      </c>
      <c r="Q19" s="243">
        <v>1.1950000000000001</v>
      </c>
      <c r="R19" s="243">
        <v>1.163</v>
      </c>
      <c r="S19" s="243">
        <v>1.169</v>
      </c>
      <c r="T19" s="243">
        <v>1.2270000000000001</v>
      </c>
      <c r="U19" s="243">
        <v>1.3220000000000001</v>
      </c>
      <c r="V19" s="243">
        <v>1.573</v>
      </c>
      <c r="W19" s="243">
        <v>1.7689999999999999</v>
      </c>
      <c r="X19" s="243">
        <v>1.802</v>
      </c>
      <c r="Y19" s="243">
        <v>1.7110000000000001</v>
      </c>
      <c r="Z19" s="243">
        <v>1.4570000000000001</v>
      </c>
      <c r="AA19" s="243">
        <v>1.08</v>
      </c>
      <c r="AB19" s="243">
        <v>0.93500000000000005</v>
      </c>
      <c r="AC19" s="417"/>
      <c r="AD19" s="416">
        <v>67.418298834498827</v>
      </c>
      <c r="AE19" s="242">
        <f t="shared" si="1"/>
        <v>-13.425925925925924</v>
      </c>
      <c r="AF19" s="241" t="s">
        <v>44</v>
      </c>
    </row>
    <row r="20" spans="1:32" s="256" customFormat="1" ht="12.75" customHeight="1" x14ac:dyDescent="0.2">
      <c r="A20" s="261"/>
      <c r="B20" s="245" t="s">
        <v>34</v>
      </c>
      <c r="C20" s="260">
        <v>32.457000000000001</v>
      </c>
      <c r="D20" s="260">
        <v>39.587000000000003</v>
      </c>
      <c r="E20" s="248">
        <v>44.709000000000003</v>
      </c>
      <c r="F20" s="248">
        <v>45.064999999999998</v>
      </c>
      <c r="G20" s="248">
        <v>44.408999999999999</v>
      </c>
      <c r="H20" s="248">
        <v>42.72</v>
      </c>
      <c r="I20" s="280">
        <v>43.375</v>
      </c>
      <c r="J20" s="248">
        <f>43.859+2.792</f>
        <v>46.651000000000003</v>
      </c>
      <c r="K20" s="248">
        <f>44.78+2.8</f>
        <v>47.58</v>
      </c>
      <c r="L20" s="248">
        <f>43.591+2.8</f>
        <v>46.390999999999998</v>
      </c>
      <c r="M20" s="248">
        <f>41.391+2.8</f>
        <v>44.190999999999995</v>
      </c>
      <c r="N20" s="248">
        <f>43.424+2.878</f>
        <v>46.302</v>
      </c>
      <c r="O20" s="248">
        <f>47.133+2.439</f>
        <v>49.572000000000003</v>
      </c>
      <c r="P20" s="248">
        <f>46.752+3.324</f>
        <v>50.076000000000001</v>
      </c>
      <c r="Q20" s="248">
        <f>45.956+3.348</f>
        <v>49.304000000000002</v>
      </c>
      <c r="R20" s="248">
        <f>45.222+3.475</f>
        <v>48.697000000000003</v>
      </c>
      <c r="S20" s="248">
        <v>49.253999999999998</v>
      </c>
      <c r="T20" s="248">
        <v>50.088000000000001</v>
      </c>
      <c r="U20" s="248">
        <v>50.185000000000002</v>
      </c>
      <c r="V20" s="248">
        <v>49.78</v>
      </c>
      <c r="W20" s="248">
        <v>49.524000000000001</v>
      </c>
      <c r="X20" s="248">
        <v>48.124000000000002</v>
      </c>
      <c r="Y20" s="248">
        <v>47.171999999999997</v>
      </c>
      <c r="Z20" s="248">
        <v>46.844999999999999</v>
      </c>
      <c r="AA20" s="248">
        <v>46.759</v>
      </c>
      <c r="AB20" s="248">
        <v>48.738999999999997</v>
      </c>
      <c r="AC20" s="417">
        <v>51.367123467313611</v>
      </c>
      <c r="AD20" s="416">
        <v>61.089518687367381</v>
      </c>
      <c r="AE20" s="269">
        <f t="shared" si="1"/>
        <v>4.2344789238435254</v>
      </c>
      <c r="AF20" s="245" t="s">
        <v>34</v>
      </c>
    </row>
    <row r="21" spans="1:32" ht="12.75" customHeight="1" x14ac:dyDescent="0.2">
      <c r="A21" s="234"/>
      <c r="B21" s="241" t="s">
        <v>13</v>
      </c>
      <c r="C21" s="389" t="s">
        <v>43</v>
      </c>
      <c r="D21" s="389" t="s">
        <v>43</v>
      </c>
      <c r="E21" s="388" t="s">
        <v>43</v>
      </c>
      <c r="F21" s="388" t="s">
        <v>43</v>
      </c>
      <c r="G21" s="388" t="s">
        <v>43</v>
      </c>
      <c r="H21" s="388" t="s">
        <v>43</v>
      </c>
      <c r="I21" s="388" t="s">
        <v>43</v>
      </c>
      <c r="J21" s="388" t="s">
        <v>43</v>
      </c>
      <c r="K21" s="388" t="s">
        <v>43</v>
      </c>
      <c r="L21" s="388" t="s">
        <v>43</v>
      </c>
      <c r="M21" s="388" t="s">
        <v>43</v>
      </c>
      <c r="N21" s="388" t="s">
        <v>43</v>
      </c>
      <c r="O21" s="388" t="s">
        <v>43</v>
      </c>
      <c r="P21" s="388" t="s">
        <v>43</v>
      </c>
      <c r="Q21" s="388" t="s">
        <v>43</v>
      </c>
      <c r="R21" s="388" t="s">
        <v>43</v>
      </c>
      <c r="S21" s="388" t="s">
        <v>43</v>
      </c>
      <c r="T21" s="388" t="s">
        <v>43</v>
      </c>
      <c r="U21" s="388" t="s">
        <v>43</v>
      </c>
      <c r="V21" s="388" t="s">
        <v>43</v>
      </c>
      <c r="W21" s="388" t="s">
        <v>43</v>
      </c>
      <c r="X21" s="388" t="s">
        <v>43</v>
      </c>
      <c r="Y21" s="388" t="s">
        <v>43</v>
      </c>
      <c r="Z21" s="388" t="s">
        <v>43</v>
      </c>
      <c r="AA21" s="388" t="s">
        <v>43</v>
      </c>
      <c r="AB21" s="388" t="s">
        <v>43</v>
      </c>
      <c r="AC21" s="417" t="s">
        <v>43</v>
      </c>
      <c r="AD21" s="416" t="s">
        <v>43</v>
      </c>
      <c r="AE21" s="387" t="s">
        <v>43</v>
      </c>
      <c r="AF21" s="241" t="s">
        <v>13</v>
      </c>
    </row>
    <row r="22" spans="1:32" s="256" customFormat="1" ht="12.75" customHeight="1" x14ac:dyDescent="0.2">
      <c r="A22" s="261"/>
      <c r="B22" s="245" t="s">
        <v>17</v>
      </c>
      <c r="C22" s="260">
        <v>3.7469999999999999</v>
      </c>
      <c r="D22" s="260">
        <v>4.6870000000000003</v>
      </c>
      <c r="E22" s="248">
        <v>5.3659999999999997</v>
      </c>
      <c r="F22" s="248">
        <v>3.93</v>
      </c>
      <c r="G22" s="248">
        <v>3.6560000000000001</v>
      </c>
      <c r="H22" s="248">
        <v>2.359</v>
      </c>
      <c r="I22" s="248">
        <v>1.794</v>
      </c>
      <c r="J22" s="248">
        <v>1.373</v>
      </c>
      <c r="K22" s="248">
        <v>1.149</v>
      </c>
      <c r="L22" s="248">
        <v>1.1539999999999999</v>
      </c>
      <c r="M22" s="248">
        <v>1.0589999999999999</v>
      </c>
      <c r="N22" s="248">
        <v>0.98399999999999999</v>
      </c>
      <c r="O22" s="248">
        <v>0.71499999999999997</v>
      </c>
      <c r="P22" s="248">
        <v>0.70599999999999996</v>
      </c>
      <c r="Q22" s="248">
        <v>0.74399999999999999</v>
      </c>
      <c r="R22" s="248">
        <v>0.76200000000000001</v>
      </c>
      <c r="S22" s="248">
        <v>0.80600000000000005</v>
      </c>
      <c r="T22" s="248">
        <v>0.88900000000000001</v>
      </c>
      <c r="U22" s="248">
        <v>0.98599999999999999</v>
      </c>
      <c r="V22" s="248">
        <v>0.97499999999999998</v>
      </c>
      <c r="W22" s="248">
        <v>0.94099999999999995</v>
      </c>
      <c r="X22" s="248">
        <v>0.748</v>
      </c>
      <c r="Y22" s="248">
        <v>0.74099999999999999</v>
      </c>
      <c r="Z22" s="248">
        <v>0.73299999999999998</v>
      </c>
      <c r="AA22" s="248">
        <v>0.71699999999999997</v>
      </c>
      <c r="AB22" s="248">
        <v>0.72099999999999997</v>
      </c>
      <c r="AC22" s="417">
        <v>88.275862068965523</v>
      </c>
      <c r="AD22" s="416">
        <v>88.520055325034576</v>
      </c>
      <c r="AE22" s="269">
        <f>AB22/AA22*100-100</f>
        <v>0.55788005578800437</v>
      </c>
      <c r="AF22" s="245" t="s">
        <v>17</v>
      </c>
    </row>
    <row r="23" spans="1:32" ht="12.75" customHeight="1" x14ac:dyDescent="0.2">
      <c r="A23" s="234"/>
      <c r="B23" s="241" t="s">
        <v>18</v>
      </c>
      <c r="C23" s="244">
        <v>2.1320000000000001</v>
      </c>
      <c r="D23" s="244">
        <v>3.258</v>
      </c>
      <c r="E23" s="243">
        <v>3.64</v>
      </c>
      <c r="F23" s="243">
        <v>3.2250000000000001</v>
      </c>
      <c r="G23" s="243">
        <v>2.74</v>
      </c>
      <c r="H23" s="243">
        <v>2.7</v>
      </c>
      <c r="I23" s="243">
        <v>1.5740000000000001</v>
      </c>
      <c r="J23" s="243">
        <v>1.1299999999999999</v>
      </c>
      <c r="K23" s="243">
        <v>0.95399999999999996</v>
      </c>
      <c r="L23" s="243">
        <v>0.84199999999999997</v>
      </c>
      <c r="M23" s="243">
        <v>0.8</v>
      </c>
      <c r="N23" s="243">
        <v>0.745</v>
      </c>
      <c r="O23" s="243">
        <v>0.61099999999999999</v>
      </c>
      <c r="P23" s="243">
        <v>0.53300000000000003</v>
      </c>
      <c r="Q23" s="243">
        <v>0.498</v>
      </c>
      <c r="R23" s="243">
        <v>0.432</v>
      </c>
      <c r="S23" s="243">
        <v>0.44400000000000001</v>
      </c>
      <c r="T23" s="243">
        <v>0.28000000000000003</v>
      </c>
      <c r="U23" s="243">
        <v>0.26800000000000002</v>
      </c>
      <c r="V23" s="243">
        <v>0.246</v>
      </c>
      <c r="W23" s="243">
        <v>0.25800000000000001</v>
      </c>
      <c r="X23" s="243">
        <v>0.23100000000000001</v>
      </c>
      <c r="Y23" s="243">
        <v>0.24399999999999999</v>
      </c>
      <c r="Z23" s="243">
        <v>0.26900000000000002</v>
      </c>
      <c r="AA23" s="243">
        <v>0.27800000000000002</v>
      </c>
      <c r="AB23" s="243">
        <v>0.27800000000000002</v>
      </c>
      <c r="AC23" s="417">
        <v>100</v>
      </c>
      <c r="AD23" s="463">
        <v>64.514066496163679</v>
      </c>
      <c r="AE23" s="242">
        <f>AB23/AA23*100-100</f>
        <v>0</v>
      </c>
      <c r="AF23" s="241" t="s">
        <v>18</v>
      </c>
    </row>
    <row r="24" spans="1:32" s="256" customFormat="1" ht="12.75" customHeight="1" x14ac:dyDescent="0.2">
      <c r="A24" s="261"/>
      <c r="B24" s="245" t="s">
        <v>35</v>
      </c>
      <c r="C24" s="260">
        <v>0.25600000000000001</v>
      </c>
      <c r="D24" s="260">
        <v>0.246</v>
      </c>
      <c r="E24" s="248">
        <v>0.20799999999999999</v>
      </c>
      <c r="F24" s="248">
        <v>0.22</v>
      </c>
      <c r="G24" s="248">
        <v>0.255</v>
      </c>
      <c r="H24" s="248">
        <v>0.26200000000000001</v>
      </c>
      <c r="I24" s="248">
        <v>0.28899999999999998</v>
      </c>
      <c r="J24" s="248">
        <v>0.28699999999999998</v>
      </c>
      <c r="K24" s="248">
        <v>0.28399999999999997</v>
      </c>
      <c r="L24" s="248">
        <v>0.29499999999999998</v>
      </c>
      <c r="M24" s="248">
        <v>0.3</v>
      </c>
      <c r="N24" s="248">
        <v>0.31</v>
      </c>
      <c r="O24" s="248">
        <v>0.33200000000000002</v>
      </c>
      <c r="P24" s="248">
        <v>0.34599999999999997</v>
      </c>
      <c r="Q24" s="248">
        <v>0.26800000000000002</v>
      </c>
      <c r="R24" s="248">
        <v>0.26200000000000001</v>
      </c>
      <c r="S24" s="248">
        <v>0.253</v>
      </c>
      <c r="T24" s="248">
        <v>0.26700000000000002</v>
      </c>
      <c r="U24" s="248">
        <v>0.29799999999999999</v>
      </c>
      <c r="V24" s="248">
        <v>0.316</v>
      </c>
      <c r="W24" s="248">
        <v>0.34499999999999997</v>
      </c>
      <c r="X24" s="248">
        <v>0.33300000000000002</v>
      </c>
      <c r="Y24" s="248">
        <v>0.34699999999999998</v>
      </c>
      <c r="Z24" s="248">
        <f>0.349</f>
        <v>0.34899999999999998</v>
      </c>
      <c r="AA24" s="248">
        <v>0.374</v>
      </c>
      <c r="AB24" s="248">
        <v>0.38500000000000001</v>
      </c>
      <c r="AC24" s="427"/>
      <c r="AD24" s="416">
        <v>100</v>
      </c>
      <c r="AE24" s="269">
        <f>AB24/AA24*100-100</f>
        <v>2.9411764705882462</v>
      </c>
      <c r="AF24" s="245" t="s">
        <v>35</v>
      </c>
    </row>
    <row r="25" spans="1:32" ht="12.75" customHeight="1" x14ac:dyDescent="0.2">
      <c r="A25" s="234"/>
      <c r="B25" s="241" t="s">
        <v>16</v>
      </c>
      <c r="C25" s="244">
        <v>16.350000000000001</v>
      </c>
      <c r="D25" s="244">
        <v>13.544</v>
      </c>
      <c r="E25" s="243">
        <v>11.403</v>
      </c>
      <c r="F25" s="243">
        <v>9.8610000000000007</v>
      </c>
      <c r="G25" s="243">
        <v>9.1829999999999998</v>
      </c>
      <c r="H25" s="243">
        <v>8.4320000000000004</v>
      </c>
      <c r="I25" s="243">
        <v>8.5079999999999991</v>
      </c>
      <c r="J25" s="243">
        <v>8.4410000000000007</v>
      </c>
      <c r="K25" s="243">
        <v>8.5820000000000007</v>
      </c>
      <c r="L25" s="243">
        <v>8.6690000000000005</v>
      </c>
      <c r="M25" s="243">
        <v>8.8840000000000003</v>
      </c>
      <c r="N25" s="243">
        <v>9.5139999999999993</v>
      </c>
      <c r="O25" s="243">
        <v>9.6929999999999996</v>
      </c>
      <c r="P25" s="243">
        <v>10.005000000000001</v>
      </c>
      <c r="Q25" s="243">
        <v>10.531000000000001</v>
      </c>
      <c r="R25" s="243">
        <v>10.286</v>
      </c>
      <c r="S25" s="243">
        <v>10.164999999999999</v>
      </c>
      <c r="T25" s="243">
        <v>9.8510000000000009</v>
      </c>
      <c r="U25" s="243">
        <v>9.6579999999999995</v>
      </c>
      <c r="V25" s="243">
        <v>8.7520000000000007</v>
      </c>
      <c r="W25" s="243">
        <v>8.2929999999999993</v>
      </c>
      <c r="X25" s="243">
        <f>7.681+0.391</f>
        <v>8.0719999999999992</v>
      </c>
      <c r="Y25" s="243">
        <v>7.6920000000000002</v>
      </c>
      <c r="Z25" s="243">
        <v>7.8060980000000004</v>
      </c>
      <c r="AA25" s="243">
        <v>7.8060280000000004</v>
      </c>
      <c r="AB25" s="243">
        <v>7.843</v>
      </c>
      <c r="AC25" s="417">
        <v>94.260089686098652</v>
      </c>
      <c r="AD25" s="416">
        <v>95.349135169762974</v>
      </c>
      <c r="AE25" s="242">
        <f>AB25/AA25*100-100</f>
        <v>0.47363396595554264</v>
      </c>
      <c r="AF25" s="241" t="s">
        <v>16</v>
      </c>
    </row>
    <row r="26" spans="1:32" s="256" customFormat="1" ht="12.75" customHeight="1" x14ac:dyDescent="0.2">
      <c r="A26" s="261"/>
      <c r="B26" s="245" t="s">
        <v>19</v>
      </c>
      <c r="C26" s="386" t="s">
        <v>43</v>
      </c>
      <c r="D26" s="386" t="s">
        <v>43</v>
      </c>
      <c r="E26" s="385" t="s">
        <v>43</v>
      </c>
      <c r="F26" s="385" t="s">
        <v>43</v>
      </c>
      <c r="G26" s="385" t="s">
        <v>43</v>
      </c>
      <c r="H26" s="385" t="s">
        <v>43</v>
      </c>
      <c r="I26" s="385" t="s">
        <v>43</v>
      </c>
      <c r="J26" s="385" t="s">
        <v>43</v>
      </c>
      <c r="K26" s="385" t="s">
        <v>43</v>
      </c>
      <c r="L26" s="385" t="s">
        <v>43</v>
      </c>
      <c r="M26" s="385" t="s">
        <v>43</v>
      </c>
      <c r="N26" s="385" t="s">
        <v>43</v>
      </c>
      <c r="O26" s="385" t="s">
        <v>43</v>
      </c>
      <c r="P26" s="385" t="s">
        <v>43</v>
      </c>
      <c r="Q26" s="385" t="s">
        <v>43</v>
      </c>
      <c r="R26" s="385" t="s">
        <v>43</v>
      </c>
      <c r="S26" s="385" t="s">
        <v>43</v>
      </c>
      <c r="T26" s="385" t="s">
        <v>43</v>
      </c>
      <c r="U26" s="385" t="s">
        <v>43</v>
      </c>
      <c r="V26" s="385" t="s">
        <v>43</v>
      </c>
      <c r="W26" s="385" t="s">
        <v>43</v>
      </c>
      <c r="X26" s="385" t="s">
        <v>43</v>
      </c>
      <c r="Y26" s="385" t="s">
        <v>43</v>
      </c>
      <c r="Z26" s="385" t="s">
        <v>43</v>
      </c>
      <c r="AA26" s="385" t="s">
        <v>43</v>
      </c>
      <c r="AB26" s="385" t="s">
        <v>43</v>
      </c>
      <c r="AC26" s="417" t="s">
        <v>43</v>
      </c>
      <c r="AD26" s="416" t="s">
        <v>43</v>
      </c>
      <c r="AE26" s="392" t="s">
        <v>43</v>
      </c>
      <c r="AF26" s="245" t="s">
        <v>19</v>
      </c>
    </row>
    <row r="27" spans="1:32" ht="12.75" customHeight="1" x14ac:dyDescent="0.2">
      <c r="A27" s="234"/>
      <c r="B27" s="241" t="s">
        <v>27</v>
      </c>
      <c r="C27" s="244">
        <v>8.0109999999999992</v>
      </c>
      <c r="D27" s="244">
        <v>8.91</v>
      </c>
      <c r="E27" s="243">
        <v>11.06</v>
      </c>
      <c r="F27" s="243">
        <v>15.195</v>
      </c>
      <c r="G27" s="243">
        <v>15.35</v>
      </c>
      <c r="H27" s="243">
        <v>15.244999999999999</v>
      </c>
      <c r="I27" s="243">
        <v>14.439</v>
      </c>
      <c r="J27" s="243">
        <v>16.350000000000001</v>
      </c>
      <c r="K27" s="243">
        <v>14.092000000000001</v>
      </c>
      <c r="L27" s="243">
        <v>13.875</v>
      </c>
      <c r="M27" s="243">
        <v>14.106999999999999</v>
      </c>
      <c r="N27" s="243">
        <v>14.281000000000001</v>
      </c>
      <c r="O27" s="243">
        <v>14.666</v>
      </c>
      <c r="P27" s="243">
        <v>14.391999999999999</v>
      </c>
      <c r="Q27" s="243">
        <v>14.288</v>
      </c>
      <c r="R27" s="243">
        <v>13.848000000000001</v>
      </c>
      <c r="S27" s="243">
        <v>14.509</v>
      </c>
      <c r="T27" s="243">
        <v>15.153</v>
      </c>
      <c r="U27" s="243">
        <v>15.888999999999999</v>
      </c>
      <c r="V27" s="243">
        <v>15.545999999999999</v>
      </c>
      <c r="W27" s="243">
        <v>15.313000000000001</v>
      </c>
      <c r="X27" s="243">
        <v>15.4</v>
      </c>
      <c r="Y27" s="243">
        <v>15.4</v>
      </c>
      <c r="Z27" s="243">
        <v>16.808</v>
      </c>
      <c r="AA27" s="243">
        <v>17.771000000000001</v>
      </c>
      <c r="AB27" s="243">
        <v>17.669</v>
      </c>
      <c r="AC27" s="417"/>
      <c r="AD27" s="416">
        <v>96.315580961005153</v>
      </c>
      <c r="AE27" s="242">
        <f t="shared" ref="AE27:AE41" si="4">AB27/AA27*100-100</f>
        <v>-0.57396882561477014</v>
      </c>
      <c r="AF27" s="241" t="s">
        <v>27</v>
      </c>
    </row>
    <row r="28" spans="1:32" s="256" customFormat="1" ht="12.75" customHeight="1" x14ac:dyDescent="0.2">
      <c r="A28" s="261"/>
      <c r="B28" s="245" t="s">
        <v>36</v>
      </c>
      <c r="C28" s="260">
        <v>6.4379999999999997</v>
      </c>
      <c r="D28" s="260">
        <v>7.5860000000000003</v>
      </c>
      <c r="E28" s="248">
        <v>8.9120000000000008</v>
      </c>
      <c r="F28" s="248">
        <v>9.59</v>
      </c>
      <c r="G28" s="248">
        <v>9.9570000000000007</v>
      </c>
      <c r="H28" s="248">
        <v>9.7639999999999993</v>
      </c>
      <c r="I28" s="248">
        <v>9.9489999999999998</v>
      </c>
      <c r="J28" s="248">
        <v>10.124000000000001</v>
      </c>
      <c r="K28" s="248">
        <v>10.222</v>
      </c>
      <c r="L28" s="248">
        <v>8.7089999999999996</v>
      </c>
      <c r="M28" s="248">
        <v>8.5370000000000008</v>
      </c>
      <c r="N28" s="248">
        <v>8.5540000000000003</v>
      </c>
      <c r="O28" s="248">
        <v>8.73978502490829</v>
      </c>
      <c r="P28" s="248">
        <v>8.7609313094415793</v>
      </c>
      <c r="Q28" s="248">
        <v>8.8098526138045195</v>
      </c>
      <c r="R28" s="248">
        <v>8.6731335633535007</v>
      </c>
      <c r="S28" s="248">
        <v>8.2739999999999991</v>
      </c>
      <c r="T28" s="248">
        <v>8.6850000000000005</v>
      </c>
      <c r="U28" s="248">
        <v>8.907</v>
      </c>
      <c r="V28" s="248">
        <v>9.1669999999999998</v>
      </c>
      <c r="W28" s="248">
        <v>10.365</v>
      </c>
      <c r="X28" s="248">
        <v>10.183999999999999</v>
      </c>
      <c r="Y28" s="248">
        <v>10.263</v>
      </c>
      <c r="Z28" s="248">
        <v>10.426</v>
      </c>
      <c r="AA28" s="248">
        <v>10.853</v>
      </c>
      <c r="AB28" s="248">
        <v>12.282</v>
      </c>
      <c r="AC28" s="427"/>
      <c r="AD28" s="426"/>
      <c r="AE28" s="269">
        <f t="shared" si="4"/>
        <v>13.166866304247677</v>
      </c>
      <c r="AF28" s="245" t="s">
        <v>36</v>
      </c>
    </row>
    <row r="29" spans="1:32" ht="12.75" customHeight="1" x14ac:dyDescent="0.2">
      <c r="A29" s="234"/>
      <c r="B29" s="241" t="s">
        <v>20</v>
      </c>
      <c r="C29" s="244">
        <v>36.890999999999998</v>
      </c>
      <c r="D29" s="244">
        <v>46.323999999999998</v>
      </c>
      <c r="E29" s="243">
        <v>50.372999999999998</v>
      </c>
      <c r="F29" s="243">
        <v>40.115000000000002</v>
      </c>
      <c r="G29" s="243">
        <v>32.570999999999998</v>
      </c>
      <c r="H29" s="243">
        <v>30.864000000000001</v>
      </c>
      <c r="I29" s="243">
        <v>27.61</v>
      </c>
      <c r="J29" s="243">
        <v>26.635000000000002</v>
      </c>
      <c r="K29" s="243">
        <v>19.806999999999999</v>
      </c>
      <c r="L29" s="243">
        <v>19.928000000000001</v>
      </c>
      <c r="M29" s="243">
        <v>20.553000000000001</v>
      </c>
      <c r="N29" s="243">
        <v>21.518000000000001</v>
      </c>
      <c r="O29" s="243">
        <v>24.093</v>
      </c>
      <c r="P29" s="243">
        <v>22.469000000000001</v>
      </c>
      <c r="Q29" s="243">
        <v>20.748999999999999</v>
      </c>
      <c r="R29" s="243">
        <v>19.638000000000002</v>
      </c>
      <c r="S29" s="243">
        <v>18.43</v>
      </c>
      <c r="T29" s="243">
        <v>17.882000000000001</v>
      </c>
      <c r="U29" s="243">
        <v>18.239999999999998</v>
      </c>
      <c r="V29" s="243">
        <v>19.524000000000001</v>
      </c>
      <c r="W29" s="243">
        <v>19.762</v>
      </c>
      <c r="X29" s="243">
        <v>18.128</v>
      </c>
      <c r="Y29" s="243">
        <v>17.484999999999999</v>
      </c>
      <c r="Z29" s="243">
        <v>17.632999999999999</v>
      </c>
      <c r="AA29" s="243">
        <v>17.673999999999999</v>
      </c>
      <c r="AB29" s="243">
        <v>16.658999999999999</v>
      </c>
      <c r="AC29" s="417">
        <v>81.909772752714645</v>
      </c>
      <c r="AD29" s="416">
        <v>86.513510296393278</v>
      </c>
      <c r="AE29" s="242">
        <f t="shared" si="4"/>
        <v>-5.7428991739278104</v>
      </c>
      <c r="AF29" s="241" t="s">
        <v>20</v>
      </c>
    </row>
    <row r="30" spans="1:32" s="256" customFormat="1" ht="12.75" customHeight="1" x14ac:dyDescent="0.2">
      <c r="A30" s="261"/>
      <c r="B30" s="245" t="s">
        <v>37</v>
      </c>
      <c r="C30" s="260">
        <v>3.5459999999999998</v>
      </c>
      <c r="D30" s="260">
        <v>6.0759999999999996</v>
      </c>
      <c r="E30" s="248">
        <v>5.6639999999999997</v>
      </c>
      <c r="F30" s="248">
        <v>5.6920000000000002</v>
      </c>
      <c r="G30" s="248">
        <v>5.694</v>
      </c>
      <c r="H30" s="248">
        <v>5.3970000000000002</v>
      </c>
      <c r="I30" s="248">
        <v>5.1100000000000003</v>
      </c>
      <c r="J30" s="248">
        <v>4.8090000000000002</v>
      </c>
      <c r="K30" s="248">
        <v>4.5019999999999998</v>
      </c>
      <c r="L30" s="248">
        <v>4.5679999999999996</v>
      </c>
      <c r="M30" s="248">
        <v>4.601</v>
      </c>
      <c r="N30" s="248">
        <v>4.3289999999999997</v>
      </c>
      <c r="O30" s="258">
        <v>4.032</v>
      </c>
      <c r="P30" s="258">
        <v>3.992</v>
      </c>
      <c r="Q30" s="248">
        <v>3.9249999999999998</v>
      </c>
      <c r="R30" s="248">
        <v>3.7530000000000001</v>
      </c>
      <c r="S30" s="248">
        <v>3.7519999999999998</v>
      </c>
      <c r="T30" s="248">
        <v>3.8090000000000002</v>
      </c>
      <c r="U30" s="248">
        <v>3.8759999999999999</v>
      </c>
      <c r="V30" s="248">
        <v>3.9870000000000001</v>
      </c>
      <c r="W30" s="248">
        <v>4.2130000000000001</v>
      </c>
      <c r="X30" s="248">
        <v>4.2130000000000001</v>
      </c>
      <c r="Y30" s="248">
        <v>4.1109999999999998</v>
      </c>
      <c r="Z30" s="248">
        <v>4.2370000000000001</v>
      </c>
      <c r="AA30" s="248">
        <v>3.8029999999999999</v>
      </c>
      <c r="AB30" s="248">
        <v>3.649</v>
      </c>
      <c r="AC30" s="417"/>
      <c r="AD30" s="416">
        <v>67.753424657534239</v>
      </c>
      <c r="AE30" s="269">
        <f t="shared" si="4"/>
        <v>-4.0494346568498543</v>
      </c>
      <c r="AF30" s="245" t="s">
        <v>37</v>
      </c>
    </row>
    <row r="31" spans="1:32" ht="12.75" customHeight="1" x14ac:dyDescent="0.2">
      <c r="A31" s="234"/>
      <c r="B31" s="241" t="s">
        <v>21</v>
      </c>
      <c r="C31" s="244">
        <v>17.792999999999999</v>
      </c>
      <c r="D31" s="244">
        <v>23.22</v>
      </c>
      <c r="E31" s="243">
        <v>30.582000000000001</v>
      </c>
      <c r="F31" s="243">
        <v>25.428999999999998</v>
      </c>
      <c r="G31" s="243">
        <v>24.268999999999998</v>
      </c>
      <c r="H31" s="243">
        <v>19.402000000000001</v>
      </c>
      <c r="I31" s="243">
        <v>18.312999999999999</v>
      </c>
      <c r="J31" s="243">
        <v>18.879000000000001</v>
      </c>
      <c r="K31" s="243">
        <v>18.356000000000002</v>
      </c>
      <c r="L31" s="243">
        <v>15.794</v>
      </c>
      <c r="M31" s="243">
        <v>13.422000000000001</v>
      </c>
      <c r="N31" s="243">
        <v>12.304</v>
      </c>
      <c r="O31" s="243">
        <v>11.632</v>
      </c>
      <c r="P31" s="243">
        <v>10.965</v>
      </c>
      <c r="Q31" s="243">
        <v>8.5020000000000007</v>
      </c>
      <c r="R31" s="243">
        <v>8.4969999999999999</v>
      </c>
      <c r="S31" s="243">
        <v>8.6379999999999999</v>
      </c>
      <c r="T31" s="243">
        <v>7.9850000000000003</v>
      </c>
      <c r="U31" s="243">
        <v>8.0920000000000005</v>
      </c>
      <c r="V31" s="243">
        <v>7.476</v>
      </c>
      <c r="W31" s="243">
        <v>6.9580000000000002</v>
      </c>
      <c r="X31" s="243">
        <v>6.1280000000000001</v>
      </c>
      <c r="Y31" s="243">
        <v>5.4370000000000003</v>
      </c>
      <c r="Z31" s="243">
        <v>5.0629999999999997</v>
      </c>
      <c r="AA31" s="243">
        <v>4.55</v>
      </c>
      <c r="AB31" s="243">
        <v>4.3819999999999997</v>
      </c>
      <c r="AC31" s="417">
        <v>94.597550306211716</v>
      </c>
      <c r="AD31" s="416">
        <v>96.425379803395899</v>
      </c>
      <c r="AE31" s="242">
        <f t="shared" si="4"/>
        <v>-3.6923076923076934</v>
      </c>
      <c r="AF31" s="241" t="s">
        <v>21</v>
      </c>
    </row>
    <row r="32" spans="1:32" ht="12.75" customHeight="1" x14ac:dyDescent="0.2">
      <c r="A32" s="234"/>
      <c r="B32" s="245" t="s">
        <v>23</v>
      </c>
      <c r="C32" s="260">
        <v>1.38</v>
      </c>
      <c r="D32" s="260">
        <v>1.4359999999999999</v>
      </c>
      <c r="E32" s="248">
        <v>1.429</v>
      </c>
      <c r="F32" s="248">
        <v>0.81399999999999995</v>
      </c>
      <c r="G32" s="248">
        <v>0.54700000000000004</v>
      </c>
      <c r="H32" s="248">
        <v>0.56599999999999995</v>
      </c>
      <c r="I32" s="248">
        <v>0.59</v>
      </c>
      <c r="J32" s="248">
        <v>0.59499999999999997</v>
      </c>
      <c r="K32" s="248">
        <v>0.61299999999999999</v>
      </c>
      <c r="L32" s="248">
        <v>0.61599999999999999</v>
      </c>
      <c r="M32" s="248">
        <v>0.64500000000000002</v>
      </c>
      <c r="N32" s="248">
        <v>0.623</v>
      </c>
      <c r="O32" s="248">
        <v>0.70499999999999996</v>
      </c>
      <c r="P32" s="248">
        <v>0.71499999999999997</v>
      </c>
      <c r="Q32" s="248">
        <v>0.749</v>
      </c>
      <c r="R32" s="248">
        <v>0.77700000000000002</v>
      </c>
      <c r="S32" s="248">
        <v>0.69499999999999995</v>
      </c>
      <c r="T32" s="248">
        <v>0.71599999999999997</v>
      </c>
      <c r="U32" s="248">
        <v>0.72399999999999998</v>
      </c>
      <c r="V32" s="248">
        <v>0.74</v>
      </c>
      <c r="W32" s="248">
        <v>0.76500000000000001</v>
      </c>
      <c r="X32" s="248">
        <v>0.77300000000000002</v>
      </c>
      <c r="Y32" s="248">
        <v>0.72899999999999998</v>
      </c>
      <c r="Z32" s="248">
        <v>0.68899999999999995</v>
      </c>
      <c r="AA32" s="248">
        <v>0.65900000000000003</v>
      </c>
      <c r="AB32" s="248">
        <v>0.67900000000000005</v>
      </c>
      <c r="AC32" s="417">
        <v>83.870967741935488</v>
      </c>
      <c r="AD32" s="463">
        <v>98.291721419185279</v>
      </c>
      <c r="AE32" s="269">
        <f t="shared" si="4"/>
        <v>3.0349013657056076</v>
      </c>
      <c r="AF32" s="245" t="s">
        <v>23</v>
      </c>
    </row>
    <row r="33" spans="1:32" ht="12.75" customHeight="1" x14ac:dyDescent="0.2">
      <c r="A33" s="234"/>
      <c r="B33" s="241" t="s">
        <v>22</v>
      </c>
      <c r="C33" s="244"/>
      <c r="D33" s="244"/>
      <c r="E33" s="243">
        <v>6.3810000000000002</v>
      </c>
      <c r="F33" s="243">
        <v>6.0019999999999998</v>
      </c>
      <c r="G33" s="243">
        <v>5.4530000000000003</v>
      </c>
      <c r="H33" s="243">
        <v>4.569</v>
      </c>
      <c r="I33" s="243">
        <v>4.548</v>
      </c>
      <c r="J33" s="243">
        <v>4.202</v>
      </c>
      <c r="K33" s="243">
        <v>3.7690000000000001</v>
      </c>
      <c r="L33" s="243">
        <v>3.0950000000000002</v>
      </c>
      <c r="M33" s="243">
        <v>3.0920000000000001</v>
      </c>
      <c r="N33" s="243">
        <v>2.968</v>
      </c>
      <c r="O33" s="243">
        <v>2.87</v>
      </c>
      <c r="P33" s="243">
        <v>2.8050000000000002</v>
      </c>
      <c r="Q33" s="243">
        <v>2.6819999999999999</v>
      </c>
      <c r="R33" s="243">
        <v>2.3159999999999998</v>
      </c>
      <c r="S33" s="243">
        <v>2.2280000000000002</v>
      </c>
      <c r="T33" s="243">
        <v>2.1819999999999999</v>
      </c>
      <c r="U33" s="243">
        <v>2.2130000000000001</v>
      </c>
      <c r="V33" s="243">
        <v>2.165</v>
      </c>
      <c r="W33" s="243">
        <v>2.2959999999999998</v>
      </c>
      <c r="X33" s="243">
        <v>2.2639999999999998</v>
      </c>
      <c r="Y33" s="243">
        <v>2.3090000000000002</v>
      </c>
      <c r="Z33" s="243">
        <v>2.431</v>
      </c>
      <c r="AA33" s="243">
        <v>2.4590000000000001</v>
      </c>
      <c r="AB33" s="243">
        <v>2.4849999999999999</v>
      </c>
      <c r="AC33" s="417">
        <v>92.288557213930346</v>
      </c>
      <c r="AD33" s="416">
        <v>90.214698596201487</v>
      </c>
      <c r="AE33" s="242">
        <f t="shared" si="4"/>
        <v>1.0573403822692171</v>
      </c>
      <c r="AF33" s="241" t="s">
        <v>22</v>
      </c>
    </row>
    <row r="34" spans="1:32" ht="12.75" customHeight="1" x14ac:dyDescent="0.2">
      <c r="A34" s="234"/>
      <c r="B34" s="245" t="s">
        <v>38</v>
      </c>
      <c r="C34" s="260">
        <v>2.1560000000000001</v>
      </c>
      <c r="D34" s="260">
        <v>3.2160000000000002</v>
      </c>
      <c r="E34" s="248">
        <v>3.331</v>
      </c>
      <c r="F34" s="248">
        <v>3.23</v>
      </c>
      <c r="G34" s="248">
        <v>3.0569999999999999</v>
      </c>
      <c r="H34" s="248">
        <v>3.0070000000000001</v>
      </c>
      <c r="I34" s="248">
        <v>3.0369999999999999</v>
      </c>
      <c r="J34" s="248">
        <v>3.1840000000000002</v>
      </c>
      <c r="K34" s="248">
        <v>3.254</v>
      </c>
      <c r="L34" s="248">
        <v>3.3759999999999999</v>
      </c>
      <c r="M34" s="248">
        <v>3.3769999999999998</v>
      </c>
      <c r="N34" s="248">
        <v>3.415</v>
      </c>
      <c r="O34" s="248">
        <v>3.4049999999999998</v>
      </c>
      <c r="P34" s="248">
        <v>3.282</v>
      </c>
      <c r="Q34" s="248">
        <v>3.3180000000000001</v>
      </c>
      <c r="R34" s="248">
        <v>3.3380000000000001</v>
      </c>
      <c r="S34" s="248">
        <v>3.3519999999999999</v>
      </c>
      <c r="T34" s="248">
        <v>3.4780000000000002</v>
      </c>
      <c r="U34" s="248">
        <v>3.54</v>
      </c>
      <c r="V34" s="248">
        <v>3.778</v>
      </c>
      <c r="W34" s="248">
        <v>4.0519999999999996</v>
      </c>
      <c r="X34" s="248">
        <v>3.8759999999999999</v>
      </c>
      <c r="Y34" s="248">
        <v>3.9590000000000001</v>
      </c>
      <c r="Z34" s="248">
        <v>3.8820000000000001</v>
      </c>
      <c r="AA34" s="248">
        <v>4.0350000000000001</v>
      </c>
      <c r="AB34" s="248">
        <v>4.0529999999999999</v>
      </c>
      <c r="AC34" s="417">
        <v>43.841387856257747</v>
      </c>
      <c r="AD34" s="416">
        <v>31.063409819886505</v>
      </c>
      <c r="AE34" s="269">
        <f t="shared" si="4"/>
        <v>0.44609665427508105</v>
      </c>
      <c r="AF34" s="245" t="s">
        <v>38</v>
      </c>
    </row>
    <row r="35" spans="1:32" ht="12.75" customHeight="1" x14ac:dyDescent="0.2">
      <c r="A35" s="234"/>
      <c r="B35" s="241" t="s">
        <v>39</v>
      </c>
      <c r="C35" s="244">
        <v>4.6399999999999997</v>
      </c>
      <c r="D35" s="244">
        <v>6.9980000000000002</v>
      </c>
      <c r="E35" s="243">
        <v>6.6</v>
      </c>
      <c r="F35" s="243">
        <v>5.9850000000000003</v>
      </c>
      <c r="G35" s="243">
        <v>5.9630000000000001</v>
      </c>
      <c r="H35" s="243">
        <v>6.4219999999999997</v>
      </c>
      <c r="I35" s="243">
        <v>6.5069999999999997</v>
      </c>
      <c r="J35" s="243">
        <v>6.8390000000000004</v>
      </c>
      <c r="K35" s="243">
        <v>6.97</v>
      </c>
      <c r="L35" s="243">
        <v>7.0389999999999997</v>
      </c>
      <c r="M35" s="243">
        <v>7.23</v>
      </c>
      <c r="N35" s="243">
        <v>7.7009999999999996</v>
      </c>
      <c r="O35" s="243">
        <v>8.2430000000000003</v>
      </c>
      <c r="P35" s="243">
        <v>8.7319999999999993</v>
      </c>
      <c r="Q35" s="243">
        <v>8.8740000000000006</v>
      </c>
      <c r="R35" s="243">
        <v>8.8339999999999996</v>
      </c>
      <c r="S35" s="243">
        <v>8.6340000000000003</v>
      </c>
      <c r="T35" s="243">
        <v>8.91</v>
      </c>
      <c r="U35" s="243">
        <v>9.6170000000000009</v>
      </c>
      <c r="V35" s="243">
        <v>10.260999999999999</v>
      </c>
      <c r="W35" s="243">
        <v>11.146000000000001</v>
      </c>
      <c r="X35" s="243">
        <v>11.321</v>
      </c>
      <c r="Y35" s="243">
        <v>11.154999999999999</v>
      </c>
      <c r="Z35" s="243">
        <v>11.379</v>
      </c>
      <c r="AA35" s="243">
        <v>11.792</v>
      </c>
      <c r="AB35" s="243">
        <v>11.858000000000001</v>
      </c>
      <c r="AC35" s="417">
        <v>46.530332848464106</v>
      </c>
      <c r="AD35" s="416">
        <v>50</v>
      </c>
      <c r="AE35" s="242">
        <f t="shared" si="4"/>
        <v>0.5597014925373287</v>
      </c>
      <c r="AF35" s="241" t="s">
        <v>39</v>
      </c>
    </row>
    <row r="36" spans="1:32" ht="12.75" customHeight="1" thickBot="1" x14ac:dyDescent="0.25">
      <c r="A36" s="234"/>
      <c r="B36" s="236" t="s">
        <v>28</v>
      </c>
      <c r="C36" s="425">
        <v>30.6</v>
      </c>
      <c r="D36" s="425">
        <v>30.5</v>
      </c>
      <c r="E36" s="424">
        <v>33.4</v>
      </c>
      <c r="F36" s="238">
        <v>32.700000000000003</v>
      </c>
      <c r="G36" s="238">
        <v>31.9</v>
      </c>
      <c r="H36" s="238">
        <v>30.6</v>
      </c>
      <c r="I36" s="238">
        <v>28.9</v>
      </c>
      <c r="J36" s="238">
        <f>30.039+0.2317</f>
        <v>30.270700000000001</v>
      </c>
      <c r="K36" s="238">
        <f>32.135+0.2128</f>
        <v>32.347799999999999</v>
      </c>
      <c r="L36" s="238">
        <f>34.66+0.2256</f>
        <v>34.885599999999997</v>
      </c>
      <c r="M36" s="238">
        <f>36.28+0.2172</f>
        <v>36.497199999999999</v>
      </c>
      <c r="N36" s="238">
        <f>38.472+0.2217</f>
        <v>38.6937</v>
      </c>
      <c r="O36" s="238">
        <f>38.179+0.2271</f>
        <v>38.406100000000002</v>
      </c>
      <c r="P36" s="238">
        <f>39.141+0.2397</f>
        <v>39.380699999999997</v>
      </c>
      <c r="Q36" s="238">
        <f>39.687+0.2363</f>
        <v>39.923299999999998</v>
      </c>
      <c r="R36" s="238">
        <f>40.931+0.233</f>
        <v>41.163999999999994</v>
      </c>
      <c r="S36" s="238">
        <v>43.473999999999997</v>
      </c>
      <c r="T36" s="238">
        <v>44.642000000000003</v>
      </c>
      <c r="U36" s="238">
        <v>47.296999999999997</v>
      </c>
      <c r="V36" s="238">
        <v>50.473999999999997</v>
      </c>
      <c r="W36" s="238">
        <v>53.002000000000002</v>
      </c>
      <c r="X36" s="238">
        <v>52.765000000000001</v>
      </c>
      <c r="Y36" s="238">
        <v>55.831000000000003</v>
      </c>
      <c r="Z36" s="238">
        <v>58.606000000000002</v>
      </c>
      <c r="AA36" s="238">
        <v>60.954999999999998</v>
      </c>
      <c r="AB36" s="238">
        <v>61.975999999999999</v>
      </c>
      <c r="AC36" s="423">
        <v>96.189491986942897</v>
      </c>
      <c r="AD36" s="422">
        <v>95.483870967741936</v>
      </c>
      <c r="AE36" s="237">
        <f t="shared" si="4"/>
        <v>1.6750061520794048</v>
      </c>
      <c r="AF36" s="236" t="s">
        <v>28</v>
      </c>
    </row>
    <row r="37" spans="1:32" ht="12.75" customHeight="1" x14ac:dyDescent="0.2">
      <c r="A37" s="234"/>
      <c r="B37" s="241" t="s">
        <v>122</v>
      </c>
      <c r="C37" s="242">
        <v>0.253</v>
      </c>
      <c r="D37" s="242">
        <v>0.36899999999999999</v>
      </c>
      <c r="E37" s="243">
        <v>0.77900000000000003</v>
      </c>
      <c r="F37" s="243">
        <v>0.318</v>
      </c>
      <c r="G37" s="243">
        <v>0.191</v>
      </c>
      <c r="H37" s="243">
        <v>0.223</v>
      </c>
      <c r="I37" s="243">
        <v>0.215</v>
      </c>
      <c r="J37" s="243">
        <v>0.19700000000000001</v>
      </c>
      <c r="K37" s="243">
        <v>0.16800000000000001</v>
      </c>
      <c r="L37" s="243">
        <v>9.5000000000000001E-2</v>
      </c>
      <c r="M37" s="243">
        <v>0.11600000000000001</v>
      </c>
      <c r="N37" s="243">
        <v>0.121</v>
      </c>
      <c r="O37" s="243">
        <v>0.125</v>
      </c>
      <c r="P37" s="243">
        <v>0.13800000000000001</v>
      </c>
      <c r="Q37" s="243">
        <v>0.123</v>
      </c>
      <c r="R37" s="243">
        <v>0.105</v>
      </c>
      <c r="S37" s="243">
        <v>8.8999999999999996E-2</v>
      </c>
      <c r="T37" s="243">
        <v>7.2999999999999995E-2</v>
      </c>
      <c r="U37" s="243">
        <v>0.08</v>
      </c>
      <c r="V37" s="243">
        <v>5.0999999999999997E-2</v>
      </c>
      <c r="W37" s="243">
        <v>4.1000000000000002E-2</v>
      </c>
      <c r="X37" s="243">
        <v>3.2000000000000001E-2</v>
      </c>
      <c r="Y37" s="243">
        <v>1.9E-2</v>
      </c>
      <c r="Z37" s="243">
        <v>1.7999999999999999E-2</v>
      </c>
      <c r="AA37" s="243">
        <v>1.6E-2</v>
      </c>
      <c r="AB37" s="243">
        <v>1.2E-2</v>
      </c>
      <c r="AC37" s="419"/>
      <c r="AD37" s="416"/>
      <c r="AE37" s="242">
        <f t="shared" si="4"/>
        <v>-25</v>
      </c>
      <c r="AF37" s="241" t="s">
        <v>122</v>
      </c>
    </row>
    <row r="38" spans="1:32" ht="12.75" customHeight="1" x14ac:dyDescent="0.2">
      <c r="A38" s="234"/>
      <c r="B38" s="245" t="s">
        <v>111</v>
      </c>
      <c r="C38" s="260"/>
      <c r="D38" s="260"/>
      <c r="E38" s="248"/>
      <c r="F38" s="248"/>
      <c r="G38" s="248"/>
      <c r="H38" s="248"/>
      <c r="I38" s="248"/>
      <c r="J38" s="248"/>
      <c r="K38" s="248"/>
      <c r="L38" s="248"/>
      <c r="M38" s="248"/>
      <c r="N38" s="248"/>
      <c r="O38" s="248"/>
      <c r="P38" s="248"/>
      <c r="Q38" s="248"/>
      <c r="R38" s="248"/>
      <c r="S38" s="248"/>
      <c r="T38" s="248"/>
      <c r="U38" s="248"/>
      <c r="V38" s="248"/>
      <c r="W38" s="248"/>
      <c r="X38" s="248"/>
      <c r="Y38" s="248">
        <v>9.0660000000000004E-2</v>
      </c>
      <c r="Z38" s="248">
        <v>6.5100000000000005E-2</v>
      </c>
      <c r="AA38" s="248">
        <v>6.2377000000000002E-2</v>
      </c>
      <c r="AB38" s="248">
        <v>7.2999999999999995E-2</v>
      </c>
      <c r="AC38" s="421"/>
      <c r="AD38" s="420"/>
      <c r="AE38" s="269">
        <f t="shared" si="4"/>
        <v>17.030315661221266</v>
      </c>
      <c r="AF38" s="245" t="s">
        <v>111</v>
      </c>
    </row>
    <row r="39" spans="1:32" s="256" customFormat="1" ht="12.75" customHeight="1" x14ac:dyDescent="0.2">
      <c r="A39" s="261"/>
      <c r="B39" s="241" t="s">
        <v>6</v>
      </c>
      <c r="C39" s="274"/>
      <c r="D39" s="274"/>
      <c r="E39" s="273"/>
      <c r="F39" s="243"/>
      <c r="G39" s="243"/>
      <c r="H39" s="243"/>
      <c r="I39" s="243"/>
      <c r="J39" s="263">
        <v>0.1</v>
      </c>
      <c r="K39" s="263">
        <v>0.1</v>
      </c>
      <c r="L39" s="263">
        <v>0.1</v>
      </c>
      <c r="M39" s="263">
        <v>0.1</v>
      </c>
      <c r="N39" s="263">
        <v>0.1</v>
      </c>
      <c r="O39" s="263">
        <v>0.1</v>
      </c>
      <c r="P39" s="243">
        <v>0.13300000000000001</v>
      </c>
      <c r="Q39" s="243">
        <v>9.8000000000000004E-2</v>
      </c>
      <c r="R39" s="243">
        <v>9.1999999999999998E-2</v>
      </c>
      <c r="S39" s="243">
        <v>9.4E-2</v>
      </c>
      <c r="T39" s="243">
        <v>9.4E-2</v>
      </c>
      <c r="U39" s="243">
        <v>0.105</v>
      </c>
      <c r="V39" s="243">
        <v>0.109</v>
      </c>
      <c r="W39" s="243">
        <v>0.14799999999999999</v>
      </c>
      <c r="X39" s="243">
        <v>0.154</v>
      </c>
      <c r="Y39" s="243">
        <f>0.155</f>
        <v>0.155</v>
      </c>
      <c r="Z39" s="243">
        <f>0.145</f>
        <v>0.14499999999999999</v>
      </c>
      <c r="AA39" s="243">
        <f>0.099</f>
        <v>9.9000000000000005E-2</v>
      </c>
      <c r="AB39" s="243">
        <v>0.08</v>
      </c>
      <c r="AC39" s="421"/>
      <c r="AD39" s="420"/>
      <c r="AE39" s="242">
        <f t="shared" si="4"/>
        <v>-19.191919191919197</v>
      </c>
      <c r="AF39" s="241" t="s">
        <v>6</v>
      </c>
    </row>
    <row r="40" spans="1:32" s="256" customFormat="1" ht="12.75" customHeight="1" x14ac:dyDescent="0.2">
      <c r="A40" s="261"/>
      <c r="B40" s="245" t="s">
        <v>112</v>
      </c>
      <c r="C40" s="350"/>
      <c r="D40" s="350"/>
      <c r="E40" s="349"/>
      <c r="F40" s="248"/>
      <c r="G40" s="248"/>
      <c r="H40" s="248"/>
      <c r="I40" s="248"/>
      <c r="J40" s="258"/>
      <c r="K40" s="258"/>
      <c r="L40" s="258"/>
      <c r="M40" s="258"/>
      <c r="N40" s="258"/>
      <c r="O40" s="258"/>
      <c r="P40" s="248"/>
      <c r="Q40" s="248"/>
      <c r="R40" s="248"/>
      <c r="S40" s="248"/>
      <c r="T40" s="248"/>
      <c r="U40" s="248"/>
      <c r="V40" s="248"/>
      <c r="W40" s="248">
        <v>0.58299999999999996</v>
      </c>
      <c r="X40" s="248">
        <v>0.52200000000000002</v>
      </c>
      <c r="Y40" s="248">
        <v>0.52200000000000002</v>
      </c>
      <c r="Z40" s="248">
        <v>0.54100000000000004</v>
      </c>
      <c r="AA40" s="248">
        <v>0.54</v>
      </c>
      <c r="AB40" s="248">
        <v>0.61199999999999999</v>
      </c>
      <c r="AC40" s="421"/>
      <c r="AD40" s="420"/>
      <c r="AE40" s="269">
        <f t="shared" si="4"/>
        <v>13.333333333333329</v>
      </c>
      <c r="AF40" s="245" t="s">
        <v>112</v>
      </c>
    </row>
    <row r="41" spans="1:32" ht="12.75" customHeight="1" x14ac:dyDescent="0.2">
      <c r="A41" s="234"/>
      <c r="B41" s="250" t="s">
        <v>24</v>
      </c>
      <c r="C41" s="244">
        <v>5.5609999999999999</v>
      </c>
      <c r="D41" s="244">
        <v>6.0110000000000001</v>
      </c>
      <c r="E41" s="243">
        <v>6.41</v>
      </c>
      <c r="F41" s="243">
        <v>6.048</v>
      </c>
      <c r="G41" s="243">
        <v>6.2590000000000003</v>
      </c>
      <c r="H41" s="243">
        <v>7.1470000000000002</v>
      </c>
      <c r="I41" s="243">
        <v>6.335</v>
      </c>
      <c r="J41" s="243">
        <v>5.7969999999999997</v>
      </c>
      <c r="K41" s="243">
        <v>5.2290000000000001</v>
      </c>
      <c r="L41" s="243">
        <v>5.84</v>
      </c>
      <c r="M41" s="243">
        <v>6.16</v>
      </c>
      <c r="N41" s="243">
        <v>6.1459999999999999</v>
      </c>
      <c r="O41" s="243">
        <v>5.8319999999999999</v>
      </c>
      <c r="P41" s="243">
        <v>5.5679999999999996</v>
      </c>
      <c r="Q41" s="243">
        <v>5.2039999999999997</v>
      </c>
      <c r="R41" s="243">
        <v>5.8780000000000001</v>
      </c>
      <c r="S41" s="243">
        <v>5.2370000000000001</v>
      </c>
      <c r="T41" s="243">
        <v>5.0359999999999996</v>
      </c>
      <c r="U41" s="243">
        <v>5.2770000000000001</v>
      </c>
      <c r="V41" s="243">
        <v>5.5529999999999999</v>
      </c>
      <c r="W41" s="243">
        <v>5.0970000000000004</v>
      </c>
      <c r="X41" s="243">
        <v>5.3739999999999997</v>
      </c>
      <c r="Y41" s="243">
        <v>5.4909999999999997</v>
      </c>
      <c r="Z41" s="243">
        <f>5.882</f>
        <v>5.8819999999999997</v>
      </c>
      <c r="AA41" s="243">
        <v>4.5979999999999999</v>
      </c>
      <c r="AB41" s="243">
        <v>3.7749999999999999</v>
      </c>
      <c r="AC41" s="421"/>
      <c r="AD41" s="420"/>
      <c r="AE41" s="251">
        <f t="shared" si="4"/>
        <v>-17.899086559373643</v>
      </c>
      <c r="AF41" s="250" t="s">
        <v>24</v>
      </c>
    </row>
    <row r="42" spans="1:32" s="256" customFormat="1" ht="12.75" customHeight="1" x14ac:dyDescent="0.2">
      <c r="A42" s="261"/>
      <c r="B42" s="245" t="s">
        <v>10</v>
      </c>
      <c r="C42" s="381" t="s">
        <v>43</v>
      </c>
      <c r="D42" s="381" t="s">
        <v>43</v>
      </c>
      <c r="E42" s="380" t="s">
        <v>43</v>
      </c>
      <c r="F42" s="380" t="s">
        <v>43</v>
      </c>
      <c r="G42" s="380" t="s">
        <v>43</v>
      </c>
      <c r="H42" s="380" t="s">
        <v>43</v>
      </c>
      <c r="I42" s="380" t="s">
        <v>43</v>
      </c>
      <c r="J42" s="380" t="s">
        <v>43</v>
      </c>
      <c r="K42" s="380" t="s">
        <v>43</v>
      </c>
      <c r="L42" s="380" t="s">
        <v>43</v>
      </c>
      <c r="M42" s="380" t="s">
        <v>43</v>
      </c>
      <c r="N42" s="380" t="s">
        <v>43</v>
      </c>
      <c r="O42" s="380" t="s">
        <v>43</v>
      </c>
      <c r="P42" s="380" t="s">
        <v>43</v>
      </c>
      <c r="Q42" s="380" t="s">
        <v>43</v>
      </c>
      <c r="R42" s="380" t="s">
        <v>43</v>
      </c>
      <c r="S42" s="380" t="s">
        <v>43</v>
      </c>
      <c r="T42" s="380" t="s">
        <v>43</v>
      </c>
      <c r="U42" s="380" t="s">
        <v>43</v>
      </c>
      <c r="V42" s="380" t="s">
        <v>43</v>
      </c>
      <c r="W42" s="380" t="s">
        <v>43</v>
      </c>
      <c r="X42" s="380" t="s">
        <v>43</v>
      </c>
      <c r="Y42" s="380" t="s">
        <v>43</v>
      </c>
      <c r="Z42" s="380" t="s">
        <v>43</v>
      </c>
      <c r="AA42" s="380" t="s">
        <v>43</v>
      </c>
      <c r="AB42" s="380" t="s">
        <v>43</v>
      </c>
      <c r="AC42" s="462" t="s">
        <v>43</v>
      </c>
      <c r="AD42" s="418" t="s">
        <v>43</v>
      </c>
      <c r="AE42" s="379" t="s">
        <v>43</v>
      </c>
      <c r="AF42" s="245" t="s">
        <v>10</v>
      </c>
    </row>
    <row r="43" spans="1:32" ht="12.75" customHeight="1" x14ac:dyDescent="0.2">
      <c r="A43" s="234"/>
      <c r="B43" s="241" t="s">
        <v>40</v>
      </c>
      <c r="C43" s="244">
        <v>1.86</v>
      </c>
      <c r="D43" s="244">
        <v>2.3940000000000001</v>
      </c>
      <c r="E43" s="243">
        <v>2.1040000000000001</v>
      </c>
      <c r="F43" s="243">
        <v>2.15</v>
      </c>
      <c r="G43" s="243">
        <v>2.2559999999999998</v>
      </c>
      <c r="H43" s="243">
        <v>2.3159999999999998</v>
      </c>
      <c r="I43" s="243">
        <v>2.3980000000000001</v>
      </c>
      <c r="J43" s="243">
        <v>2.3809999999999998</v>
      </c>
      <c r="K43" s="243">
        <v>2.4489999999999998</v>
      </c>
      <c r="L43" s="243">
        <v>2.5609999999999999</v>
      </c>
      <c r="M43" s="243">
        <v>2.59</v>
      </c>
      <c r="N43" s="243">
        <v>2.6739999999999999</v>
      </c>
      <c r="O43" s="243">
        <v>2.6349999999999998</v>
      </c>
      <c r="P43" s="243">
        <v>2.677</v>
      </c>
      <c r="Q43" s="243">
        <v>2.4769999999999999</v>
      </c>
      <c r="R43" s="243">
        <v>2.3809999999999998</v>
      </c>
      <c r="S43" s="243">
        <v>2.62</v>
      </c>
      <c r="T43" s="243">
        <v>2.7229999999999999</v>
      </c>
      <c r="U43" s="243">
        <v>2.8330000000000002</v>
      </c>
      <c r="V43" s="243">
        <v>2.9710000000000001</v>
      </c>
      <c r="W43" s="243">
        <f>2.705+0.354</f>
        <v>3.0590000000000002</v>
      </c>
      <c r="X43" s="243">
        <f>2.669+0.343</f>
        <v>3.012</v>
      </c>
      <c r="Y43" s="243">
        <f>2.666+0.397</f>
        <v>3.0629999999999997</v>
      </c>
      <c r="Z43" s="243">
        <f>2.641+0.371</f>
        <v>3.012</v>
      </c>
      <c r="AA43" s="243">
        <f>2.736+0.386</f>
        <v>3.1220000000000003</v>
      </c>
      <c r="AB43" s="243">
        <v>3.26</v>
      </c>
      <c r="AC43" s="417">
        <v>74.141161773891312</v>
      </c>
      <c r="AD43" s="416">
        <v>74.577832361068459</v>
      </c>
      <c r="AE43" s="242">
        <f>AB43/AA43*100-100</f>
        <v>4.4202434336963421</v>
      </c>
      <c r="AF43" s="241" t="s">
        <v>40</v>
      </c>
    </row>
    <row r="44" spans="1:32" s="256" customFormat="1" ht="12.75" customHeight="1" x14ac:dyDescent="0.2">
      <c r="A44" s="261"/>
      <c r="B44" s="236" t="s">
        <v>11</v>
      </c>
      <c r="C44" s="240">
        <v>9.3390000000000004</v>
      </c>
      <c r="D44" s="240">
        <v>9.9640000000000004</v>
      </c>
      <c r="E44" s="238">
        <v>12.68</v>
      </c>
      <c r="F44" s="238">
        <v>13.83</v>
      </c>
      <c r="G44" s="238">
        <v>13.21</v>
      </c>
      <c r="H44" s="238">
        <v>13.38</v>
      </c>
      <c r="I44" s="238">
        <v>13.84</v>
      </c>
      <c r="J44" s="238">
        <v>11.71</v>
      </c>
      <c r="K44" s="238">
        <v>11.89</v>
      </c>
      <c r="L44" s="238">
        <v>12.05</v>
      </c>
      <c r="M44" s="238">
        <v>12.15</v>
      </c>
      <c r="N44" s="238">
        <v>12.5</v>
      </c>
      <c r="O44" s="238">
        <v>12.62</v>
      </c>
      <c r="P44" s="238">
        <v>13.301</v>
      </c>
      <c r="Q44" s="238">
        <v>14.147</v>
      </c>
      <c r="R44" s="238">
        <v>14.509</v>
      </c>
      <c r="S44" s="238">
        <v>14.914</v>
      </c>
      <c r="T44" s="238">
        <v>16.143999999999998</v>
      </c>
      <c r="U44" s="238">
        <v>16.577999999999999</v>
      </c>
      <c r="V44" s="238">
        <v>17.434000000000001</v>
      </c>
      <c r="W44" s="238">
        <v>17.774999999999999</v>
      </c>
      <c r="X44" s="238">
        <f>18.571</f>
        <v>18.571000000000002</v>
      </c>
      <c r="Y44" s="238">
        <f>19.177</f>
        <v>19.177</v>
      </c>
      <c r="Z44" s="238">
        <v>19.471</v>
      </c>
      <c r="AA44" s="238">
        <f>19.262</f>
        <v>19.262</v>
      </c>
      <c r="AB44" s="238">
        <v>19.367999999999999</v>
      </c>
      <c r="AC44" s="415"/>
      <c r="AD44" s="414"/>
      <c r="AE44" s="237">
        <f>AB44/AA44*100-100</f>
        <v>0.55030630256463553</v>
      </c>
      <c r="AF44" s="236" t="s">
        <v>11</v>
      </c>
    </row>
    <row r="45" spans="1:32" ht="29.25" customHeight="1" x14ac:dyDescent="0.2">
      <c r="B45" s="506" t="s">
        <v>120</v>
      </c>
      <c r="C45" s="506"/>
      <c r="D45" s="506"/>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row>
    <row r="46" spans="1:32" ht="15.75" customHeight="1" x14ac:dyDescent="0.2">
      <c r="B46" s="413" t="s">
        <v>121</v>
      </c>
      <c r="C46" s="412"/>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row>
    <row r="47" spans="1:32" x14ac:dyDescent="0.2">
      <c r="B47" s="345" t="s">
        <v>128</v>
      </c>
    </row>
    <row r="51" spans="23:24" ht="15" x14ac:dyDescent="0.25">
      <c r="W51" s="207"/>
      <c r="X51" s="206"/>
    </row>
    <row r="52" spans="23:24" ht="15" x14ac:dyDescent="0.25">
      <c r="W52" s="207"/>
      <c r="X52" s="206"/>
    </row>
  </sheetData>
  <mergeCells count="2">
    <mergeCell ref="B2:AF2"/>
    <mergeCell ref="B45:AF45"/>
  </mergeCells>
  <printOptions horizontalCentered="1"/>
  <pageMargins left="0.47244094488188981" right="0.47244094488188981" top="0.51181102362204722" bottom="0.2755905511811023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Q50"/>
  <sheetViews>
    <sheetView topLeftCell="A16" workbookViewId="0">
      <selection activeCell="T39" sqref="T39"/>
    </sheetView>
  </sheetViews>
  <sheetFormatPr defaultRowHeight="12.75" x14ac:dyDescent="0.2"/>
  <cols>
    <col min="1" max="1" width="3.28515625" customWidth="1"/>
    <col min="2" max="2" width="5.7109375" customWidth="1"/>
    <col min="3" max="3" width="4.140625" customWidth="1"/>
    <col min="4" max="4" width="5.28515625" customWidth="1"/>
    <col min="5" max="10" width="5.7109375" customWidth="1"/>
    <col min="11" max="11" width="5" customWidth="1"/>
    <col min="12" max="14" width="5.7109375" customWidth="1"/>
    <col min="15" max="15" width="4.85546875" customWidth="1"/>
    <col min="16" max="16" width="6.85546875" customWidth="1"/>
    <col min="17" max="17" width="6.7109375" customWidth="1"/>
  </cols>
  <sheetData>
    <row r="1" spans="2:17" ht="14.25" customHeight="1" x14ac:dyDescent="0.25">
      <c r="C1" s="511"/>
      <c r="D1" s="511"/>
      <c r="E1" s="92"/>
      <c r="F1" s="44"/>
      <c r="G1" s="44"/>
      <c r="H1" s="44"/>
      <c r="I1" s="44"/>
      <c r="J1" s="44"/>
      <c r="K1" s="44"/>
      <c r="L1" s="44"/>
      <c r="M1" s="44"/>
      <c r="N1" s="44"/>
      <c r="O1" s="45"/>
      <c r="Q1" s="65" t="s">
        <v>99</v>
      </c>
    </row>
    <row r="2" spans="2:17" s="19" customFormat="1" ht="30" customHeight="1" x14ac:dyDescent="0.2">
      <c r="C2" s="512" t="s">
        <v>61</v>
      </c>
      <c r="D2" s="512"/>
      <c r="E2" s="512"/>
      <c r="F2" s="512"/>
      <c r="G2" s="512"/>
      <c r="H2" s="512"/>
      <c r="I2" s="512"/>
      <c r="J2" s="512"/>
      <c r="K2" s="512"/>
      <c r="L2" s="512"/>
      <c r="M2" s="512"/>
      <c r="N2" s="512"/>
      <c r="O2" s="512"/>
      <c r="P2" s="512"/>
      <c r="Q2" s="512"/>
    </row>
    <row r="3" spans="2:17" ht="10.5" customHeight="1" x14ac:dyDescent="0.2">
      <c r="C3" s="513" t="s">
        <v>115</v>
      </c>
      <c r="D3" s="514"/>
      <c r="E3" s="514"/>
      <c r="F3" s="514"/>
      <c r="G3" s="514"/>
      <c r="H3" s="514"/>
      <c r="I3" s="514"/>
      <c r="J3" s="514"/>
      <c r="K3" s="514"/>
      <c r="L3" s="514"/>
      <c r="M3" s="514"/>
      <c r="N3" s="514"/>
      <c r="O3" s="514"/>
      <c r="P3" s="514"/>
    </row>
    <row r="4" spans="2:17" ht="24.95" customHeight="1" x14ac:dyDescent="0.2">
      <c r="C4" s="46"/>
      <c r="D4" s="60" t="s">
        <v>29</v>
      </c>
      <c r="E4" s="60" t="s">
        <v>14</v>
      </c>
      <c r="F4" s="60" t="s">
        <v>30</v>
      </c>
      <c r="G4" s="61" t="s">
        <v>31</v>
      </c>
      <c r="H4" s="60" t="s">
        <v>32</v>
      </c>
      <c r="I4" s="60" t="s">
        <v>34</v>
      </c>
      <c r="J4" s="60" t="s">
        <v>27</v>
      </c>
      <c r="K4" s="60" t="s">
        <v>37</v>
      </c>
      <c r="L4" s="60" t="s">
        <v>23</v>
      </c>
      <c r="M4" s="60" t="s">
        <v>38</v>
      </c>
      <c r="N4" s="60" t="s">
        <v>39</v>
      </c>
      <c r="O4" s="61" t="s">
        <v>28</v>
      </c>
      <c r="P4" s="216" t="s">
        <v>124</v>
      </c>
      <c r="Q4" s="128" t="s">
        <v>81</v>
      </c>
    </row>
    <row r="5" spans="2:17" ht="15" customHeight="1" x14ac:dyDescent="0.2">
      <c r="C5" s="62">
        <v>1990</v>
      </c>
      <c r="D5" s="142" t="s">
        <v>43</v>
      </c>
      <c r="E5" s="141" t="s">
        <v>43</v>
      </c>
      <c r="F5" s="141" t="s">
        <v>43</v>
      </c>
      <c r="G5" s="141" t="s">
        <v>43</v>
      </c>
      <c r="H5" s="126">
        <v>14.92</v>
      </c>
      <c r="I5" s="126">
        <v>0.3</v>
      </c>
      <c r="J5" s="141" t="s">
        <v>43</v>
      </c>
      <c r="K5" s="141" t="s">
        <v>43</v>
      </c>
      <c r="L5" s="141" t="s">
        <v>43</v>
      </c>
      <c r="M5" s="141" t="s">
        <v>43</v>
      </c>
      <c r="N5" s="141">
        <v>6.0000000000000001E-3</v>
      </c>
      <c r="O5" s="141" t="s">
        <v>43</v>
      </c>
      <c r="P5" s="131">
        <v>15.226000000000001</v>
      </c>
      <c r="Q5" s="143"/>
    </row>
    <row r="6" spans="2:17" ht="15" customHeight="1" x14ac:dyDescent="0.2">
      <c r="C6" s="63">
        <v>1991</v>
      </c>
      <c r="D6" s="134" t="s">
        <v>43</v>
      </c>
      <c r="E6" s="125" t="s">
        <v>43</v>
      </c>
      <c r="F6" s="43">
        <v>2</v>
      </c>
      <c r="G6" s="125" t="s">
        <v>43</v>
      </c>
      <c r="H6" s="43">
        <v>17.87</v>
      </c>
      <c r="I6" s="43">
        <v>0.4</v>
      </c>
      <c r="J6" s="125" t="s">
        <v>43</v>
      </c>
      <c r="K6" s="125" t="s">
        <v>43</v>
      </c>
      <c r="L6" s="125" t="s">
        <v>43</v>
      </c>
      <c r="M6" s="125" t="s">
        <v>43</v>
      </c>
      <c r="N6" s="43">
        <v>9.4E-2</v>
      </c>
      <c r="O6" s="125" t="s">
        <v>43</v>
      </c>
      <c r="P6" s="132">
        <v>20.364000000000001</v>
      </c>
      <c r="Q6" s="129">
        <v>0.33744910022330221</v>
      </c>
    </row>
    <row r="7" spans="2:17" ht="15" customHeight="1" x14ac:dyDescent="0.2">
      <c r="C7" s="63">
        <v>1992</v>
      </c>
      <c r="D7" s="134" t="s">
        <v>43</v>
      </c>
      <c r="E7" s="125" t="s">
        <v>43</v>
      </c>
      <c r="F7" s="43">
        <v>5.2</v>
      </c>
      <c r="G7" s="43">
        <v>0.4</v>
      </c>
      <c r="H7" s="43">
        <v>18.96</v>
      </c>
      <c r="I7" s="43">
        <v>0.4</v>
      </c>
      <c r="J7" s="125" t="s">
        <v>43</v>
      </c>
      <c r="K7" s="125" t="s">
        <v>43</v>
      </c>
      <c r="L7" s="125" t="s">
        <v>43</v>
      </c>
      <c r="M7" s="125" t="s">
        <v>43</v>
      </c>
      <c r="N7" s="43">
        <v>0.154</v>
      </c>
      <c r="O7" s="125" t="s">
        <v>43</v>
      </c>
      <c r="P7" s="132">
        <v>25.114000000000001</v>
      </c>
      <c r="Q7" s="129">
        <v>0.23325476330779815</v>
      </c>
    </row>
    <row r="8" spans="2:17" ht="15" customHeight="1" x14ac:dyDescent="0.2">
      <c r="B8" s="2"/>
      <c r="C8" s="63">
        <v>1993</v>
      </c>
      <c r="D8" s="134" t="s">
        <v>43</v>
      </c>
      <c r="E8" s="125" t="s">
        <v>43</v>
      </c>
      <c r="F8" s="43">
        <v>7</v>
      </c>
      <c r="G8" s="43">
        <v>0.9</v>
      </c>
      <c r="H8" s="43">
        <v>18.93</v>
      </c>
      <c r="I8" s="43">
        <v>0.5</v>
      </c>
      <c r="J8" s="125" t="s">
        <v>43</v>
      </c>
      <c r="K8" s="125" t="s">
        <v>43</v>
      </c>
      <c r="L8" s="125" t="s">
        <v>43</v>
      </c>
      <c r="M8" s="125" t="s">
        <v>43</v>
      </c>
      <c r="N8" s="43">
        <v>0.27200000000000002</v>
      </c>
      <c r="O8" s="125" t="s">
        <v>43</v>
      </c>
      <c r="P8" s="132">
        <v>27.601999999999997</v>
      </c>
      <c r="Q8" s="129">
        <v>9.9068248785537882E-2</v>
      </c>
    </row>
    <row r="9" spans="2:17" ht="15" customHeight="1" x14ac:dyDescent="0.2">
      <c r="B9" s="2"/>
      <c r="C9" s="63">
        <v>1994</v>
      </c>
      <c r="D9" s="134" t="s">
        <v>43</v>
      </c>
      <c r="E9" s="125" t="s">
        <v>43</v>
      </c>
      <c r="F9" s="43">
        <v>8.1999999999999993</v>
      </c>
      <c r="G9" s="43">
        <v>0.9</v>
      </c>
      <c r="H9" s="43">
        <v>20.51</v>
      </c>
      <c r="I9" s="43">
        <v>0.8</v>
      </c>
      <c r="J9" s="125" t="s">
        <v>43</v>
      </c>
      <c r="K9" s="125" t="s">
        <v>43</v>
      </c>
      <c r="L9" s="125" t="s">
        <v>43</v>
      </c>
      <c r="M9" s="125" t="s">
        <v>43</v>
      </c>
      <c r="N9" s="43">
        <v>0.30499999999999999</v>
      </c>
      <c r="O9" s="479" t="s">
        <v>43</v>
      </c>
      <c r="P9" s="133">
        <v>30.715</v>
      </c>
      <c r="Q9" s="129">
        <v>0.11278168248677645</v>
      </c>
    </row>
    <row r="10" spans="2:17" ht="15" customHeight="1" x14ac:dyDescent="0.2">
      <c r="C10" s="63">
        <v>1995</v>
      </c>
      <c r="D10" s="134" t="s">
        <v>43</v>
      </c>
      <c r="E10" s="125" t="s">
        <v>43</v>
      </c>
      <c r="F10" s="43">
        <v>8.6999999999999993</v>
      </c>
      <c r="G10" s="43">
        <v>1.294</v>
      </c>
      <c r="H10" s="43">
        <v>21.43</v>
      </c>
      <c r="I10" s="43">
        <v>1.1000000000000001</v>
      </c>
      <c r="J10" s="125" t="s">
        <v>43</v>
      </c>
      <c r="K10" s="125" t="s">
        <v>43</v>
      </c>
      <c r="L10" s="125" t="s">
        <v>43</v>
      </c>
      <c r="M10" s="125" t="s">
        <v>43</v>
      </c>
      <c r="N10" s="43">
        <v>0.41499999999999998</v>
      </c>
      <c r="O10" s="479" t="s">
        <v>43</v>
      </c>
      <c r="P10" s="133">
        <v>32.939</v>
      </c>
      <c r="Q10" s="129">
        <v>7.2407618427478448E-2</v>
      </c>
    </row>
    <row r="11" spans="2:17" ht="15" customHeight="1" x14ac:dyDescent="0.2">
      <c r="C11" s="63">
        <v>1996</v>
      </c>
      <c r="D11" s="134">
        <v>0.32</v>
      </c>
      <c r="E11" s="125" t="s">
        <v>43</v>
      </c>
      <c r="F11" s="43">
        <v>8.85</v>
      </c>
      <c r="G11" s="43">
        <v>1.1000000000000001</v>
      </c>
      <c r="H11" s="43">
        <v>24.79</v>
      </c>
      <c r="I11" s="43">
        <v>1.3</v>
      </c>
      <c r="J11" s="125">
        <v>3.1E-2</v>
      </c>
      <c r="K11" s="125" t="s">
        <v>43</v>
      </c>
      <c r="L11" s="125" t="s">
        <v>43</v>
      </c>
      <c r="M11" s="125">
        <v>2.4E-2</v>
      </c>
      <c r="N11" s="43">
        <v>1.101</v>
      </c>
      <c r="O11" s="479" t="s">
        <v>43</v>
      </c>
      <c r="P11" s="133">
        <v>37.515999999999998</v>
      </c>
      <c r="Q11" s="129">
        <v>0.13895382373478249</v>
      </c>
    </row>
    <row r="12" spans="2:17" ht="15" customHeight="1" x14ac:dyDescent="0.2">
      <c r="C12" s="63">
        <v>1997</v>
      </c>
      <c r="D12" s="127">
        <v>0.55500000000000005</v>
      </c>
      <c r="E12" s="125" t="s">
        <v>43</v>
      </c>
      <c r="F12" s="43">
        <v>10.073</v>
      </c>
      <c r="G12" s="43">
        <v>1.3</v>
      </c>
      <c r="H12" s="43">
        <v>27.58</v>
      </c>
      <c r="I12" s="43">
        <v>2.4</v>
      </c>
      <c r="J12" s="125">
        <v>7.2999999999999995E-2</v>
      </c>
      <c r="K12" s="125" t="s">
        <v>43</v>
      </c>
      <c r="L12" s="125" t="s">
        <v>43</v>
      </c>
      <c r="M12" s="125">
        <v>5.2999999999999999E-2</v>
      </c>
      <c r="N12" s="43">
        <v>1.3280000000000001</v>
      </c>
      <c r="O12" s="479" t="s">
        <v>43</v>
      </c>
      <c r="P12" s="133">
        <v>43.361999999999995</v>
      </c>
      <c r="Q12" s="129">
        <v>0.15582684721185625</v>
      </c>
    </row>
    <row r="13" spans="2:17" ht="15" customHeight="1" x14ac:dyDescent="0.2">
      <c r="C13" s="63">
        <v>1998</v>
      </c>
      <c r="D13" s="127">
        <v>0.78800000000000003</v>
      </c>
      <c r="E13" s="125" t="s">
        <v>43</v>
      </c>
      <c r="F13" s="43">
        <v>10.154999999999999</v>
      </c>
      <c r="G13" s="43">
        <v>1.516</v>
      </c>
      <c r="H13" s="43">
        <v>29.98</v>
      </c>
      <c r="I13" s="43">
        <v>3.6379999999999999</v>
      </c>
      <c r="J13" s="43">
        <v>0.09</v>
      </c>
      <c r="K13" s="125" t="s">
        <v>43</v>
      </c>
      <c r="L13" s="125" t="s">
        <v>43</v>
      </c>
      <c r="M13" s="43">
        <v>5.6000000000000001E-2</v>
      </c>
      <c r="N13" s="43">
        <v>1.605</v>
      </c>
      <c r="O13" s="479" t="s">
        <v>43</v>
      </c>
      <c r="P13" s="133">
        <v>47.827999999999996</v>
      </c>
      <c r="Q13" s="129">
        <v>0.10299340436326743</v>
      </c>
    </row>
    <row r="14" spans="2:17" ht="15" customHeight="1" x14ac:dyDescent="0.2">
      <c r="C14" s="63">
        <v>1999</v>
      </c>
      <c r="D14" s="127">
        <v>0.80400000000000005</v>
      </c>
      <c r="E14" s="125" t="s">
        <v>43</v>
      </c>
      <c r="F14" s="43">
        <v>11.590999999999999</v>
      </c>
      <c r="G14" s="43">
        <v>1.6739999999999999</v>
      </c>
      <c r="H14" s="43">
        <v>32.36</v>
      </c>
      <c r="I14" s="43">
        <v>4.4640000000000004</v>
      </c>
      <c r="J14" s="43">
        <v>0.1</v>
      </c>
      <c r="K14" s="125" t="s">
        <v>43</v>
      </c>
      <c r="L14" s="125" t="s">
        <v>43</v>
      </c>
      <c r="M14" s="43">
        <v>5.3999999999999999E-2</v>
      </c>
      <c r="N14" s="43">
        <v>1.8120000000000001</v>
      </c>
      <c r="O14" s="479" t="s">
        <v>43</v>
      </c>
      <c r="P14" s="133">
        <v>52.859000000000002</v>
      </c>
      <c r="Q14" s="129">
        <v>0.10518942878648496</v>
      </c>
    </row>
    <row r="15" spans="2:17" ht="15" customHeight="1" x14ac:dyDescent="0.2">
      <c r="C15" s="63">
        <v>2000</v>
      </c>
      <c r="D15" s="127">
        <v>0.86499999999999999</v>
      </c>
      <c r="E15" s="125" t="s">
        <v>43</v>
      </c>
      <c r="F15" s="43">
        <v>13.925000000000001</v>
      </c>
      <c r="G15" s="43">
        <v>1.9419999999999999</v>
      </c>
      <c r="H15" s="43">
        <v>34.747</v>
      </c>
      <c r="I15" s="43">
        <v>5.0860000000000003</v>
      </c>
      <c r="J15" s="43">
        <v>0.113</v>
      </c>
      <c r="K15" s="125" t="s">
        <v>43</v>
      </c>
      <c r="L15" s="125" t="s">
        <v>43</v>
      </c>
      <c r="M15" s="43">
        <v>7.0999999999999994E-2</v>
      </c>
      <c r="N15" s="43">
        <v>2.0470000000000002</v>
      </c>
      <c r="O15" s="479" t="s">
        <v>43</v>
      </c>
      <c r="P15" s="133">
        <v>58.795999999999992</v>
      </c>
      <c r="Q15" s="129">
        <v>0.11231767532492087</v>
      </c>
    </row>
    <row r="16" spans="2:17" ht="15" customHeight="1" x14ac:dyDescent="0.2">
      <c r="C16" s="63">
        <v>2001</v>
      </c>
      <c r="D16" s="127">
        <v>0.88900000000000001</v>
      </c>
      <c r="E16" s="125" t="s">
        <v>43</v>
      </c>
      <c r="F16" s="43">
        <v>15.515000000000001</v>
      </c>
      <c r="G16" s="43">
        <v>2.077</v>
      </c>
      <c r="H16" s="43">
        <v>37.404000000000003</v>
      </c>
      <c r="I16" s="43">
        <v>6.7629999999999999</v>
      </c>
      <c r="J16" s="43">
        <v>0.191</v>
      </c>
      <c r="K16" s="125" t="s">
        <v>43</v>
      </c>
      <c r="L16" s="125" t="s">
        <v>43</v>
      </c>
      <c r="M16" s="43">
        <v>0.06</v>
      </c>
      <c r="N16" s="43">
        <v>2.2269999999999999</v>
      </c>
      <c r="O16" s="479" t="s">
        <v>43</v>
      </c>
      <c r="P16" s="133">
        <v>65.126000000000005</v>
      </c>
      <c r="Q16" s="129">
        <v>0.10766038506020847</v>
      </c>
    </row>
    <row r="17" spans="2:17" ht="15" customHeight="1" x14ac:dyDescent="0.2">
      <c r="C17" s="63">
        <v>2002</v>
      </c>
      <c r="D17" s="127">
        <v>0.90900000000000003</v>
      </c>
      <c r="E17" s="125" t="s">
        <v>43</v>
      </c>
      <c r="F17" s="43">
        <v>15.255000000000001</v>
      </c>
      <c r="G17" s="43">
        <v>2.181</v>
      </c>
      <c r="H17" s="43">
        <v>39.856000000000002</v>
      </c>
      <c r="I17" s="43">
        <v>7.0780000000000003</v>
      </c>
      <c r="J17" s="43">
        <v>0.20100000000000001</v>
      </c>
      <c r="K17" s="125" t="s">
        <v>43</v>
      </c>
      <c r="L17" s="125" t="s">
        <v>43</v>
      </c>
      <c r="M17" s="43">
        <v>0.13500000000000001</v>
      </c>
      <c r="N17" s="43">
        <v>2.39</v>
      </c>
      <c r="O17" s="479" t="s">
        <v>43</v>
      </c>
      <c r="P17" s="133">
        <v>68.004999999999995</v>
      </c>
      <c r="Q17" s="129">
        <v>4.4206614869637395E-2</v>
      </c>
    </row>
    <row r="18" spans="2:17" ht="15" customHeight="1" x14ac:dyDescent="0.2">
      <c r="C18" s="63">
        <v>2003</v>
      </c>
      <c r="D18" s="127">
        <v>0.878</v>
      </c>
      <c r="E18" s="125" t="s">
        <v>43</v>
      </c>
      <c r="F18" s="43">
        <v>17.457000000000001</v>
      </c>
      <c r="G18" s="43">
        <v>2.0270000000000001</v>
      </c>
      <c r="H18" s="43">
        <v>39.603999999999999</v>
      </c>
      <c r="I18" s="43">
        <v>7.431</v>
      </c>
      <c r="J18" s="43">
        <v>0.66400000000000003</v>
      </c>
      <c r="K18" s="125" t="s">
        <v>43</v>
      </c>
      <c r="L18" s="125" t="s">
        <v>43</v>
      </c>
      <c r="M18" s="43">
        <v>0.2</v>
      </c>
      <c r="N18" s="43">
        <v>2.4</v>
      </c>
      <c r="O18" s="479" t="s">
        <v>43</v>
      </c>
      <c r="P18" s="133">
        <v>70.661000000000016</v>
      </c>
      <c r="Q18" s="129">
        <v>3.9055951768252495E-2</v>
      </c>
    </row>
    <row r="19" spans="2:17" ht="15" customHeight="1" x14ac:dyDescent="0.2">
      <c r="C19" s="63">
        <v>2004</v>
      </c>
      <c r="D19" s="127">
        <v>0.94</v>
      </c>
      <c r="E19" s="43">
        <v>1E-3</v>
      </c>
      <c r="F19" s="43">
        <v>19.603999999999999</v>
      </c>
      <c r="G19" s="43">
        <v>2.085</v>
      </c>
      <c r="H19" s="43">
        <v>41.439</v>
      </c>
      <c r="I19" s="43">
        <v>7.9249999999999998</v>
      </c>
      <c r="J19" s="43">
        <v>0.65700000000000003</v>
      </c>
      <c r="K19" s="43">
        <v>0.436</v>
      </c>
      <c r="L19" s="43" t="s">
        <v>43</v>
      </c>
      <c r="M19" s="43">
        <v>0.16200000000000001</v>
      </c>
      <c r="N19" s="43">
        <v>2.4220000000000002</v>
      </c>
      <c r="O19" s="43">
        <v>0.44</v>
      </c>
      <c r="P19" s="133">
        <v>76.111000000000004</v>
      </c>
      <c r="Q19" s="129">
        <v>7.7128826368151993E-2</v>
      </c>
    </row>
    <row r="20" spans="2:17" ht="15" customHeight="1" x14ac:dyDescent="0.2">
      <c r="C20" s="63">
        <v>2005</v>
      </c>
      <c r="D20" s="127">
        <v>0.98199999999999998</v>
      </c>
      <c r="E20" s="43">
        <v>6.0000000000000001E-3</v>
      </c>
      <c r="F20" s="43">
        <v>20.853000000000002</v>
      </c>
      <c r="G20" s="43">
        <v>2.3239999999999998</v>
      </c>
      <c r="H20" s="43">
        <v>43.13</v>
      </c>
      <c r="I20" s="43">
        <v>8.5500000000000007</v>
      </c>
      <c r="J20" s="43">
        <v>0.68700000000000006</v>
      </c>
      <c r="K20" s="43">
        <v>0.49</v>
      </c>
      <c r="L20" s="43" t="s">
        <v>43</v>
      </c>
      <c r="M20" s="43">
        <v>0.311</v>
      </c>
      <c r="N20" s="43">
        <v>2.33</v>
      </c>
      <c r="O20" s="50">
        <v>0.45</v>
      </c>
      <c r="P20" s="133">
        <v>80.113</v>
      </c>
      <c r="Q20" s="129">
        <v>5.2581098658538217E-2</v>
      </c>
    </row>
    <row r="21" spans="2:17" ht="15" customHeight="1" x14ac:dyDescent="0.2">
      <c r="C21" s="63">
        <v>2006</v>
      </c>
      <c r="D21" s="127">
        <v>1</v>
      </c>
      <c r="E21" s="43">
        <v>0.14799999999999999</v>
      </c>
      <c r="F21" s="43">
        <v>21.635000000000002</v>
      </c>
      <c r="G21" s="43">
        <v>2.6970000000000001</v>
      </c>
      <c r="H21" s="43">
        <v>44.853000000000002</v>
      </c>
      <c r="I21" s="43">
        <v>8.9120000000000008</v>
      </c>
      <c r="J21" s="43">
        <v>0.73299999999999998</v>
      </c>
      <c r="K21" s="43">
        <v>0.50800000000000001</v>
      </c>
      <c r="L21" s="43" t="s">
        <v>43</v>
      </c>
      <c r="M21" s="43">
        <v>0.435</v>
      </c>
      <c r="N21" s="43">
        <v>2.4900000000000002</v>
      </c>
      <c r="O21" s="43">
        <v>0.90400000000000003</v>
      </c>
      <c r="P21" s="133">
        <v>84.314999999999998</v>
      </c>
      <c r="Q21" s="129">
        <v>5.2450913085267059E-2</v>
      </c>
    </row>
    <row r="22" spans="2:17" ht="15" customHeight="1" x14ac:dyDescent="0.2">
      <c r="C22" s="63">
        <v>2007</v>
      </c>
      <c r="D22" s="127">
        <v>1.018</v>
      </c>
      <c r="E22" s="43">
        <v>0.32900000000000001</v>
      </c>
      <c r="F22" s="43">
        <v>21.919</v>
      </c>
      <c r="G22" s="43">
        <v>2.5920000000000001</v>
      </c>
      <c r="H22" s="43">
        <v>47.966000000000001</v>
      </c>
      <c r="I22" s="43">
        <v>8.8179999999999996</v>
      </c>
      <c r="J22" s="43">
        <v>0.8</v>
      </c>
      <c r="K22" s="43">
        <v>0.50600000000000001</v>
      </c>
      <c r="L22" s="43" t="s">
        <v>43</v>
      </c>
      <c r="M22" s="43">
        <v>0.57999999999999996</v>
      </c>
      <c r="N22" s="43">
        <v>2.7749999999999999</v>
      </c>
      <c r="O22" s="43">
        <v>1.3919999999999999</v>
      </c>
      <c r="P22" s="133">
        <v>88.694999999999993</v>
      </c>
      <c r="Q22" s="129">
        <v>5.1948051948051965E-2</v>
      </c>
    </row>
    <row r="23" spans="2:17" ht="15" customHeight="1" x14ac:dyDescent="0.2">
      <c r="C23" s="63">
        <v>2008</v>
      </c>
      <c r="D23" s="127">
        <v>1.079</v>
      </c>
      <c r="E23" s="43">
        <v>0.253</v>
      </c>
      <c r="F23" s="43">
        <v>23.332999999999998</v>
      </c>
      <c r="G23" s="43">
        <v>5.4829999999999997</v>
      </c>
      <c r="H23" s="43">
        <v>52.564</v>
      </c>
      <c r="I23" s="43">
        <v>8.8780000000000001</v>
      </c>
      <c r="J23" s="43">
        <v>0.86699999999999999</v>
      </c>
      <c r="K23" s="43">
        <v>0.52500000000000002</v>
      </c>
      <c r="L23" s="43">
        <v>1.4E-2</v>
      </c>
      <c r="M23" s="43">
        <v>0.622</v>
      </c>
      <c r="N23" s="43">
        <v>2.992</v>
      </c>
      <c r="O23" s="43">
        <v>0.99299999999999999</v>
      </c>
      <c r="P23" s="133">
        <v>97.603000000000009</v>
      </c>
      <c r="Q23" s="129">
        <v>0.10043407181915565</v>
      </c>
    </row>
    <row r="24" spans="2:17" ht="15" customHeight="1" thickBot="1" x14ac:dyDescent="0.25">
      <c r="B24" s="2"/>
      <c r="C24" s="63">
        <v>2009</v>
      </c>
      <c r="D24" s="43">
        <v>1.0609999999999999</v>
      </c>
      <c r="E24" s="43">
        <v>0.23499999999999999</v>
      </c>
      <c r="F24" s="43">
        <v>22.561</v>
      </c>
      <c r="G24" s="43">
        <v>11.505000000000001</v>
      </c>
      <c r="H24" s="43">
        <v>51.863999999999997</v>
      </c>
      <c r="I24" s="43">
        <v>10.746</v>
      </c>
      <c r="J24" s="43">
        <v>0.91500000000000004</v>
      </c>
      <c r="K24" s="43">
        <v>0.52900000000000003</v>
      </c>
      <c r="L24" s="43">
        <v>1.6E-2</v>
      </c>
      <c r="M24" s="43">
        <v>0.60399999999999998</v>
      </c>
      <c r="N24" s="43">
        <v>3.05</v>
      </c>
      <c r="O24" s="43">
        <v>1.014</v>
      </c>
      <c r="P24" s="132">
        <v>104.1</v>
      </c>
      <c r="Q24" s="129">
        <v>6.6565576877759769E-2</v>
      </c>
    </row>
    <row r="25" spans="2:17" ht="15" customHeight="1" thickTop="1" thickBot="1" x14ac:dyDescent="0.25">
      <c r="B25" s="2"/>
      <c r="C25" s="63">
        <v>2010</v>
      </c>
      <c r="D25" s="43">
        <v>1.0609999999999999</v>
      </c>
      <c r="E25" s="43">
        <v>0.27100000000000002</v>
      </c>
      <c r="F25" s="43">
        <v>23.903134902000001</v>
      </c>
      <c r="G25" s="43">
        <v>11.715</v>
      </c>
      <c r="H25" s="43">
        <v>51.890184043437998</v>
      </c>
      <c r="I25" s="43">
        <v>11.606199999999999</v>
      </c>
      <c r="J25" s="190">
        <v>0.28499999999999998</v>
      </c>
      <c r="K25" s="43">
        <v>0.51925939799999998</v>
      </c>
      <c r="L25" s="43">
        <v>1.5100000000000001E-2</v>
      </c>
      <c r="M25" s="43">
        <v>0.65100000000000002</v>
      </c>
      <c r="N25" s="50">
        <f>AVERAGE(N24,N26)</f>
        <v>2.9384999999999999</v>
      </c>
      <c r="O25" s="43">
        <v>1.014</v>
      </c>
      <c r="P25" s="133">
        <f>SUM(D25:O25)</f>
        <v>105.869378343438</v>
      </c>
      <c r="Q25" s="533">
        <f>P25/P24-1</f>
        <v>1.6996910119481345E-2</v>
      </c>
    </row>
    <row r="26" spans="2:17" ht="15" customHeight="1" thickTop="1" x14ac:dyDescent="0.2">
      <c r="B26" s="2"/>
      <c r="C26" s="63">
        <v>2011</v>
      </c>
      <c r="D26" s="43">
        <v>0.90500000000000003</v>
      </c>
      <c r="E26" s="43">
        <v>0.28499999999999998</v>
      </c>
      <c r="F26" s="43">
        <v>23.306000000000001</v>
      </c>
      <c r="G26" s="43">
        <v>11.231</v>
      </c>
      <c r="H26" s="43">
        <v>52.043999999999997</v>
      </c>
      <c r="I26" s="43">
        <v>12.282999999999999</v>
      </c>
      <c r="J26" s="43">
        <v>0.30499999999999999</v>
      </c>
      <c r="K26" s="43">
        <v>0.46600000000000003</v>
      </c>
      <c r="L26" s="43">
        <v>1.2999999999999999E-2</v>
      </c>
      <c r="M26" s="43">
        <v>0.70899999999999996</v>
      </c>
      <c r="N26" s="43">
        <v>2.827</v>
      </c>
      <c r="O26" s="531">
        <v>4.3600000000000003</v>
      </c>
      <c r="P26" s="132">
        <f>SUM(D26:O26)</f>
        <v>108.73400000000001</v>
      </c>
      <c r="Q26" s="129">
        <f>P26/P25-1</f>
        <v>2.7058075728651598E-2</v>
      </c>
    </row>
    <row r="27" spans="2:17" ht="15" customHeight="1" x14ac:dyDescent="0.2">
      <c r="B27" s="2"/>
      <c r="C27" s="63">
        <v>2012</v>
      </c>
      <c r="D27" s="50">
        <v>0.90500000000000003</v>
      </c>
      <c r="E27" s="43">
        <v>0.27100000000000002</v>
      </c>
      <c r="F27" s="43">
        <v>24.753</v>
      </c>
      <c r="G27" s="43">
        <v>11.177</v>
      </c>
      <c r="H27" s="43">
        <v>51.085999999999999</v>
      </c>
      <c r="I27" s="43">
        <v>12.794</v>
      </c>
      <c r="J27" s="43">
        <v>0.32400000000000001</v>
      </c>
      <c r="K27" s="43">
        <v>0.46200000000000002</v>
      </c>
      <c r="L27" s="43">
        <v>1.2E-2</v>
      </c>
      <c r="M27" s="43">
        <v>0.70799999999999996</v>
      </c>
      <c r="N27" s="43">
        <v>2.948</v>
      </c>
      <c r="O27" s="50">
        <v>4.3639999999999999</v>
      </c>
      <c r="P27" s="132">
        <f>SUM(D27:O27)</f>
        <v>109.804</v>
      </c>
      <c r="Q27" s="534">
        <f>P27/P26-1</f>
        <v>9.8405282616291778E-3</v>
      </c>
    </row>
    <row r="28" spans="2:17" ht="15" customHeight="1" x14ac:dyDescent="0.2">
      <c r="B28" s="2"/>
      <c r="C28" s="64">
        <v>2013</v>
      </c>
      <c r="D28" s="536">
        <v>0.90500000000000003</v>
      </c>
      <c r="E28" s="477">
        <v>0.246</v>
      </c>
      <c r="F28" s="477">
        <v>25.178000000000001</v>
      </c>
      <c r="G28" s="477">
        <v>12.744</v>
      </c>
      <c r="H28" s="477">
        <v>50.786000000000001</v>
      </c>
      <c r="I28" s="532">
        <v>12.794</v>
      </c>
      <c r="J28" s="477">
        <v>0.36299999999999999</v>
      </c>
      <c r="K28" s="477">
        <v>0.46500000000000002</v>
      </c>
      <c r="L28" s="477">
        <v>1.0999999999999999E-2</v>
      </c>
      <c r="M28" s="477">
        <v>0.75700000000000001</v>
      </c>
      <c r="N28" s="477">
        <v>3.0550000000000002</v>
      </c>
      <c r="O28" s="532">
        <v>4.3639999999999999</v>
      </c>
      <c r="P28" s="135">
        <f>SUM(D28:O28)</f>
        <v>111.66800000000002</v>
      </c>
      <c r="Q28" s="535">
        <f>P28/P27-1</f>
        <v>1.6975702160212824E-2</v>
      </c>
    </row>
    <row r="29" spans="2:17" ht="25.5" customHeight="1" x14ac:dyDescent="0.2">
      <c r="B29" s="2"/>
      <c r="C29" s="9" t="s">
        <v>80</v>
      </c>
      <c r="D29" s="58"/>
      <c r="E29" s="58"/>
      <c r="F29" s="58"/>
      <c r="G29" s="58"/>
      <c r="H29" s="58"/>
      <c r="I29" s="58"/>
      <c r="J29" s="58"/>
      <c r="K29" s="58"/>
      <c r="L29" s="58"/>
      <c r="M29" s="58"/>
      <c r="N29" s="58"/>
      <c r="O29" s="58"/>
      <c r="P29" s="58"/>
      <c r="Q29" s="1"/>
    </row>
    <row r="30" spans="2:17" ht="30" customHeight="1" x14ac:dyDescent="0.2">
      <c r="B30" s="2"/>
      <c r="C30" s="515" t="s">
        <v>106</v>
      </c>
      <c r="D30" s="516"/>
      <c r="E30" s="516"/>
      <c r="F30" s="516"/>
      <c r="G30" s="516"/>
      <c r="H30" s="516"/>
      <c r="I30" s="516"/>
      <c r="J30" s="516"/>
      <c r="K30" s="516"/>
      <c r="L30" s="516"/>
      <c r="M30" s="516"/>
      <c r="N30" s="516"/>
      <c r="O30" s="516"/>
      <c r="P30" s="516"/>
      <c r="Q30" s="1"/>
    </row>
    <row r="31" spans="2:17" ht="15" customHeight="1" x14ac:dyDescent="0.2">
      <c r="B31" s="2"/>
      <c r="C31" s="48"/>
      <c r="D31" s="26"/>
      <c r="E31" s="26"/>
      <c r="F31" s="26"/>
      <c r="G31" s="26"/>
      <c r="H31" s="26"/>
      <c r="I31" s="26"/>
      <c r="J31" s="47"/>
      <c r="K31" s="47"/>
      <c r="L31" s="47"/>
      <c r="M31" s="26"/>
      <c r="N31" s="47"/>
      <c r="O31" s="26"/>
      <c r="P31" s="49"/>
      <c r="Q31" s="1"/>
    </row>
    <row r="32" spans="2:17" ht="15" customHeight="1" x14ac:dyDescent="0.2">
      <c r="B32" s="2"/>
      <c r="C32" s="507" t="s">
        <v>51</v>
      </c>
      <c r="D32" s="507"/>
      <c r="E32" s="507"/>
      <c r="F32" s="507"/>
      <c r="G32" s="507"/>
      <c r="H32" s="507"/>
      <c r="I32" s="507"/>
      <c r="J32" s="507"/>
      <c r="K32" s="507"/>
      <c r="L32" s="507"/>
      <c r="M32" s="507"/>
      <c r="N32" s="507"/>
      <c r="O32" s="507"/>
      <c r="P32" s="507"/>
      <c r="Q32" s="1"/>
    </row>
    <row r="33" spans="2:17" ht="24.95" customHeight="1" x14ac:dyDescent="0.2">
      <c r="B33" s="2"/>
      <c r="C33" s="508" t="s">
        <v>42</v>
      </c>
      <c r="D33" s="508"/>
      <c r="E33" s="508"/>
      <c r="F33" s="508"/>
      <c r="G33" s="508"/>
      <c r="H33" s="508"/>
      <c r="I33" s="508"/>
      <c r="J33" s="508"/>
      <c r="K33" s="508"/>
      <c r="L33" s="508"/>
      <c r="M33" s="508"/>
      <c r="N33" s="508"/>
      <c r="O33" s="508"/>
      <c r="P33" s="508"/>
      <c r="Q33" s="1"/>
    </row>
    <row r="34" spans="2:17" ht="15" customHeight="1" x14ac:dyDescent="0.2">
      <c r="B34" s="2"/>
      <c r="C34" s="48"/>
      <c r="D34" s="60" t="s">
        <v>29</v>
      </c>
      <c r="E34" s="60" t="s">
        <v>14</v>
      </c>
      <c r="F34" s="60" t="s">
        <v>30</v>
      </c>
      <c r="G34" s="61" t="s">
        <v>31</v>
      </c>
      <c r="H34" s="60" t="s">
        <v>32</v>
      </c>
      <c r="I34" s="60" t="s">
        <v>34</v>
      </c>
      <c r="J34" s="60" t="s">
        <v>27</v>
      </c>
      <c r="K34" s="60" t="s">
        <v>37</v>
      </c>
      <c r="L34" s="60" t="s">
        <v>23</v>
      </c>
      <c r="M34" s="60" t="s">
        <v>38</v>
      </c>
      <c r="N34" s="60" t="s">
        <v>39</v>
      </c>
      <c r="O34" s="130" t="s">
        <v>28</v>
      </c>
      <c r="P34" s="217" t="s">
        <v>124</v>
      </c>
      <c r="Q34" s="94"/>
    </row>
    <row r="35" spans="2:17" ht="15" customHeight="1" x14ac:dyDescent="0.2">
      <c r="B35" s="2"/>
      <c r="C35" s="62">
        <v>2000</v>
      </c>
      <c r="D35" s="136">
        <v>11.184380656839927</v>
      </c>
      <c r="E35" s="136" t="s">
        <v>43</v>
      </c>
      <c r="F35" s="136">
        <v>18.467190069492336</v>
      </c>
      <c r="G35" s="136">
        <v>9.6405877680698975</v>
      </c>
      <c r="H35" s="136">
        <v>49.733776085649673</v>
      </c>
      <c r="I35" s="136">
        <v>10.259824094246753</v>
      </c>
      <c r="J35" s="136">
        <v>0.77048956770762311</v>
      </c>
      <c r="K35" s="136" t="s">
        <v>43</v>
      </c>
      <c r="L35" s="136" t="s">
        <v>43</v>
      </c>
      <c r="M35" s="136">
        <v>2.0851688693098382</v>
      </c>
      <c r="N35" s="136">
        <v>24.83319179910227</v>
      </c>
      <c r="O35" s="137" t="s">
        <v>43</v>
      </c>
      <c r="P35" s="138">
        <v>15.860466522326448</v>
      </c>
      <c r="Q35" s="1"/>
    </row>
    <row r="36" spans="2:17" ht="15" customHeight="1" x14ac:dyDescent="0.2">
      <c r="B36" s="2"/>
      <c r="C36" s="63">
        <v>2001</v>
      </c>
      <c r="D36" s="136">
        <v>11.059965165464046</v>
      </c>
      <c r="E36" s="136" t="s">
        <v>43</v>
      </c>
      <c r="F36" s="136">
        <v>20.480766692187874</v>
      </c>
      <c r="G36" s="136">
        <v>9.9716741082145077</v>
      </c>
      <c r="H36" s="136">
        <v>52.310360259565904</v>
      </c>
      <c r="I36" s="136">
        <v>13.505471683041776</v>
      </c>
      <c r="J36" s="136">
        <v>1.3271261812117845</v>
      </c>
      <c r="K36" s="136" t="s">
        <v>43</v>
      </c>
      <c r="L36" s="136" t="s">
        <v>43</v>
      </c>
      <c r="M36" s="136">
        <v>1.8281535648994516</v>
      </c>
      <c r="N36" s="136">
        <v>25.503893724232707</v>
      </c>
      <c r="O36" s="139" t="s">
        <v>43</v>
      </c>
      <c r="P36" s="140">
        <v>17.472266391117554</v>
      </c>
      <c r="Q36" s="1"/>
    </row>
    <row r="37" spans="2:17" ht="15" customHeight="1" x14ac:dyDescent="0.2">
      <c r="B37" s="2"/>
      <c r="C37" s="63">
        <v>2002</v>
      </c>
      <c r="D37" s="136">
        <v>11.004842615012107</v>
      </c>
      <c r="E37" s="136" t="s">
        <v>43</v>
      </c>
      <c r="F37" s="136">
        <v>21.54082943842754</v>
      </c>
      <c r="G37" s="136">
        <v>10.28240064117675</v>
      </c>
      <c r="H37" s="136">
        <v>54.200777871460815</v>
      </c>
      <c r="I37" s="136">
        <v>14.355833198117802</v>
      </c>
      <c r="J37" s="136">
        <v>1.406774916013438</v>
      </c>
      <c r="K37" s="136" t="s">
        <v>43</v>
      </c>
      <c r="L37" s="136" t="s">
        <v>43</v>
      </c>
      <c r="M37" s="136">
        <v>4.06871609403255</v>
      </c>
      <c r="N37" s="136">
        <v>26.932612125309895</v>
      </c>
      <c r="O37" s="139" t="s">
        <v>43</v>
      </c>
      <c r="P37" s="140">
        <v>18.602451216269678</v>
      </c>
      <c r="Q37" s="1"/>
    </row>
    <row r="38" spans="2:17" ht="15" customHeight="1" x14ac:dyDescent="0.2">
      <c r="B38" s="2"/>
      <c r="C38" s="63">
        <v>2003</v>
      </c>
      <c r="D38" s="136">
        <v>10.623109497882636</v>
      </c>
      <c r="E38" s="136" t="s">
        <v>43</v>
      </c>
      <c r="F38" s="136">
        <v>24.48627494985482</v>
      </c>
      <c r="G38" s="136">
        <v>9.594357930610121</v>
      </c>
      <c r="H38" s="136">
        <v>55.230312242877268</v>
      </c>
      <c r="I38" s="136">
        <v>15.259666919933466</v>
      </c>
      <c r="J38" s="136">
        <v>4.7949162333911035</v>
      </c>
      <c r="K38" s="136" t="s">
        <v>43</v>
      </c>
      <c r="L38" s="136" t="s">
        <v>43</v>
      </c>
      <c r="M38" s="136">
        <v>5.9916117435590177</v>
      </c>
      <c r="N38" s="136">
        <v>27.16776092370387</v>
      </c>
      <c r="O38" s="139" t="s">
        <v>43</v>
      </c>
      <c r="P38" s="140">
        <v>19.525711130443526</v>
      </c>
      <c r="Q38" s="1"/>
    </row>
    <row r="39" spans="2:17" ht="15" customHeight="1" x14ac:dyDescent="0.2">
      <c r="B39" s="2"/>
      <c r="C39" s="63">
        <v>2004</v>
      </c>
      <c r="D39" s="136">
        <v>10.834485938220377</v>
      </c>
      <c r="E39" s="136">
        <v>1.5197568389057751E-2</v>
      </c>
      <c r="F39" s="136">
        <v>27.016523572619654</v>
      </c>
      <c r="G39" s="136">
        <v>10.227607181399</v>
      </c>
      <c r="H39" s="136">
        <v>55.765630002841661</v>
      </c>
      <c r="I39" s="136">
        <v>16.090390433070066</v>
      </c>
      <c r="J39" s="136">
        <v>4.5282238610517611</v>
      </c>
      <c r="K39" s="136">
        <v>11.806119685892229</v>
      </c>
      <c r="L39" s="136" t="s">
        <v>43</v>
      </c>
      <c r="M39" s="136">
        <v>4.8329355608591893</v>
      </c>
      <c r="N39" s="136">
        <v>27.974127974127978</v>
      </c>
      <c r="O39" s="139">
        <v>1.0150410630248223</v>
      </c>
      <c r="P39" s="140">
        <v>20.692630156654879</v>
      </c>
      <c r="Q39" s="1"/>
    </row>
    <row r="40" spans="2:17" ht="15" customHeight="1" x14ac:dyDescent="0.2">
      <c r="B40" s="2"/>
      <c r="C40" s="63">
        <v>2005</v>
      </c>
      <c r="D40" s="136">
        <v>10.732240437158469</v>
      </c>
      <c r="E40" s="136">
        <v>8.9995500224988756E-2</v>
      </c>
      <c r="F40" s="136">
        <v>27.824033303978869</v>
      </c>
      <c r="G40" s="136">
        <v>10.747317795042544</v>
      </c>
      <c r="H40" s="136">
        <v>56.598358001837653</v>
      </c>
      <c r="I40" s="136">
        <v>16.940756885278386</v>
      </c>
      <c r="J40" s="136">
        <v>4.53375569194219</v>
      </c>
      <c r="K40" s="136">
        <v>12.864268836965081</v>
      </c>
      <c r="L40" s="136" t="s">
        <v>43</v>
      </c>
      <c r="M40" s="136">
        <v>8.9419206440483023</v>
      </c>
      <c r="N40" s="136">
        <v>26.074306177260521</v>
      </c>
      <c r="O40" s="193">
        <v>1.0131712259371835</v>
      </c>
      <c r="P40" s="140">
        <v>21.241905014251248</v>
      </c>
      <c r="Q40" s="1"/>
    </row>
    <row r="41" spans="2:17" ht="15" customHeight="1" x14ac:dyDescent="0.2">
      <c r="B41" s="2"/>
      <c r="C41" s="63">
        <v>2006</v>
      </c>
      <c r="D41" s="136">
        <v>10.40907671489539</v>
      </c>
      <c r="E41" s="136">
        <v>2.138110372724646</v>
      </c>
      <c r="F41" s="136">
        <v>27.807411025281802</v>
      </c>
      <c r="G41" s="136">
        <v>12.200859534042072</v>
      </c>
      <c r="H41" s="136">
        <v>56.384286934956386</v>
      </c>
      <c r="I41" s="136">
        <v>17.511937277711187</v>
      </c>
      <c r="J41" s="136">
        <v>4.6132544527660651</v>
      </c>
      <c r="K41" s="136">
        <v>13.106295149638802</v>
      </c>
      <c r="L41" s="136" t="s">
        <v>43</v>
      </c>
      <c r="M41" s="136">
        <v>12.428571428571429</v>
      </c>
      <c r="N41" s="136">
        <v>25.891650202765938</v>
      </c>
      <c r="O41" s="139">
        <v>1.9218912770797458</v>
      </c>
      <c r="P41" s="140">
        <v>21.641656571607374</v>
      </c>
      <c r="Q41" s="1"/>
    </row>
    <row r="42" spans="2:17" ht="15" customHeight="1" x14ac:dyDescent="0.2">
      <c r="B42" s="2"/>
      <c r="C42" s="63">
        <v>2007</v>
      </c>
      <c r="D42" s="136">
        <v>10.249697946033026</v>
      </c>
      <c r="E42" s="136">
        <v>4.7694984053348799</v>
      </c>
      <c r="F42" s="136">
        <v>27.711193709069764</v>
      </c>
      <c r="G42" s="136">
        <v>11.858901038568881</v>
      </c>
      <c r="H42" s="136">
        <v>58.806364565351451</v>
      </c>
      <c r="I42" s="136">
        <v>17.749954709233275</v>
      </c>
      <c r="J42" s="136">
        <v>4.90075961774075</v>
      </c>
      <c r="K42" s="136">
        <v>12.691246551291698</v>
      </c>
      <c r="L42" s="136" t="s">
        <v>43</v>
      </c>
      <c r="M42" s="136">
        <v>15.352038115404977</v>
      </c>
      <c r="N42" s="136">
        <v>27.044147743884611</v>
      </c>
      <c r="O42" s="139">
        <v>2.7745111717924695</v>
      </c>
      <c r="P42" s="140">
        <v>22.357367980477971</v>
      </c>
      <c r="Q42" s="1"/>
    </row>
    <row r="43" spans="2:17" ht="15" customHeight="1" x14ac:dyDescent="0.2">
      <c r="B43" s="2"/>
      <c r="C43" s="63">
        <v>2008</v>
      </c>
      <c r="D43" s="136">
        <v>10.372008074593866</v>
      </c>
      <c r="E43" s="136">
        <v>3.7187835315214675</v>
      </c>
      <c r="F43" s="136">
        <v>28.830376118222702</v>
      </c>
      <c r="G43" s="136">
        <v>22.87538070007092</v>
      </c>
      <c r="H43" s="136">
        <v>60.69666405498748</v>
      </c>
      <c r="I43" s="136">
        <v>17.92738580832761</v>
      </c>
      <c r="J43" s="136">
        <v>5.3154313040279568</v>
      </c>
      <c r="K43" s="136">
        <v>12.461428910515073</v>
      </c>
      <c r="L43" s="136">
        <v>1.6786570743405276</v>
      </c>
      <c r="M43" s="136">
        <v>15.350444225074039</v>
      </c>
      <c r="N43" s="136">
        <v>26.954954954954957</v>
      </c>
      <c r="O43" s="139">
        <v>1.873514207011056</v>
      </c>
      <c r="P43" s="140">
        <v>23.774461440459092</v>
      </c>
      <c r="Q43" s="1"/>
    </row>
    <row r="44" spans="2:17" ht="15.75" customHeight="1" thickBot="1" x14ac:dyDescent="0.25">
      <c r="C44" s="63">
        <v>2009</v>
      </c>
      <c r="D44" s="185">
        <v>10.175505898149035</v>
      </c>
      <c r="E44" s="185">
        <v>3.6136056095460694</v>
      </c>
      <c r="F44" s="185">
        <v>27.370553695346246</v>
      </c>
      <c r="G44" s="185">
        <v>49.726192585805236</v>
      </c>
      <c r="H44" s="185">
        <v>60.306976744186045</v>
      </c>
      <c r="I44" s="185">
        <v>22.29090607368072</v>
      </c>
      <c r="J44" s="185">
        <v>5.5714546672349758</v>
      </c>
      <c r="K44" s="185">
        <v>12.740847784200385</v>
      </c>
      <c r="L44" s="185">
        <v>1.9047619047619049</v>
      </c>
      <c r="M44" s="185">
        <v>15.583075335397318</v>
      </c>
      <c r="N44" s="185">
        <v>26.991150442477874</v>
      </c>
      <c r="O44" s="139">
        <v>1.9217284184592058</v>
      </c>
      <c r="P44" s="140">
        <v>25.711232968469293</v>
      </c>
      <c r="Q44" s="186"/>
    </row>
    <row r="45" spans="2:17" ht="15.75" customHeight="1" thickTop="1" thickBot="1" x14ac:dyDescent="0.25">
      <c r="C45" s="63">
        <v>2010</v>
      </c>
      <c r="D45" s="185">
        <v>10.043544112078758</v>
      </c>
      <c r="E45" s="185">
        <v>4.1118545829729767</v>
      </c>
      <c r="F45" s="185">
        <v>28.787512075921622</v>
      </c>
      <c r="G45" s="185">
        <v>52.333918544031519</v>
      </c>
      <c r="H45" s="185">
        <v>60.441381939286387</v>
      </c>
      <c r="I45" s="185">
        <v>24.545204610341546</v>
      </c>
      <c r="J45" s="191">
        <v>1.8506493506493507</v>
      </c>
      <c r="K45" s="185">
        <v>12.630975383118463</v>
      </c>
      <c r="L45" s="185">
        <v>1.857318573185732</v>
      </c>
      <c r="M45" s="185">
        <v>16.443546350088408</v>
      </c>
      <c r="N45" s="192">
        <v>26.342447333034514</v>
      </c>
      <c r="O45" s="139">
        <v>1.8161953036843328</v>
      </c>
      <c r="P45" s="194">
        <f>P25/rail_pkm!Y6*100</f>
        <v>26.121394937614863</v>
      </c>
      <c r="Q45" s="186"/>
    </row>
    <row r="46" spans="2:17" ht="15.75" customHeight="1" thickTop="1" x14ac:dyDescent="0.2">
      <c r="C46" s="63">
        <v>2011</v>
      </c>
      <c r="D46" s="185">
        <v>8.6727359846669856</v>
      </c>
      <c r="E46" s="185">
        <v>4.244861483467381</v>
      </c>
      <c r="F46" s="185">
        <v>27.386603995299652</v>
      </c>
      <c r="G46" s="185">
        <v>49.269576661548584</v>
      </c>
      <c r="H46" s="185">
        <v>58.475391563281519</v>
      </c>
      <c r="I46" s="185">
        <v>26.220514462589385</v>
      </c>
      <c r="J46" s="185">
        <v>1.8146120894811995</v>
      </c>
      <c r="K46" s="185">
        <v>11.247888003861938</v>
      </c>
      <c r="L46" s="185">
        <v>1.6817593790426906</v>
      </c>
      <c r="M46" s="185">
        <v>18.263781555899019</v>
      </c>
      <c r="N46" s="185">
        <v>24.844010897266898</v>
      </c>
      <c r="O46" s="537">
        <v>7.4463365525714087</v>
      </c>
      <c r="P46" s="140">
        <f>P26/rail_pkm!Z6*100</f>
        <v>26.231115052069843</v>
      </c>
      <c r="Q46" s="1"/>
    </row>
    <row r="47" spans="2:17" ht="15.75" customHeight="1" x14ac:dyDescent="0.2">
      <c r="C47" s="63">
        <v>2012</v>
      </c>
      <c r="D47" s="192">
        <v>8.7864077669902905</v>
      </c>
      <c r="E47" s="185">
        <v>3.7303673930100345</v>
      </c>
      <c r="F47" s="185">
        <v>28.001131221719454</v>
      </c>
      <c r="G47" s="185">
        <v>49.729041902846618</v>
      </c>
      <c r="H47" s="185">
        <v>57.366621612155122</v>
      </c>
      <c r="I47" s="185">
        <v>28.68802834271364</v>
      </c>
      <c r="J47" s="185">
        <v>1.8949584746754007</v>
      </c>
      <c r="K47" s="185">
        <v>12.148303970549566</v>
      </c>
      <c r="L47" s="185">
        <v>1.6179048132668195</v>
      </c>
      <c r="M47" s="185">
        <v>17.546468401486987</v>
      </c>
      <c r="N47" s="185">
        <v>25</v>
      </c>
      <c r="O47" s="192">
        <v>7.1583229446886696</v>
      </c>
      <c r="P47" s="194">
        <v>26.245666953900855</v>
      </c>
      <c r="Q47" s="1"/>
    </row>
    <row r="48" spans="2:17" ht="15.75" customHeight="1" x14ac:dyDescent="0.2">
      <c r="C48" s="64">
        <v>2013</v>
      </c>
      <c r="D48" s="538">
        <v>8.6100275901436589</v>
      </c>
      <c r="E48" s="478">
        <v>3.2747603833865817</v>
      </c>
      <c r="F48" s="478">
        <v>28.289887640449439</v>
      </c>
      <c r="G48" s="478">
        <v>53.647653125657754</v>
      </c>
      <c r="H48" s="478">
        <v>58.110144503015583</v>
      </c>
      <c r="I48" s="538">
        <v>26.25002564681262</v>
      </c>
      <c r="J48" s="478">
        <v>2.0544456392551926</v>
      </c>
      <c r="K48" s="478">
        <v>12.743217319813649</v>
      </c>
      <c r="L48" s="478">
        <v>1.6200294550810013</v>
      </c>
      <c r="M48" s="478">
        <v>18.677522822600544</v>
      </c>
      <c r="N48" s="478">
        <v>25.763197841119919</v>
      </c>
      <c r="O48" s="538">
        <v>7.0414353943461991</v>
      </c>
      <c r="P48" s="539">
        <v>26.323065967251519</v>
      </c>
      <c r="Q48" s="1"/>
    </row>
    <row r="49" spans="3:17" ht="15.75" customHeight="1" x14ac:dyDescent="0.2">
      <c r="C49" s="509" t="s">
        <v>108</v>
      </c>
      <c r="D49" s="510"/>
      <c r="E49" s="510"/>
      <c r="F49" s="510"/>
      <c r="G49" s="510"/>
      <c r="H49" s="510"/>
      <c r="I49" s="510"/>
      <c r="J49" s="510"/>
      <c r="K49" s="510"/>
      <c r="L49" s="510"/>
      <c r="M49" s="510"/>
      <c r="N49" s="510"/>
      <c r="O49" s="510"/>
      <c r="P49" s="510"/>
      <c r="Q49" s="1"/>
    </row>
    <row r="50" spans="3:17" ht="13.5" customHeight="1" x14ac:dyDescent="0.2"/>
  </sheetData>
  <mergeCells count="7">
    <mergeCell ref="C32:P32"/>
    <mergeCell ref="C33:P33"/>
    <mergeCell ref="C49:P49"/>
    <mergeCell ref="C1:D1"/>
    <mergeCell ref="C2:Q2"/>
    <mergeCell ref="C3:P3"/>
    <mergeCell ref="C30:P30"/>
  </mergeCells>
  <phoneticPr fontId="9" type="noConversion"/>
  <printOptions horizontalCentered="1"/>
  <pageMargins left="0.6692913385826772" right="0.47244094488188981" top="0.51181102362204722" bottom="0.27559055118110237"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T2.3</vt:lpstr>
      <vt:lpstr>passeng_graph</vt:lpstr>
      <vt:lpstr>perf_mode_pkm</vt:lpstr>
      <vt:lpstr>split_mode_pkm</vt:lpstr>
      <vt:lpstr>cars</vt:lpstr>
      <vt:lpstr>bus_coach</vt:lpstr>
      <vt:lpstr>tram_metro</vt:lpstr>
      <vt:lpstr>rail_pkm</vt:lpstr>
      <vt:lpstr>hs_rail</vt:lpstr>
      <vt:lpstr>USA</vt:lpstr>
      <vt:lpstr>T2.3!A</vt:lpstr>
      <vt:lpstr>bus_coach!Print_Area</vt:lpstr>
      <vt:lpstr>cars!Print_Area</vt:lpstr>
      <vt:lpstr>passeng_graph!Print_Area</vt:lpstr>
      <vt:lpstr>perf_mode_pkm!Print_Area</vt:lpstr>
      <vt:lpstr>rail_pkm!Print_Area</vt:lpstr>
      <vt:lpstr>split_mode_pkm!Print_Area</vt:lpstr>
      <vt:lpstr>T2.3!Print_Area</vt:lpstr>
      <vt:lpstr>tram_metro!Print_Area</vt:lpstr>
      <vt:lpstr>USA!Print_Area</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georgpi</dc:creator>
  <cp:lastModifiedBy>MOVE.A3</cp:lastModifiedBy>
  <cp:lastPrinted>2012-03-29T14:37:27Z</cp:lastPrinted>
  <dcterms:created xsi:type="dcterms:W3CDTF">2003-09-05T14:33:05Z</dcterms:created>
  <dcterms:modified xsi:type="dcterms:W3CDTF">2015-08-17T10:21:19Z</dcterms:modified>
</cp:coreProperties>
</file>