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0 work files\final\PB 2020\"/>
    </mc:Choice>
  </mc:AlternateContent>
  <bookViews>
    <workbookView xWindow="9105" yWindow="-225" windowWidth="14640" windowHeight="12105" tabRatio="1000"/>
  </bookViews>
  <sheets>
    <sheet name="T2.2" sheetId="58" r:id="rId1"/>
    <sheet name="freight_graph" sheetId="59" r:id="rId2"/>
    <sheet name="perf_mode_tkm" sheetId="60" r:id="rId3"/>
    <sheet name="perf_land _tkm" sheetId="144" r:id="rId4"/>
    <sheet name="road_by_nat" sheetId="63" r:id="rId5"/>
    <sheet name="road_by_int" sheetId="64" r:id="rId6"/>
    <sheet name="road_by_tot" sheetId="65" r:id="rId7"/>
    <sheet name="road_ter" sheetId="146" r:id="rId8"/>
    <sheet name="rail_tkm" sheetId="66" r:id="rId9"/>
    <sheet name="iww" sheetId="67" r:id="rId10"/>
    <sheet name="pipeline" sheetId="68" r:id="rId11"/>
    <sheet name="usa_goods" sheetId="145"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freight_graph!#REF!</definedName>
    <definedName name="_xlnm.Print_Area" localSheetId="9">iww!$B$1:$AI$48</definedName>
    <definedName name="_xlnm.Print_Area" localSheetId="3">'perf_land _tkm'!#REF!</definedName>
    <definedName name="_xlnm.Print_Area" localSheetId="2">perf_mode_tkm!$B$1:$J$67</definedName>
    <definedName name="_xlnm.Print_Area" localSheetId="10">pipeline!$B$1:$AI$49</definedName>
    <definedName name="_xlnm.Print_Area" localSheetId="8">rail_tkm!$B$2:$AI$45</definedName>
    <definedName name="_xlnm.Print_Area" localSheetId="5">road_by_int!$B$1:$AC$50</definedName>
    <definedName name="_xlnm.Print_Area" localSheetId="4">road_by_nat!$B$1:$AC$47</definedName>
    <definedName name="_xlnm.Print_Area" localSheetId="6">road_by_tot!$B$1:$AC$51</definedName>
    <definedName name="_xlnm.Print_Area" localSheetId="7">road_ter!$B$1:$R$50</definedName>
    <definedName name="_xlnm.Print_Area" localSheetId="0">'T2.2'!$B$1:$E$27</definedName>
    <definedName name="_xlnm.Print_Area" localSheetId="11">usa_goods!$B$1:$G$90</definedName>
    <definedName name="Z_534C28F1_E90D_11D3_A4B3_0050041AE0D6_.wvu.Cols" localSheetId="11" hidden="1">usa_goods!#REF!</definedName>
  </definedNames>
  <calcPr calcId="162913"/>
</workbook>
</file>

<file path=xl/calcChain.xml><?xml version="1.0" encoding="utf-8"?>
<calcChain xmlns="http://schemas.openxmlformats.org/spreadsheetml/2006/main">
  <c r="T44" i="59" l="1"/>
  <c r="AH22" i="66" l="1"/>
  <c r="AH23" i="66"/>
  <c r="AH24" i="66"/>
  <c r="AH25" i="66"/>
  <c r="AH27" i="66"/>
  <c r="AH28" i="66"/>
  <c r="AH29" i="66"/>
  <c r="AH30" i="66"/>
  <c r="AH31" i="66"/>
  <c r="AH32" i="66"/>
  <c r="AH33" i="66"/>
  <c r="AH34" i="66"/>
  <c r="AH35" i="66"/>
  <c r="AH36" i="66"/>
  <c r="AH39" i="66"/>
  <c r="AH37" i="66"/>
  <c r="AH38" i="66"/>
  <c r="AG40" i="66"/>
  <c r="AH40" i="66" s="1"/>
  <c r="AH41" i="66"/>
  <c r="AH43" i="66"/>
  <c r="AH44" i="66"/>
  <c r="F94" i="145" l="1"/>
  <c r="E94" i="145"/>
  <c r="D94" i="145"/>
  <c r="C94" i="145"/>
  <c r="D61" i="145"/>
  <c r="E61" i="145"/>
  <c r="F61" i="145"/>
  <c r="G61" i="145"/>
  <c r="C61" i="145"/>
  <c r="G35" i="145"/>
  <c r="F35" i="145"/>
  <c r="G34" i="145"/>
  <c r="F95" i="145"/>
  <c r="C95" i="145"/>
  <c r="E95" i="145"/>
  <c r="D95" i="145"/>
  <c r="I28" i="60"/>
  <c r="H63" i="60"/>
  <c r="I24" i="60"/>
  <c r="G59" i="60" s="1"/>
  <c r="H59" i="60"/>
  <c r="I16" i="60"/>
  <c r="H51" i="60"/>
  <c r="I12" i="60"/>
  <c r="F47" i="60" s="1"/>
  <c r="H47" i="60"/>
  <c r="I8" i="60"/>
  <c r="H43" i="60"/>
  <c r="D35" i="60"/>
  <c r="AC9" i="64"/>
  <c r="AC10" i="64"/>
  <c r="AC11" i="64"/>
  <c r="AC12" i="64"/>
  <c r="AC13" i="64"/>
  <c r="AC14" i="64"/>
  <c r="AC15" i="64"/>
  <c r="AC16" i="64"/>
  <c r="AC17" i="64"/>
  <c r="AC18" i="64"/>
  <c r="AC19" i="64"/>
  <c r="AC20" i="64"/>
  <c r="AC21" i="64"/>
  <c r="AC22" i="64"/>
  <c r="AC23" i="64"/>
  <c r="AC24" i="64"/>
  <c r="AC25" i="64"/>
  <c r="AC26" i="64"/>
  <c r="AC27" i="64"/>
  <c r="AC28" i="64"/>
  <c r="AC29" i="64"/>
  <c r="AC30" i="64"/>
  <c r="AC31" i="64"/>
  <c r="AC32" i="64"/>
  <c r="AC33" i="64"/>
  <c r="AC34" i="64"/>
  <c r="AC35" i="64"/>
  <c r="AC36" i="64"/>
  <c r="AC38" i="64"/>
  <c r="AC43" i="64"/>
  <c r="AC44" i="64"/>
  <c r="AB9" i="64"/>
  <c r="AB10" i="64"/>
  <c r="AB11" i="64"/>
  <c r="AB12" i="64"/>
  <c r="AB13" i="64"/>
  <c r="AB14" i="64"/>
  <c r="AB15" i="64"/>
  <c r="AB16" i="64"/>
  <c r="AB17" i="64"/>
  <c r="AB18" i="64"/>
  <c r="AB19" i="64"/>
  <c r="AB20" i="64"/>
  <c r="AB21" i="64"/>
  <c r="AB22" i="64"/>
  <c r="AB23" i="64"/>
  <c r="AB24" i="64"/>
  <c r="AB25" i="64"/>
  <c r="AB26" i="64"/>
  <c r="AB27" i="64"/>
  <c r="AB28" i="64"/>
  <c r="AB29" i="64"/>
  <c r="AB30" i="64"/>
  <c r="AB31" i="64"/>
  <c r="AB32" i="64"/>
  <c r="AB33" i="64"/>
  <c r="AB34" i="64"/>
  <c r="AB35" i="64"/>
  <c r="AB36" i="64"/>
  <c r="AB38" i="64"/>
  <c r="AB43" i="64"/>
  <c r="AB44" i="64"/>
  <c r="N10" i="144"/>
  <c r="N11" i="144"/>
  <c r="N12" i="144"/>
  <c r="N13" i="144"/>
  <c r="N14" i="144"/>
  <c r="N15" i="144"/>
  <c r="N16" i="144"/>
  <c r="N17" i="144"/>
  <c r="N18" i="144"/>
  <c r="N19" i="144"/>
  <c r="N20" i="144"/>
  <c r="N21" i="144"/>
  <c r="N22" i="144"/>
  <c r="N23" i="144"/>
  <c r="N24" i="144"/>
  <c r="N25" i="144"/>
  <c r="N26" i="144"/>
  <c r="N27" i="144"/>
  <c r="N28" i="144"/>
  <c r="N29" i="144"/>
  <c r="N30" i="144"/>
  <c r="N31" i="144"/>
  <c r="N32" i="144"/>
  <c r="N33" i="144"/>
  <c r="N34" i="144"/>
  <c r="N35" i="144"/>
  <c r="N42" i="144"/>
  <c r="N44" i="144"/>
  <c r="M9" i="144"/>
  <c r="M10" i="144"/>
  <c r="M11" i="144"/>
  <c r="M12" i="144"/>
  <c r="M13" i="144"/>
  <c r="M14" i="144"/>
  <c r="M15" i="144"/>
  <c r="M16" i="144"/>
  <c r="M17" i="144"/>
  <c r="M18" i="144"/>
  <c r="M19" i="144"/>
  <c r="M20" i="144"/>
  <c r="M21" i="144"/>
  <c r="M22" i="144"/>
  <c r="M23" i="144"/>
  <c r="M24" i="144"/>
  <c r="M25" i="144"/>
  <c r="M26" i="144"/>
  <c r="M27" i="144"/>
  <c r="M28" i="144"/>
  <c r="M29" i="144"/>
  <c r="M30" i="144"/>
  <c r="M31" i="144"/>
  <c r="M32" i="144"/>
  <c r="M33" i="144"/>
  <c r="M35" i="144"/>
  <c r="M36" i="144"/>
  <c r="M42" i="144"/>
  <c r="M43" i="144"/>
  <c r="M44" i="144"/>
  <c r="L42" i="144"/>
  <c r="L43" i="144"/>
  <c r="L44" i="144"/>
  <c r="K42" i="144"/>
  <c r="K43" i="144"/>
  <c r="K44" i="144"/>
  <c r="L9" i="144"/>
  <c r="L10" i="144"/>
  <c r="L11" i="144"/>
  <c r="L12" i="144"/>
  <c r="L13" i="144"/>
  <c r="L14" i="144"/>
  <c r="L15" i="144"/>
  <c r="L16" i="144"/>
  <c r="L17" i="144"/>
  <c r="L18" i="144"/>
  <c r="L19" i="144"/>
  <c r="L20" i="144"/>
  <c r="L21" i="144"/>
  <c r="L22" i="144"/>
  <c r="L23" i="144"/>
  <c r="L24" i="144"/>
  <c r="L25" i="144"/>
  <c r="L26" i="144"/>
  <c r="L27" i="144"/>
  <c r="L28" i="144"/>
  <c r="L29" i="144"/>
  <c r="L30" i="144"/>
  <c r="L31" i="144"/>
  <c r="L32" i="144"/>
  <c r="L33" i="144"/>
  <c r="L34" i="144"/>
  <c r="L35" i="144"/>
  <c r="L36" i="144"/>
  <c r="K9" i="144"/>
  <c r="K10" i="144"/>
  <c r="K11" i="144"/>
  <c r="K12" i="144"/>
  <c r="K13" i="144"/>
  <c r="K14" i="144"/>
  <c r="K15" i="144"/>
  <c r="K16" i="144"/>
  <c r="K17" i="144"/>
  <c r="K18" i="144"/>
  <c r="K19" i="144"/>
  <c r="K20" i="144"/>
  <c r="K21" i="144"/>
  <c r="K22" i="144"/>
  <c r="K23" i="144"/>
  <c r="K24" i="144"/>
  <c r="K25" i="144"/>
  <c r="K26" i="144"/>
  <c r="K27" i="144"/>
  <c r="K28" i="144"/>
  <c r="K29" i="144"/>
  <c r="K30" i="144"/>
  <c r="K31" i="144"/>
  <c r="K32" i="144"/>
  <c r="K33" i="144"/>
  <c r="K34" i="144"/>
  <c r="K35" i="144"/>
  <c r="K36" i="144"/>
  <c r="AC6" i="59"/>
  <c r="D44" i="59"/>
  <c r="E44" i="59"/>
  <c r="F44" i="59"/>
  <c r="G44" i="59"/>
  <c r="H44" i="59"/>
  <c r="I44" i="59"/>
  <c r="J44" i="59"/>
  <c r="K44" i="59"/>
  <c r="L44" i="59"/>
  <c r="M44" i="59"/>
  <c r="N44" i="59"/>
  <c r="O44" i="59"/>
  <c r="P44" i="59"/>
  <c r="Q44" i="59"/>
  <c r="R44" i="59"/>
  <c r="S44" i="59"/>
  <c r="U44" i="59"/>
  <c r="V44" i="59"/>
  <c r="W44" i="59"/>
  <c r="X44" i="59"/>
  <c r="Y44" i="59"/>
  <c r="Z44" i="59"/>
  <c r="C44" i="59"/>
  <c r="D36" i="60"/>
  <c r="E36" i="60"/>
  <c r="F36" i="60"/>
  <c r="G36" i="60"/>
  <c r="H36" i="60"/>
  <c r="C36" i="60"/>
  <c r="E35" i="60"/>
  <c r="F35" i="60"/>
  <c r="G35" i="60"/>
  <c r="H35" i="60"/>
  <c r="C35" i="60"/>
  <c r="D34" i="60"/>
  <c r="E34" i="60"/>
  <c r="F34" i="60"/>
  <c r="G34" i="60"/>
  <c r="H34" i="60"/>
  <c r="E33" i="60"/>
  <c r="F33" i="60"/>
  <c r="G33" i="60"/>
  <c r="H33" i="60"/>
  <c r="E32" i="60"/>
  <c r="F32" i="60"/>
  <c r="G32" i="60"/>
  <c r="H32" i="60"/>
  <c r="C33" i="60"/>
  <c r="C32" i="60"/>
  <c r="I9" i="60"/>
  <c r="G44" i="60" s="1"/>
  <c r="I10" i="60"/>
  <c r="D45" i="60"/>
  <c r="G45" i="60"/>
  <c r="I11" i="60"/>
  <c r="F46" i="60"/>
  <c r="I13" i="60"/>
  <c r="G48" i="60" s="1"/>
  <c r="C48" i="60"/>
  <c r="I14" i="60"/>
  <c r="G49" i="60"/>
  <c r="I15" i="60"/>
  <c r="D50" i="60" s="1"/>
  <c r="I17" i="60"/>
  <c r="H52" i="60" s="1"/>
  <c r="G52" i="60"/>
  <c r="I18" i="60"/>
  <c r="H53" i="60"/>
  <c r="G53" i="60"/>
  <c r="I19" i="60"/>
  <c r="H54" i="60" s="1"/>
  <c r="I21" i="60"/>
  <c r="G56" i="60" s="1"/>
  <c r="H56" i="60"/>
  <c r="I22" i="60"/>
  <c r="G57" i="60"/>
  <c r="I23" i="60"/>
  <c r="E58" i="60" s="1"/>
  <c r="I25" i="60"/>
  <c r="F60" i="60" s="1"/>
  <c r="G60" i="60"/>
  <c r="I26" i="60"/>
  <c r="C61" i="60"/>
  <c r="G61" i="60"/>
  <c r="I27" i="60"/>
  <c r="F62" i="60" s="1"/>
  <c r="I29" i="60"/>
  <c r="F64" i="60"/>
  <c r="G64" i="60"/>
  <c r="I30" i="60"/>
  <c r="G65" i="60"/>
  <c r="I31" i="60"/>
  <c r="F66" i="60" s="1"/>
  <c r="G66" i="60"/>
  <c r="AC7" i="59"/>
  <c r="AC8" i="59"/>
  <c r="AC9" i="59"/>
  <c r="AC10" i="59"/>
  <c r="AC11" i="59"/>
  <c r="AC12" i="59"/>
  <c r="AC13" i="59"/>
  <c r="AC14" i="59"/>
  <c r="AC15" i="59"/>
  <c r="AC16" i="59"/>
  <c r="AC17" i="59"/>
  <c r="AC18" i="59"/>
  <c r="AC19" i="59"/>
  <c r="AC20" i="59"/>
  <c r="AC21" i="59"/>
  <c r="AC22" i="59"/>
  <c r="AC23" i="59"/>
  <c r="AC24" i="59"/>
  <c r="AC25" i="59"/>
  <c r="AC26" i="59"/>
  <c r="AC27" i="59"/>
  <c r="AC28" i="59"/>
  <c r="AC29" i="59"/>
  <c r="R7" i="67"/>
  <c r="S7" i="67"/>
  <c r="S6" i="67" s="1"/>
  <c r="T7" i="67"/>
  <c r="T6" i="67" s="1"/>
  <c r="U7" i="67"/>
  <c r="V7" i="67"/>
  <c r="W7" i="67"/>
  <c r="W6" i="67" s="1"/>
  <c r="X7" i="67"/>
  <c r="X6" i="67" s="1"/>
  <c r="Y7" i="67"/>
  <c r="Z7" i="67"/>
  <c r="AA7" i="67"/>
  <c r="AB7" i="67"/>
  <c r="AB6" i="67" s="1"/>
  <c r="AC7" i="67"/>
  <c r="AD7" i="67"/>
  <c r="AE7" i="67"/>
  <c r="AE6" i="67" s="1"/>
  <c r="G7" i="145"/>
  <c r="C67" i="145"/>
  <c r="G8" i="145"/>
  <c r="C68" i="145"/>
  <c r="G9" i="145"/>
  <c r="D69" i="145"/>
  <c r="G10" i="145"/>
  <c r="G11" i="145"/>
  <c r="C71" i="145"/>
  <c r="G12" i="145"/>
  <c r="F72" i="145"/>
  <c r="C72" i="145"/>
  <c r="G13" i="145"/>
  <c r="F73" i="145"/>
  <c r="G14" i="145"/>
  <c r="G15" i="145"/>
  <c r="D75" i="145"/>
  <c r="C75" i="145"/>
  <c r="G16" i="145"/>
  <c r="C76" i="145"/>
  <c r="G17" i="145"/>
  <c r="G18" i="145"/>
  <c r="F78" i="145"/>
  <c r="G19" i="145"/>
  <c r="C79" i="145"/>
  <c r="G20" i="145"/>
  <c r="G21" i="145"/>
  <c r="G22" i="145"/>
  <c r="D82" i="145"/>
  <c r="G23" i="145"/>
  <c r="C83" i="145"/>
  <c r="G24" i="145"/>
  <c r="E84" i="145"/>
  <c r="G25" i="145"/>
  <c r="G49" i="145"/>
  <c r="G26" i="145"/>
  <c r="G50" i="145"/>
  <c r="G27" i="145"/>
  <c r="C87" i="145"/>
  <c r="G28" i="145"/>
  <c r="G29" i="145"/>
  <c r="G54" i="145"/>
  <c r="G30" i="145"/>
  <c r="G31" i="145"/>
  <c r="E91" i="145"/>
  <c r="G32" i="145"/>
  <c r="G57" i="145"/>
  <c r="G33" i="145"/>
  <c r="C42" i="145"/>
  <c r="D42" i="145"/>
  <c r="E42" i="145"/>
  <c r="F42" i="145"/>
  <c r="C43" i="145"/>
  <c r="D43" i="145"/>
  <c r="E43" i="145"/>
  <c r="F43" i="145"/>
  <c r="C44" i="145"/>
  <c r="D44" i="145"/>
  <c r="E44" i="145"/>
  <c r="F44" i="145"/>
  <c r="C45" i="145"/>
  <c r="D45" i="145"/>
  <c r="E45" i="145"/>
  <c r="F45" i="145"/>
  <c r="C46" i="145"/>
  <c r="D46" i="145"/>
  <c r="E46" i="145"/>
  <c r="F46" i="145"/>
  <c r="C47" i="145"/>
  <c r="D47" i="145"/>
  <c r="E47" i="145"/>
  <c r="F47" i="145"/>
  <c r="G47" i="145"/>
  <c r="C48" i="145"/>
  <c r="D48" i="145"/>
  <c r="E48" i="145"/>
  <c r="F48" i="145"/>
  <c r="C49" i="145"/>
  <c r="D49" i="145"/>
  <c r="E49" i="145"/>
  <c r="F49" i="145"/>
  <c r="C50" i="145"/>
  <c r="D50" i="145"/>
  <c r="E50" i="145"/>
  <c r="F50" i="145"/>
  <c r="C51" i="145"/>
  <c r="D51" i="145"/>
  <c r="E51" i="145"/>
  <c r="F51" i="145"/>
  <c r="C52" i="145"/>
  <c r="D52" i="145"/>
  <c r="E52" i="145"/>
  <c r="F52" i="145"/>
  <c r="C53" i="145"/>
  <c r="D53" i="145"/>
  <c r="E53" i="145"/>
  <c r="F53" i="145"/>
  <c r="C54" i="145"/>
  <c r="D54" i="145"/>
  <c r="E54" i="145"/>
  <c r="F54" i="145"/>
  <c r="C55" i="145"/>
  <c r="D55" i="145"/>
  <c r="E55" i="145"/>
  <c r="F55" i="145"/>
  <c r="C56" i="145"/>
  <c r="D56" i="145"/>
  <c r="E56" i="145"/>
  <c r="F56" i="145"/>
  <c r="C57" i="145"/>
  <c r="D57" i="145"/>
  <c r="E57" i="145"/>
  <c r="F57" i="145"/>
  <c r="C58" i="145"/>
  <c r="D58" i="145"/>
  <c r="E58" i="145"/>
  <c r="F58" i="145"/>
  <c r="C59" i="145"/>
  <c r="D59" i="145"/>
  <c r="E59" i="145"/>
  <c r="F59" i="145"/>
  <c r="C60" i="145"/>
  <c r="D60" i="145"/>
  <c r="E60" i="145"/>
  <c r="F60" i="145"/>
  <c r="E67" i="145"/>
  <c r="F67" i="145"/>
  <c r="C69" i="145"/>
  <c r="C70" i="145"/>
  <c r="D70" i="145"/>
  <c r="E70" i="145"/>
  <c r="F70" i="145"/>
  <c r="F71" i="145"/>
  <c r="E73" i="145"/>
  <c r="C74" i="145"/>
  <c r="D74" i="145"/>
  <c r="E74" i="145"/>
  <c r="F74" i="145"/>
  <c r="E75" i="145"/>
  <c r="F75" i="145"/>
  <c r="F76" i="145"/>
  <c r="C77" i="145"/>
  <c r="D77" i="145"/>
  <c r="E77" i="145"/>
  <c r="F77" i="145"/>
  <c r="D78" i="145"/>
  <c r="E78" i="145"/>
  <c r="F80" i="145"/>
  <c r="C81" i="145"/>
  <c r="C82" i="145"/>
  <c r="F82" i="145"/>
  <c r="E83" i="145"/>
  <c r="D85" i="145"/>
  <c r="E85" i="145"/>
  <c r="E86" i="145"/>
  <c r="F87" i="145"/>
  <c r="F88" i="145"/>
  <c r="F89" i="145"/>
  <c r="C90" i="145"/>
  <c r="D90" i="145"/>
  <c r="E90" i="145"/>
  <c r="F90" i="145"/>
  <c r="D91" i="145"/>
  <c r="I7" i="68"/>
  <c r="I6" i="68" s="1"/>
  <c r="J7" i="68"/>
  <c r="J6" i="68" s="1"/>
  <c r="K7" i="68"/>
  <c r="K6" i="68" s="1"/>
  <c r="L7" i="68"/>
  <c r="L6" i="68" s="1"/>
  <c r="M7" i="68"/>
  <c r="M6" i="68" s="1"/>
  <c r="N7" i="68"/>
  <c r="N6" i="68" s="1"/>
  <c r="O7" i="68"/>
  <c r="O6" i="68" s="1"/>
  <c r="P7" i="68"/>
  <c r="P6" i="68" s="1"/>
  <c r="Q7" i="68"/>
  <c r="Q6" i="68" s="1"/>
  <c r="R7" i="68"/>
  <c r="R6" i="68" s="1"/>
  <c r="S7" i="68"/>
  <c r="S6" i="68" s="1"/>
  <c r="T7" i="68"/>
  <c r="T6" i="68" s="1"/>
  <c r="U7" i="68"/>
  <c r="U6" i="68" s="1"/>
  <c r="V7" i="68"/>
  <c r="V6" i="68" s="1"/>
  <c r="W7" i="68"/>
  <c r="W6" i="68" s="1"/>
  <c r="X7" i="68"/>
  <c r="X6" i="68" s="1"/>
  <c r="Y7" i="68"/>
  <c r="Y6" i="68" s="1"/>
  <c r="Z7" i="68"/>
  <c r="Z6" i="68" s="1"/>
  <c r="AA7" i="68"/>
  <c r="AA6" i="68" s="1"/>
  <c r="AC8" i="68"/>
  <c r="AD8" i="68" s="1"/>
  <c r="AH9" i="68"/>
  <c r="AH10" i="68"/>
  <c r="AH11" i="68"/>
  <c r="AH12" i="68"/>
  <c r="AH15" i="68"/>
  <c r="AH16" i="68"/>
  <c r="AH17" i="68"/>
  <c r="AH18" i="68"/>
  <c r="AH19" i="68"/>
  <c r="AH21" i="68"/>
  <c r="AH22" i="68"/>
  <c r="AH24" i="68"/>
  <c r="AH26" i="68"/>
  <c r="AH27" i="68"/>
  <c r="AH28" i="68"/>
  <c r="AC29" i="68"/>
  <c r="AD29" i="68"/>
  <c r="AE29" i="68"/>
  <c r="AH29" i="68"/>
  <c r="AH30" i="68"/>
  <c r="AB32" i="68"/>
  <c r="AB7" i="68"/>
  <c r="AB6" i="68" s="1"/>
  <c r="AH32" i="68"/>
  <c r="AC35" i="68"/>
  <c r="AD35" i="68" s="1"/>
  <c r="AH37" i="68"/>
  <c r="AG39" i="68"/>
  <c r="AH39" i="68" s="1"/>
  <c r="AA40" i="68"/>
  <c r="AH40" i="68"/>
  <c r="AG42" i="68"/>
  <c r="N43" i="144" s="1"/>
  <c r="AH43" i="68"/>
  <c r="R6" i="67"/>
  <c r="U6" i="67"/>
  <c r="V6" i="67"/>
  <c r="Y6" i="67"/>
  <c r="Z6" i="67"/>
  <c r="AA6" i="67"/>
  <c r="AC6" i="67"/>
  <c r="AD6" i="67"/>
  <c r="C7" i="67"/>
  <c r="C6" i="67" s="1"/>
  <c r="D7" i="67"/>
  <c r="D6" i="67" s="1"/>
  <c r="E7" i="67"/>
  <c r="E6" i="67" s="1"/>
  <c r="F7" i="67"/>
  <c r="F6" i="67" s="1"/>
  <c r="G7" i="67"/>
  <c r="G6" i="67" s="1"/>
  <c r="H7" i="67"/>
  <c r="H6" i="67" s="1"/>
  <c r="I7" i="67"/>
  <c r="I6" i="67" s="1"/>
  <c r="J7" i="67"/>
  <c r="J6" i="67" s="1"/>
  <c r="K7" i="67"/>
  <c r="K6" i="67" s="1"/>
  <c r="L7" i="67"/>
  <c r="L6" i="67" s="1"/>
  <c r="M7" i="67"/>
  <c r="M6" i="67" s="1"/>
  <c r="N7" i="67"/>
  <c r="N6" i="67" s="1"/>
  <c r="O7" i="67"/>
  <c r="O6" i="67" s="1"/>
  <c r="P7" i="67"/>
  <c r="P6" i="67" s="1"/>
  <c r="Q7" i="67"/>
  <c r="Q6" i="67" s="1"/>
  <c r="AH8" i="67"/>
  <c r="AH9" i="67"/>
  <c r="AH10" i="67"/>
  <c r="AH12" i="67"/>
  <c r="AH17" i="67"/>
  <c r="AH18" i="67"/>
  <c r="AH19" i="67"/>
  <c r="AH23" i="67"/>
  <c r="AH24" i="67"/>
  <c r="AH26" i="67"/>
  <c r="AH27" i="67"/>
  <c r="AH28" i="67"/>
  <c r="AH30" i="67"/>
  <c r="AH32" i="67"/>
  <c r="AF33" i="67"/>
  <c r="AG33" i="67" s="1"/>
  <c r="AH34" i="67"/>
  <c r="AH35" i="67"/>
  <c r="AH39" i="67"/>
  <c r="AH43" i="67"/>
  <c r="C8" i="66"/>
  <c r="C7" i="66" s="1"/>
  <c r="D8" i="66"/>
  <c r="D7" i="66" s="1"/>
  <c r="E8" i="66"/>
  <c r="E7" i="66" s="1"/>
  <c r="F8" i="66"/>
  <c r="F7" i="66" s="1"/>
  <c r="G8" i="66"/>
  <c r="G7" i="66" s="1"/>
  <c r="H8" i="66"/>
  <c r="H7" i="66" s="1"/>
  <c r="I8" i="66"/>
  <c r="I7" i="66" s="1"/>
  <c r="J8" i="66"/>
  <c r="J7" i="66" s="1"/>
  <c r="K8" i="66"/>
  <c r="K7" i="66" s="1"/>
  <c r="L8" i="66"/>
  <c r="L7" i="66" s="1"/>
  <c r="M8" i="66"/>
  <c r="M7" i="66" s="1"/>
  <c r="N8" i="66"/>
  <c r="N7" i="66" s="1"/>
  <c r="O8" i="66"/>
  <c r="O7" i="66" s="1"/>
  <c r="P8" i="66"/>
  <c r="P7" i="66" s="1"/>
  <c r="Q8" i="66"/>
  <c r="Q7" i="66" s="1"/>
  <c r="R8" i="66"/>
  <c r="R7" i="66" s="1"/>
  <c r="S8" i="66"/>
  <c r="S7" i="66" s="1"/>
  <c r="T8" i="66"/>
  <c r="T7" i="66" s="1"/>
  <c r="U8" i="66"/>
  <c r="U7" i="66" s="1"/>
  <c r="V8" i="66"/>
  <c r="V7" i="66" s="1"/>
  <c r="W8" i="66"/>
  <c r="W7" i="66" s="1"/>
  <c r="X8" i="66"/>
  <c r="X7" i="66" s="1"/>
  <c r="Y8" i="66"/>
  <c r="Y7" i="66" s="1"/>
  <c r="Z8" i="66"/>
  <c r="Z7" i="66" s="1"/>
  <c r="AB8" i="66"/>
  <c r="AB7" i="66" s="1"/>
  <c r="AC8" i="66"/>
  <c r="AC7" i="66" s="1"/>
  <c r="AD8" i="66"/>
  <c r="AD7" i="66" s="1"/>
  <c r="AE8" i="66"/>
  <c r="AE7" i="66" s="1"/>
  <c r="AF8" i="66"/>
  <c r="AF7" i="66" s="1"/>
  <c r="AG8" i="66"/>
  <c r="AG7" i="66" s="1"/>
  <c r="L7" i="144" s="1"/>
  <c r="AA9" i="66"/>
  <c r="AH9" i="66"/>
  <c r="AH10" i="66"/>
  <c r="AH11" i="66"/>
  <c r="AH12" i="66"/>
  <c r="AH13" i="66"/>
  <c r="AH14" i="66"/>
  <c r="AH15" i="66"/>
  <c r="AH16" i="66"/>
  <c r="AH17" i="66"/>
  <c r="AH18" i="66"/>
  <c r="AH19" i="66"/>
  <c r="AH20" i="66"/>
  <c r="C8" i="146"/>
  <c r="C7" i="146" s="1"/>
  <c r="D8" i="146"/>
  <c r="D7" i="146"/>
  <c r="E8" i="146"/>
  <c r="E7" i="146" s="1"/>
  <c r="F8" i="146"/>
  <c r="F7" i="146"/>
  <c r="G8" i="146"/>
  <c r="G7" i="146" s="1"/>
  <c r="H8" i="146"/>
  <c r="H7" i="146"/>
  <c r="I8" i="146"/>
  <c r="I7" i="146" s="1"/>
  <c r="J8" i="146"/>
  <c r="J7" i="146"/>
  <c r="K8" i="146"/>
  <c r="K7" i="146" s="1"/>
  <c r="L8" i="146"/>
  <c r="L7" i="146"/>
  <c r="M8" i="146"/>
  <c r="M7" i="146" s="1"/>
  <c r="N8" i="146"/>
  <c r="N7" i="146"/>
  <c r="O8" i="146"/>
  <c r="O7" i="146" s="1"/>
  <c r="P8" i="146"/>
  <c r="K8" i="144"/>
  <c r="Q9" i="146"/>
  <c r="Q10" i="146"/>
  <c r="Q11" i="146"/>
  <c r="Q12" i="146"/>
  <c r="Q13" i="146"/>
  <c r="Q14" i="146"/>
  <c r="Q15" i="146"/>
  <c r="Q16" i="146"/>
  <c r="Q17" i="146"/>
  <c r="Q18" i="146"/>
  <c r="Q19" i="146"/>
  <c r="Q20" i="146"/>
  <c r="Q21" i="146"/>
  <c r="Q22" i="146"/>
  <c r="Q23" i="146"/>
  <c r="Q24" i="146"/>
  <c r="Q25" i="146"/>
  <c r="Q27" i="146"/>
  <c r="Q28" i="146"/>
  <c r="Q29" i="146"/>
  <c r="Q30" i="146"/>
  <c r="Q31" i="146"/>
  <c r="Q32" i="146"/>
  <c r="Q33" i="146"/>
  <c r="Q34" i="146"/>
  <c r="Q35" i="146"/>
  <c r="Q36" i="146"/>
  <c r="Q43" i="146"/>
  <c r="Q44" i="146"/>
  <c r="C7" i="65"/>
  <c r="D7" i="65"/>
  <c r="E7" i="65"/>
  <c r="F7" i="65"/>
  <c r="G7" i="65"/>
  <c r="H7" i="65"/>
  <c r="I7" i="65"/>
  <c r="J7" i="65"/>
  <c r="K7" i="65"/>
  <c r="L7" i="65"/>
  <c r="M7" i="65"/>
  <c r="N7" i="65"/>
  <c r="O7" i="65"/>
  <c r="P7" i="65"/>
  <c r="Q7" i="65"/>
  <c r="R7" i="65"/>
  <c r="S7" i="65"/>
  <c r="T7" i="65"/>
  <c r="U7" i="65"/>
  <c r="V7" i="65"/>
  <c r="W7" i="65"/>
  <c r="X7" i="65"/>
  <c r="Y7" i="65"/>
  <c r="Z7" i="65"/>
  <c r="C8" i="65"/>
  <c r="D8" i="65"/>
  <c r="E8" i="65"/>
  <c r="F8" i="65"/>
  <c r="G8" i="65"/>
  <c r="H8" i="65"/>
  <c r="I8" i="65"/>
  <c r="J8" i="65"/>
  <c r="K8" i="65"/>
  <c r="L8" i="65"/>
  <c r="M8" i="65"/>
  <c r="N8" i="65"/>
  <c r="O8" i="65"/>
  <c r="P8" i="65"/>
  <c r="Q8" i="65"/>
  <c r="R8" i="65"/>
  <c r="S8" i="65"/>
  <c r="T8" i="65"/>
  <c r="U8" i="65"/>
  <c r="V8" i="65"/>
  <c r="W8" i="65"/>
  <c r="X8" i="65"/>
  <c r="Y8" i="65"/>
  <c r="Z8" i="65"/>
  <c r="AA9" i="65"/>
  <c r="AA10" i="65"/>
  <c r="AA11" i="65"/>
  <c r="AA12" i="65"/>
  <c r="AA13" i="65"/>
  <c r="AA14" i="65"/>
  <c r="AA15" i="65"/>
  <c r="AA16" i="65"/>
  <c r="AA17" i="65"/>
  <c r="AA18" i="65"/>
  <c r="AA19" i="65"/>
  <c r="AA20" i="65"/>
  <c r="AA21" i="65"/>
  <c r="AA22" i="65"/>
  <c r="AA23" i="65"/>
  <c r="AA24" i="65"/>
  <c r="AA25" i="65"/>
  <c r="AA26" i="65"/>
  <c r="AA27" i="65"/>
  <c r="AA28" i="65"/>
  <c r="AA29" i="65"/>
  <c r="AA30" i="65"/>
  <c r="AA31" i="65"/>
  <c r="AA32" i="65"/>
  <c r="AA33" i="65"/>
  <c r="AA34" i="65"/>
  <c r="AA35" i="65"/>
  <c r="AA36" i="65"/>
  <c r="V39" i="65"/>
  <c r="W39" i="65" s="1"/>
  <c r="X39" i="65" s="1"/>
  <c r="Y39" i="65" s="1"/>
  <c r="AA37" i="65"/>
  <c r="AA38" i="65"/>
  <c r="Z40" i="65"/>
  <c r="AA40" i="65" s="1"/>
  <c r="T41" i="65"/>
  <c r="AA41" i="65"/>
  <c r="W42" i="65"/>
  <c r="X42" i="65" s="1"/>
  <c r="AA42" i="65"/>
  <c r="AA43" i="65"/>
  <c r="AA44" i="65"/>
  <c r="H7" i="64"/>
  <c r="I7" i="64"/>
  <c r="J7" i="64"/>
  <c r="K7" i="64"/>
  <c r="L7" i="64"/>
  <c r="M7" i="64"/>
  <c r="N7" i="64"/>
  <c r="O7" i="64"/>
  <c r="P7" i="64"/>
  <c r="Q7" i="64"/>
  <c r="R7" i="64"/>
  <c r="S7" i="64"/>
  <c r="T7" i="64"/>
  <c r="U7" i="64"/>
  <c r="V7" i="64"/>
  <c r="W7" i="64"/>
  <c r="X7" i="64"/>
  <c r="Y7" i="64"/>
  <c r="Z7" i="64"/>
  <c r="AB7" i="64" s="1"/>
  <c r="AC7" i="64"/>
  <c r="H8" i="64"/>
  <c r="I8" i="64"/>
  <c r="J8" i="64"/>
  <c r="K8" i="64"/>
  <c r="L8" i="64"/>
  <c r="M8" i="64"/>
  <c r="N8" i="64"/>
  <c r="O8" i="64"/>
  <c r="P8" i="64"/>
  <c r="Q8" i="64"/>
  <c r="R8" i="64"/>
  <c r="S8" i="64"/>
  <c r="T8" i="64"/>
  <c r="U8" i="64"/>
  <c r="V8" i="64"/>
  <c r="W8" i="64"/>
  <c r="X8" i="64"/>
  <c r="Y8" i="64"/>
  <c r="Z8" i="64"/>
  <c r="AC8" i="64" s="1"/>
  <c r="AB8" i="64"/>
  <c r="H7" i="63"/>
  <c r="I7" i="63"/>
  <c r="J7" i="63"/>
  <c r="K7" i="63"/>
  <c r="L7" i="63"/>
  <c r="M7" i="63"/>
  <c r="N7" i="63"/>
  <c r="O7" i="63"/>
  <c r="P7" i="63"/>
  <c r="Q7" i="63"/>
  <c r="R7" i="63"/>
  <c r="S7" i="63"/>
  <c r="T7" i="63"/>
  <c r="U7" i="63"/>
  <c r="V7" i="63"/>
  <c r="W7" i="63"/>
  <c r="X7" i="63"/>
  <c r="Y7" i="63"/>
  <c r="Z7" i="63"/>
  <c r="AC7" i="63" s="1"/>
  <c r="H8" i="63"/>
  <c r="I8" i="63"/>
  <c r="J8" i="63"/>
  <c r="K8" i="63"/>
  <c r="L8" i="63"/>
  <c r="M8" i="63"/>
  <c r="N8" i="63"/>
  <c r="O8" i="63"/>
  <c r="P8" i="63"/>
  <c r="Q8" i="63"/>
  <c r="R8" i="63"/>
  <c r="S8" i="63"/>
  <c r="T8" i="63"/>
  <c r="U8" i="63"/>
  <c r="V8" i="63"/>
  <c r="W8" i="63"/>
  <c r="X8" i="63"/>
  <c r="Y8" i="63"/>
  <c r="Z8" i="63"/>
  <c r="AC8" i="63" s="1"/>
  <c r="AB9" i="63"/>
  <c r="AC9" i="63"/>
  <c r="AB10" i="63"/>
  <c r="AC10" i="63"/>
  <c r="AB11" i="63"/>
  <c r="AC11" i="63"/>
  <c r="AB12" i="63"/>
  <c r="AC12" i="63"/>
  <c r="AB13" i="63"/>
  <c r="AC13" i="63"/>
  <c r="AB14" i="63"/>
  <c r="AC14" i="63"/>
  <c r="AB15" i="63"/>
  <c r="AC15" i="63"/>
  <c r="AB16" i="63"/>
  <c r="AC16" i="63"/>
  <c r="AB17" i="63"/>
  <c r="AC17" i="63"/>
  <c r="AB18" i="63"/>
  <c r="AC18" i="63"/>
  <c r="AB19" i="63"/>
  <c r="AC19" i="63"/>
  <c r="AB20" i="63"/>
  <c r="AC20" i="63"/>
  <c r="AB21" i="63"/>
  <c r="AC21" i="63"/>
  <c r="AB22" i="63"/>
  <c r="AC22" i="63"/>
  <c r="AB23" i="63"/>
  <c r="AC23" i="63"/>
  <c r="AB24" i="63"/>
  <c r="AC24" i="63"/>
  <c r="AB25" i="63"/>
  <c r="AC25" i="63"/>
  <c r="AB26" i="63"/>
  <c r="AC26" i="63"/>
  <c r="AB27" i="63"/>
  <c r="AC27" i="63"/>
  <c r="AB28" i="63"/>
  <c r="AC28" i="63"/>
  <c r="AB29" i="63"/>
  <c r="AC29" i="63"/>
  <c r="AB30" i="63"/>
  <c r="AC30" i="63"/>
  <c r="AB31" i="63"/>
  <c r="AC31" i="63"/>
  <c r="AB32" i="63"/>
  <c r="AC32" i="63"/>
  <c r="AB33" i="63"/>
  <c r="AC33" i="63"/>
  <c r="AB34" i="63"/>
  <c r="AC34" i="63"/>
  <c r="AB35" i="63"/>
  <c r="AC35" i="63"/>
  <c r="AB36" i="63"/>
  <c r="AC36" i="63"/>
  <c r="AB37" i="63"/>
  <c r="AC37" i="63"/>
  <c r="AB38" i="63"/>
  <c r="AC38" i="63"/>
  <c r="W41" i="63"/>
  <c r="AB41" i="63"/>
  <c r="AC41" i="63"/>
  <c r="V42" i="63"/>
  <c r="W42" i="63"/>
  <c r="AB43" i="63"/>
  <c r="AC43" i="63"/>
  <c r="AB44" i="63"/>
  <c r="AC44" i="63"/>
  <c r="C34" i="60"/>
  <c r="D61" i="60"/>
  <c r="C53" i="60"/>
  <c r="F57" i="60"/>
  <c r="I20" i="60"/>
  <c r="H55" i="60"/>
  <c r="C66" i="60"/>
  <c r="F49" i="60"/>
  <c r="D53" i="60"/>
  <c r="E61" i="60"/>
  <c r="D66" i="60"/>
  <c r="F65" i="60"/>
  <c r="D43" i="60"/>
  <c r="I34" i="60"/>
  <c r="C65" i="60"/>
  <c r="C57" i="60"/>
  <c r="C49" i="60"/>
  <c r="D65" i="60"/>
  <c r="D57" i="60"/>
  <c r="D49" i="60"/>
  <c r="E65" i="60"/>
  <c r="E57" i="60"/>
  <c r="E49" i="60"/>
  <c r="H65" i="60"/>
  <c r="D47" i="60"/>
  <c r="D63" i="60"/>
  <c r="D59" i="60"/>
  <c r="C46" i="60"/>
  <c r="D46" i="60"/>
  <c r="E62" i="60"/>
  <c r="E46" i="60"/>
  <c r="F45" i="60"/>
  <c r="H62" i="60"/>
  <c r="H46" i="60"/>
  <c r="D51" i="60"/>
  <c r="G43" i="60"/>
  <c r="G63" i="60"/>
  <c r="G55" i="60"/>
  <c r="G51" i="60"/>
  <c r="I32" i="60"/>
  <c r="F43" i="60"/>
  <c r="E56" i="60"/>
  <c r="E52" i="60"/>
  <c r="F63" i="60"/>
  <c r="F59" i="60"/>
  <c r="F55" i="60"/>
  <c r="F51" i="60"/>
  <c r="G58" i="60"/>
  <c r="G46" i="60"/>
  <c r="H61" i="60"/>
  <c r="H57" i="60"/>
  <c r="H49" i="60"/>
  <c r="H45" i="60"/>
  <c r="D32" i="60"/>
  <c r="C60" i="60"/>
  <c r="E43" i="60"/>
  <c r="D64" i="60"/>
  <c r="D52" i="60"/>
  <c r="D48" i="60"/>
  <c r="E63" i="60"/>
  <c r="E59" i="60"/>
  <c r="E55" i="60"/>
  <c r="E51" i="60"/>
  <c r="H64" i="60"/>
  <c r="H60" i="60"/>
  <c r="G47" i="60"/>
  <c r="D33" i="60"/>
  <c r="C43" i="60"/>
  <c r="C63" i="60"/>
  <c r="C59" i="60"/>
  <c r="C55" i="60"/>
  <c r="C51" i="60"/>
  <c r="C47" i="60"/>
  <c r="P7" i="146"/>
  <c r="K7" i="144" s="1"/>
  <c r="AA8" i="65"/>
  <c r="D55" i="60"/>
  <c r="AB42" i="63"/>
  <c r="D56" i="60"/>
  <c r="E48" i="60"/>
  <c r="E64" i="60"/>
  <c r="F53" i="60"/>
  <c r="F56" i="60"/>
  <c r="H66" i="60"/>
  <c r="C45" i="60"/>
  <c r="E53" i="60"/>
  <c r="C64" i="60"/>
  <c r="F61" i="60"/>
  <c r="E45" i="60"/>
  <c r="G59" i="145"/>
  <c r="E88" i="145"/>
  <c r="E80" i="145"/>
  <c r="D88" i="145"/>
  <c r="D83" i="145"/>
  <c r="D80" i="145"/>
  <c r="D72" i="145"/>
  <c r="D67" i="145"/>
  <c r="F91" i="145"/>
  <c r="C88" i="145"/>
  <c r="C84" i="145"/>
  <c r="C80" i="145"/>
  <c r="E93" i="145"/>
  <c r="C93" i="145"/>
  <c r="F93" i="145"/>
  <c r="D93" i="145"/>
  <c r="C91" i="145"/>
  <c r="G55" i="145"/>
  <c r="G56" i="145"/>
  <c r="G44" i="145"/>
  <c r="E68" i="145"/>
  <c r="E72" i="145"/>
  <c r="C86" i="145"/>
  <c r="C85" i="145"/>
  <c r="E82" i="145"/>
  <c r="C78" i="145"/>
  <c r="E69" i="145"/>
  <c r="G42" i="145"/>
  <c r="G46" i="145"/>
  <c r="D86" i="145"/>
  <c r="F69" i="145"/>
  <c r="F92" i="145"/>
  <c r="G58" i="145"/>
  <c r="F86" i="145"/>
  <c r="F85" i="145"/>
  <c r="F83" i="145"/>
  <c r="C92" i="145"/>
  <c r="D68" i="145"/>
  <c r="D84" i="145"/>
  <c r="E89" i="145"/>
  <c r="E87" i="145"/>
  <c r="F81" i="145"/>
  <c r="D73" i="145"/>
  <c r="E71" i="145"/>
  <c r="G60" i="145"/>
  <c r="G48" i="145"/>
  <c r="G43" i="145"/>
  <c r="G45" i="145"/>
  <c r="E92" i="145"/>
  <c r="D76" i="145"/>
  <c r="E76" i="145"/>
  <c r="D92" i="145"/>
  <c r="C89" i="145"/>
  <c r="G53" i="145"/>
  <c r="D71" i="145"/>
  <c r="D79" i="145"/>
  <c r="D87" i="145"/>
  <c r="D89" i="145"/>
  <c r="F84" i="145"/>
  <c r="E81" i="145"/>
  <c r="F79" i="145"/>
  <c r="C73" i="145"/>
  <c r="F68" i="145"/>
  <c r="G52" i="145"/>
  <c r="D81" i="145"/>
  <c r="E79" i="145"/>
  <c r="G51" i="145"/>
  <c r="Z39" i="65" l="1"/>
  <c r="AA39" i="65" s="1"/>
  <c r="AA7" i="65"/>
  <c r="O16" i="144"/>
  <c r="F16" i="144" s="1"/>
  <c r="AB7" i="63"/>
  <c r="O44" i="144"/>
  <c r="D44" i="144" s="1"/>
  <c r="Q8" i="146"/>
  <c r="O43" i="144"/>
  <c r="F43" i="144" s="1"/>
  <c r="O12" i="144"/>
  <c r="C12" i="144" s="1"/>
  <c r="AB8" i="63"/>
  <c r="C44" i="60"/>
  <c r="G62" i="60"/>
  <c r="E66" i="60"/>
  <c r="I33" i="60"/>
  <c r="H48" i="60"/>
  <c r="E47" i="60"/>
  <c r="D60" i="60"/>
  <c r="C52" i="60"/>
  <c r="E60" i="60"/>
  <c r="D54" i="60"/>
  <c r="C62" i="60"/>
  <c r="F52" i="60"/>
  <c r="F48" i="60"/>
  <c r="C58" i="60"/>
  <c r="E50" i="60"/>
  <c r="I36" i="60"/>
  <c r="F58" i="60"/>
  <c r="F54" i="60"/>
  <c r="F50" i="60"/>
  <c r="H50" i="60"/>
  <c r="H44" i="60"/>
  <c r="C54" i="60"/>
  <c r="F44" i="60"/>
  <c r="D58" i="60"/>
  <c r="G50" i="60"/>
  <c r="D44" i="60"/>
  <c r="C56" i="60"/>
  <c r="G54" i="60"/>
  <c r="E44" i="60"/>
  <c r="E54" i="60"/>
  <c r="D62" i="60"/>
  <c r="I35" i="60"/>
  <c r="H58" i="60"/>
  <c r="C50" i="60"/>
  <c r="AA8" i="66"/>
  <c r="AA7" i="66" s="1"/>
  <c r="O31" i="144"/>
  <c r="D31" i="144" s="1"/>
  <c r="O19" i="144"/>
  <c r="E19" i="144" s="1"/>
  <c r="O15" i="144"/>
  <c r="C15" i="144" s="1"/>
  <c r="AH8" i="66"/>
  <c r="L8" i="144"/>
  <c r="M34" i="144"/>
  <c r="AG7" i="67"/>
  <c r="AH33" i="67"/>
  <c r="O13" i="144"/>
  <c r="C13" i="144" s="1"/>
  <c r="O30" i="144"/>
  <c r="C30" i="144" s="1"/>
  <c r="O22" i="144"/>
  <c r="F22" i="144" s="1"/>
  <c r="O18" i="144"/>
  <c r="D18" i="144" s="1"/>
  <c r="O14" i="144"/>
  <c r="C14" i="144" s="1"/>
  <c r="O10" i="144"/>
  <c r="D10" i="144" s="1"/>
  <c r="AF7" i="67"/>
  <c r="AF6" i="67" s="1"/>
  <c r="AH42" i="68"/>
  <c r="AE35" i="68"/>
  <c r="AF35" i="68" s="1"/>
  <c r="AF7" i="68" s="1"/>
  <c r="AF6" i="68" s="1"/>
  <c r="O33" i="144"/>
  <c r="D33" i="144" s="1"/>
  <c r="O29" i="144"/>
  <c r="D29" i="144" s="1"/>
  <c r="O25" i="144"/>
  <c r="E25" i="144" s="1"/>
  <c r="O21" i="144"/>
  <c r="C21" i="144" s="1"/>
  <c r="O26" i="144"/>
  <c r="AG8" i="68"/>
  <c r="AD7" i="68"/>
  <c r="AD6" i="68" s="1"/>
  <c r="C44" i="144"/>
  <c r="AE8" i="68"/>
  <c r="AE7" i="68" s="1"/>
  <c r="AE6" i="68" s="1"/>
  <c r="O35" i="144"/>
  <c r="E35" i="144" s="1"/>
  <c r="O23" i="144"/>
  <c r="C23" i="144" s="1"/>
  <c r="AC7" i="68"/>
  <c r="AC6" i="68" s="1"/>
  <c r="O11" i="144"/>
  <c r="E11" i="144" s="1"/>
  <c r="O17" i="144"/>
  <c r="C17" i="144" s="1"/>
  <c r="AH7" i="66"/>
  <c r="O32" i="144"/>
  <c r="D32" i="144" s="1"/>
  <c r="E31" i="144"/>
  <c r="O27" i="144"/>
  <c r="C27" i="144" s="1"/>
  <c r="E44" i="144"/>
  <c r="O34" i="144"/>
  <c r="E34" i="144" s="1"/>
  <c r="F44" i="144"/>
  <c r="O42" i="144"/>
  <c r="D16" i="144"/>
  <c r="O28" i="144"/>
  <c r="Q7" i="146"/>
  <c r="O20" i="144"/>
  <c r="O24" i="144"/>
  <c r="C24" i="144" s="1"/>
  <c r="C16" i="144" l="1"/>
  <c r="D12" i="144"/>
  <c r="D43" i="144"/>
  <c r="C43" i="144"/>
  <c r="F12" i="144"/>
  <c r="C22" i="144"/>
  <c r="D22" i="144"/>
  <c r="F29" i="144"/>
  <c r="D15" i="144"/>
  <c r="F23" i="144"/>
  <c r="F31" i="144"/>
  <c r="F19" i="144"/>
  <c r="C11" i="144"/>
  <c r="F10" i="144"/>
  <c r="D25" i="144"/>
  <c r="C19" i="144"/>
  <c r="D19" i="144"/>
  <c r="E10" i="144"/>
  <c r="C33" i="144"/>
  <c r="C10" i="144"/>
  <c r="C31" i="144"/>
  <c r="C25" i="144"/>
  <c r="E18" i="144"/>
  <c r="E27" i="144"/>
  <c r="F25" i="144"/>
  <c r="F18" i="144"/>
  <c r="E33" i="144"/>
  <c r="F30" i="144"/>
  <c r="F33" i="144"/>
  <c r="C18" i="144"/>
  <c r="D30" i="144"/>
  <c r="E23" i="144"/>
  <c r="D23" i="144"/>
  <c r="F13" i="144"/>
  <c r="C34" i="144"/>
  <c r="D13" i="144"/>
  <c r="D11" i="144"/>
  <c r="E13" i="144"/>
  <c r="D14" i="144"/>
  <c r="AH7" i="67"/>
  <c r="AG6" i="67"/>
  <c r="M8" i="144"/>
  <c r="F11" i="144"/>
  <c r="C29" i="144"/>
  <c r="C35" i="144"/>
  <c r="E29" i="144"/>
  <c r="D17" i="144"/>
  <c r="AG35" i="68"/>
  <c r="AG7" i="68" s="1"/>
  <c r="N9" i="144"/>
  <c r="O9" i="144" s="1"/>
  <c r="E9" i="144" s="1"/>
  <c r="AH8" i="68"/>
  <c r="D34" i="144"/>
  <c r="F27" i="144"/>
  <c r="D35" i="144"/>
  <c r="F17" i="144"/>
  <c r="D27" i="144"/>
  <c r="C32" i="144"/>
  <c r="F20" i="144"/>
  <c r="E20" i="144"/>
  <c r="D20" i="144"/>
  <c r="E28" i="144"/>
  <c r="D28" i="144"/>
  <c r="F28" i="144"/>
  <c r="C20" i="144"/>
  <c r="E24" i="144"/>
  <c r="D24" i="144"/>
  <c r="C28" i="144"/>
  <c r="N36" i="144" l="1"/>
  <c r="AH35" i="68"/>
  <c r="AH6" i="67"/>
  <c r="M7" i="144"/>
  <c r="C9" i="144"/>
  <c r="F9" i="144"/>
  <c r="D9" i="144"/>
  <c r="AH7" i="68"/>
  <c r="AG6" i="68"/>
  <c r="N8" i="144"/>
  <c r="O36" i="144"/>
  <c r="F36" i="144" s="1"/>
  <c r="N7" i="144" l="1"/>
  <c r="AH6" i="68"/>
  <c r="C36" i="144"/>
  <c r="D36" i="144"/>
  <c r="E36" i="144"/>
  <c r="O8" i="144"/>
  <c r="F8" i="144" s="1"/>
  <c r="O7" i="144" l="1"/>
  <c r="F7" i="144" s="1"/>
  <c r="E8" i="144"/>
  <c r="D8" i="144"/>
  <c r="C8" i="144"/>
  <c r="C7" i="144" l="1"/>
  <c r="D7" i="144"/>
  <c r="E7" i="144"/>
</calcChain>
</file>

<file path=xl/sharedStrings.xml><?xml version="1.0" encoding="utf-8"?>
<sst xmlns="http://schemas.openxmlformats.org/spreadsheetml/2006/main" count="1944" uniqueCount="157">
  <si>
    <t xml:space="preserve">      </t>
  </si>
  <si>
    <t xml:space="preserve">     </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</si>
  <si>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</si>
  <si>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</si>
  <si>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</si>
  <si>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</si>
  <si>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</si>
  <si>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</si>
  <si>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</si>
  <si>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</si>
  <si>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</si>
  <si>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</si>
  <si>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</si>
  <si>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</si>
  <si>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</si>
  <si>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</si>
  <si>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</si>
  <si>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</si>
  <si>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</si>
  <si>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</si>
  <si>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</si>
  <si>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</si>
  <si>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</si>
  <si>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</si>
  <si>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</si>
  <si>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</si>
  <si>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</si>
  <si>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</si>
  <si>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</si>
  <si>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</si>
  <si>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</si>
  <si>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</si>
  <si>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</si>
  <si>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</si>
  <si>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</si>
  <si>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</si>
  <si>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</si>
  <si>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Inland Waterways</t>
  </si>
  <si>
    <t>Railways</t>
  </si>
  <si>
    <t>Sea</t>
  </si>
  <si>
    <t>Road</t>
  </si>
  <si>
    <t>Rail</t>
  </si>
  <si>
    <t>Air</t>
  </si>
  <si>
    <t>Total</t>
  </si>
  <si>
    <t>Pipelines</t>
  </si>
  <si>
    <t>Inland Waterway</t>
  </si>
  <si>
    <t>Inland Water- ways</t>
  </si>
  <si>
    <t>per year</t>
  </si>
  <si>
    <t>Modal split</t>
  </si>
  <si>
    <t>(%)</t>
  </si>
  <si>
    <t xml:space="preserve">Railways </t>
  </si>
  <si>
    <t xml:space="preserve">Pipelines (Oil)  </t>
  </si>
  <si>
    <t>EUROPEAN UNION</t>
  </si>
  <si>
    <t>European Commission</t>
  </si>
  <si>
    <r>
      <t xml:space="preserve">in co-operation with </t>
    </r>
    <r>
      <rPr>
        <b/>
        <sz val="10"/>
        <rFont val="Arial"/>
        <family val="2"/>
      </rPr>
      <t>Eurostat</t>
    </r>
  </si>
  <si>
    <t>Performance of Freight Transport</t>
  </si>
  <si>
    <t>expressed in tonne-kilometres</t>
  </si>
  <si>
    <t>USA</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</si>
  <si>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</si>
  <si>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</si>
  <si>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</si>
  <si>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</si>
  <si>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</si>
  <si>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</si>
  <si>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</si>
  <si>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</si>
  <si>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</si>
  <si>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</si>
  <si>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r>
      <t>CH</t>
    </r>
    <r>
      <rPr>
        <b/>
        <vertAlign val="subscript"/>
        <sz val="8"/>
        <rFont val="Arial"/>
        <family val="2"/>
      </rPr>
      <t>(1)</t>
    </r>
  </si>
  <si>
    <t>Pipe- lines</t>
  </si>
  <si>
    <t>(*) (including cross-trade and cabotage)</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</si>
  <si>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</si>
  <si>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</si>
  <si>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</si>
  <si>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</si>
  <si>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</si>
  <si>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</si>
  <si>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</si>
  <si>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</si>
  <si>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</si>
  <si>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</si>
  <si>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</si>
  <si>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</si>
  <si>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</si>
  <si>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</si>
  <si>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</si>
  <si>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</si>
  <si>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</si>
  <si>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</si>
  <si>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</si>
  <si>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</si>
  <si>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</si>
  <si>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</si>
  <si>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</si>
  <si>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</si>
  <si>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</si>
  <si>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</si>
  <si>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</si>
  <si>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billion tonne-kilometres</t>
  </si>
  <si>
    <t>EU-28</t>
  </si>
  <si>
    <t>AL</t>
  </si>
  <si>
    <r>
      <t>IS</t>
    </r>
    <r>
      <rPr>
        <b/>
        <vertAlign val="subscript"/>
        <sz val="8"/>
        <rFont val="Arial"/>
        <family val="2"/>
      </rPr>
      <t>(1)</t>
    </r>
  </si>
  <si>
    <t xml:space="preserve">Data are not harmonised and therefore not fully comparable; in most countries, only pipelines longer than 40km are included. Data refers to oil pipelines. </t>
  </si>
  <si>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</si>
  <si>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</si>
  <si>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Eurostat</t>
    </r>
  </si>
  <si>
    <r>
      <t xml:space="preserve">EU aggregates do not include road freight transport for Malta (negligible, exempt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</si>
  <si>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r>
      <t>Sea</t>
    </r>
    <r>
      <rPr>
        <b/>
        <vertAlign val="superscript"/>
        <sz val="8"/>
        <rFont val="Arial"/>
        <family val="2"/>
      </rPr>
      <t>(1)</t>
    </r>
  </si>
  <si>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</si>
  <si>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</si>
  <si>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</si>
  <si>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</si>
  <si>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rPr>
        <b/>
        <sz val="8"/>
        <rFont val="Arial"/>
        <family val="2"/>
      </rPr>
      <t>CS:</t>
    </r>
    <r>
      <rPr>
        <sz val="8"/>
        <rFont val="Arial"/>
        <family val="2"/>
      </rPr>
      <t xml:space="preserve"> 1970: 2.43,  1980: 3.59,  1990: 4.42, 1991: 3.89, 1992: 2.98  </t>
    </r>
  </si>
  <si>
    <r>
      <t xml:space="preserve">DK: </t>
    </r>
    <r>
      <rPr>
        <sz val="8"/>
        <rFont val="Arial"/>
        <family val="2"/>
      </rPr>
      <t xml:space="preserve">crude oil including water. </t>
    </r>
  </si>
  <si>
    <t>2000 - 2010`</t>
  </si>
  <si>
    <t>EU-27</t>
  </si>
  <si>
    <t>change 17/18</t>
  </si>
  <si>
    <t xml:space="preserve">                                                                                                                      </t>
  </si>
  <si>
    <t xml:space="preserve">TOTAL </t>
  </si>
  <si>
    <r>
      <t>Source</t>
    </r>
    <r>
      <rPr>
        <sz val="8"/>
        <rFont val="Arial"/>
        <family val="2"/>
      </rPr>
      <t>:</t>
    </r>
    <r>
      <rPr>
        <b/>
        <sz val="8"/>
        <rFont val="Arial"/>
        <family val="2"/>
      </rPr>
      <t xml:space="preserve">  </t>
    </r>
    <r>
      <rPr>
        <sz val="8"/>
        <rFont val="Arial"/>
        <family val="2"/>
      </rPr>
      <t>Eurostat,</t>
    </r>
    <r>
      <rPr>
        <b/>
        <sz val="8"/>
        <rFont val="Arial"/>
        <family val="2"/>
      </rPr>
      <t xml:space="preserve"> </t>
    </r>
    <r>
      <rPr>
        <sz val="8"/>
        <rFont val="Arial"/>
        <family val="2"/>
      </rPr>
      <t xml:space="preserve">National statistics, International Transport Forum, estimates </t>
    </r>
    <r>
      <rPr>
        <i/>
        <sz val="8"/>
        <rFont val="Arial"/>
        <family val="2"/>
      </rPr>
      <t>(in italics)</t>
    </r>
  </si>
  <si>
    <t>Table 2.2.1 EU-27</t>
  </si>
  <si>
    <t>1995 -2018</t>
  </si>
  <si>
    <t>2000 -2018</t>
  </si>
  <si>
    <t>2017-2018</t>
  </si>
  <si>
    <r>
      <t xml:space="preserve">Source: </t>
    </r>
    <r>
      <rPr>
        <sz val="8"/>
        <rFont val="Arial"/>
        <family val="2"/>
      </rPr>
      <t>tables 2.2.4c to 2.2.7, estimates (</t>
    </r>
    <r>
      <rPr>
        <i/>
        <sz val="8"/>
        <rFont val="Arial"/>
        <family val="2"/>
      </rPr>
      <t>in italics</t>
    </r>
    <r>
      <rPr>
        <sz val="8"/>
        <rFont val="Arial"/>
        <family val="2"/>
      </rPr>
      <t>)</t>
    </r>
  </si>
  <si>
    <r>
      <t>Road:</t>
    </r>
    <r>
      <rPr>
        <sz val="8"/>
        <rFont val="Arial"/>
        <family val="2"/>
      </rPr>
      <t xml:space="preserve"> national and international haulage by vehicles registered in the EU-27 until 2004, from 2005 onwards the activity performed by European drivers within the EU territory.</t>
    </r>
  </si>
  <si>
    <r>
      <t>Air</t>
    </r>
    <r>
      <rPr>
        <sz val="8"/>
        <rFont val="Arial"/>
        <family val="2"/>
      </rPr>
      <t xml:space="preserve"> and</t>
    </r>
    <r>
      <rPr>
        <b/>
        <sz val="8"/>
        <rFont val="Arial"/>
        <family val="2"/>
      </rPr>
      <t xml:space="preserve"> Sea:</t>
    </r>
    <r>
      <rPr>
        <sz val="8"/>
        <rFont val="Arial"/>
        <family val="2"/>
      </rPr>
      <t xml:space="preserve"> only domestic and intra-EU-27 transport; estimates for air and for sea based on Eurostat data. The time series for maritime activity from 1995 to 2004 and for aviation activity from 1995 to 2007 have been recalibrated by DG MOVE in line with the new EU-27  figures to avoid break in series. </t>
    </r>
  </si>
  <si>
    <r>
      <t>Source</t>
    </r>
    <r>
      <rPr>
        <sz val="8"/>
        <rFont val="Arial"/>
        <family val="2"/>
      </rPr>
      <t>: Eurostat, International Transport Forum, national statistics (MK), estimates</t>
    </r>
    <r>
      <rPr>
        <i/>
        <sz val="8"/>
        <rFont val="Arial"/>
        <family val="2"/>
      </rPr>
      <t xml:space="preserve"> (in italics)</t>
    </r>
  </si>
  <si>
    <r>
      <t xml:space="preserve">(1): </t>
    </r>
    <r>
      <rPr>
        <b/>
        <sz val="8"/>
        <rFont val="Arial"/>
        <family val="2"/>
      </rPr>
      <t>TR, IS</t>
    </r>
    <r>
      <rPr>
        <sz val="8"/>
        <rFont val="Arial"/>
        <family val="2"/>
      </rPr>
      <t xml:space="preserve">: national transport only. </t>
    </r>
    <r>
      <rPr>
        <b/>
        <sz val="8"/>
        <rFont val="Arial"/>
        <family val="2"/>
      </rPr>
      <t/>
    </r>
  </si>
  <si>
    <r>
      <t xml:space="preserve">(2):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</si>
  <si>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t>
    </r>
    <r>
      <rPr>
        <b/>
        <sz val="8"/>
        <rFont val="Arial"/>
        <family val="2"/>
      </rPr>
      <t xml:space="preserve">  </t>
    </r>
    <r>
      <rPr>
        <sz val="8"/>
        <rFont val="Arial"/>
        <family val="2"/>
      </rPr>
      <t xml:space="preserve">Eurostat, national statistics (RS),estimates </t>
    </r>
    <r>
      <rPr>
        <i/>
        <sz val="8"/>
        <rFont val="Arial"/>
        <family val="2"/>
      </rPr>
      <t>(in italics)</t>
    </r>
  </si>
  <si>
    <t>2011-2018</t>
  </si>
  <si>
    <t>Performance by mode (graph)</t>
  </si>
  <si>
    <t>Performance by mode and year</t>
  </si>
  <si>
    <t>Modal split of freight transport on land by country</t>
  </si>
  <si>
    <t>Road: National haulage</t>
  </si>
  <si>
    <t>Road: International haulage</t>
  </si>
  <si>
    <t>USA: Performance by mode of transport - Freight</t>
  </si>
  <si>
    <t>EU-27 performance by mode</t>
  </si>
  <si>
    <t>Freight transport</t>
  </si>
  <si>
    <t>Haulage by vehicles registered in the reporting country</t>
  </si>
  <si>
    <t>Road: National and international haulage</t>
  </si>
  <si>
    <t>Road : International haulage (*)</t>
  </si>
  <si>
    <t>Road : National and international haulage (*)</t>
  </si>
  <si>
    <t>Haulage performed within the territory of each country by any vehicle</t>
  </si>
  <si>
    <t>Inland waterways</t>
  </si>
  <si>
    <t>Oil pipelines</t>
  </si>
  <si>
    <t>Performance by mode of transport -  freight</t>
  </si>
  <si>
    <r>
      <t>Source</t>
    </r>
    <r>
      <rPr>
        <sz val="8"/>
        <rFont val="Arial"/>
        <family val="2"/>
      </rPr>
      <t>:</t>
    </r>
    <r>
      <rPr>
        <b/>
        <sz val="8"/>
        <rFont val="Arial"/>
        <family val="2"/>
      </rPr>
      <t xml:space="preserve"> </t>
    </r>
    <r>
      <rPr>
        <sz val="8"/>
        <rFont val="Arial"/>
        <family val="2"/>
      </rPr>
      <t xml:space="preserve"> Eurostat, International Transport Forum (AL, IT,RS), Union Internationale des Chemins de Fer (BE since 2016); estimates </t>
    </r>
    <r>
      <rPr>
        <i/>
        <sz val="8"/>
        <rFont val="Arial"/>
        <family val="2"/>
      </rPr>
      <t>(in italic)</t>
    </r>
  </si>
  <si>
    <r>
      <t>Source</t>
    </r>
    <r>
      <rPr>
        <sz val="8"/>
        <rFont val="Arial"/>
        <family val="2"/>
      </rPr>
      <t>: Eurostat, UNECE (BE for 2018,ME,MK);International Transport Forum (TR), national statistics (CH - until 2007, MK), estimates</t>
    </r>
    <r>
      <rPr>
        <i/>
        <sz val="8"/>
        <rFont val="Arial"/>
        <family val="2"/>
      </rPr>
      <t xml:space="preserve"> (in italics). </t>
    </r>
    <r>
      <rPr>
        <b/>
        <sz val="8"/>
        <rFont val="Arial"/>
        <family val="2"/>
      </rPr>
      <t/>
    </r>
  </si>
  <si>
    <t>Road : National haulage (*)</t>
  </si>
  <si>
    <t xml:space="preserve">NB: </t>
  </si>
  <si>
    <r>
      <t>NB:</t>
    </r>
    <r>
      <rPr>
        <sz val="8"/>
        <rFont val="Arial"/>
        <family val="2"/>
      </rPr>
      <t xml:space="preserve"> only haulage of heavy goods vehicles (usually &gt;3.5 tonnes load capacity)</t>
    </r>
  </si>
  <si>
    <t>NB:</t>
  </si>
  <si>
    <r>
      <t xml:space="preserve">NB: </t>
    </r>
    <r>
      <rPr>
        <sz val="8"/>
        <rFont val="Arial"/>
        <family val="2"/>
      </rPr>
      <t xml:space="preserve">DE: includes former GDR : 1970=41.5,   1980=56.4,   1990=39.8. CS: 1970: 55.9,  1980: 66.2,  1990: 59.4, 1991: 45.8, 1992: 44.0 </t>
    </r>
  </si>
  <si>
    <r>
      <t xml:space="preserve">NB: </t>
    </r>
    <r>
      <rPr>
        <sz val="8"/>
        <rFont val="Arial"/>
        <family val="2"/>
      </rPr>
      <t xml:space="preserve">time series for road transport revised according to the estimates based on the Freight Analysis Framework (FAF). From the break onwards, the source is the Bureau of Transportation Statistics. </t>
    </r>
  </si>
  <si>
    <r>
      <t>Source</t>
    </r>
    <r>
      <rPr>
        <sz val="8"/>
        <rFont val="Arial"/>
        <family val="2"/>
      </rPr>
      <t>: Eurostat, International Transport Forum (BE for 2018, RS, TR), UNECE (ME), national statistics (MK), estimates</t>
    </r>
    <r>
      <rPr>
        <i/>
        <sz val="8"/>
        <rFont val="Arial"/>
        <family val="2"/>
      </rPr>
      <t xml:space="preserve"> (in italics). </t>
    </r>
    <r>
      <rPr>
        <b/>
        <sz val="8"/>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</si>
</sst>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
    <numFmt numFmtId="165" formatCode="0.0\ \ \ "/>
    <numFmt numFmtId="166" formatCode="0.0\ \ "/>
    <numFmt numFmtId="167" formatCode="0.0%;\-0.0%"/>
    <numFmt numFmtId="168" formatCode="###0.00_)"/>
    <numFmt numFmtId="169" formatCode="0.000"/>
    <numFmt numFmtId="170" formatCode="#\ ##0.0"/>
    <numFmt numFmtId="171" formatCode="#,##0_)"/>
    <numFmt numFmtId="172" formatCode="####################\ ##0.0"/>
    <numFmt numFmtId="173" formatCode="#,##0.0_i"/>
  </numFmts>
  <fonts count="65" x14ac:knownFonts="1">
    <font>
      <sz val="10"/>
      <name val="Arial"/>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10"/>
      <name val="Arial"/>
      <family val="2"/>
    </font>
    <font>
      <b/>
      <sz val="12"/>
      <name val="Arial"/>
      <family val="2"/>
    </font>
    <font>
      <b/>
      <sz val="8"/>
      <name val="Helvetica"/>
      <family val="2"/>
    </font>
    <font>
      <sz val="10"/>
      <name val="Helvetica"/>
      <family val="2"/>
    </font>
    <font>
      <sz val="12"/>
      <name val="Arial"/>
      <family val="2"/>
    </font>
    <font>
      <sz val="8"/>
      <name val="Helvetica"/>
      <family val="2"/>
    </font>
    <font>
      <b/>
      <sz val="10"/>
      <name val="Times"/>
      <family val="1"/>
    </font>
    <font>
      <b/>
      <sz val="7"/>
      <name val="Arial"/>
      <family val="2"/>
    </font>
    <font>
      <b/>
      <vertAlign val="subscript"/>
      <sz val="8"/>
      <name val="Arial"/>
      <family val="2"/>
    </font>
    <font>
      <b/>
      <sz val="8"/>
      <color indexed="9"/>
      <name val="Arial"/>
      <family val="2"/>
    </font>
    <font>
      <sz val="11"/>
      <name val="Arial"/>
      <family val="2"/>
    </font>
    <font>
      <b/>
      <sz val="14"/>
      <name val="Helv"/>
    </font>
    <font>
      <b/>
      <sz val="10"/>
      <name val="Helv"/>
    </font>
    <font>
      <sz val="10"/>
      <name val="Helv"/>
    </font>
    <font>
      <sz val="10"/>
      <name val="Arial"/>
      <family val="2"/>
    </font>
    <font>
      <sz val="12"/>
      <name val="Helv"/>
    </font>
    <font>
      <b/>
      <sz val="12"/>
      <name val="Helv"/>
    </font>
    <font>
      <sz val="9"/>
      <name val="Helv"/>
    </font>
    <font>
      <vertAlign val="superscript"/>
      <sz val="12"/>
      <name val="Helv"/>
    </font>
    <font>
      <b/>
      <sz val="9"/>
      <name val="Helv"/>
    </font>
    <font>
      <sz val="8.5"/>
      <name val="Helv"/>
    </font>
    <font>
      <sz val="8"/>
      <name val="Helv"/>
    </font>
    <font>
      <b/>
      <vertAlign val="superscript"/>
      <sz val="8"/>
      <name val="Arial"/>
      <family val="2"/>
    </font>
    <font>
      <i/>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9"/>
      <color theme="1"/>
      <name val="Arial"/>
      <family val="2"/>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s>
  <fills count="43">
    <fill>
      <patternFill patternType="none"/>
    </fill>
    <fill>
      <patternFill patternType="gray125"/>
    </fill>
    <fill>
      <patternFill patternType="solid">
        <fgColor indexed="22"/>
        <bgColor indexed="9"/>
      </patternFill>
    </fill>
    <fill>
      <patternFill patternType="solid">
        <fgColor indexed="22"/>
        <bgColor indexed="55"/>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CCFFCC"/>
        <bgColor indexed="64"/>
      </patternFill>
    </fill>
  </fills>
  <borders count="53">
    <border>
      <left/>
      <right/>
      <top/>
      <bottom/>
      <diagonal/>
    </border>
    <border>
      <left/>
      <right/>
      <top/>
      <bottom style="thin">
        <color indexed="22"/>
      </bottom>
      <diagonal/>
    </border>
    <border>
      <left/>
      <right/>
      <top/>
      <bottom style="hair">
        <color indexed="64"/>
      </bottom>
      <diagonal/>
    </border>
    <border>
      <left/>
      <right/>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ck">
        <color indexed="64"/>
      </right>
      <top/>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bottom/>
      <diagonal/>
    </border>
    <border>
      <left style="thick">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ck">
        <color indexed="64"/>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style="thin">
        <color indexed="64"/>
      </top>
      <bottom/>
      <diagonal/>
    </border>
    <border>
      <left style="thick">
        <color indexed="64"/>
      </left>
      <right/>
      <top/>
      <bottom style="thin">
        <color indexed="64"/>
      </bottom>
      <diagonal/>
    </border>
    <border>
      <left/>
      <right/>
      <top/>
      <bottom style="thick">
        <color indexed="64"/>
      </bottom>
      <diagonal/>
    </border>
    <border>
      <left/>
      <right style="medium">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8"/>
      </right>
      <top/>
      <bottom/>
      <diagonal/>
    </border>
  </borders>
  <cellStyleXfs count="116">
    <xf numFmtId="0" fontId="0" fillId="0" borderId="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8" fillId="34" borderId="0" applyNumberFormat="0" applyBorder="0" applyAlignment="0" applyProtection="0"/>
    <xf numFmtId="0" fontId="49" fillId="35" borderId="43" applyNumberFormat="0" applyAlignment="0" applyProtection="0"/>
    <xf numFmtId="0" fontId="50" fillId="36" borderId="44" applyNumberFormat="0" applyAlignment="0" applyProtection="0"/>
    <xf numFmtId="0" fontId="37" fillId="0" borderId="0">
      <alignment horizontal="center" vertical="center" wrapText="1"/>
    </xf>
    <xf numFmtId="43" fontId="36" fillId="0" borderId="0" applyFont="0" applyFill="0" applyBorder="0" applyAlignment="0" applyProtection="0"/>
    <xf numFmtId="0" fontId="38" fillId="0" borderId="0">
      <alignment horizontal="left" vertical="center" wrapText="1"/>
    </xf>
    <xf numFmtId="168" fontId="35" fillId="0" borderId="1" applyNumberFormat="0" applyFill="0">
      <alignment horizontal="right"/>
    </xf>
    <xf numFmtId="171" fontId="39" fillId="0" borderId="1">
      <alignment horizontal="right" vertical="center"/>
    </xf>
    <xf numFmtId="49" fontId="40" fillId="0" borderId="1">
      <alignment horizontal="left" vertical="center"/>
    </xf>
    <xf numFmtId="168" fontId="35" fillId="0" borderId="1" applyNumberFormat="0" applyFill="0">
      <alignment horizontal="right"/>
    </xf>
    <xf numFmtId="0" fontId="51" fillId="0" borderId="0" applyNumberFormat="0" applyFill="0" applyBorder="0" applyAlignment="0" applyProtection="0"/>
    <xf numFmtId="0" fontId="52" fillId="37" borderId="0" applyNumberFormat="0" applyBorder="0" applyAlignment="0" applyProtection="0"/>
    <xf numFmtId="0" fontId="53" fillId="0" borderId="45" applyNumberFormat="0" applyFill="0" applyAlignment="0" applyProtection="0"/>
    <xf numFmtId="0" fontId="54" fillId="0" borderId="46" applyNumberFormat="0" applyFill="0" applyAlignment="0" applyProtection="0"/>
    <xf numFmtId="0" fontId="55" fillId="0" borderId="47" applyNumberFormat="0" applyFill="0" applyAlignment="0" applyProtection="0"/>
    <xf numFmtId="0" fontId="55" fillId="0" borderId="0" applyNumberFormat="0" applyFill="0" applyBorder="0" applyAlignment="0" applyProtection="0"/>
    <xf numFmtId="0" fontId="34" fillId="0" borderId="1">
      <alignment horizontal="left"/>
    </xf>
    <xf numFmtId="0" fontId="41" fillId="0" borderId="2">
      <alignment horizontal="right" vertical="center"/>
    </xf>
    <xf numFmtId="0" fontId="42" fillId="0" borderId="1">
      <alignment horizontal="left" vertical="center"/>
    </xf>
    <xf numFmtId="0" fontId="35" fillId="0" borderId="1">
      <alignment horizontal="left" vertical="center"/>
    </xf>
    <xf numFmtId="0" fontId="34" fillId="0" borderId="1">
      <alignment horizontal="left"/>
    </xf>
    <xf numFmtId="0" fontId="34" fillId="2" borderId="0">
      <alignment horizontal="centerContinuous" wrapText="1"/>
    </xf>
    <xf numFmtId="49" fontId="34" fillId="2" borderId="3">
      <alignment horizontal="left" vertical="center"/>
    </xf>
    <xf numFmtId="0" fontId="34" fillId="2" borderId="0">
      <alignment horizontal="centerContinuous" vertical="center" wrapText="1"/>
    </xf>
    <xf numFmtId="0" fontId="56" fillId="38" borderId="43" applyNumberFormat="0" applyAlignment="0" applyProtection="0"/>
    <xf numFmtId="0" fontId="57" fillId="0" borderId="48" applyNumberFormat="0" applyFill="0" applyAlignment="0" applyProtection="0"/>
    <xf numFmtId="0" fontId="58" fillId="39" borderId="0" applyNumberFormat="0" applyBorder="0" applyAlignment="0" applyProtection="0"/>
    <xf numFmtId="0" fontId="32" fillId="0" borderId="0"/>
    <xf numFmtId="0" fontId="32" fillId="0" borderId="0"/>
    <xf numFmtId="0" fontId="32" fillId="0" borderId="0"/>
    <xf numFmtId="0" fontId="32" fillId="0" borderId="0"/>
    <xf numFmtId="0" fontId="1" fillId="0" borderId="0"/>
    <xf numFmtId="0" fontId="46" fillId="0" borderId="0"/>
    <xf numFmtId="0" fontId="46" fillId="40" borderId="49" applyNumberFormat="0" applyFont="0" applyAlignment="0" applyProtection="0"/>
    <xf numFmtId="0" fontId="46" fillId="40" borderId="49" applyNumberFormat="0" applyFont="0" applyAlignment="0" applyProtection="0"/>
    <xf numFmtId="0" fontId="46" fillId="40" borderId="49" applyNumberFormat="0" applyFont="0" applyAlignment="0" applyProtection="0"/>
    <xf numFmtId="173" fontId="59" fillId="0" borderId="0" applyFill="0" applyBorder="0" applyProtection="0">
      <alignment horizontal="right"/>
    </xf>
    <xf numFmtId="0" fontId="60" fillId="35" borderId="50" applyNumberFormat="0" applyAlignment="0" applyProtection="0"/>
    <xf numFmtId="3" fontId="39" fillId="0" borderId="0">
      <alignment horizontal="left" vertical="center"/>
    </xf>
    <xf numFmtId="0" fontId="37" fillId="0" borderId="0">
      <alignment horizontal="left" vertical="center"/>
    </xf>
    <xf numFmtId="0" fontId="43" fillId="0" borderId="0">
      <alignment horizontal="right"/>
    </xf>
    <xf numFmtId="49" fontId="43" fillId="0" borderId="0">
      <alignment horizontal="center"/>
    </xf>
    <xf numFmtId="0" fontId="40" fillId="0" borderId="0">
      <alignment horizontal="right"/>
    </xf>
    <xf numFmtId="0" fontId="43" fillId="0" borderId="0">
      <alignment horizontal="left"/>
    </xf>
    <xf numFmtId="0" fontId="6" fillId="0" borderId="0"/>
    <xf numFmtId="49" fontId="39" fillId="0" borderId="0">
      <alignment horizontal="left" vertical="center"/>
    </xf>
    <xf numFmtId="49" fontId="40" fillId="0" borderId="1">
      <alignment horizontal="left"/>
    </xf>
    <xf numFmtId="168" fontId="39" fillId="0" borderId="0" applyNumberFormat="0">
      <alignment horizontal="right"/>
    </xf>
    <xf numFmtId="0" fontId="41" fillId="3" borderId="0">
      <alignment horizontal="centerContinuous" vertical="center" wrapText="1"/>
    </xf>
    <xf numFmtId="0" fontId="41" fillId="0" borderId="4">
      <alignment horizontal="left" vertical="center"/>
    </xf>
    <xf numFmtId="0" fontId="33" fillId="0" borderId="0">
      <alignment horizontal="left" vertical="top"/>
    </xf>
    <xf numFmtId="0" fontId="61" fillId="0" borderId="0" applyNumberFormat="0" applyFill="0" applyBorder="0" applyAlignment="0" applyProtection="0"/>
    <xf numFmtId="0" fontId="62" fillId="0" borderId="0" applyNumberFormat="0" applyFill="0" applyBorder="0" applyAlignment="0" applyProtection="0"/>
    <xf numFmtId="0" fontId="34" fillId="0" borderId="0">
      <alignment horizontal="left"/>
    </xf>
    <xf numFmtId="0" fontId="38" fillId="0" borderId="0">
      <alignment horizontal="left"/>
    </xf>
    <xf numFmtId="0" fontId="35" fillId="0" borderId="0">
      <alignment horizontal="left"/>
    </xf>
    <xf numFmtId="0" fontId="33" fillId="0" borderId="0">
      <alignment horizontal="left" vertical="top"/>
    </xf>
    <xf numFmtId="0" fontId="38" fillId="0" borderId="0">
      <alignment horizontal="left"/>
    </xf>
    <xf numFmtId="0" fontId="35" fillId="0" borderId="0">
      <alignment horizontal="left"/>
    </xf>
    <xf numFmtId="0" fontId="20" fillId="4" borderId="0" applyNumberFormat="0" applyBorder="0">
      <protection locked="0"/>
    </xf>
    <xf numFmtId="0" fontId="63" fillId="0" borderId="51" applyNumberFormat="0" applyFill="0" applyAlignment="0" applyProtection="0"/>
    <xf numFmtId="0" fontId="21" fillId="5" borderId="0" applyNumberFormat="0" applyBorder="0">
      <protection locked="0"/>
    </xf>
    <xf numFmtId="0" fontId="64" fillId="0" borderId="0" applyNumberFormat="0" applyFill="0" applyBorder="0" applyAlignment="0" applyProtection="0"/>
    <xf numFmtId="49" fontId="39" fillId="0" borderId="1">
      <alignment horizontal="left"/>
    </xf>
    <xf numFmtId="0" fontId="41" fillId="0" borderId="2">
      <alignment horizontal="left"/>
    </xf>
    <xf numFmtId="0" fontId="34" fillId="0" borderId="0">
      <alignment horizontal="left" vertical="center"/>
    </xf>
    <xf numFmtId="49" fontId="43" fillId="0" borderId="1">
      <alignment horizontal="left"/>
    </xf>
  </cellStyleXfs>
  <cellXfs count="608">
    <xf numFmtId="0" fontId="0" fillId="0" borderId="0" xfId="0"/>
    <xf numFmtId="0" fontId="0" fillId="0" borderId="0" xfId="0" applyBorder="1"/>
    <xf numFmtId="0" fontId="4" fillId="0" borderId="0" xfId="0" applyFont="1" applyBorder="1"/>
    <xf numFmtId="0" fontId="4" fillId="0" borderId="0" xfId="0" applyFont="1"/>
    <xf numFmtId="0" fontId="0" fillId="0" borderId="0" xfId="0" applyFill="1" applyBorder="1"/>
    <xf numFmtId="0" fontId="9" fillId="0" borderId="0" xfId="0" applyFont="1"/>
    <xf numFmtId="0" fontId="12" fillId="0" borderId="0" xfId="0" applyFont="1"/>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left"/>
    </xf>
    <xf numFmtId="0" fontId="13" fillId="0" borderId="0" xfId="0" applyFont="1"/>
    <xf numFmtId="0" fontId="8" fillId="0" borderId="0" xfId="0" applyFont="1"/>
    <xf numFmtId="0" fontId="6" fillId="0" borderId="0" xfId="0" applyFont="1"/>
    <xf numFmtId="0" fontId="16" fillId="0" borderId="0" xfId="0" applyFont="1" applyAlignment="1">
      <alignment horizontal="left" vertical="center"/>
    </xf>
    <xf numFmtId="0" fontId="17" fillId="0" borderId="0" xfId="0" applyFont="1"/>
    <xf numFmtId="0" fontId="4" fillId="0" borderId="0" xfId="0" applyFont="1" applyAlignment="1">
      <alignment horizont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7" fillId="0" borderId="0" xfId="0" quotePrefix="1" applyFont="1" applyAlignment="1">
      <alignment horizontal="right" vertical="top"/>
    </xf>
    <xf numFmtId="0" fontId="7" fillId="0" borderId="0" xfId="0" quotePrefix="1" applyFont="1" applyBorder="1" applyAlignment="1">
      <alignment horizontal="right" vertical="top"/>
    </xf>
    <xf numFmtId="0" fontId="6" fillId="0" borderId="0" xfId="0" applyFont="1" applyBorder="1" applyAlignment="1">
      <alignment horizontal="right" vertical="center"/>
    </xf>
    <xf numFmtId="0" fontId="6" fillId="0" borderId="3" xfId="0" applyFont="1" applyBorder="1" applyAlignment="1">
      <alignment horizontal="right" vertical="center"/>
    </xf>
    <xf numFmtId="0" fontId="6" fillId="0" borderId="0" xfId="0" applyFont="1" applyFill="1" applyBorder="1" applyAlignment="1">
      <alignment horizontal="right" vertical="center"/>
    </xf>
    <xf numFmtId="0" fontId="2" fillId="0" borderId="3" xfId="0" applyFont="1" applyBorder="1" applyAlignment="1">
      <alignment horizontal="center" vertical="center"/>
    </xf>
    <xf numFmtId="0" fontId="22" fillId="0" borderId="0" xfId="0" applyFont="1" applyAlignment="1">
      <alignment horizontal="center"/>
    </xf>
    <xf numFmtId="0" fontId="0" fillId="0" borderId="0" xfId="0" applyAlignment="1">
      <alignment vertical="center"/>
    </xf>
    <xf numFmtId="0" fontId="8" fillId="0" borderId="0" xfId="0" applyFont="1" applyBorder="1" applyAlignment="1">
      <alignment horizontal="left" vertical="top" wrapText="1"/>
    </xf>
    <xf numFmtId="0" fontId="8" fillId="0" borderId="0" xfId="0" applyFont="1" applyBorder="1"/>
    <xf numFmtId="0" fontId="0" fillId="0" borderId="0" xfId="0" applyBorder="1" applyAlignment="1">
      <alignment vertical="center"/>
    </xf>
    <xf numFmtId="0" fontId="4" fillId="0" borderId="0" xfId="0" applyFont="1" applyFill="1" applyBorder="1"/>
    <xf numFmtId="0" fontId="11" fillId="0" borderId="0" xfId="0" applyFont="1"/>
    <xf numFmtId="0" fontId="0" fillId="0" borderId="8" xfId="0" applyFill="1" applyBorder="1"/>
    <xf numFmtId="0" fontId="25" fillId="0" borderId="0" xfId="0" applyFont="1" applyAlignment="1">
      <alignment vertical="center"/>
    </xf>
    <xf numFmtId="0" fontId="22" fillId="0" borderId="0" xfId="0" applyFont="1" applyFill="1" applyBorder="1" applyAlignment="1">
      <alignment horizontal="center"/>
    </xf>
    <xf numFmtId="0" fontId="8" fillId="0" borderId="0" xfId="0" applyFont="1" applyFill="1" applyBorder="1" applyAlignment="1">
      <alignment horizontal="center"/>
    </xf>
    <xf numFmtId="0" fontId="12" fillId="0" borderId="0" xfId="0" applyFont="1" applyBorder="1" applyAlignment="1">
      <alignment horizontal="left" vertical="top" wrapText="1"/>
    </xf>
    <xf numFmtId="0" fontId="1" fillId="0" borderId="0" xfId="0" applyFont="1" applyBorder="1" applyAlignment="1">
      <alignment horizontal="left" vertical="top"/>
    </xf>
    <xf numFmtId="0" fontId="26" fillId="0" borderId="0" xfId="0" applyFont="1"/>
    <xf numFmtId="0" fontId="23" fillId="0" borderId="0" xfId="0" quotePrefix="1" applyFont="1" applyBorder="1" applyAlignment="1">
      <alignment horizontal="right" vertical="top"/>
    </xf>
    <xf numFmtId="0" fontId="26" fillId="0" borderId="0" xfId="0" applyFont="1" applyBorder="1" applyAlignment="1">
      <alignment horizontal="left" vertical="top"/>
    </xf>
    <xf numFmtId="0" fontId="23" fillId="0" borderId="0" xfId="0" quotePrefix="1" applyFont="1" applyBorder="1" applyAlignment="1">
      <alignment horizontal="right" vertical="center"/>
    </xf>
    <xf numFmtId="0" fontId="26" fillId="0" borderId="0" xfId="0" applyFont="1" applyBorder="1" applyAlignment="1">
      <alignment vertical="top"/>
    </xf>
    <xf numFmtId="0" fontId="26" fillId="0" borderId="0" xfId="0" applyFont="1" applyAlignment="1">
      <alignment vertical="top" wrapText="1"/>
    </xf>
    <xf numFmtId="0" fontId="6" fillId="0" borderId="3" xfId="0" applyFont="1" applyBorder="1" applyAlignment="1">
      <alignment horizontal="right"/>
    </xf>
    <xf numFmtId="0" fontId="6" fillId="0" borderId="3" xfId="0" applyFont="1" applyBorder="1" applyAlignment="1">
      <alignment horizontal="center"/>
    </xf>
    <xf numFmtId="0" fontId="6" fillId="0" borderId="0" xfId="0" applyFont="1" applyBorder="1" applyAlignment="1">
      <alignment horizontal="right"/>
    </xf>
    <xf numFmtId="9" fontId="4" fillId="0" borderId="0" xfId="0" applyNumberFormat="1" applyFont="1" applyAlignment="1">
      <alignment horizontal="center"/>
    </xf>
    <xf numFmtId="0" fontId="4" fillId="0" borderId="0" xfId="0" applyFont="1" applyAlignment="1">
      <alignment vertical="top"/>
    </xf>
    <xf numFmtId="0" fontId="22" fillId="0" borderId="0" xfId="0" applyFont="1" applyBorder="1" applyAlignment="1">
      <alignment horizontal="center" vertical="center" wrapText="1"/>
    </xf>
    <xf numFmtId="9" fontId="4" fillId="0" borderId="0" xfId="0" applyNumberFormat="1" applyFont="1" applyAlignment="1">
      <alignment horizontal="center" vertical="top"/>
    </xf>
    <xf numFmtId="49" fontId="2" fillId="0" borderId="0" xfId="0" applyNumberFormat="1" applyFont="1" applyAlignment="1">
      <alignment horizontal="left" vertical="center"/>
    </xf>
    <xf numFmtId="165" fontId="2" fillId="0" borderId="0" xfId="0" quotePrefix="1" applyNumberFormat="1" applyFont="1" applyAlignment="1">
      <alignment horizontal="left" vertical="center"/>
    </xf>
    <xf numFmtId="0" fontId="28"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vertical="center"/>
    </xf>
    <xf numFmtId="17" fontId="3" fillId="0" borderId="0" xfId="0" quotePrefix="1" applyNumberFormat="1" applyFont="1" applyBorder="1" applyAlignment="1">
      <alignment horizontal="center" vertical="center" wrapText="1"/>
    </xf>
    <xf numFmtId="0" fontId="8" fillId="6" borderId="6" xfId="0" applyFont="1" applyFill="1" applyBorder="1" applyAlignment="1">
      <alignment horizontal="center" vertical="center"/>
    </xf>
    <xf numFmtId="164" fontId="6" fillId="0" borderId="0" xfId="0" applyNumberFormat="1" applyFont="1" applyFill="1" applyBorder="1" applyAlignment="1">
      <alignment horizontal="right" vertical="center"/>
    </xf>
    <xf numFmtId="164" fontId="6" fillId="0" borderId="3" xfId="0" applyNumberFormat="1" applyFont="1" applyFill="1" applyBorder="1" applyAlignment="1">
      <alignment horizontal="right" vertical="center"/>
    </xf>
    <xf numFmtId="0" fontId="0" fillId="0" borderId="0" xfId="0" applyFill="1"/>
    <xf numFmtId="164" fontId="6" fillId="0" borderId="0" xfId="0" applyNumberFormat="1" applyFont="1" applyFill="1" applyBorder="1" applyAlignment="1">
      <alignment horizontal="center" vertical="center"/>
    </xf>
    <xf numFmtId="0" fontId="23" fillId="0" borderId="0" xfId="0" applyFont="1" applyBorder="1" applyAlignment="1">
      <alignment horizontal="center" vertical="top" wrapText="1"/>
    </xf>
    <xf numFmtId="1" fontId="5" fillId="0" borderId="0" xfId="0" applyNumberFormat="1" applyFont="1" applyFill="1" applyBorder="1" applyAlignment="1">
      <alignment horizontal="center" vertical="center"/>
    </xf>
    <xf numFmtId="0" fontId="8" fillId="0" borderId="0" xfId="0" applyFont="1" applyBorder="1" applyAlignment="1">
      <alignment horizontal="left" wrapText="1"/>
    </xf>
    <xf numFmtId="1" fontId="5" fillId="0" borderId="3" xfId="0" applyNumberFormat="1" applyFont="1" applyFill="1" applyBorder="1" applyAlignment="1">
      <alignment horizontal="center" vertical="center"/>
    </xf>
    <xf numFmtId="0" fontId="11" fillId="0" borderId="0" xfId="0" applyFont="1" applyBorder="1" applyAlignment="1">
      <alignment horizontal="left" vertical="top"/>
    </xf>
    <xf numFmtId="0" fontId="8" fillId="7" borderId="5" xfId="0" applyFont="1" applyFill="1" applyBorder="1" applyAlignment="1">
      <alignment horizontal="center" vertical="top" wrapText="1"/>
    </xf>
    <xf numFmtId="0" fontId="8" fillId="7" borderId="9" xfId="0" applyFont="1" applyFill="1" applyBorder="1" applyAlignment="1">
      <alignment horizontal="center" vertical="top"/>
    </xf>
    <xf numFmtId="0" fontId="4" fillId="7" borderId="7" xfId="0" quotePrefix="1" applyFont="1" applyFill="1" applyBorder="1" applyAlignment="1">
      <alignment horizontal="center" vertical="top" wrapText="1"/>
    </xf>
    <xf numFmtId="0" fontId="8" fillId="7" borderId="7" xfId="0" applyFont="1" applyFill="1" applyBorder="1" applyAlignment="1">
      <alignment horizontal="center" vertical="top"/>
    </xf>
    <xf numFmtId="0" fontId="29" fillId="6" borderId="5" xfId="0" applyFont="1" applyFill="1" applyBorder="1" applyAlignment="1">
      <alignment horizontal="center" vertical="center"/>
    </xf>
    <xf numFmtId="0" fontId="29" fillId="6" borderId="6" xfId="0" applyFont="1" applyFill="1" applyBorder="1" applyAlignment="1">
      <alignment horizontal="center" vertical="center"/>
    </xf>
    <xf numFmtId="0" fontId="8" fillId="0" borderId="0" xfId="0" applyFont="1" applyFill="1" applyBorder="1"/>
    <xf numFmtId="0" fontId="8" fillId="7" borderId="5" xfId="0" applyFont="1" applyFill="1" applyBorder="1" applyAlignment="1">
      <alignment horizontal="center" vertical="top"/>
    </xf>
    <xf numFmtId="0" fontId="8" fillId="7" borderId="10" xfId="0" applyFont="1" applyFill="1" applyBorder="1" applyAlignment="1">
      <alignment horizontal="center" vertical="top"/>
    </xf>
    <xf numFmtId="164" fontId="8" fillId="0" borderId="6" xfId="0" applyNumberFormat="1" applyFont="1" applyFill="1" applyBorder="1" applyAlignment="1">
      <alignment horizontal="center" vertical="center"/>
    </xf>
    <xf numFmtId="0" fontId="29" fillId="6" borderId="6" xfId="0" applyFont="1" applyFill="1" applyBorder="1" applyAlignment="1">
      <alignment horizontal="center" vertical="center" wrapText="1"/>
    </xf>
    <xf numFmtId="0" fontId="29" fillId="6" borderId="7" xfId="0" applyFont="1" applyFill="1" applyBorder="1" applyAlignment="1">
      <alignment horizontal="center" vertical="center" wrapText="1"/>
    </xf>
    <xf numFmtId="0" fontId="8" fillId="7" borderId="9" xfId="0" quotePrefix="1" applyFont="1" applyFill="1" applyBorder="1" applyAlignment="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1" fontId="5" fillId="7" borderId="0" xfId="0" applyNumberFormat="1" applyFont="1" applyFill="1" applyBorder="1" applyAlignment="1">
      <alignment horizontal="center" vertical="center"/>
    </xf>
    <xf numFmtId="1" fontId="5" fillId="7" borderId="3" xfId="0" applyNumberFormat="1" applyFont="1" applyFill="1" applyBorder="1" applyAlignment="1">
      <alignment horizontal="center" vertical="center"/>
    </xf>
    <xf numFmtId="1" fontId="5" fillId="7" borderId="11" xfId="0" applyNumberFormat="1" applyFont="1" applyFill="1" applyBorder="1" applyAlignment="1">
      <alignment horizontal="center"/>
    </xf>
    <xf numFmtId="1" fontId="5" fillId="7" borderId="12" xfId="0" applyNumberFormat="1" applyFont="1" applyFill="1" applyBorder="1" applyAlignment="1">
      <alignment horizontal="center"/>
    </xf>
    <xf numFmtId="1" fontId="5" fillId="7" borderId="13" xfId="0" applyNumberFormat="1"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1" fontId="5" fillId="0" borderId="13" xfId="0" applyNumberFormat="1" applyFont="1" applyFill="1" applyBorder="1" applyAlignment="1">
      <alignment horizontal="center" vertical="center"/>
    </xf>
    <xf numFmtId="4" fontId="0" fillId="0" borderId="0" xfId="0" applyNumberFormat="1"/>
    <xf numFmtId="0" fontId="6" fillId="0" borderId="0" xfId="0" applyFont="1" applyAlignment="1">
      <alignment vertical="top"/>
    </xf>
    <xf numFmtId="0" fontId="8" fillId="0" borderId="0" xfId="0" applyFont="1" applyAlignment="1">
      <alignment vertical="top"/>
    </xf>
    <xf numFmtId="164" fontId="6" fillId="0" borderId="12" xfId="0" applyNumberFormat="1" applyFont="1" applyFill="1" applyBorder="1" applyAlignment="1">
      <alignment horizontal="center" vertical="center"/>
    </xf>
    <xf numFmtId="2" fontId="6" fillId="0" borderId="6" xfId="0" applyNumberFormat="1" applyFont="1" applyFill="1" applyBorder="1" applyAlignment="1">
      <alignment horizontal="right" vertical="center"/>
    </xf>
    <xf numFmtId="2" fontId="6" fillId="0" borderId="6" xfId="0" applyNumberFormat="1" applyFont="1" applyBorder="1" applyAlignment="1">
      <alignment horizontal="right" vertical="center"/>
    </xf>
    <xf numFmtId="2" fontId="6" fillId="0" borderId="7" xfId="0" applyNumberFormat="1" applyFont="1" applyFill="1" applyBorder="1" applyAlignment="1">
      <alignment horizontal="right" vertical="center"/>
    </xf>
    <xf numFmtId="2" fontId="6" fillId="6" borderId="14" xfId="0" applyNumberFormat="1" applyFont="1" applyFill="1" applyBorder="1" applyAlignment="1">
      <alignment horizontal="right" vertical="center"/>
    </xf>
    <xf numFmtId="0" fontId="29" fillId="7" borderId="5" xfId="0" applyFont="1" applyFill="1" applyBorder="1" applyAlignment="1">
      <alignment horizontal="center" wrapText="1"/>
    </xf>
    <xf numFmtId="0" fontId="8" fillId="7" borderId="6" xfId="0" applyFont="1" applyFill="1" applyBorder="1" applyAlignment="1">
      <alignment horizontal="center" vertical="top"/>
    </xf>
    <xf numFmtId="2" fontId="6" fillId="6" borderId="6" xfId="0" applyNumberFormat="1" applyFont="1" applyFill="1" applyBorder="1" applyAlignment="1">
      <alignment horizontal="right" vertical="center"/>
    </xf>
    <xf numFmtId="1" fontId="5" fillId="7" borderId="5" xfId="0" applyNumberFormat="1" applyFont="1" applyFill="1" applyBorder="1" applyAlignment="1">
      <alignment horizontal="center"/>
    </xf>
    <xf numFmtId="1" fontId="5" fillId="7" borderId="7" xfId="0" applyNumberFormat="1" applyFont="1" applyFill="1" applyBorder="1" applyAlignment="1">
      <alignment horizontal="center" vertical="center"/>
    </xf>
    <xf numFmtId="1" fontId="5" fillId="7" borderId="6" xfId="0" applyNumberFormat="1" applyFont="1" applyFill="1" applyBorder="1" applyAlignment="1">
      <alignment horizontal="center" vertical="center"/>
    </xf>
    <xf numFmtId="164" fontId="18" fillId="0" borderId="9" xfId="0" applyNumberFormat="1" applyFont="1" applyFill="1" applyBorder="1" applyAlignment="1">
      <alignment horizontal="right" vertical="center"/>
    </xf>
    <xf numFmtId="164" fontId="18" fillId="0" borderId="8" xfId="0" applyNumberFormat="1" applyFont="1" applyFill="1" applyBorder="1" applyAlignment="1">
      <alignment horizontal="right" vertical="center"/>
    </xf>
    <xf numFmtId="164" fontId="18" fillId="0" borderId="10" xfId="0" applyNumberFormat="1" applyFont="1" applyFill="1" applyBorder="1" applyAlignment="1">
      <alignment horizontal="right" vertical="center"/>
    </xf>
    <xf numFmtId="167" fontId="27" fillId="0" borderId="0" xfId="0" applyNumberFormat="1" applyFont="1" applyFill="1" applyBorder="1" applyAlignment="1">
      <alignment horizontal="right" vertical="center"/>
    </xf>
    <xf numFmtId="167" fontId="27" fillId="0" borderId="13" xfId="0" applyNumberFormat="1" applyFont="1" applyFill="1" applyBorder="1" applyAlignment="1">
      <alignment horizontal="right" vertical="center"/>
    </xf>
    <xf numFmtId="167" fontId="27" fillId="0" borderId="11" xfId="0" applyNumberFormat="1" applyFont="1" applyFill="1" applyBorder="1" applyAlignment="1">
      <alignment horizontal="right" vertical="center"/>
    </xf>
    <xf numFmtId="0" fontId="8"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11" xfId="0" applyFont="1" applyFill="1" applyBorder="1" applyAlignment="1">
      <alignment horizontal="center" vertical="center"/>
    </xf>
    <xf numFmtId="0" fontId="8" fillId="6" borderId="15" xfId="0" applyFont="1" applyFill="1" applyBorder="1" applyAlignment="1">
      <alignment horizontal="center" vertical="center"/>
    </xf>
    <xf numFmtId="0" fontId="8" fillId="6" borderId="5" xfId="0" applyFont="1" applyFill="1" applyBorder="1" applyAlignment="1">
      <alignment horizontal="center" vertical="center"/>
    </xf>
    <xf numFmtId="164" fontId="6" fillId="0" borderId="15" xfId="0" applyNumberFormat="1" applyFont="1" applyFill="1" applyBorder="1" applyAlignment="1">
      <alignment horizontal="right" vertical="center"/>
    </xf>
    <xf numFmtId="164" fontId="6" fillId="0" borderId="13" xfId="0" applyNumberFormat="1" applyFont="1" applyFill="1" applyBorder="1" applyAlignment="1">
      <alignment horizontal="right" vertical="center"/>
    </xf>
    <xf numFmtId="0" fontId="29" fillId="6" borderId="6" xfId="0" applyFont="1" applyFill="1" applyBorder="1" applyAlignment="1">
      <alignment horizontal="center"/>
    </xf>
    <xf numFmtId="0" fontId="29" fillId="6" borderId="5" xfId="0" applyFont="1" applyFill="1" applyBorder="1" applyAlignment="1">
      <alignment horizontal="center"/>
    </xf>
    <xf numFmtId="0" fontId="29" fillId="6" borderId="16" xfId="0" applyFont="1" applyFill="1" applyBorder="1" applyAlignment="1">
      <alignment horizontal="center"/>
    </xf>
    <xf numFmtId="0" fontId="4" fillId="7" borderId="6" xfId="0" quotePrefix="1" applyFont="1" applyFill="1" applyBorder="1" applyAlignment="1">
      <alignment horizontal="center" vertical="top" wrapText="1"/>
    </xf>
    <xf numFmtId="0" fontId="8" fillId="7" borderId="8" xfId="0" applyFont="1" applyFill="1" applyBorder="1" applyAlignment="1">
      <alignment horizontal="center" vertical="top"/>
    </xf>
    <xf numFmtId="164" fontId="8" fillId="0" borderId="5" xfId="0" applyNumberFormat="1" applyFont="1" applyFill="1" applyBorder="1" applyAlignment="1">
      <alignment horizontal="center" vertical="center"/>
    </xf>
    <xf numFmtId="0" fontId="29" fillId="6" borderId="17" xfId="0" applyFont="1" applyFill="1" applyBorder="1" applyAlignment="1">
      <alignment horizontal="center"/>
    </xf>
    <xf numFmtId="0" fontId="4" fillId="0" borderId="0" xfId="0" applyFont="1" applyAlignment="1"/>
    <xf numFmtId="0" fontId="8" fillId="0" borderId="0" xfId="0" applyFont="1" applyAlignment="1">
      <alignment horizontal="left" vertical="top"/>
    </xf>
    <xf numFmtId="0" fontId="8" fillId="0" borderId="0" xfId="0" applyNumberFormat="1" applyFont="1" applyAlignment="1">
      <alignment vertical="top"/>
    </xf>
    <xf numFmtId="0" fontId="4" fillId="0" borderId="0" xfId="0" applyNumberFormat="1" applyFont="1" applyAlignment="1">
      <alignment vertical="top"/>
    </xf>
    <xf numFmtId="0" fontId="8" fillId="0" borderId="0" xfId="0" applyNumberFormat="1" applyFont="1" applyBorder="1" applyAlignment="1">
      <alignment horizontal="left" vertical="top"/>
    </xf>
    <xf numFmtId="0" fontId="8" fillId="0" borderId="18" xfId="0" applyFont="1" applyFill="1" applyBorder="1" applyAlignment="1">
      <alignment horizontal="left" vertical="top" wrapText="1"/>
    </xf>
    <xf numFmtId="0" fontId="5" fillId="0" borderId="0" xfId="0" applyFont="1"/>
    <xf numFmtId="167" fontId="24" fillId="0" borderId="0" xfId="0" applyNumberFormat="1" applyFont="1" applyFill="1" applyBorder="1" applyAlignment="1">
      <alignment horizontal="right" vertical="center"/>
    </xf>
    <xf numFmtId="0" fontId="8" fillId="0" borderId="0" xfId="0" applyFont="1" applyBorder="1" applyAlignment="1">
      <alignment wrapText="1"/>
    </xf>
    <xf numFmtId="0" fontId="0" fillId="0" borderId="10" xfId="0" applyFill="1" applyBorder="1"/>
    <xf numFmtId="0" fontId="6" fillId="0" borderId="0" xfId="0" quotePrefix="1" applyFont="1" applyFill="1" applyBorder="1" applyAlignment="1">
      <alignment vertical="top" wrapText="1"/>
    </xf>
    <xf numFmtId="1" fontId="31" fillId="8" borderId="12" xfId="0" applyNumberFormat="1" applyFont="1" applyFill="1" applyBorder="1" applyAlignment="1">
      <alignment horizontal="center" vertical="center"/>
    </xf>
    <xf numFmtId="0" fontId="23" fillId="0" borderId="0" xfId="0" applyFont="1" applyBorder="1" applyAlignment="1">
      <alignment vertical="top" wrapText="1"/>
    </xf>
    <xf numFmtId="0" fontId="22" fillId="0" borderId="0" xfId="0" applyFont="1" applyBorder="1" applyAlignment="1">
      <alignment vertical="center" wrapText="1"/>
    </xf>
    <xf numFmtId="1" fontId="5" fillId="9" borderId="5" xfId="0" applyNumberFormat="1" applyFont="1" applyFill="1" applyBorder="1" applyAlignment="1">
      <alignment horizontal="center" vertical="center"/>
    </xf>
    <xf numFmtId="0" fontId="6" fillId="0" borderId="0" xfId="0" quotePrefix="1" applyFont="1" applyFill="1" applyBorder="1" applyAlignment="1">
      <alignment horizontal="left" vertical="top" wrapText="1"/>
    </xf>
    <xf numFmtId="1" fontId="5" fillId="7" borderId="9" xfId="0" applyNumberFormat="1" applyFont="1" applyFill="1" applyBorder="1" applyAlignment="1">
      <alignment horizontal="center"/>
    </xf>
    <xf numFmtId="1" fontId="5" fillId="7" borderId="10" xfId="0" applyNumberFormat="1" applyFont="1" applyFill="1" applyBorder="1" applyAlignment="1">
      <alignment horizontal="center" vertical="center"/>
    </xf>
    <xf numFmtId="164" fontId="18" fillId="0" borderId="0" xfId="0" applyNumberFormat="1" applyFont="1" applyFill="1" applyBorder="1" applyAlignment="1">
      <alignment horizontal="right" vertical="center"/>
    </xf>
    <xf numFmtId="0" fontId="29" fillId="6" borderId="11" xfId="0" applyFont="1" applyFill="1" applyBorder="1" applyAlignment="1">
      <alignment horizontal="center" vertical="center" wrapText="1"/>
    </xf>
    <xf numFmtId="0" fontId="29" fillId="6" borderId="18" xfId="0" applyFont="1" applyFill="1" applyBorder="1" applyAlignment="1">
      <alignment horizontal="center" vertical="center" wrapText="1"/>
    </xf>
    <xf numFmtId="164" fontId="18" fillId="0" borderId="12" xfId="0" applyNumberFormat="1" applyFont="1" applyFill="1" applyBorder="1" applyAlignment="1">
      <alignment horizontal="right" vertical="center"/>
    </xf>
    <xf numFmtId="164" fontId="18" fillId="0" borderId="15" xfId="0" applyNumberFormat="1" applyFont="1" applyFill="1" applyBorder="1" applyAlignment="1">
      <alignment horizontal="right" vertical="center"/>
    </xf>
    <xf numFmtId="164" fontId="18" fillId="0" borderId="3" xfId="0" applyNumberFormat="1" applyFont="1" applyFill="1" applyBorder="1" applyAlignment="1">
      <alignment horizontal="right" vertical="center"/>
    </xf>
    <xf numFmtId="164" fontId="4" fillId="0" borderId="15" xfId="0" applyNumberFormat="1" applyFont="1" applyBorder="1" applyAlignment="1">
      <alignment horizontal="right" vertical="center"/>
    </xf>
    <xf numFmtId="164" fontId="4" fillId="0" borderId="0" xfId="0" applyNumberFormat="1" applyFont="1" applyBorder="1" applyAlignment="1">
      <alignment horizontal="right" vertical="center"/>
    </xf>
    <xf numFmtId="164" fontId="6" fillId="0" borderId="14" xfId="0" applyNumberFormat="1" applyFont="1" applyFill="1" applyBorder="1" applyAlignment="1">
      <alignment horizontal="right" vertical="center"/>
    </xf>
    <xf numFmtId="164" fontId="6" fillId="6" borderId="15" xfId="0" applyNumberFormat="1" applyFont="1" applyFill="1" applyBorder="1" applyAlignment="1">
      <alignment horizontal="right" vertical="center"/>
    </xf>
    <xf numFmtId="164" fontId="6" fillId="6" borderId="0" xfId="0" applyNumberFormat="1" applyFont="1" applyFill="1" applyBorder="1" applyAlignment="1">
      <alignment horizontal="right" vertical="center"/>
    </xf>
    <xf numFmtId="164" fontId="6" fillId="6" borderId="8" xfId="0" applyNumberFormat="1" applyFont="1" applyFill="1" applyBorder="1" applyAlignment="1">
      <alignment horizontal="right" vertical="center"/>
    </xf>
    <xf numFmtId="164" fontId="4" fillId="0" borderId="15" xfId="0" applyNumberFormat="1" applyFont="1" applyFill="1" applyBorder="1" applyAlignment="1">
      <alignment horizontal="right" vertical="center"/>
    </xf>
    <xf numFmtId="164" fontId="4" fillId="0" borderId="0" xfId="0" applyNumberFormat="1" applyFont="1" applyFill="1" applyBorder="1" applyAlignment="1">
      <alignment horizontal="right" vertical="center"/>
    </xf>
    <xf numFmtId="164" fontId="4" fillId="6" borderId="15" xfId="0" applyNumberFormat="1" applyFont="1" applyFill="1" applyBorder="1" applyAlignment="1">
      <alignment horizontal="right" vertical="center"/>
    </xf>
    <xf numFmtId="164" fontId="4" fillId="6" borderId="0" xfId="0" applyNumberFormat="1" applyFont="1" applyFill="1" applyBorder="1" applyAlignment="1">
      <alignment horizontal="right" vertical="center"/>
    </xf>
    <xf numFmtId="164" fontId="6" fillId="6" borderId="14" xfId="0" applyNumberFormat="1" applyFont="1" applyFill="1" applyBorder="1" applyAlignment="1">
      <alignment horizontal="right" vertical="center"/>
    </xf>
    <xf numFmtId="164" fontId="18" fillId="6" borderId="15" xfId="0" applyNumberFormat="1" applyFont="1" applyFill="1" applyBorder="1" applyAlignment="1">
      <alignment horizontal="right" vertical="center"/>
    </xf>
    <xf numFmtId="164" fontId="18" fillId="6" borderId="0" xfId="0" applyNumberFormat="1" applyFont="1" applyFill="1" applyBorder="1" applyAlignment="1">
      <alignment horizontal="right" vertical="center"/>
    </xf>
    <xf numFmtId="164" fontId="6" fillId="0" borderId="15" xfId="0" applyNumberFormat="1" applyFont="1" applyBorder="1" applyAlignment="1">
      <alignment horizontal="right" vertical="center"/>
    </xf>
    <xf numFmtId="164" fontId="6" fillId="0" borderId="0" xfId="0" applyNumberFormat="1" applyFont="1" applyBorder="1" applyAlignment="1">
      <alignment horizontal="right" vertical="center"/>
    </xf>
    <xf numFmtId="164" fontId="6" fillId="0" borderId="8" xfId="0" applyNumberFormat="1" applyFont="1" applyBorder="1" applyAlignment="1">
      <alignment horizontal="right" vertical="center"/>
    </xf>
    <xf numFmtId="164" fontId="6" fillId="0" borderId="8" xfId="0" applyNumberFormat="1" applyFont="1" applyFill="1" applyBorder="1" applyAlignment="1">
      <alignment horizontal="right" vertical="center"/>
    </xf>
    <xf numFmtId="164" fontId="6" fillId="6" borderId="13" xfId="0" applyNumberFormat="1" applyFont="1" applyFill="1" applyBorder="1" applyAlignment="1">
      <alignment horizontal="right" vertical="center"/>
    </xf>
    <xf numFmtId="164" fontId="6" fillId="6" borderId="3" xfId="0" applyNumberFormat="1" applyFont="1" applyFill="1" applyBorder="1" applyAlignment="1">
      <alignment horizontal="right" vertical="center"/>
    </xf>
    <xf numFmtId="164" fontId="6" fillId="0" borderId="10" xfId="0" applyNumberFormat="1" applyFont="1" applyFill="1" applyBorder="1" applyAlignment="1">
      <alignment horizontal="right" vertical="center"/>
    </xf>
    <xf numFmtId="164" fontId="18" fillId="0" borderId="0" xfId="0" applyNumberFormat="1" applyFont="1" applyBorder="1" applyAlignment="1">
      <alignment horizontal="right" vertical="center"/>
    </xf>
    <xf numFmtId="164" fontId="6" fillId="0" borderId="3" xfId="0" applyNumberFormat="1" applyFont="1" applyBorder="1" applyAlignment="1">
      <alignment horizontal="right" vertical="center"/>
    </xf>
    <xf numFmtId="164" fontId="5" fillId="6" borderId="8" xfId="0" applyNumberFormat="1" applyFont="1" applyFill="1" applyBorder="1" applyAlignment="1">
      <alignment horizontal="center" vertical="center"/>
    </xf>
    <xf numFmtId="164" fontId="5" fillId="0" borderId="8" xfId="0" applyNumberFormat="1" applyFont="1" applyFill="1" applyBorder="1" applyAlignment="1">
      <alignment horizontal="center" vertical="center"/>
    </xf>
    <xf numFmtId="164" fontId="0" fillId="0" borderId="0" xfId="0" applyNumberFormat="1"/>
    <xf numFmtId="0" fontId="4" fillId="0" borderId="0" xfId="0" quotePrefix="1" applyFont="1" applyAlignment="1">
      <alignment vertical="top"/>
    </xf>
    <xf numFmtId="164" fontId="4" fillId="0" borderId="12" xfId="0" applyNumberFormat="1" applyFont="1" applyBorder="1" applyAlignment="1">
      <alignment horizontal="right" vertical="center"/>
    </xf>
    <xf numFmtId="164" fontId="4" fillId="0" borderId="8" xfId="0" applyNumberFormat="1" applyFont="1" applyFill="1" applyBorder="1" applyAlignment="1">
      <alignment horizontal="right" vertical="center"/>
    </xf>
    <xf numFmtId="164" fontId="5" fillId="0" borderId="6" xfId="0" applyNumberFormat="1" applyFont="1" applyFill="1" applyBorder="1" applyAlignment="1">
      <alignment horizontal="center" vertical="center"/>
    </xf>
    <xf numFmtId="166" fontId="0" fillId="0" borderId="0" xfId="0" applyNumberFormat="1" applyFill="1" applyBorder="1" applyAlignment="1"/>
    <xf numFmtId="164" fontId="4" fillId="6" borderId="10" xfId="0" applyNumberFormat="1" applyFont="1" applyFill="1" applyBorder="1" applyAlignment="1">
      <alignment horizontal="right" vertical="center"/>
    </xf>
    <xf numFmtId="0" fontId="4" fillId="0" borderId="0" xfId="0" applyFont="1" applyBorder="1" applyAlignment="1">
      <alignment horizontal="right" vertical="center"/>
    </xf>
    <xf numFmtId="164" fontId="18" fillId="6" borderId="8" xfId="0" applyNumberFormat="1" applyFont="1" applyFill="1" applyBorder="1" applyAlignment="1">
      <alignment horizontal="right" vertical="center"/>
    </xf>
    <xf numFmtId="0" fontId="32" fillId="0" borderId="0" xfId="77"/>
    <xf numFmtId="0" fontId="1" fillId="0" borderId="0" xfId="77" applyNumberFormat="1" applyFont="1" applyFill="1" applyBorder="1" applyAlignment="1"/>
    <xf numFmtId="164" fontId="4" fillId="6" borderId="3" xfId="0" applyNumberFormat="1" applyFont="1" applyFill="1" applyBorder="1" applyAlignment="1">
      <alignment horizontal="right" vertical="center"/>
    </xf>
    <xf numFmtId="164" fontId="4" fillId="6" borderId="8" xfId="0" applyNumberFormat="1" applyFont="1" applyFill="1" applyBorder="1" applyAlignment="1">
      <alignment horizontal="right" vertical="center"/>
    </xf>
    <xf numFmtId="164" fontId="4" fillId="0" borderId="8" xfId="0" applyNumberFormat="1" applyFont="1" applyBorder="1" applyAlignment="1">
      <alignment horizontal="right" vertical="center"/>
    </xf>
    <xf numFmtId="0" fontId="5" fillId="0" borderId="0" xfId="0" applyFont="1" applyAlignment="1">
      <alignment vertical="top"/>
    </xf>
    <xf numFmtId="164" fontId="4" fillId="0" borderId="12" xfId="0" applyNumberFormat="1" applyFont="1" applyFill="1" applyBorder="1" applyAlignment="1">
      <alignment horizontal="right" vertical="center"/>
    </xf>
    <xf numFmtId="0" fontId="5" fillId="41" borderId="6" xfId="0" applyFont="1" applyFill="1" applyBorder="1" applyAlignment="1">
      <alignment horizontal="center" vertical="center"/>
    </xf>
    <xf numFmtId="2" fontId="6" fillId="41" borderId="6" xfId="0" applyNumberFormat="1" applyFont="1" applyFill="1" applyBorder="1" applyAlignment="1">
      <alignment horizontal="right" vertical="center"/>
    </xf>
    <xf numFmtId="164" fontId="6" fillId="41" borderId="0" xfId="0" applyNumberFormat="1" applyFont="1" applyFill="1" applyBorder="1" applyAlignment="1">
      <alignment horizontal="right" vertical="center"/>
    </xf>
    <xf numFmtId="164" fontId="6" fillId="41" borderId="14" xfId="0" applyNumberFormat="1" applyFont="1" applyFill="1" applyBorder="1" applyAlignment="1">
      <alignment horizontal="right" vertical="center"/>
    </xf>
    <xf numFmtId="164" fontId="4" fillId="6" borderId="14" xfId="0" applyNumberFormat="1" applyFont="1" applyFill="1" applyBorder="1" applyAlignment="1">
      <alignment horizontal="right" vertical="center"/>
    </xf>
    <xf numFmtId="164" fontId="4" fillId="41" borderId="0" xfId="0" applyNumberFormat="1" applyFont="1" applyFill="1" applyBorder="1" applyAlignment="1">
      <alignment horizontal="right" vertical="center"/>
    </xf>
    <xf numFmtId="0" fontId="5" fillId="42" borderId="6" xfId="0" applyFont="1" applyFill="1" applyBorder="1" applyAlignment="1">
      <alignment horizontal="center" vertical="center"/>
    </xf>
    <xf numFmtId="2" fontId="6" fillId="42" borderId="6" xfId="0" applyNumberFormat="1" applyFont="1" applyFill="1" applyBorder="1" applyAlignment="1">
      <alignment horizontal="right" vertical="center"/>
    </xf>
    <xf numFmtId="164" fontId="6" fillId="42" borderId="0" xfId="0" applyNumberFormat="1" applyFont="1" applyFill="1" applyBorder="1" applyAlignment="1">
      <alignment horizontal="right" vertical="center"/>
    </xf>
    <xf numFmtId="164" fontId="6" fillId="42" borderId="19" xfId="0" applyNumberFormat="1" applyFont="1" applyFill="1" applyBorder="1" applyAlignment="1">
      <alignment horizontal="right" vertical="center"/>
    </xf>
    <xf numFmtId="164" fontId="4" fillId="42" borderId="0" xfId="0" applyNumberFormat="1" applyFont="1" applyFill="1" applyBorder="1" applyAlignment="1">
      <alignment horizontal="right" vertical="center"/>
    </xf>
    <xf numFmtId="164" fontId="6" fillId="42" borderId="3" xfId="0" applyNumberFormat="1" applyFont="1" applyFill="1" applyBorder="1" applyAlignment="1">
      <alignment horizontal="right" vertical="center"/>
    </xf>
    <xf numFmtId="164" fontId="6" fillId="6" borderId="20" xfId="0" applyNumberFormat="1" applyFont="1" applyFill="1" applyBorder="1" applyAlignment="1">
      <alignment horizontal="right" vertical="center"/>
    </xf>
    <xf numFmtId="164" fontId="6" fillId="0" borderId="20" xfId="0" applyNumberFormat="1" applyFont="1" applyFill="1" applyBorder="1" applyAlignment="1">
      <alignment horizontal="right" vertical="center"/>
    </xf>
    <xf numFmtId="164" fontId="18" fillId="41" borderId="0" xfId="0" applyNumberFormat="1" applyFont="1" applyFill="1" applyBorder="1" applyAlignment="1">
      <alignment horizontal="right" vertical="center"/>
    </xf>
    <xf numFmtId="164" fontId="18" fillId="0" borderId="12" xfId="0" applyNumberFormat="1" applyFont="1" applyBorder="1" applyAlignment="1">
      <alignment horizontal="right" vertical="center"/>
    </xf>
    <xf numFmtId="0" fontId="5" fillId="0" borderId="0" xfId="0" applyFont="1" applyFill="1" applyBorder="1" applyAlignment="1">
      <alignment horizontal="left"/>
    </xf>
    <xf numFmtId="164" fontId="4" fillId="6" borderId="20" xfId="0" applyNumberFormat="1" applyFont="1" applyFill="1" applyBorder="1" applyAlignment="1">
      <alignment horizontal="right" vertical="center"/>
    </xf>
    <xf numFmtId="164" fontId="6" fillId="42" borderId="15" xfId="0" applyNumberFormat="1" applyFont="1" applyFill="1" applyBorder="1" applyAlignment="1">
      <alignment horizontal="right" vertical="center"/>
    </xf>
    <xf numFmtId="164" fontId="6" fillId="42" borderId="8" xfId="0" applyNumberFormat="1" applyFont="1" applyFill="1" applyBorder="1" applyAlignment="1">
      <alignment horizontal="right" vertical="center"/>
    </xf>
    <xf numFmtId="0" fontId="5" fillId="42" borderId="5" xfId="0" applyFont="1" applyFill="1" applyBorder="1" applyAlignment="1">
      <alignment horizontal="center" vertical="center"/>
    </xf>
    <xf numFmtId="164" fontId="18" fillId="42" borderId="15" xfId="0" applyNumberFormat="1" applyFont="1" applyFill="1" applyBorder="1" applyAlignment="1">
      <alignment horizontal="right" vertical="center"/>
    </xf>
    <xf numFmtId="164" fontId="18" fillId="42" borderId="0" xfId="0" applyNumberFormat="1" applyFont="1" applyFill="1" applyBorder="1" applyAlignment="1">
      <alignment horizontal="right" vertical="center"/>
    </xf>
    <xf numFmtId="164" fontId="6" fillId="42" borderId="12" xfId="0" applyNumberFormat="1" applyFont="1" applyFill="1" applyBorder="1" applyAlignment="1">
      <alignment horizontal="right" vertical="center"/>
    </xf>
    <xf numFmtId="164" fontId="4" fillId="42" borderId="12" xfId="0" applyNumberFormat="1" applyFont="1" applyFill="1" applyBorder="1" applyAlignment="1">
      <alignment horizontal="right" vertical="center"/>
    </xf>
    <xf numFmtId="164" fontId="5" fillId="42" borderId="9" xfId="0" applyNumberFormat="1" applyFont="1" applyFill="1" applyBorder="1" applyAlignment="1">
      <alignment horizontal="center" vertical="center"/>
    </xf>
    <xf numFmtId="164" fontId="18" fillId="42" borderId="12" xfId="0" applyNumberFormat="1" applyFont="1" applyFill="1" applyBorder="1" applyAlignment="1">
      <alignment horizontal="right" vertical="center"/>
    </xf>
    <xf numFmtId="164" fontId="18" fillId="42" borderId="9" xfId="0" applyNumberFormat="1" applyFont="1" applyFill="1" applyBorder="1" applyAlignment="1">
      <alignment horizontal="right" vertical="center"/>
    </xf>
    <xf numFmtId="169" fontId="6" fillId="0" borderId="0" xfId="0" applyNumberFormat="1" applyFont="1" applyFill="1" applyBorder="1" applyAlignment="1">
      <alignment horizontal="right" vertical="center"/>
    </xf>
    <xf numFmtId="0" fontId="5" fillId="42" borderId="7" xfId="0" applyFont="1" applyFill="1" applyBorder="1" applyAlignment="1">
      <alignment horizontal="center" vertical="center"/>
    </xf>
    <xf numFmtId="2" fontId="6" fillId="42" borderId="7" xfId="0" applyNumberFormat="1" applyFont="1" applyFill="1" applyBorder="1" applyAlignment="1">
      <alignment horizontal="right" vertical="center"/>
    </xf>
    <xf numFmtId="164" fontId="6" fillId="42" borderId="10" xfId="0" applyNumberFormat="1" applyFont="1" applyFill="1" applyBorder="1" applyAlignment="1">
      <alignment horizontal="right" vertical="center"/>
    </xf>
    <xf numFmtId="164" fontId="4" fillId="42" borderId="8" xfId="0" applyNumberFormat="1" applyFont="1" applyFill="1" applyBorder="1" applyAlignment="1">
      <alignment horizontal="right" vertical="center"/>
    </xf>
    <xf numFmtId="164" fontId="6" fillId="41" borderId="8" xfId="0" applyNumberFormat="1" applyFont="1" applyFill="1" applyBorder="1" applyAlignment="1">
      <alignment horizontal="right" vertical="center"/>
    </xf>
    <xf numFmtId="164" fontId="4" fillId="41" borderId="8" xfId="0" applyNumberFormat="1" applyFont="1" applyFill="1" applyBorder="1" applyAlignment="1">
      <alignment horizontal="right" vertical="center"/>
    </xf>
    <xf numFmtId="164" fontId="4" fillId="0" borderId="3" xfId="0" applyNumberFormat="1" applyFont="1" applyFill="1" applyBorder="1" applyAlignment="1">
      <alignment horizontal="right" vertical="center"/>
    </xf>
    <xf numFmtId="164" fontId="18" fillId="41" borderId="8" xfId="0" applyNumberFormat="1" applyFont="1" applyFill="1" applyBorder="1" applyAlignment="1">
      <alignment horizontal="right" vertical="center"/>
    </xf>
    <xf numFmtId="2" fontId="6" fillId="42" borderId="5" xfId="0" applyNumberFormat="1" applyFont="1" applyFill="1" applyBorder="1" applyAlignment="1">
      <alignment horizontal="right" vertical="center"/>
    </xf>
    <xf numFmtId="164" fontId="6" fillId="42" borderId="13" xfId="0" applyNumberFormat="1" applyFont="1" applyFill="1" applyBorder="1" applyAlignment="1">
      <alignment horizontal="right" vertical="center"/>
    </xf>
    <xf numFmtId="164" fontId="6" fillId="42" borderId="22" xfId="0" applyNumberFormat="1" applyFont="1" applyFill="1" applyBorder="1" applyAlignment="1">
      <alignment horizontal="right" vertical="center"/>
    </xf>
    <xf numFmtId="164" fontId="18" fillId="42" borderId="8" xfId="0" applyNumberFormat="1" applyFont="1" applyFill="1" applyBorder="1" applyAlignment="1">
      <alignment horizontal="right" vertical="center"/>
    </xf>
    <xf numFmtId="166" fontId="4" fillId="0" borderId="23" xfId="0" applyNumberFormat="1" applyFont="1" applyFill="1" applyBorder="1" applyAlignment="1">
      <alignment horizontal="right"/>
    </xf>
    <xf numFmtId="166" fontId="4" fillId="0" borderId="8" xfId="0" applyNumberFormat="1" applyFont="1" applyFill="1" applyBorder="1" applyAlignment="1">
      <alignment horizontal="right"/>
    </xf>
    <xf numFmtId="166" fontId="4" fillId="0" borderId="0" xfId="0" applyNumberFormat="1" applyFont="1" applyFill="1" applyBorder="1" applyAlignment="1">
      <alignment horizontal="right"/>
    </xf>
    <xf numFmtId="166" fontId="4" fillId="0" borderId="15" xfId="0" applyNumberFormat="1" applyFont="1" applyFill="1" applyBorder="1" applyAlignment="1">
      <alignment horizontal="right"/>
    </xf>
    <xf numFmtId="166" fontId="4" fillId="0" borderId="24" xfId="0" applyNumberFormat="1" applyFont="1" applyFill="1" applyBorder="1" applyAlignment="1">
      <alignment horizontal="right"/>
    </xf>
    <xf numFmtId="166" fontId="4" fillId="0" borderId="25" xfId="0" applyNumberFormat="1" applyFont="1" applyFill="1" applyBorder="1" applyAlignment="1">
      <alignment horizontal="right"/>
    </xf>
    <xf numFmtId="164" fontId="4" fillId="0" borderId="0" xfId="0" applyNumberFormat="1" applyFont="1" applyFill="1" applyBorder="1" applyAlignment="1">
      <alignment horizontal="center" vertical="center"/>
    </xf>
    <xf numFmtId="164" fontId="4" fillId="0" borderId="15" xfId="0" applyNumberFormat="1" applyFont="1" applyFill="1" applyBorder="1" applyAlignment="1">
      <alignment horizontal="center" vertical="center"/>
    </xf>
    <xf numFmtId="164" fontId="5" fillId="42" borderId="10" xfId="0" applyNumberFormat="1" applyFont="1" applyFill="1" applyBorder="1" applyAlignment="1">
      <alignment horizontal="center" vertical="center"/>
    </xf>
    <xf numFmtId="0" fontId="0" fillId="0" borderId="12" xfId="0" applyBorder="1"/>
    <xf numFmtId="170" fontId="6" fillId="0" borderId="11" xfId="0" applyNumberFormat="1" applyFont="1" applyFill="1" applyBorder="1" applyAlignment="1">
      <alignment horizontal="center"/>
    </xf>
    <xf numFmtId="170" fontId="6" fillId="0" borderId="12" xfId="0" applyNumberFormat="1" applyFont="1" applyFill="1" applyBorder="1" applyAlignment="1">
      <alignment horizontal="center"/>
    </xf>
    <xf numFmtId="170" fontId="6" fillId="0" borderId="9" xfId="0" applyNumberFormat="1" applyFont="1" applyFill="1" applyBorder="1" applyAlignment="1">
      <alignment horizontal="center"/>
    </xf>
    <xf numFmtId="170" fontId="8" fillId="0" borderId="6" xfId="0" applyNumberFormat="1" applyFont="1" applyFill="1" applyBorder="1" applyAlignment="1">
      <alignment horizontal="center"/>
    </xf>
    <xf numFmtId="170" fontId="6" fillId="0" borderId="15" xfId="0" applyNumberFormat="1" applyFont="1" applyFill="1" applyBorder="1" applyAlignment="1">
      <alignment horizontal="center"/>
    </xf>
    <xf numFmtId="170" fontId="6" fillId="0" borderId="0" xfId="0" applyNumberFormat="1" applyFont="1" applyFill="1" applyBorder="1" applyAlignment="1">
      <alignment horizontal="center"/>
    </xf>
    <xf numFmtId="170" fontId="6" fillId="0" borderId="8" xfId="0" applyNumberFormat="1" applyFont="1" applyFill="1" applyBorder="1" applyAlignment="1">
      <alignment horizontal="center"/>
    </xf>
    <xf numFmtId="170" fontId="6" fillId="0" borderId="26" xfId="0" applyNumberFormat="1" applyFont="1" applyFill="1" applyBorder="1" applyAlignment="1">
      <alignment horizontal="center"/>
    </xf>
    <xf numFmtId="170" fontId="6" fillId="0" borderId="27" xfId="0" applyNumberFormat="1" applyFont="1" applyFill="1" applyBorder="1" applyAlignment="1">
      <alignment horizontal="center"/>
    </xf>
    <xf numFmtId="170" fontId="6" fillId="0" borderId="28" xfId="0" applyNumberFormat="1" applyFont="1" applyFill="1" applyBorder="1" applyAlignment="1">
      <alignment horizontal="center"/>
    </xf>
    <xf numFmtId="170" fontId="6" fillId="0" borderId="0" xfId="0" applyNumberFormat="1" applyFont="1" applyFill="1" applyBorder="1" applyAlignment="1">
      <alignment horizontal="center" vertical="center"/>
    </xf>
    <xf numFmtId="170" fontId="6" fillId="0" borderId="8" xfId="0" applyNumberFormat="1" applyFont="1" applyFill="1" applyBorder="1" applyAlignment="1">
      <alignment horizontal="center" vertical="center"/>
    </xf>
    <xf numFmtId="170" fontId="4" fillId="0" borderId="15" xfId="0" applyNumberFormat="1" applyFont="1" applyFill="1" applyBorder="1" applyAlignment="1">
      <alignment horizontal="center"/>
    </xf>
    <xf numFmtId="170" fontId="4" fillId="0" borderId="15" xfId="0" applyNumberFormat="1" applyFont="1" applyFill="1" applyBorder="1" applyAlignment="1">
      <alignment horizontal="center" vertical="center"/>
    </xf>
    <xf numFmtId="170" fontId="4" fillId="0" borderId="0" xfId="0" applyNumberFormat="1" applyFont="1" applyFill="1" applyBorder="1" applyAlignment="1">
      <alignment horizontal="center"/>
    </xf>
    <xf numFmtId="170" fontId="4" fillId="0" borderId="8" xfId="0" applyNumberFormat="1" applyFont="1" applyFill="1" applyBorder="1" applyAlignment="1">
      <alignment horizontal="center"/>
    </xf>
    <xf numFmtId="0" fontId="8" fillId="0" borderId="0" xfId="0" quotePrefix="1" applyFont="1" applyFill="1" applyBorder="1" applyAlignment="1">
      <alignment wrapText="1"/>
    </xf>
    <xf numFmtId="164" fontId="4" fillId="42" borderId="10" xfId="0" applyNumberFormat="1" applyFont="1" applyFill="1" applyBorder="1" applyAlignment="1">
      <alignment horizontal="right" vertical="center"/>
    </xf>
    <xf numFmtId="166" fontId="4" fillId="0" borderId="3" xfId="0" applyNumberFormat="1" applyFont="1" applyFill="1" applyBorder="1" applyAlignment="1">
      <alignment horizontal="right"/>
    </xf>
    <xf numFmtId="170" fontId="4" fillId="0" borderId="29" xfId="0" applyNumberFormat="1" applyFont="1" applyFill="1" applyBorder="1" applyAlignment="1">
      <alignment horizontal="center"/>
    </xf>
    <xf numFmtId="170" fontId="4" fillId="0" borderId="0" xfId="0" applyNumberFormat="1" applyFont="1" applyFill="1" applyBorder="1" applyAlignment="1">
      <alignment horizontal="center" vertical="center"/>
    </xf>
    <xf numFmtId="164" fontId="4" fillId="0" borderId="30" xfId="0" applyNumberFormat="1" applyFont="1" applyFill="1" applyBorder="1" applyAlignment="1">
      <alignment horizontal="center" vertical="center"/>
    </xf>
    <xf numFmtId="164" fontId="18" fillId="6" borderId="15" xfId="0" applyNumberFormat="1" applyFont="1" applyFill="1" applyBorder="1" applyAlignment="1">
      <alignment horizontal="center" vertical="center"/>
    </xf>
    <xf numFmtId="164" fontId="18" fillId="6" borderId="0" xfId="0" applyNumberFormat="1" applyFont="1" applyFill="1" applyBorder="1" applyAlignment="1">
      <alignment horizontal="center" vertical="center"/>
    </xf>
    <xf numFmtId="49" fontId="1" fillId="0" borderId="0" xfId="0" applyNumberFormat="1" applyFont="1" applyAlignment="1">
      <alignment horizontal="left" vertical="center"/>
    </xf>
    <xf numFmtId="0" fontId="1" fillId="0" borderId="0" xfId="0" applyFont="1" applyAlignment="1">
      <alignment horizontal="left" vertical="center" wrapText="1"/>
    </xf>
    <xf numFmtId="1" fontId="22" fillId="0" borderId="0" xfId="0" applyNumberFormat="1" applyFont="1" applyAlignment="1">
      <alignment horizontal="center"/>
    </xf>
    <xf numFmtId="0" fontId="5" fillId="6" borderId="6" xfId="0" applyFont="1" applyFill="1" applyBorder="1" applyAlignment="1">
      <alignment horizontal="center" vertical="center" wrapText="1"/>
    </xf>
    <xf numFmtId="0" fontId="11" fillId="0" borderId="0" xfId="0" applyFont="1" applyAlignment="1">
      <alignment vertical="top"/>
    </xf>
    <xf numFmtId="0" fontId="5" fillId="7" borderId="31" xfId="0" applyFont="1" applyFill="1" applyBorder="1" applyAlignment="1">
      <alignment horizontal="center" vertical="center" wrapText="1"/>
    </xf>
    <xf numFmtId="0" fontId="5" fillId="7" borderId="32" xfId="0" applyFont="1" applyFill="1" applyBorder="1" applyAlignment="1">
      <alignment horizontal="center" vertical="center" wrapText="1"/>
    </xf>
    <xf numFmtId="0" fontId="5" fillId="7" borderId="33" xfId="0" applyFont="1" applyFill="1" applyBorder="1" applyAlignment="1">
      <alignment horizontal="center" vertical="center" wrapText="1"/>
    </xf>
    <xf numFmtId="0" fontId="5" fillId="0" borderId="0" xfId="0" applyFont="1" applyFill="1" applyBorder="1" applyAlignment="1">
      <alignment horizontal="center" vertical="center" wrapText="1"/>
    </xf>
    <xf numFmtId="164" fontId="18" fillId="42" borderId="3" xfId="0" applyNumberFormat="1" applyFont="1" applyFill="1" applyBorder="1" applyAlignment="1">
      <alignment horizontal="right" vertical="center"/>
    </xf>
    <xf numFmtId="0" fontId="5" fillId="0" borderId="0" xfId="0" applyFont="1" applyAlignment="1"/>
    <xf numFmtId="164" fontId="6" fillId="0" borderId="20" xfId="0" applyNumberFormat="1" applyFont="1" applyBorder="1" applyAlignment="1">
      <alignment horizontal="right" vertical="center"/>
    </xf>
    <xf numFmtId="164" fontId="8" fillId="6" borderId="6" xfId="0" applyNumberFormat="1" applyFont="1" applyFill="1" applyBorder="1" applyAlignment="1">
      <alignment horizontal="center" vertical="center"/>
    </xf>
    <xf numFmtId="164" fontId="4" fillId="42" borderId="3" xfId="0" applyNumberFormat="1" applyFont="1" applyFill="1" applyBorder="1" applyAlignment="1">
      <alignment horizontal="right" vertical="center"/>
    </xf>
    <xf numFmtId="164" fontId="4" fillId="0" borderId="10" xfId="0" applyNumberFormat="1" applyFont="1" applyFill="1" applyBorder="1" applyAlignment="1">
      <alignment horizontal="right" vertical="center"/>
    </xf>
    <xf numFmtId="0" fontId="29" fillId="6" borderId="13" xfId="0" applyFont="1" applyFill="1" applyBorder="1" applyAlignment="1">
      <alignment horizontal="center" vertical="center"/>
    </xf>
    <xf numFmtId="170" fontId="4" fillId="0" borderId="30" xfId="0" applyNumberFormat="1" applyFont="1" applyFill="1" applyBorder="1" applyAlignment="1">
      <alignment horizontal="center"/>
    </xf>
    <xf numFmtId="164" fontId="4" fillId="0" borderId="29" xfId="0" applyNumberFormat="1" applyFont="1" applyFill="1" applyBorder="1" applyAlignment="1">
      <alignment horizontal="center" vertical="center"/>
    </xf>
    <xf numFmtId="164" fontId="18" fillId="0" borderId="3" xfId="0" applyNumberFormat="1" applyFont="1" applyFill="1" applyBorder="1" applyAlignment="1">
      <alignment horizontal="center" vertical="center"/>
    </xf>
    <xf numFmtId="164" fontId="5" fillId="0" borderId="34" xfId="0" applyNumberFormat="1" applyFont="1" applyFill="1" applyBorder="1" applyAlignment="1">
      <alignment horizontal="center" vertical="center"/>
    </xf>
    <xf numFmtId="166" fontId="4" fillId="0" borderId="35" xfId="0" applyNumberFormat="1" applyFont="1" applyFill="1" applyBorder="1" applyAlignment="1">
      <alignment horizontal="right"/>
    </xf>
    <xf numFmtId="166" fontId="4" fillId="0" borderId="36" xfId="0" applyNumberFormat="1" applyFont="1" applyFill="1" applyBorder="1" applyAlignment="1">
      <alignment horizontal="right"/>
    </xf>
    <xf numFmtId="0" fontId="6" fillId="0" borderId="0" xfId="0" applyFont="1" applyAlignment="1">
      <alignment horizontal="left" vertical="top" wrapText="1"/>
    </xf>
    <xf numFmtId="0" fontId="5" fillId="6" borderId="18" xfId="0" applyFont="1" applyFill="1" applyBorder="1" applyAlignment="1">
      <alignment horizontal="center" vertical="center"/>
    </xf>
    <xf numFmtId="170" fontId="19" fillId="6" borderId="31" xfId="0" applyNumberFormat="1" applyFont="1" applyFill="1" applyBorder="1" applyAlignment="1">
      <alignment horizontal="right" vertical="center"/>
    </xf>
    <xf numFmtId="170" fontId="19" fillId="6" borderId="32" xfId="0" applyNumberFormat="1" applyFont="1" applyFill="1" applyBorder="1" applyAlignment="1">
      <alignment horizontal="right" vertical="center"/>
    </xf>
    <xf numFmtId="164" fontId="5" fillId="6" borderId="33" xfId="0" applyNumberFormat="1" applyFont="1" applyFill="1" applyBorder="1" applyAlignment="1">
      <alignment horizontal="center" vertical="center"/>
    </xf>
    <xf numFmtId="164" fontId="19" fillId="6" borderId="18" xfId="0" applyNumberFormat="1" applyFont="1" applyFill="1" applyBorder="1" applyAlignment="1">
      <alignment horizontal="right" vertical="center"/>
    </xf>
    <xf numFmtId="164" fontId="5" fillId="6" borderId="18" xfId="0" applyNumberFormat="1" applyFont="1" applyFill="1" applyBorder="1" applyAlignment="1">
      <alignment horizontal="center" vertical="center"/>
    </xf>
    <xf numFmtId="0" fontId="5" fillId="0" borderId="0" xfId="0" quotePrefix="1" applyFont="1" applyFill="1" applyBorder="1" applyAlignment="1"/>
    <xf numFmtId="0" fontId="8" fillId="0" borderId="0" xfId="0" quotePrefix="1" applyFont="1" applyFill="1" applyBorder="1" applyAlignment="1"/>
    <xf numFmtId="164" fontId="19" fillId="6" borderId="31" xfId="0" applyNumberFormat="1" applyFont="1" applyFill="1" applyBorder="1" applyAlignment="1">
      <alignment horizontal="right" vertical="center"/>
    </xf>
    <xf numFmtId="164" fontId="19" fillId="6" borderId="32" xfId="0" applyNumberFormat="1" applyFont="1" applyFill="1" applyBorder="1" applyAlignment="1">
      <alignment horizontal="right" vertical="center"/>
    </xf>
    <xf numFmtId="0" fontId="4" fillId="0" borderId="0" xfId="0" quotePrefix="1" applyFont="1" applyFill="1" applyBorder="1" applyAlignment="1">
      <alignment vertical="top"/>
    </xf>
    <xf numFmtId="170" fontId="5" fillId="6" borderId="32" xfId="0" applyNumberFormat="1" applyFont="1" applyFill="1" applyBorder="1" applyAlignment="1">
      <alignment horizontal="right" vertical="center"/>
    </xf>
    <xf numFmtId="0" fontId="5" fillId="0" borderId="0" xfId="0" quotePrefix="1" applyFont="1" applyFill="1" applyBorder="1" applyAlignment="1">
      <alignment horizontal="left"/>
    </xf>
    <xf numFmtId="164" fontId="4" fillId="0" borderId="11" xfId="0" applyNumberFormat="1" applyFont="1" applyBorder="1" applyAlignment="1">
      <alignment horizontal="right" vertical="center"/>
    </xf>
    <xf numFmtId="164" fontId="6" fillId="0" borderId="37" xfId="0" applyNumberFormat="1" applyFont="1" applyFill="1" applyBorder="1" applyAlignment="1">
      <alignment horizontal="right" vertical="center"/>
    </xf>
    <xf numFmtId="0" fontId="4" fillId="0" borderId="3" xfId="0" applyFont="1" applyBorder="1" applyAlignment="1">
      <alignment vertical="center"/>
    </xf>
    <xf numFmtId="0" fontId="6" fillId="0" borderId="3" xfId="0" applyFont="1" applyBorder="1" applyAlignment="1">
      <alignment vertical="center"/>
    </xf>
    <xf numFmtId="164" fontId="8" fillId="6" borderId="18" xfId="0" applyNumberFormat="1" applyFont="1" applyFill="1" applyBorder="1" applyAlignment="1">
      <alignment horizontal="right" vertical="center"/>
    </xf>
    <xf numFmtId="164" fontId="5" fillId="6" borderId="32" xfId="0" applyNumberFormat="1" applyFont="1" applyFill="1" applyBorder="1" applyAlignment="1">
      <alignment horizontal="right" vertical="center"/>
    </xf>
    <xf numFmtId="164" fontId="4" fillId="42" borderId="38" xfId="0" applyNumberFormat="1" applyFont="1" applyFill="1" applyBorder="1" applyAlignment="1">
      <alignment horizontal="right" vertical="center"/>
    </xf>
    <xf numFmtId="0" fontId="4" fillId="0" borderId="0" xfId="0" applyFont="1" applyAlignment="1">
      <alignment horizontal="left" vertical="top"/>
    </xf>
    <xf numFmtId="0" fontId="29" fillId="6" borderId="15" xfId="0" applyFont="1" applyFill="1" applyBorder="1" applyAlignment="1">
      <alignment horizontal="center" vertical="center"/>
    </xf>
    <xf numFmtId="164" fontId="18" fillId="0" borderId="15" xfId="0" applyNumberFormat="1" applyFont="1" applyFill="1" applyBorder="1" applyAlignment="1">
      <alignment horizontal="center" vertical="center"/>
    </xf>
    <xf numFmtId="164" fontId="19" fillId="0" borderId="6" xfId="0" applyNumberFormat="1" applyFont="1" applyFill="1" applyBorder="1" applyAlignment="1">
      <alignment horizontal="center" vertical="center"/>
    </xf>
    <xf numFmtId="166" fontId="18" fillId="0" borderId="15" xfId="0" applyNumberFormat="1" applyFont="1" applyFill="1" applyBorder="1" applyAlignment="1">
      <alignment horizontal="right"/>
    </xf>
    <xf numFmtId="166" fontId="4" fillId="0" borderId="10" xfId="0" applyNumberFormat="1" applyFont="1" applyFill="1" applyBorder="1" applyAlignment="1">
      <alignment horizontal="right"/>
    </xf>
    <xf numFmtId="0" fontId="8" fillId="0" borderId="0" xfId="0" applyFont="1" applyAlignment="1">
      <alignment wrapText="1"/>
    </xf>
    <xf numFmtId="1" fontId="5" fillId="7" borderId="0" xfId="0" applyNumberFormat="1" applyFont="1" applyFill="1" applyBorder="1" applyAlignment="1">
      <alignment horizontal="center"/>
    </xf>
    <xf numFmtId="0" fontId="1" fillId="0" borderId="0" xfId="0" applyFont="1"/>
    <xf numFmtId="0" fontId="0" fillId="0" borderId="10" xfId="0" applyBorder="1"/>
    <xf numFmtId="0" fontId="4" fillId="0" borderId="0" xfId="0" applyFont="1" applyBorder="1" applyAlignment="1">
      <alignment vertical="center"/>
    </xf>
    <xf numFmtId="164" fontId="5" fillId="6" borderId="33" xfId="0" applyNumberFormat="1" applyFont="1" applyFill="1" applyBorder="1" applyAlignment="1">
      <alignment horizontal="right" vertical="center"/>
    </xf>
    <xf numFmtId="164" fontId="6" fillId="0" borderId="12" xfId="0" applyNumberFormat="1" applyFont="1" applyBorder="1" applyAlignment="1">
      <alignment horizontal="right" vertical="center"/>
    </xf>
    <xf numFmtId="2" fontId="4" fillId="6" borderId="0" xfId="0" applyNumberFormat="1" applyFont="1" applyFill="1" applyBorder="1" applyAlignment="1">
      <alignment horizontal="right" vertical="center"/>
    </xf>
    <xf numFmtId="164" fontId="18" fillId="0" borderId="9" xfId="0" applyNumberFormat="1" applyFont="1" applyBorder="1" applyAlignment="1">
      <alignment horizontal="right" vertical="center"/>
    </xf>
    <xf numFmtId="2" fontId="4" fillId="6" borderId="8" xfId="0" applyNumberFormat="1" applyFont="1" applyFill="1" applyBorder="1" applyAlignment="1">
      <alignment horizontal="right" vertical="center"/>
    </xf>
    <xf numFmtId="164" fontId="18" fillId="42" borderId="10" xfId="0" applyNumberFormat="1" applyFont="1" applyFill="1" applyBorder="1" applyAlignment="1">
      <alignment horizontal="right" vertical="center"/>
    </xf>
    <xf numFmtId="170" fontId="4" fillId="0" borderId="8" xfId="0" applyNumberFormat="1" applyFont="1" applyFill="1" applyBorder="1" applyAlignment="1">
      <alignment horizontal="center" vertical="center"/>
    </xf>
    <xf numFmtId="170" fontId="8" fillId="0" borderId="7" xfId="0" applyNumberFormat="1" applyFont="1" applyFill="1" applyBorder="1" applyAlignment="1">
      <alignment horizontal="center"/>
    </xf>
    <xf numFmtId="172" fontId="4" fillId="0" borderId="15" xfId="0" applyNumberFormat="1" applyFont="1" applyFill="1" applyBorder="1" applyAlignment="1">
      <alignment horizontal="center"/>
    </xf>
    <xf numFmtId="170" fontId="4" fillId="0" borderId="13" xfId="0" applyNumberFormat="1" applyFont="1" applyFill="1" applyBorder="1" applyAlignment="1">
      <alignment horizontal="center"/>
    </xf>
    <xf numFmtId="0" fontId="0" fillId="0" borderId="15" xfId="0" applyBorder="1"/>
    <xf numFmtId="166" fontId="18" fillId="0" borderId="13" xfId="0" applyNumberFormat="1" applyFont="1" applyFill="1" applyBorder="1" applyAlignment="1">
      <alignment horizontal="right"/>
    </xf>
    <xf numFmtId="0" fontId="0" fillId="0" borderId="13" xfId="0" applyBorder="1"/>
    <xf numFmtId="0" fontId="8" fillId="6" borderId="7" xfId="0" applyFont="1" applyFill="1" applyBorder="1" applyAlignment="1">
      <alignment horizontal="center" vertical="center"/>
    </xf>
    <xf numFmtId="0" fontId="29" fillId="6" borderId="10" xfId="0" applyFont="1" applyFill="1" applyBorder="1" applyAlignment="1">
      <alignment horizontal="center" vertical="center"/>
    </xf>
    <xf numFmtId="0" fontId="0" fillId="0" borderId="8" xfId="0" applyBorder="1"/>
    <xf numFmtId="166" fontId="4" fillId="0" borderId="13" xfId="0" applyNumberFormat="1" applyFont="1" applyFill="1" applyBorder="1" applyAlignment="1">
      <alignment horizontal="right"/>
    </xf>
    <xf numFmtId="164" fontId="4" fillId="0" borderId="8" xfId="0" applyNumberFormat="1" applyFont="1" applyFill="1" applyBorder="1" applyAlignment="1">
      <alignment horizontal="center" vertical="center"/>
    </xf>
    <xf numFmtId="164" fontId="6" fillId="0" borderId="15" xfId="0" applyNumberFormat="1" applyFont="1" applyFill="1" applyBorder="1" applyAlignment="1">
      <alignment horizontal="center" vertical="center"/>
    </xf>
    <xf numFmtId="164" fontId="18" fillId="0" borderId="10" xfId="0" applyNumberFormat="1" applyFont="1" applyFill="1" applyBorder="1" applyAlignment="1">
      <alignment horizontal="center" vertical="center"/>
    </xf>
    <xf numFmtId="167" fontId="27" fillId="0" borderId="5" xfId="0" applyNumberFormat="1" applyFont="1" applyFill="1" applyBorder="1" applyAlignment="1">
      <alignment horizontal="right" vertical="center"/>
    </xf>
    <xf numFmtId="167" fontId="27" fillId="0" borderId="7" xfId="0" applyNumberFormat="1" applyFont="1" applyFill="1" applyBorder="1" applyAlignment="1">
      <alignment horizontal="right" vertical="center"/>
    </xf>
    <xf numFmtId="164" fontId="0" fillId="0" borderId="3" xfId="0" applyNumberFormat="1" applyBorder="1"/>
    <xf numFmtId="0" fontId="1" fillId="0" borderId="0" xfId="0" applyFont="1" applyFill="1" applyAlignment="1">
      <alignment vertical="center"/>
    </xf>
    <xf numFmtId="0" fontId="0" fillId="0" borderId="0" xfId="0" applyFill="1" applyAlignment="1">
      <alignment vertical="center"/>
    </xf>
    <xf numFmtId="164" fontId="19" fillId="6" borderId="6" xfId="0" applyNumberFormat="1" applyFont="1" applyFill="1" applyBorder="1" applyAlignment="1">
      <alignment horizontal="right" vertical="center"/>
    </xf>
    <xf numFmtId="164" fontId="19" fillId="6" borderId="0" xfId="0" applyNumberFormat="1" applyFont="1" applyFill="1" applyBorder="1" applyAlignment="1">
      <alignment horizontal="right" vertical="center"/>
    </xf>
    <xf numFmtId="164" fontId="5" fillId="6" borderId="0" xfId="0" applyNumberFormat="1" applyFont="1" applyFill="1" applyBorder="1" applyAlignment="1">
      <alignment horizontal="right" vertical="center"/>
    </xf>
    <xf numFmtId="164" fontId="8" fillId="6" borderId="0" xfId="0" applyNumberFormat="1" applyFont="1" applyFill="1" applyBorder="1" applyAlignment="1">
      <alignment horizontal="right" vertical="center"/>
    </xf>
    <xf numFmtId="164" fontId="19" fillId="6" borderId="8" xfId="0" applyNumberFormat="1" applyFont="1" applyFill="1" applyBorder="1" applyAlignment="1">
      <alignment horizontal="right" vertical="center"/>
    </xf>
    <xf numFmtId="164" fontId="19" fillId="6" borderId="33" xfId="0" applyNumberFormat="1" applyFont="1" applyFill="1" applyBorder="1" applyAlignment="1">
      <alignment horizontal="right" vertical="center"/>
    </xf>
    <xf numFmtId="0" fontId="5" fillId="0" borderId="0" xfId="0" applyFont="1" applyAlignment="1">
      <alignment horizontal="center"/>
    </xf>
    <xf numFmtId="0" fontId="12" fillId="0" borderId="0" xfId="0" applyFont="1" applyAlignment="1">
      <alignment horizontal="center"/>
    </xf>
    <xf numFmtId="164" fontId="5" fillId="6" borderId="18" xfId="0" applyNumberFormat="1" applyFont="1" applyFill="1" applyBorder="1" applyAlignment="1">
      <alignment horizontal="center"/>
    </xf>
    <xf numFmtId="164" fontId="5" fillId="0" borderId="0" xfId="0" applyNumberFormat="1" applyFont="1" applyBorder="1" applyAlignment="1">
      <alignment horizontal="center"/>
    </xf>
    <xf numFmtId="164" fontId="5" fillId="6" borderId="0" xfId="0" applyNumberFormat="1" applyFont="1" applyFill="1" applyBorder="1" applyAlignment="1">
      <alignment horizontal="center"/>
    </xf>
    <xf numFmtId="0" fontId="5" fillId="41" borderId="7" xfId="0" applyFont="1" applyFill="1" applyBorder="1" applyAlignment="1">
      <alignment horizontal="center" vertical="center"/>
    </xf>
    <xf numFmtId="2" fontId="6" fillId="41" borderId="7" xfId="0" applyNumberFormat="1" applyFont="1" applyFill="1" applyBorder="1" applyAlignment="1">
      <alignment horizontal="right" vertical="center"/>
    </xf>
    <xf numFmtId="164" fontId="6" fillId="41" borderId="3" xfId="0" applyNumberFormat="1" applyFont="1" applyFill="1" applyBorder="1" applyAlignment="1">
      <alignment horizontal="right" vertical="center"/>
    </xf>
    <xf numFmtId="164" fontId="4" fillId="41" borderId="3" xfId="0" applyNumberFormat="1" applyFont="1" applyFill="1" applyBorder="1" applyAlignment="1">
      <alignment horizontal="right" vertical="center"/>
    </xf>
    <xf numFmtId="0" fontId="11" fillId="0" borderId="0" xfId="0" applyFont="1" applyAlignment="1">
      <alignment horizontal="center" vertical="center"/>
    </xf>
    <xf numFmtId="0" fontId="0" fillId="0" borderId="0" xfId="0" applyAlignment="1">
      <alignment horizontal="center" vertical="center"/>
    </xf>
    <xf numFmtId="164" fontId="4" fillId="0" borderId="10" xfId="0" applyNumberFormat="1" applyFont="1" applyBorder="1" applyAlignment="1">
      <alignment horizontal="right" vertical="center"/>
    </xf>
    <xf numFmtId="164" fontId="4" fillId="0" borderId="3" xfId="0" applyNumberFormat="1" applyFont="1" applyBorder="1" applyAlignment="1">
      <alignment horizontal="right" vertical="center"/>
    </xf>
    <xf numFmtId="0" fontId="0" fillId="0" borderId="0" xfId="0" applyBorder="1" applyAlignment="1">
      <alignment horizontal="center" vertical="center"/>
    </xf>
    <xf numFmtId="0" fontId="1" fillId="0" borderId="0" xfId="0" applyFont="1" applyBorder="1"/>
    <xf numFmtId="0" fontId="5" fillId="7" borderId="1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0" fillId="41" borderId="0" xfId="0" applyFill="1"/>
    <xf numFmtId="0" fontId="0" fillId="41" borderId="0" xfId="0" applyFill="1" applyAlignment="1">
      <alignment horizontal="center" vertical="center"/>
    </xf>
    <xf numFmtId="169" fontId="4" fillId="0" borderId="0" xfId="0" applyNumberFormat="1" applyFont="1" applyFill="1" applyBorder="1" applyAlignment="1">
      <alignment horizontal="right" vertical="center"/>
    </xf>
    <xf numFmtId="164" fontId="6" fillId="6" borderId="31" xfId="0" applyNumberFormat="1" applyFont="1" applyFill="1" applyBorder="1" applyAlignment="1">
      <alignment horizontal="right" vertical="center"/>
    </xf>
    <xf numFmtId="164" fontId="6" fillId="6" borderId="32" xfId="0" applyNumberFormat="1" applyFont="1" applyFill="1" applyBorder="1" applyAlignment="1">
      <alignment horizontal="right" vertical="center"/>
    </xf>
    <xf numFmtId="164" fontId="4" fillId="6" borderId="32" xfId="0" applyNumberFormat="1" applyFont="1" applyFill="1" applyBorder="1" applyAlignment="1">
      <alignment horizontal="right" vertical="center"/>
    </xf>
    <xf numFmtId="1" fontId="5" fillId="0" borderId="6" xfId="0" applyNumberFormat="1" applyFont="1" applyFill="1" applyBorder="1" applyAlignment="1">
      <alignment horizontal="center" vertical="center"/>
    </xf>
    <xf numFmtId="164" fontId="5" fillId="6" borderId="6" xfId="0" applyNumberFormat="1" applyFont="1" applyFill="1" applyBorder="1" applyAlignment="1">
      <alignment horizontal="center" vertical="center"/>
    </xf>
    <xf numFmtId="164" fontId="5" fillId="42" borderId="5" xfId="0" applyNumberFormat="1" applyFont="1" applyFill="1" applyBorder="1" applyAlignment="1">
      <alignment horizontal="center" vertical="center"/>
    </xf>
    <xf numFmtId="164" fontId="5" fillId="42" borderId="7" xfId="0" applyNumberFormat="1" applyFont="1" applyFill="1" applyBorder="1" applyAlignment="1">
      <alignment horizontal="center" vertical="center"/>
    </xf>
    <xf numFmtId="0" fontId="4" fillId="0" borderId="0" xfId="0" applyFont="1" applyFill="1" applyBorder="1" applyAlignment="1">
      <alignment horizontal="right" vertical="center"/>
    </xf>
    <xf numFmtId="164" fontId="23" fillId="0" borderId="0" xfId="0" quotePrefix="1" applyNumberFormat="1" applyFont="1" applyBorder="1" applyAlignment="1">
      <alignment horizontal="right" vertical="top"/>
    </xf>
    <xf numFmtId="164" fontId="29" fillId="7" borderId="5" xfId="0" applyNumberFormat="1" applyFont="1" applyFill="1" applyBorder="1" applyAlignment="1">
      <alignment horizontal="center" wrapText="1"/>
    </xf>
    <xf numFmtId="164" fontId="8" fillId="7" borderId="7" xfId="0" applyNumberFormat="1" applyFont="1" applyFill="1" applyBorder="1" applyAlignment="1">
      <alignment horizontal="center" vertical="top"/>
    </xf>
    <xf numFmtId="164" fontId="0" fillId="0" borderId="12" xfId="0" applyNumberFormat="1" applyBorder="1"/>
    <xf numFmtId="164" fontId="8" fillId="0" borderId="0" xfId="0" quotePrefix="1" applyNumberFormat="1" applyFont="1" applyFill="1" applyBorder="1" applyAlignment="1">
      <alignment wrapText="1"/>
    </xf>
    <xf numFmtId="164" fontId="6" fillId="0" borderId="0" xfId="0" quotePrefix="1" applyNumberFormat="1" applyFont="1" applyFill="1" applyBorder="1" applyAlignment="1">
      <alignment vertical="top" wrapText="1"/>
    </xf>
    <xf numFmtId="164" fontId="5" fillId="0" borderId="7" xfId="0" applyNumberFormat="1" applyFont="1" applyFill="1" applyBorder="1" applyAlignment="1">
      <alignment horizontal="center" vertical="center"/>
    </xf>
    <xf numFmtId="49" fontId="5" fillId="9" borderId="5" xfId="0" applyNumberFormat="1" applyFont="1" applyFill="1" applyBorder="1" applyAlignment="1">
      <alignment horizontal="center" vertical="center"/>
    </xf>
    <xf numFmtId="164" fontId="0" fillId="0" borderId="0" xfId="0" applyNumberFormat="1" applyAlignment="1">
      <alignment horizontal="center" vertical="center"/>
    </xf>
    <xf numFmtId="164" fontId="19" fillId="6" borderId="18" xfId="0" applyNumberFormat="1" applyFont="1" applyFill="1" applyBorder="1" applyAlignment="1">
      <alignment horizontal="center" vertical="center"/>
    </xf>
    <xf numFmtId="164" fontId="0" fillId="0" borderId="0" xfId="0" applyNumberFormat="1" applyBorder="1" applyAlignment="1">
      <alignment horizontal="center" vertical="center"/>
    </xf>
    <xf numFmtId="0" fontId="29" fillId="6" borderId="0" xfId="0" applyFont="1" applyFill="1" applyBorder="1" applyAlignment="1">
      <alignment horizontal="center" vertical="center"/>
    </xf>
    <xf numFmtId="164" fontId="6" fillId="41" borderId="6" xfId="0" applyNumberFormat="1" applyFont="1" applyFill="1" applyBorder="1" applyAlignment="1">
      <alignment horizontal="right" vertical="center"/>
    </xf>
    <xf numFmtId="164" fontId="4" fillId="6" borderId="6" xfId="0" applyNumberFormat="1" applyFont="1" applyFill="1" applyBorder="1" applyAlignment="1">
      <alignment horizontal="right" vertical="center"/>
    </xf>
    <xf numFmtId="164" fontId="4" fillId="6" borderId="7" xfId="0" applyNumberFormat="1" applyFont="1" applyFill="1" applyBorder="1" applyAlignment="1">
      <alignment horizontal="right" vertical="center"/>
    </xf>
    <xf numFmtId="164" fontId="4" fillId="41" borderId="10" xfId="0" applyNumberFormat="1" applyFont="1" applyFill="1" applyBorder="1" applyAlignment="1">
      <alignment horizontal="right" vertical="center"/>
    </xf>
    <xf numFmtId="1" fontId="5" fillId="7" borderId="8" xfId="0" applyNumberFormat="1" applyFont="1" applyFill="1" applyBorder="1" applyAlignment="1">
      <alignment horizontal="center" vertical="center"/>
    </xf>
    <xf numFmtId="164" fontId="4" fillId="0" borderId="0" xfId="0" applyNumberFormat="1" applyFont="1" applyAlignment="1">
      <alignment horizontal="right"/>
    </xf>
    <xf numFmtId="164" fontId="12" fillId="0" borderId="0" xfId="0" applyNumberFormat="1" applyFont="1" applyAlignment="1">
      <alignment horizontal="right"/>
    </xf>
    <xf numFmtId="164" fontId="4" fillId="0" borderId="0" xfId="0" applyNumberFormat="1" applyFont="1" applyAlignment="1">
      <alignment horizontal="right" vertical="top"/>
    </xf>
    <xf numFmtId="2" fontId="6" fillId="42" borderId="18" xfId="0" applyNumberFormat="1" applyFont="1" applyFill="1" applyBorder="1" applyAlignment="1">
      <alignment horizontal="right" vertical="center"/>
    </xf>
    <xf numFmtId="164" fontId="4" fillId="0" borderId="0" xfId="0" applyNumberFormat="1" applyFont="1"/>
    <xf numFmtId="164" fontId="12" fillId="0" borderId="0" xfId="0" applyNumberFormat="1" applyFont="1"/>
    <xf numFmtId="164" fontId="8" fillId="7" borderId="6" xfId="0" applyNumberFormat="1" applyFont="1" applyFill="1" applyBorder="1" applyAlignment="1">
      <alignment horizontal="center" vertical="top"/>
    </xf>
    <xf numFmtId="164" fontId="4" fillId="0" borderId="0" xfId="0" applyNumberFormat="1" applyFont="1" applyAlignment="1">
      <alignment vertical="top"/>
    </xf>
    <xf numFmtId="0" fontId="5" fillId="0" borderId="8" xfId="0" applyFont="1" applyFill="1" applyBorder="1" applyAlignment="1">
      <alignment horizontal="center" vertical="center"/>
    </xf>
    <xf numFmtId="164" fontId="5" fillId="0" borderId="10" xfId="0" applyNumberFormat="1" applyFont="1" applyFill="1" applyBorder="1" applyAlignment="1">
      <alignment horizontal="center" vertical="center"/>
    </xf>
    <xf numFmtId="0" fontId="5" fillId="6" borderId="0" xfId="0" applyFont="1" applyFill="1" applyBorder="1" applyAlignment="1">
      <alignment horizontal="center" vertical="center" wrapText="1"/>
    </xf>
    <xf numFmtId="0" fontId="1" fillId="0" borderId="0" xfId="0" applyFont="1" applyAlignment="1">
      <alignment horizontal="center" vertical="center"/>
    </xf>
    <xf numFmtId="1" fontId="19" fillId="0" borderId="5" xfId="0" applyNumberFormat="1" applyFont="1" applyFill="1" applyBorder="1" applyAlignment="1">
      <alignment horizontal="right" vertical="center"/>
    </xf>
    <xf numFmtId="0" fontId="5" fillId="6" borderId="13" xfId="0" applyFont="1" applyFill="1" applyBorder="1" applyAlignment="1">
      <alignment horizontal="center" vertical="center"/>
    </xf>
    <xf numFmtId="1" fontId="19" fillId="0" borderId="18" xfId="0" applyNumberFormat="1" applyFont="1" applyFill="1" applyBorder="1" applyAlignment="1">
      <alignment horizontal="right" vertical="center"/>
    </xf>
    <xf numFmtId="167" fontId="27" fillId="0" borderId="9" xfId="0" applyNumberFormat="1" applyFont="1" applyFill="1" applyBorder="1" applyAlignment="1">
      <alignment horizontal="right" vertical="center"/>
    </xf>
    <xf numFmtId="167" fontId="27" fillId="0" borderId="3" xfId="0" applyNumberFormat="1" applyFont="1" applyFill="1" applyBorder="1" applyAlignment="1">
      <alignment horizontal="right" vertical="center"/>
    </xf>
    <xf numFmtId="167" fontId="27" fillId="0" borderId="12" xfId="0" applyNumberFormat="1" applyFont="1" applyFill="1" applyBorder="1" applyAlignment="1">
      <alignment horizontal="right" vertical="center"/>
    </xf>
    <xf numFmtId="0" fontId="8" fillId="6" borderId="9"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5" fillId="6" borderId="8" xfId="0" applyFont="1" applyFill="1" applyBorder="1" applyAlignment="1">
      <alignment horizontal="center" vertical="center" wrapText="1"/>
    </xf>
    <xf numFmtId="164" fontId="6" fillId="0" borderId="13" xfId="0" applyNumberFormat="1" applyFont="1" applyBorder="1" applyAlignment="1">
      <alignment horizontal="right" vertical="center"/>
    </xf>
    <xf numFmtId="164" fontId="8" fillId="6" borderId="32" xfId="0" applyNumberFormat="1" applyFont="1" applyFill="1" applyBorder="1" applyAlignment="1">
      <alignment horizontal="right" vertical="center"/>
    </xf>
    <xf numFmtId="164" fontId="4" fillId="0" borderId="13" xfId="0" applyNumberFormat="1" applyFont="1" applyBorder="1" applyAlignment="1">
      <alignment horizontal="right" vertical="center"/>
    </xf>
    <xf numFmtId="0" fontId="5" fillId="42" borderId="18" xfId="0" applyFont="1" applyFill="1" applyBorder="1" applyAlignment="1">
      <alignment horizontal="center" vertical="center"/>
    </xf>
    <xf numFmtId="164" fontId="6" fillId="6" borderId="33" xfId="0" applyNumberFormat="1" applyFont="1" applyFill="1" applyBorder="1" applyAlignment="1">
      <alignment horizontal="right" vertical="center"/>
    </xf>
    <xf numFmtId="164" fontId="45" fillId="0" borderId="0" xfId="0" applyNumberFormat="1" applyFont="1"/>
    <xf numFmtId="164" fontId="1" fillId="0" borderId="0" xfId="0" applyNumberFormat="1" applyFont="1" applyFill="1" applyBorder="1" applyAlignment="1"/>
    <xf numFmtId="164" fontId="1" fillId="0" borderId="39" xfId="0" applyNumberFormat="1" applyFont="1" applyBorder="1"/>
    <xf numFmtId="164" fontId="18" fillId="0" borderId="9" xfId="53" applyNumberFormat="1" applyFont="1" applyFill="1" applyBorder="1" applyAlignment="1">
      <alignment horizontal="right" vertical="center"/>
    </xf>
    <xf numFmtId="164" fontId="4" fillId="0" borderId="30" xfId="0" applyNumberFormat="1" applyFont="1" applyFill="1" applyBorder="1" applyAlignment="1">
      <alignment horizontal="right" vertical="center"/>
    </xf>
    <xf numFmtId="164" fontId="18" fillId="0" borderId="13" xfId="0" applyNumberFormat="1" applyFont="1" applyFill="1" applyBorder="1" applyAlignment="1">
      <alignment horizontal="right" vertical="center"/>
    </xf>
    <xf numFmtId="164" fontId="18" fillId="0" borderId="8" xfId="53" applyNumberFormat="1" applyFont="1" applyFill="1" applyBorder="1" applyAlignment="1">
      <alignment horizontal="right" vertical="center"/>
    </xf>
    <xf numFmtId="164" fontId="4" fillId="0" borderId="8" xfId="53" applyNumberFormat="1" applyFont="1" applyFill="1" applyBorder="1" applyAlignment="1">
      <alignment horizontal="right" vertical="center"/>
    </xf>
    <xf numFmtId="164" fontId="4" fillId="41" borderId="10" xfId="53" applyNumberFormat="1" applyFont="1" applyFill="1" applyBorder="1" applyAlignment="1">
      <alignment horizontal="right" vertical="center"/>
    </xf>
    <xf numFmtId="0" fontId="1" fillId="0" borderId="15" xfId="0" applyFont="1" applyFill="1" applyBorder="1" applyAlignment="1">
      <alignment vertical="center"/>
    </xf>
    <xf numFmtId="1" fontId="19" fillId="0" borderId="0" xfId="0" applyNumberFormat="1" applyFont="1" applyFill="1" applyBorder="1" applyAlignment="1">
      <alignment horizontal="right" vertical="center"/>
    </xf>
    <xf numFmtId="164" fontId="4" fillId="0" borderId="9" xfId="0" applyNumberFormat="1" applyFont="1" applyFill="1" applyBorder="1" applyAlignment="1">
      <alignment horizontal="right" vertical="center"/>
    </xf>
    <xf numFmtId="164" fontId="5" fillId="0" borderId="0" xfId="0" applyNumberFormat="1" applyFont="1" applyFill="1" applyBorder="1" applyAlignment="1">
      <alignment horizontal="center" vertical="center"/>
    </xf>
    <xf numFmtId="0" fontId="4" fillId="0" borderId="3" xfId="0" applyFont="1" applyBorder="1" applyAlignment="1">
      <alignment horizontal="right" vertical="center"/>
    </xf>
    <xf numFmtId="164" fontId="4" fillId="6" borderId="33" xfId="0" applyNumberFormat="1" applyFont="1" applyFill="1" applyBorder="1" applyAlignment="1">
      <alignment horizontal="right" vertical="center"/>
    </xf>
    <xf numFmtId="0" fontId="0" fillId="0" borderId="0" xfId="0" applyAlignment="1">
      <alignment horizontal="right"/>
    </xf>
    <xf numFmtId="0" fontId="23" fillId="0" borderId="0" xfId="0" applyFont="1" applyBorder="1" applyAlignment="1">
      <alignment horizontal="right" vertical="top" wrapText="1"/>
    </xf>
    <xf numFmtId="0" fontId="22" fillId="0" borderId="0" xfId="0" applyFont="1" applyBorder="1" applyAlignment="1">
      <alignment horizontal="right" vertical="center" wrapText="1"/>
    </xf>
    <xf numFmtId="0" fontId="12" fillId="0" borderId="0" xfId="0" applyFont="1" applyAlignment="1">
      <alignment horizontal="right"/>
    </xf>
    <xf numFmtId="0" fontId="29" fillId="7" borderId="9" xfId="0" applyFont="1" applyFill="1" applyBorder="1" applyAlignment="1">
      <alignment horizontal="right" wrapText="1"/>
    </xf>
    <xf numFmtId="0" fontId="8" fillId="7" borderId="10" xfId="0" applyFont="1" applyFill="1" applyBorder="1" applyAlignment="1">
      <alignment horizontal="right" vertical="top"/>
    </xf>
    <xf numFmtId="164" fontId="5" fillId="0" borderId="6" xfId="0" applyNumberFormat="1" applyFont="1" applyFill="1" applyBorder="1" applyAlignment="1">
      <alignment horizontal="right" vertical="center"/>
    </xf>
    <xf numFmtId="164" fontId="5" fillId="6" borderId="6" xfId="0" applyNumberFormat="1" applyFont="1" applyFill="1" applyBorder="1" applyAlignment="1">
      <alignment horizontal="right" vertical="center"/>
    </xf>
    <xf numFmtId="0" fontId="0" fillId="0" borderId="12" xfId="0" applyBorder="1" applyAlignment="1">
      <alignment horizontal="right"/>
    </xf>
    <xf numFmtId="0" fontId="8" fillId="0" borderId="0" xfId="0" quotePrefix="1" applyFont="1" applyFill="1" applyBorder="1" applyAlignment="1">
      <alignment horizontal="right" wrapText="1"/>
    </xf>
    <xf numFmtId="0" fontId="6" fillId="0" borderId="0" xfId="0" quotePrefix="1" applyFont="1" applyFill="1" applyBorder="1" applyAlignment="1">
      <alignment horizontal="right" vertical="top" wrapText="1"/>
    </xf>
    <xf numFmtId="164" fontId="5" fillId="0" borderId="7" xfId="0" applyNumberFormat="1" applyFont="1" applyFill="1" applyBorder="1" applyAlignment="1">
      <alignment horizontal="right" vertical="center"/>
    </xf>
    <xf numFmtId="164" fontId="5" fillId="6" borderId="18" xfId="0" applyNumberFormat="1" applyFont="1" applyFill="1" applyBorder="1" applyAlignment="1">
      <alignment horizontal="right" vertical="center"/>
    </xf>
    <xf numFmtId="164" fontId="6" fillId="42" borderId="40" xfId="0" applyNumberFormat="1" applyFont="1" applyFill="1" applyBorder="1" applyAlignment="1">
      <alignment horizontal="right" vertical="center"/>
    </xf>
    <xf numFmtId="164" fontId="6" fillId="0" borderId="38" xfId="0" applyNumberFormat="1" applyFont="1" applyBorder="1" applyAlignment="1">
      <alignment horizontal="right" vertical="center"/>
    </xf>
    <xf numFmtId="164" fontId="6" fillId="0" borderId="10" xfId="0" applyNumberFormat="1" applyFont="1" applyBorder="1" applyAlignment="1">
      <alignment horizontal="right" vertical="center"/>
    </xf>
    <xf numFmtId="0" fontId="5" fillId="6" borderId="31" xfId="0" applyFont="1" applyFill="1" applyBorder="1" applyAlignment="1">
      <alignment horizontal="center" vertical="center"/>
    </xf>
    <xf numFmtId="170" fontId="19" fillId="6" borderId="33" xfId="0" applyNumberFormat="1" applyFont="1" applyFill="1" applyBorder="1" applyAlignment="1">
      <alignment horizontal="right" vertical="center"/>
    </xf>
    <xf numFmtId="164" fontId="5" fillId="6" borderId="32" xfId="0" applyNumberFormat="1" applyFont="1" applyFill="1" applyBorder="1" applyAlignment="1">
      <alignment horizontal="center" vertical="center"/>
    </xf>
    <xf numFmtId="164" fontId="29" fillId="7" borderId="9" xfId="0" applyNumberFormat="1" applyFont="1" applyFill="1" applyBorder="1" applyAlignment="1">
      <alignment horizontal="center" wrapText="1"/>
    </xf>
    <xf numFmtId="164" fontId="8" fillId="7" borderId="8" xfId="0" applyNumberFormat="1" applyFont="1" applyFill="1" applyBorder="1" applyAlignment="1">
      <alignment horizontal="center" vertical="top"/>
    </xf>
    <xf numFmtId="164" fontId="19" fillId="6" borderId="6" xfId="0" applyNumberFormat="1" applyFont="1" applyFill="1" applyBorder="1" applyAlignment="1">
      <alignment horizontal="center" vertical="center"/>
    </xf>
    <xf numFmtId="1" fontId="5" fillId="7" borderId="5" xfId="0" applyNumberFormat="1" applyFont="1" applyFill="1" applyBorder="1" applyAlignment="1">
      <alignment horizontal="center" vertical="center"/>
    </xf>
    <xf numFmtId="1" fontId="5" fillId="7" borderId="12" xfId="0" applyNumberFormat="1" applyFont="1" applyFill="1" applyBorder="1" applyAlignment="1">
      <alignment horizontal="center" vertical="center"/>
    </xf>
    <xf numFmtId="0" fontId="23" fillId="0" borderId="12" xfId="0" quotePrefix="1" applyFont="1" applyBorder="1" applyAlignment="1">
      <alignment horizontal="right" vertical="top"/>
    </xf>
    <xf numFmtId="164" fontId="4" fillId="0" borderId="11" xfId="0" applyNumberFormat="1" applyFont="1" applyFill="1" applyBorder="1" applyAlignment="1">
      <alignment horizontal="right" vertical="center"/>
    </xf>
    <xf numFmtId="170" fontId="4" fillId="0" borderId="3" xfId="0" applyNumberFormat="1" applyFont="1" applyFill="1" applyBorder="1" applyAlignment="1">
      <alignment horizontal="center"/>
    </xf>
    <xf numFmtId="170" fontId="4" fillId="0" borderId="10" xfId="0" applyNumberFormat="1" applyFont="1" applyFill="1" applyBorder="1" applyAlignment="1">
      <alignment horizontal="center"/>
    </xf>
    <xf numFmtId="170" fontId="8" fillId="0" borderId="41" xfId="0" applyNumberFormat="1" applyFont="1" applyFill="1" applyBorder="1" applyAlignment="1">
      <alignment horizontal="center"/>
    </xf>
    <xf numFmtId="170" fontId="8" fillId="0" borderId="42" xfId="0" applyNumberFormat="1" applyFont="1" applyFill="1" applyBorder="1" applyAlignment="1">
      <alignment horizontal="center"/>
    </xf>
    <xf numFmtId="166" fontId="8" fillId="0" borderId="0" xfId="0" applyNumberFormat="1" applyFont="1" applyFill="1" applyBorder="1"/>
    <xf numFmtId="164" fontId="8" fillId="0" borderId="0" xfId="0" applyNumberFormat="1" applyFont="1" applyAlignment="1">
      <alignment wrapText="1"/>
    </xf>
    <xf numFmtId="0" fontId="22" fillId="0" borderId="0" xfId="0" applyFont="1" applyBorder="1" applyAlignment="1">
      <alignment horizontal="center"/>
    </xf>
    <xf numFmtId="1" fontId="22" fillId="0" borderId="0" xfId="0" applyNumberFormat="1" applyFont="1" applyBorder="1" applyAlignment="1">
      <alignment horizontal="center"/>
    </xf>
    <xf numFmtId="164" fontId="0" fillId="0" borderId="0" xfId="0" applyNumberFormat="1" applyBorder="1"/>
    <xf numFmtId="2" fontId="4" fillId="0" borderId="10" xfId="0" applyNumberFormat="1" applyFont="1" applyFill="1" applyBorder="1" applyAlignment="1">
      <alignment vertical="center"/>
    </xf>
    <xf numFmtId="1" fontId="5" fillId="0" borderId="15" xfId="0" applyNumberFormat="1" applyFont="1" applyFill="1" applyBorder="1" applyAlignment="1">
      <alignment horizontal="center" vertical="center"/>
    </xf>
    <xf numFmtId="0" fontId="8" fillId="0" borderId="0" xfId="0" applyFont="1" applyBorder="1" applyAlignment="1">
      <alignment horizontal="left" vertical="top"/>
    </xf>
    <xf numFmtId="0" fontId="5" fillId="0" borderId="0" xfId="0" applyFont="1" applyBorder="1" applyAlignment="1">
      <alignment horizontal="center"/>
    </xf>
    <xf numFmtId="164" fontId="5" fillId="0" borderId="9" xfId="0" applyNumberFormat="1" applyFont="1" applyBorder="1" applyAlignment="1">
      <alignment horizontal="center"/>
    </xf>
    <xf numFmtId="0" fontId="4" fillId="0" borderId="52" xfId="0" applyFont="1" applyBorder="1"/>
    <xf numFmtId="164" fontId="6" fillId="0" borderId="37" xfId="0" applyNumberFormat="1" applyFont="1" applyBorder="1" applyAlignment="1">
      <alignment horizontal="right" vertical="center"/>
    </xf>
    <xf numFmtId="164" fontId="4" fillId="0" borderId="21" xfId="0" applyNumberFormat="1" applyFont="1" applyBorder="1" applyAlignment="1">
      <alignment horizontal="right" vertical="center"/>
    </xf>
    <xf numFmtId="0" fontId="8" fillId="0" borderId="5" xfId="0" applyFont="1" applyFill="1" applyBorder="1" applyAlignment="1">
      <alignment horizontal="left" vertical="top" wrapText="1"/>
    </xf>
    <xf numFmtId="0" fontId="5" fillId="0" borderId="0" xfId="0" applyFont="1" applyBorder="1"/>
    <xf numFmtId="49" fontId="4" fillId="0" borderId="0" xfId="0" applyNumberFormat="1" applyFont="1" applyBorder="1" applyAlignment="1">
      <alignment vertical="top" wrapText="1"/>
    </xf>
    <xf numFmtId="164" fontId="19" fillId="0" borderId="10" xfId="0" applyNumberFormat="1" applyFont="1" applyFill="1" applyBorder="1" applyAlignment="1">
      <alignment horizontal="center" vertical="center"/>
    </xf>
    <xf numFmtId="164" fontId="45" fillId="0" borderId="3" xfId="0" applyNumberFormat="1" applyFont="1" applyBorder="1"/>
    <xf numFmtId="164" fontId="45" fillId="0" borderId="10" xfId="0" applyNumberFormat="1" applyFont="1" applyBorder="1"/>
    <xf numFmtId="0" fontId="0" fillId="0" borderId="3" xfId="0" applyBorder="1"/>
    <xf numFmtId="0" fontId="8" fillId="0" borderId="15" xfId="0" applyFont="1" applyFill="1" applyBorder="1" applyAlignment="1">
      <alignment horizontal="left" vertical="top" wrapText="1"/>
    </xf>
    <xf numFmtId="0" fontId="8" fillId="0" borderId="13" xfId="0" applyFont="1" applyFill="1" applyBorder="1" applyAlignment="1">
      <alignment horizontal="left" vertical="top" wrapText="1"/>
    </xf>
    <xf numFmtId="164" fontId="6" fillId="0" borderId="33" xfId="0" quotePrefix="1" applyNumberFormat="1" applyFont="1" applyFill="1" applyBorder="1" applyAlignment="1">
      <alignment vertical="center"/>
    </xf>
    <xf numFmtId="164" fontId="6" fillId="0" borderId="0" xfId="0" quotePrefix="1" applyNumberFormat="1" applyFont="1" applyFill="1" applyBorder="1" applyAlignment="1">
      <alignment vertical="center"/>
    </xf>
    <xf numFmtId="164" fontId="6" fillId="0" borderId="8" xfId="0" quotePrefix="1" applyNumberFormat="1" applyFont="1" applyFill="1" applyBorder="1" applyAlignment="1">
      <alignment vertical="center"/>
    </xf>
    <xf numFmtId="2" fontId="4" fillId="0" borderId="3" xfId="0" applyNumberFormat="1" applyFont="1" applyFill="1" applyBorder="1" applyAlignment="1">
      <alignment vertical="center"/>
    </xf>
    <xf numFmtId="1" fontId="5" fillId="0" borderId="31" xfId="0" applyNumberFormat="1" applyFont="1" applyFill="1" applyBorder="1" applyAlignment="1">
      <alignment horizontal="center" vertical="center"/>
    </xf>
    <xf numFmtId="164" fontId="6" fillId="0" borderId="9" xfId="0" quotePrefix="1" applyNumberFormat="1" applyFont="1" applyFill="1" applyBorder="1" applyAlignment="1">
      <alignment vertical="center"/>
    </xf>
    <xf numFmtId="1" fontId="5" fillId="0" borderId="32" xfId="0" applyNumberFormat="1" applyFont="1" applyFill="1" applyBorder="1" applyAlignment="1">
      <alignment horizontal="center" vertical="center"/>
    </xf>
    <xf numFmtId="164" fontId="6" fillId="0" borderId="11" xfId="0" quotePrefix="1" applyNumberFormat="1" applyFont="1" applyFill="1" applyBorder="1" applyAlignment="1">
      <alignment vertical="center"/>
    </xf>
    <xf numFmtId="164" fontId="6" fillId="0" borderId="12" xfId="0" quotePrefix="1" applyNumberFormat="1" applyFont="1" applyFill="1" applyBorder="1" applyAlignment="1">
      <alignment vertical="center"/>
    </xf>
    <xf numFmtId="1" fontId="5" fillId="0" borderId="10" xfId="0" applyNumberFormat="1" applyFont="1" applyFill="1" applyBorder="1" applyAlignment="1">
      <alignment horizontal="center" vertical="center"/>
    </xf>
    <xf numFmtId="164" fontId="6" fillId="0" borderId="13" xfId="0" quotePrefix="1" applyNumberFormat="1" applyFont="1" applyFill="1" applyBorder="1" applyAlignment="1">
      <alignment vertical="center"/>
    </xf>
    <xf numFmtId="164" fontId="6" fillId="0" borderId="3" xfId="0" quotePrefix="1" applyNumberFormat="1" applyFont="1" applyFill="1" applyBorder="1" applyAlignment="1">
      <alignment vertical="center"/>
    </xf>
    <xf numFmtId="164" fontId="6" fillId="0" borderId="32" xfId="0" quotePrefix="1" applyNumberFormat="1" applyFont="1" applyFill="1" applyBorder="1" applyAlignment="1">
      <alignment vertical="center"/>
    </xf>
    <xf numFmtId="164" fontId="4" fillId="6" borderId="0" xfId="0" applyNumberFormat="1" applyFont="1" applyFill="1" applyBorder="1" applyAlignment="1">
      <alignment horizontal="center" vertical="center"/>
    </xf>
    <xf numFmtId="164" fontId="4" fillId="6" borderId="8" xfId="0" applyNumberFormat="1" applyFont="1" applyFill="1" applyBorder="1" applyAlignment="1">
      <alignment horizontal="center" vertical="center"/>
    </xf>
    <xf numFmtId="164" fontId="4" fillId="0" borderId="8" xfId="0" applyNumberFormat="1" applyFont="1" applyBorder="1" applyAlignment="1">
      <alignment horizontal="center" vertical="center"/>
    </xf>
    <xf numFmtId="164" fontId="18" fillId="6" borderId="14" xfId="0" applyNumberFormat="1" applyFont="1" applyFill="1" applyBorder="1" applyAlignment="1">
      <alignment horizontal="right" vertical="center"/>
    </xf>
    <xf numFmtId="0" fontId="4" fillId="0" borderId="20" xfId="0" applyFont="1" applyBorder="1"/>
    <xf numFmtId="164" fontId="5" fillId="6" borderId="0" xfId="0" applyNumberFormat="1" applyFont="1" applyFill="1" applyBorder="1" applyAlignment="1">
      <alignment horizontal="center" vertical="center"/>
    </xf>
    <xf numFmtId="170" fontId="5" fillId="6" borderId="33" xfId="0" applyNumberFormat="1" applyFont="1" applyFill="1" applyBorder="1" applyAlignment="1">
      <alignment horizontal="right" vertical="center"/>
    </xf>
    <xf numFmtId="164" fontId="18" fillId="6" borderId="8" xfId="0" applyNumberFormat="1" applyFont="1" applyFill="1" applyBorder="1" applyAlignment="1">
      <alignment horizontal="center" vertical="center"/>
    </xf>
    <xf numFmtId="164" fontId="4" fillId="42" borderId="9" xfId="0" applyNumberFormat="1" applyFont="1" applyFill="1" applyBorder="1" applyAlignment="1">
      <alignment horizontal="right" vertical="center"/>
    </xf>
    <xf numFmtId="169" fontId="6" fillId="0" borderId="15" xfId="0" applyNumberFormat="1" applyFont="1" applyFill="1" applyBorder="1" applyAlignment="1">
      <alignment horizontal="right" vertical="center"/>
    </xf>
    <xf numFmtId="0" fontId="4" fillId="0" borderId="3" xfId="0" applyFont="1" applyBorder="1"/>
    <xf numFmtId="164" fontId="4" fillId="0" borderId="7" xfId="0" applyNumberFormat="1" applyFont="1" applyBorder="1" applyAlignment="1">
      <alignment horizontal="center" vertical="center"/>
    </xf>
    <xf numFmtId="2" fontId="18" fillId="6" borderId="0" xfId="0" applyNumberFormat="1" applyFont="1" applyFill="1" applyBorder="1" applyAlignment="1">
      <alignment horizontal="right" vertical="center"/>
    </xf>
    <xf numFmtId="164" fontId="5" fillId="42" borderId="6" xfId="0" applyNumberFormat="1" applyFont="1" applyFill="1" applyBorder="1" applyAlignment="1">
      <alignment horizontal="center" vertical="center"/>
    </xf>
    <xf numFmtId="164" fontId="4" fillId="0" borderId="6" xfId="0" applyNumberFormat="1" applyFont="1" applyFill="1" applyBorder="1" applyAlignment="1">
      <alignment horizontal="right" vertical="center"/>
    </xf>
    <xf numFmtId="164" fontId="5" fillId="42" borderId="6" xfId="0" applyNumberFormat="1" applyFont="1" applyFill="1" applyBorder="1" applyAlignment="1">
      <alignment horizontal="right" vertical="center"/>
    </xf>
    <xf numFmtId="164" fontId="4" fillId="0" borderId="0" xfId="0" applyNumberFormat="1" applyFont="1" applyFill="1" applyBorder="1" applyAlignment="1">
      <alignment horizontal="right" vertical="center" wrapText="1"/>
    </xf>
    <xf numFmtId="164" fontId="4" fillId="0" borderId="8" xfId="0" applyNumberFormat="1" applyFont="1" applyFill="1" applyBorder="1" applyAlignment="1">
      <alignment horizontal="right" vertical="center" wrapText="1"/>
    </xf>
    <xf numFmtId="164" fontId="6" fillId="42" borderId="20" xfId="0" applyNumberFormat="1" applyFont="1" applyFill="1" applyBorder="1" applyAlignment="1">
      <alignment horizontal="right" vertical="center"/>
    </xf>
    <xf numFmtId="164" fontId="5" fillId="0" borderId="0" xfId="0" applyNumberFormat="1" applyFont="1" applyFill="1" applyBorder="1" applyAlignment="1">
      <alignment horizontal="center"/>
    </xf>
    <xf numFmtId="164" fontId="5" fillId="42" borderId="0" xfId="0" applyNumberFormat="1" applyFont="1" applyFill="1" applyBorder="1" applyAlignment="1">
      <alignment horizontal="center"/>
    </xf>
    <xf numFmtId="164" fontId="4" fillId="0" borderId="10" xfId="0" applyNumberFormat="1" applyFont="1" applyBorder="1" applyAlignment="1">
      <alignment horizontal="center" vertical="center"/>
    </xf>
    <xf numFmtId="164" fontId="6" fillId="42" borderId="32" xfId="0" applyNumberFormat="1" applyFont="1" applyFill="1" applyBorder="1" applyAlignment="1">
      <alignment horizontal="right" vertical="center"/>
    </xf>
    <xf numFmtId="164" fontId="4" fillId="42" borderId="32" xfId="0" applyNumberFormat="1" applyFont="1" applyFill="1" applyBorder="1" applyAlignment="1">
      <alignment horizontal="right" vertical="center"/>
    </xf>
    <xf numFmtId="164" fontId="18" fillId="42" borderId="32" xfId="0" applyNumberFormat="1" applyFont="1" applyFill="1" applyBorder="1" applyAlignment="1">
      <alignment horizontal="right" vertical="center"/>
    </xf>
    <xf numFmtId="0" fontId="4" fillId="0" borderId="0" xfId="0" applyFont="1" applyFill="1"/>
    <xf numFmtId="2" fontId="4" fillId="0" borderId="6" xfId="0" applyNumberFormat="1" applyFont="1" applyFill="1" applyBorder="1" applyAlignment="1">
      <alignment horizontal="right" vertical="center"/>
    </xf>
    <xf numFmtId="0" fontId="10" fillId="0" borderId="0" xfId="0" applyFont="1" applyAlignment="1">
      <alignment horizontal="center" vertical="center" wrapText="1"/>
    </xf>
    <xf numFmtId="0" fontId="3" fillId="0" borderId="0" xfId="0" applyFont="1" applyAlignment="1">
      <alignment horizontal="center" vertical="top" wrapText="1"/>
    </xf>
    <xf numFmtId="0" fontId="3" fillId="0" borderId="0" xfId="0" quotePrefix="1" applyNumberFormat="1" applyFont="1" applyBorder="1" applyAlignment="1">
      <alignment horizontal="center" vertical="center" wrapText="1"/>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0" fillId="0" borderId="0" xfId="0" applyAlignment="1">
      <alignment vertical="top" wrapText="1"/>
    </xf>
    <xf numFmtId="0" fontId="5" fillId="6" borderId="5" xfId="0" applyFont="1" applyFill="1" applyBorder="1" applyAlignment="1">
      <alignment horizontal="center" vertical="center" wrapText="1"/>
    </xf>
    <xf numFmtId="0" fontId="5" fillId="0" borderId="0" xfId="0" applyFont="1" applyAlignment="1">
      <alignment horizontal="left" vertical="top" wrapText="1"/>
    </xf>
    <xf numFmtId="0" fontId="4" fillId="0" borderId="0" xfId="0" quotePrefix="1" applyFont="1" applyAlignment="1">
      <alignment horizontal="left" vertical="top" wrapText="1"/>
    </xf>
    <xf numFmtId="0" fontId="7" fillId="0" borderId="0" xfId="0" applyFont="1" applyBorder="1" applyAlignment="1">
      <alignment horizontal="center" vertical="top" wrapText="1"/>
    </xf>
    <xf numFmtId="0" fontId="22" fillId="0" borderId="0"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8" fillId="6" borderId="9"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Alignment="1">
      <alignment horizontal="center" vertical="center" wrapText="1"/>
    </xf>
    <xf numFmtId="0" fontId="12" fillId="0" borderId="0" xfId="0" applyFont="1" applyAlignment="1">
      <alignment horizontal="center" vertical="center"/>
    </xf>
    <xf numFmtId="0" fontId="1" fillId="0" borderId="0" xfId="0" applyFont="1" applyAlignment="1">
      <alignment horizontal="center" vertical="center"/>
    </xf>
    <xf numFmtId="0" fontId="5"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23" fillId="0" borderId="0" xfId="0" applyFont="1" applyBorder="1" applyAlignment="1">
      <alignment horizontal="center" vertical="top" wrapText="1"/>
    </xf>
    <xf numFmtId="0" fontId="12" fillId="0" borderId="0" xfId="0" applyFont="1" applyBorder="1" applyAlignment="1">
      <alignment horizontal="center" vertical="center" wrapText="1"/>
    </xf>
    <xf numFmtId="0" fontId="22" fillId="0" borderId="0" xfId="0" applyFont="1" applyBorder="1" applyAlignment="1">
      <alignment horizontal="center" vertical="center" wrapText="1"/>
    </xf>
    <xf numFmtId="164" fontId="12" fillId="0" borderId="5" xfId="0" applyNumberFormat="1" applyFont="1" applyBorder="1" applyAlignment="1">
      <alignment horizontal="center" vertical="center" textRotation="90" wrapText="1"/>
    </xf>
    <xf numFmtId="164" fontId="12" fillId="0" borderId="6" xfId="0" applyNumberFormat="1" applyFont="1" applyBorder="1" applyAlignment="1">
      <alignment horizontal="center" vertical="center" textRotation="90" wrapText="1"/>
    </xf>
    <xf numFmtId="164" fontId="12" fillId="0" borderId="7" xfId="0" applyNumberFormat="1" applyFont="1" applyBorder="1" applyAlignment="1">
      <alignment horizontal="center" vertical="center" textRotation="90" wrapText="1"/>
    </xf>
    <xf numFmtId="0" fontId="5" fillId="0" borderId="0" xfId="0" applyFont="1" applyBorder="1" applyAlignment="1">
      <alignment horizontal="left" wrapText="1"/>
    </xf>
    <xf numFmtId="0" fontId="8" fillId="0" borderId="0" xfId="0" applyFont="1" applyBorder="1" applyAlignment="1">
      <alignment horizontal="left" wrapText="1"/>
    </xf>
    <xf numFmtId="0" fontId="6" fillId="0" borderId="0" xfId="0" quotePrefix="1" applyFont="1" applyFill="1" applyBorder="1" applyAlignment="1">
      <alignment horizontal="left" vertical="top" wrapText="1"/>
    </xf>
    <xf numFmtId="0" fontId="12" fillId="0" borderId="5" xfId="0" applyFont="1" applyBorder="1" applyAlignment="1">
      <alignment horizontal="center" vertical="center" textRotation="90" wrapText="1"/>
    </xf>
    <xf numFmtId="0" fontId="12" fillId="0" borderId="6" xfId="0" applyFont="1" applyBorder="1" applyAlignment="1">
      <alignment horizontal="center" vertical="center" textRotation="90" wrapText="1"/>
    </xf>
    <xf numFmtId="0" fontId="12" fillId="0" borderId="7" xfId="0" applyFont="1" applyBorder="1" applyAlignment="1">
      <alignment horizontal="center" vertical="center" textRotation="90" wrapText="1"/>
    </xf>
    <xf numFmtId="0" fontId="5" fillId="0" borderId="0" xfId="0" quotePrefix="1" applyFont="1" applyFill="1" applyBorder="1" applyAlignment="1">
      <alignment horizontal="left" wrapText="1"/>
    </xf>
    <xf numFmtId="0" fontId="8" fillId="0" borderId="0" xfId="0" quotePrefix="1" applyFont="1" applyFill="1" applyBorder="1" applyAlignment="1">
      <alignment horizontal="left" wrapText="1"/>
    </xf>
    <xf numFmtId="0" fontId="23" fillId="0" borderId="0" xfId="0" applyFont="1" applyBorder="1" applyAlignment="1">
      <alignment horizontal="center" vertical="top"/>
    </xf>
    <xf numFmtId="0" fontId="5" fillId="0" borderId="12" xfId="0" quotePrefix="1" applyFont="1" applyFill="1" applyBorder="1" applyAlignment="1">
      <alignment wrapText="1"/>
    </xf>
    <xf numFmtId="0" fontId="8" fillId="0" borderId="12" xfId="0" quotePrefix="1" applyFont="1" applyFill="1" applyBorder="1" applyAlignment="1">
      <alignment wrapText="1"/>
    </xf>
    <xf numFmtId="0" fontId="4" fillId="0" borderId="0" xfId="0" applyFont="1" applyAlignment="1">
      <alignment horizontal="center"/>
    </xf>
    <xf numFmtId="0" fontId="29" fillId="7" borderId="5" xfId="0" applyFont="1" applyFill="1" applyBorder="1" applyAlignment="1">
      <alignment horizontal="center" vertical="center" wrapText="1"/>
    </xf>
    <xf numFmtId="0" fontId="29" fillId="7" borderId="7" xfId="0" applyFont="1" applyFill="1" applyBorder="1" applyAlignment="1">
      <alignment horizontal="center" vertical="center" wrapText="1"/>
    </xf>
    <xf numFmtId="0" fontId="7" fillId="0" borderId="0" xfId="0" applyFont="1" applyBorder="1" applyAlignment="1">
      <alignment horizontal="center" vertical="top"/>
    </xf>
    <xf numFmtId="49" fontId="5" fillId="0" borderId="0" xfId="0" applyNumberFormat="1" applyFont="1" applyBorder="1" applyAlignment="1">
      <alignment horizontal="left" wrapText="1"/>
    </xf>
    <xf numFmtId="49" fontId="8" fillId="0" borderId="0" xfId="0" applyNumberFormat="1" applyFont="1" applyBorder="1" applyAlignment="1">
      <alignment horizontal="left" wrapText="1"/>
    </xf>
    <xf numFmtId="0" fontId="5" fillId="0" borderId="12" xfId="0" applyFont="1" applyBorder="1" applyAlignment="1">
      <alignment wrapText="1"/>
    </xf>
    <xf numFmtId="0" fontId="8" fillId="0" borderId="12" xfId="0" applyFont="1" applyBorder="1" applyAlignment="1">
      <alignment wrapText="1"/>
    </xf>
    <xf numFmtId="0" fontId="7" fillId="0" borderId="0" xfId="0" applyNumberFormat="1" applyFont="1" applyBorder="1" applyAlignment="1">
      <alignment horizontal="center" vertical="top"/>
    </xf>
    <xf numFmtId="0" fontId="23" fillId="0" borderId="0" xfId="0" applyNumberFormat="1" applyFont="1" applyBorder="1" applyAlignment="1">
      <alignment horizontal="center" vertical="top"/>
    </xf>
    <xf numFmtId="0" fontId="5" fillId="0" borderId="0" xfId="0" applyFont="1" applyBorder="1" applyAlignment="1">
      <alignment horizontal="left"/>
    </xf>
    <xf numFmtId="0" fontId="8" fillId="0" borderId="0" xfId="0" applyFont="1" applyBorder="1" applyAlignment="1">
      <alignment horizontal="left"/>
    </xf>
    <xf numFmtId="0" fontId="12" fillId="0" borderId="0" xfId="0" applyFont="1" applyFill="1" applyBorder="1" applyAlignment="1">
      <alignment horizontal="center" vertical="center"/>
    </xf>
    <xf numFmtId="0" fontId="7" fillId="0" borderId="0" xfId="0" applyFont="1" applyAlignment="1">
      <alignment horizontal="center" vertical="top"/>
    </xf>
    <xf numFmtId="0" fontId="8" fillId="7" borderId="9" xfId="0" applyFont="1" applyFill="1" applyBorder="1" applyAlignment="1">
      <alignment horizontal="center" vertical="top" wrapText="1"/>
    </xf>
    <xf numFmtId="0" fontId="0" fillId="7" borderId="10" xfId="0" applyFill="1" applyBorder="1" applyAlignment="1">
      <alignment horizontal="center" vertical="top" wrapText="1"/>
    </xf>
    <xf numFmtId="0" fontId="5" fillId="7" borderId="5" xfId="0" applyFont="1" applyFill="1" applyBorder="1" applyAlignment="1">
      <alignment horizontal="center" vertical="top" wrapText="1"/>
    </xf>
    <xf numFmtId="0" fontId="0" fillId="7" borderId="7" xfId="0" applyFill="1" applyBorder="1" applyAlignment="1">
      <alignment horizontal="center" vertical="top" wrapText="1"/>
    </xf>
    <xf numFmtId="0" fontId="8" fillId="7" borderId="5" xfId="0" applyFont="1" applyFill="1" applyBorder="1" applyAlignment="1">
      <alignment horizontal="center" vertical="top" wrapText="1"/>
    </xf>
    <xf numFmtId="0" fontId="8" fillId="7" borderId="7" xfId="0" applyFont="1" applyFill="1" applyBorder="1" applyAlignment="1">
      <alignment horizontal="center" vertical="top" wrapText="1"/>
    </xf>
    <xf numFmtId="0" fontId="5" fillId="0" borderId="0" xfId="0" applyFont="1" applyFill="1" applyBorder="1" applyAlignment="1">
      <alignment horizontal="left" wrapText="1"/>
    </xf>
    <xf numFmtId="0" fontId="4" fillId="0" borderId="0" xfId="0" applyFont="1" applyFill="1" applyBorder="1" applyAlignment="1">
      <alignment horizontal="left" wrapText="1"/>
    </xf>
    <xf numFmtId="0" fontId="0" fillId="7" borderId="6" xfId="0" applyFill="1" applyBorder="1" applyAlignment="1">
      <alignment horizontal="center" vertical="top" wrapText="1"/>
    </xf>
    <xf numFmtId="0" fontId="8" fillId="7" borderId="11" xfId="0" applyFont="1" applyFill="1" applyBorder="1" applyAlignment="1">
      <alignment horizontal="center" vertical="top" wrapText="1"/>
    </xf>
    <xf numFmtId="0" fontId="8" fillId="7" borderId="15" xfId="0" applyFont="1" applyFill="1" applyBorder="1" applyAlignment="1">
      <alignment horizontal="center" vertical="top" wrapText="1"/>
    </xf>
    <xf numFmtId="0" fontId="8" fillId="0" borderId="0" xfId="0" applyFont="1" applyFill="1" applyBorder="1" applyAlignment="1">
      <alignment horizontal="center" vertical="center"/>
    </xf>
  </cellXfs>
  <cellStyles count="116">
    <cellStyle name="20% - Accent1" xfId="1" builtinId="30" customBuiltin="1"/>
    <cellStyle name="20% - Accent1 2" xfId="2"/>
    <cellStyle name="20% - Accent1 3" xfId="3"/>
    <cellStyle name="20% - Accent2" xfId="4" builtinId="34" customBuiltin="1"/>
    <cellStyle name="20% - Accent2 2" xfId="5"/>
    <cellStyle name="20% - Accent2 3" xfId="6"/>
    <cellStyle name="20% - Accent3" xfId="7" builtinId="38" customBuiltin="1"/>
    <cellStyle name="20% - Accent3 2" xfId="8"/>
    <cellStyle name="20% - Accent3 3" xfId="9"/>
    <cellStyle name="20% - Accent4" xfId="10" builtinId="42" customBuiltin="1"/>
    <cellStyle name="20% - Accent4 2" xfId="11"/>
    <cellStyle name="20% - Accent4 3" xfId="12"/>
    <cellStyle name="20% - Accent5" xfId="13" builtinId="46" customBuiltin="1"/>
    <cellStyle name="20% - Accent5 2" xfId="14"/>
    <cellStyle name="20% - Accent5 3" xfId="15"/>
    <cellStyle name="20% - Accent6" xfId="16" builtinId="50" customBuiltin="1"/>
    <cellStyle name="20% - Accent6 2" xfId="17"/>
    <cellStyle name="20% - Accent6 3" xfId="18"/>
    <cellStyle name="40% - Accent1" xfId="19" builtinId="31" customBuiltin="1"/>
    <cellStyle name="40% - Accent1 2" xfId="20"/>
    <cellStyle name="40% - Accent1 3" xfId="21"/>
    <cellStyle name="40% - Accent2" xfId="22" builtinId="35" customBuiltin="1"/>
    <cellStyle name="40% - Accent2 2" xfId="23"/>
    <cellStyle name="40% - Accent2 3" xfId="24"/>
    <cellStyle name="40% - Accent3" xfId="25" builtinId="39" customBuiltin="1"/>
    <cellStyle name="40% - Accent3 2" xfId="26"/>
    <cellStyle name="40% - Accent3 3" xfId="27"/>
    <cellStyle name="40% - Accent4" xfId="28" builtinId="43" customBuiltin="1"/>
    <cellStyle name="40% - Accent4 2" xfId="29"/>
    <cellStyle name="40% - Accent4 3" xfId="30"/>
    <cellStyle name="40% - Accent5" xfId="31" builtinId="47" customBuiltin="1"/>
    <cellStyle name="40% - Accent5 2" xfId="32"/>
    <cellStyle name="40% - Accent5 3" xfId="33"/>
    <cellStyle name="40% - Accent6" xfId="34" builtinId="51" customBuiltin="1"/>
    <cellStyle name="40% - Accent6 2" xfId="35"/>
    <cellStyle name="40% - Accent6 3" xfId="36"/>
    <cellStyle name="60% - Accent1" xfId="37" builtinId="32" customBuiltin="1"/>
    <cellStyle name="60% - Accent2" xfId="38" builtinId="36" customBuiltin="1"/>
    <cellStyle name="60% - Accent3" xfId="39" builtinId="40" customBuiltin="1"/>
    <cellStyle name="60% - Accent4" xfId="40" builtinId="44" customBuiltin="1"/>
    <cellStyle name="60% - Accent5" xfId="41" builtinId="48" customBuiltin="1"/>
    <cellStyle name="60% - Accent6" xfId="42" builtinId="52" customBuiltin="1"/>
    <cellStyle name="Accent1" xfId="43" builtinId="29" customBuiltin="1"/>
    <cellStyle name="Accent2" xfId="44" builtinId="33" customBuiltin="1"/>
    <cellStyle name="Accent3" xfId="45" builtinId="37" customBuiltin="1"/>
    <cellStyle name="Accent4" xfId="46" builtinId="41" customBuiltin="1"/>
    <cellStyle name="Accent5" xfId="47" builtinId="45" customBuiltin="1"/>
    <cellStyle name="Accent6" xfId="48" builtinId="49" customBuiltin="1"/>
    <cellStyle name="Bad" xfId="49" builtinId="27" customBuiltin="1"/>
    <cellStyle name="Calculation" xfId="50" builtinId="22" customBuiltin="1"/>
    <cellStyle name="Check Cell" xfId="51" builtinId="23" customBuiltin="1"/>
    <cellStyle name="Column heading" xfId="52"/>
    <cellStyle name="Comma" xfId="53" builtinId="3"/>
    <cellStyle name="Corner heading" xfId="54"/>
    <cellStyle name="Data" xfId="55"/>
    <cellStyle name="Data no deci" xfId="56"/>
    <cellStyle name="Data Superscript" xfId="57"/>
    <cellStyle name="Data_1-1A-Regular" xfId="58"/>
    <cellStyle name="Explanatory Text" xfId="59" builtinId="53" customBuiltin="1"/>
    <cellStyle name="Good" xfId="60" builtinId="26" customBuiltin="1"/>
    <cellStyle name="Heading 1" xfId="61" builtinId="16" customBuiltin="1"/>
    <cellStyle name="Heading 2" xfId="62" builtinId="17" customBuiltin="1"/>
    <cellStyle name="Heading 3" xfId="63" builtinId="18" customBuiltin="1"/>
    <cellStyle name="Heading 4" xfId="64" builtinId="19" customBuiltin="1"/>
    <cellStyle name="Hed Side" xfId="65"/>
    <cellStyle name="Hed Side bold" xfId="66"/>
    <cellStyle name="Hed Side Indent" xfId="67"/>
    <cellStyle name="Hed Side Regular" xfId="68"/>
    <cellStyle name="Hed Side_1-1A-Regular" xfId="69"/>
    <cellStyle name="Hed Top" xfId="70"/>
    <cellStyle name="Hed Top - SECTION" xfId="71"/>
    <cellStyle name="Hed Top_3-new4" xfId="72"/>
    <cellStyle name="Input" xfId="73" builtinId="20" customBuiltin="1"/>
    <cellStyle name="Linked Cell" xfId="74" builtinId="24" customBuiltin="1"/>
    <cellStyle name="Neutral" xfId="75" builtinId="28" customBuiltin="1"/>
    <cellStyle name="Normal" xfId="0" builtinId="0" customBuiltin="1"/>
    <cellStyle name="Normal 12" xfId="76"/>
    <cellStyle name="Normal 2" xfId="77"/>
    <cellStyle name="Normal 2 2" xfId="78"/>
    <cellStyle name="Normal 2 2 2" xfId="79"/>
    <cellStyle name="Normal 3" xfId="80"/>
    <cellStyle name="Normal 9" xfId="81"/>
    <cellStyle name="Note 2" xfId="82"/>
    <cellStyle name="Note 3" xfId="83"/>
    <cellStyle name="Note 4" xfId="84"/>
    <cellStyle name="NumberCellStyle" xfId="85"/>
    <cellStyle name="Output" xfId="86" builtinId="21" customBuiltin="1"/>
    <cellStyle name="Reference" xfId="87"/>
    <cellStyle name="Row heading" xfId="88"/>
    <cellStyle name="Source Hed" xfId="89"/>
    <cellStyle name="Source Letter" xfId="90"/>
    <cellStyle name="Source Superscript" xfId="91"/>
    <cellStyle name="Source Text" xfId="92"/>
    <cellStyle name="Standard_E00seit45" xfId="93"/>
    <cellStyle name="State" xfId="94"/>
    <cellStyle name="Superscript" xfId="95"/>
    <cellStyle name="Table Data" xfId="96"/>
    <cellStyle name="Table Head Top" xfId="97"/>
    <cellStyle name="Table Hed Side" xfId="98"/>
    <cellStyle name="Table Title" xfId="99"/>
    <cellStyle name="Title" xfId="100" builtinId="15" customBuiltin="1"/>
    <cellStyle name="Title 2" xfId="101"/>
    <cellStyle name="Title Text" xfId="102"/>
    <cellStyle name="Title Text 1" xfId="103"/>
    <cellStyle name="Title Text 2" xfId="104"/>
    <cellStyle name="Title-1" xfId="105"/>
    <cellStyle name="Title-2" xfId="106"/>
    <cellStyle name="Title-3" xfId="107"/>
    <cellStyle name="Titre ligne" xfId="108"/>
    <cellStyle name="Total" xfId="109" builtinId="25" customBuiltin="1"/>
    <cellStyle name="Total intermediaire" xfId="110"/>
    <cellStyle name="Warning Text" xfId="111" builtinId="11" customBuiltin="1"/>
    <cellStyle name="Wrap" xfId="112"/>
    <cellStyle name="Wrap Bold" xfId="113"/>
    <cellStyle name="Wrap Title" xfId="114"/>
    <cellStyle name="Wrap_NTS99-~11" xfId="11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EU-27</a:t>
            </a:r>
          </a:p>
          <a:p>
            <a:pPr>
              <a:defRPr sz="12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 Performance by mode for freight transport</a:t>
            </a:r>
            <a:endParaRPr lang="en-US" sz="1525" b="1"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1995 - 2018</a:t>
            </a:r>
          </a:p>
          <a:p>
            <a:pPr>
              <a:defRPr sz="1200" b="0" i="0" u="none" strike="noStrike" baseline="0">
                <a:solidFill>
                  <a:srgbClr val="000000"/>
                </a:solidFill>
                <a:latin typeface="Arial"/>
                <a:ea typeface="Arial"/>
                <a:cs typeface="Arial"/>
              </a:defRPr>
            </a:pPr>
            <a:r>
              <a:rPr lang="en-US" sz="725" b="1" i="0" u="none" strike="noStrike" baseline="0">
                <a:solidFill>
                  <a:srgbClr val="000000"/>
                </a:solidFill>
                <a:latin typeface="Arial"/>
                <a:cs typeface="Arial"/>
              </a:rPr>
              <a:t>billion tonne-kilometres</a:t>
            </a:r>
          </a:p>
        </c:rich>
      </c:tx>
      <c:layout>
        <c:manualLayout>
          <c:xMode val="edge"/>
          <c:yMode val="edge"/>
          <c:x val="0.224"/>
          <c:y val="2.0449897750511249E-3"/>
        </c:manualLayout>
      </c:layout>
      <c:overlay val="0"/>
      <c:spPr>
        <a:noFill/>
        <a:ln w="25400">
          <a:noFill/>
        </a:ln>
      </c:spPr>
    </c:title>
    <c:autoTitleDeleted val="0"/>
    <c:plotArea>
      <c:layout>
        <c:manualLayout>
          <c:layoutTarget val="inner"/>
          <c:xMode val="edge"/>
          <c:yMode val="edge"/>
          <c:x val="6.4000050000039069E-2"/>
          <c:y val="0.15746452714509671"/>
          <c:w val="0.9072007087505537"/>
          <c:h val="0.73210780153174837"/>
        </c:manualLayout>
      </c:layout>
      <c:lineChart>
        <c:grouping val="standard"/>
        <c:varyColors val="0"/>
        <c:ser>
          <c:idx val="0"/>
          <c:order val="0"/>
          <c:tx>
            <c:strRef>
              <c:f>freight_graph!$B$38</c:f>
              <c:strCache>
                <c:ptCount val="1"/>
                <c:pt idx="0">
                  <c:v>Road</c:v>
                </c:pt>
              </c:strCache>
            </c:strRef>
          </c:tx>
          <c:spPr>
            <a:ln w="25400">
              <a:solidFill>
                <a:srgbClr val="993300"/>
              </a:solidFill>
              <a:prstDash val="solid"/>
            </a:ln>
          </c:spPr>
          <c:marker>
            <c:symbol val="x"/>
            <c:size val="5"/>
            <c:spPr>
              <a:solidFill>
                <a:srgbClr val="993300"/>
              </a:solidFill>
              <a:ln>
                <a:solidFill>
                  <a:srgbClr val="993300"/>
                </a:solidFill>
                <a:prstDash val="solid"/>
              </a:ln>
            </c:spPr>
          </c:marker>
          <c:cat>
            <c:numRef>
              <c:f>freight_graph!$C$37:$Z$37</c:f>
              <c:numCache>
                <c:formatCode>0</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freight_graph!$C$38:$Z$38</c:f>
              <c:numCache>
                <c:formatCode>0.0</c:formatCode>
                <c:ptCount val="24"/>
                <c:pt idx="0">
                  <c:v>1127.1600000000001</c:v>
                </c:pt>
                <c:pt idx="1">
                  <c:v>1136.3789999999997</c:v>
                </c:pt>
                <c:pt idx="2">
                  <c:v>1182.4780000000001</c:v>
                </c:pt>
                <c:pt idx="3">
                  <c:v>1242.2039999999997</c:v>
                </c:pt>
                <c:pt idx="4">
                  <c:v>1294.3619999999999</c:v>
                </c:pt>
                <c:pt idx="5">
                  <c:v>1343.867</c:v>
                </c:pt>
                <c:pt idx="6">
                  <c:v>1389.2530000000002</c:v>
                </c:pt>
                <c:pt idx="7">
                  <c:v>1438.8</c:v>
                </c:pt>
                <c:pt idx="8">
                  <c:v>1440.54</c:v>
                </c:pt>
                <c:pt idx="9">
                  <c:v>1588.2660000000001</c:v>
                </c:pt>
                <c:pt idx="10">
                  <c:v>1588.1540655743293</c:v>
                </c:pt>
                <c:pt idx="11">
                  <c:v>1638.7945822386714</c:v>
                </c:pt>
                <c:pt idx="12">
                  <c:v>1697.6440389755346</c:v>
                </c:pt>
                <c:pt idx="13">
                  <c:v>1676.4616408826396</c:v>
                </c:pt>
                <c:pt idx="14">
                  <c:v>1515.3165860635595</c:v>
                </c:pt>
                <c:pt idx="15">
                  <c:v>1558.2925344262567</c:v>
                </c:pt>
                <c:pt idx="16">
                  <c:v>1541.6311993737638</c:v>
                </c:pt>
                <c:pt idx="17">
                  <c:v>1481.6904120467425</c:v>
                </c:pt>
                <c:pt idx="18">
                  <c:v>1518.4204925816148</c:v>
                </c:pt>
                <c:pt idx="19">
                  <c:v>1527.4375903839079</c:v>
                </c:pt>
                <c:pt idx="20">
                  <c:v>1560.8886870320523</c:v>
                </c:pt>
                <c:pt idx="21">
                  <c:v>1620.5798557363767</c:v>
                </c:pt>
                <c:pt idx="22">
                  <c:v>1707.3076916016871</c:v>
                </c:pt>
                <c:pt idx="23">
                  <c:v>1708.9087123274903</c:v>
                </c:pt>
              </c:numCache>
            </c:numRef>
          </c:val>
          <c:smooth val="0"/>
          <c:extLst>
            <c:ext xmlns:c16="http://schemas.microsoft.com/office/drawing/2014/chart" uri="{C3380CC4-5D6E-409C-BE32-E72D297353CC}">
              <c16:uniqueId val="{00000000-867E-43BB-9682-34496CE99106}"/>
            </c:ext>
          </c:extLst>
        </c:ser>
        <c:ser>
          <c:idx val="4"/>
          <c:order val="1"/>
          <c:tx>
            <c:strRef>
              <c:f>freight_graph!$B$39</c:f>
              <c:strCache>
                <c:ptCount val="1"/>
                <c:pt idx="0">
                  <c:v>Sea</c:v>
                </c:pt>
              </c:strCache>
            </c:strRef>
          </c:tx>
          <c:spPr>
            <a:ln w="25400">
              <a:solidFill>
                <a:srgbClr val="0000FF"/>
              </a:solidFill>
              <a:prstDash val="solid"/>
            </a:ln>
          </c:spPr>
          <c:marker>
            <c:symbol val="triangle"/>
            <c:size val="6"/>
            <c:spPr>
              <a:solidFill>
                <a:srgbClr val="0000FF"/>
              </a:solidFill>
              <a:ln>
                <a:solidFill>
                  <a:srgbClr val="0000FF"/>
                </a:solidFill>
                <a:prstDash val="solid"/>
              </a:ln>
            </c:spPr>
          </c:marker>
          <c:cat>
            <c:numRef>
              <c:f>freight_graph!$C$37:$Z$37</c:f>
              <c:numCache>
                <c:formatCode>0</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freight_graph!$C$39:$Z$39</c:f>
              <c:numCache>
                <c:formatCode>0.0</c:formatCode>
                <c:ptCount val="24"/>
                <c:pt idx="0">
                  <c:v>671.36542019370927</c:v>
                </c:pt>
                <c:pt idx="1">
                  <c:v>679.5670919936324</c:v>
                </c:pt>
                <c:pt idx="2">
                  <c:v>698.89960409345122</c:v>
                </c:pt>
                <c:pt idx="3">
                  <c:v>721.7471183932372</c:v>
                </c:pt>
                <c:pt idx="4">
                  <c:v>742.83713159303954</c:v>
                </c:pt>
                <c:pt idx="5">
                  <c:v>769.78548179278698</c:v>
                </c:pt>
                <c:pt idx="6">
                  <c:v>781.50215579267717</c:v>
                </c:pt>
                <c:pt idx="7">
                  <c:v>793.80466349256187</c:v>
                </c:pt>
                <c:pt idx="8">
                  <c:v>807.27883859243559</c:v>
                </c:pt>
                <c:pt idx="9">
                  <c:v>835.98468989216678</c:v>
                </c:pt>
                <c:pt idx="10">
                  <c:v>838.02772881663202</c:v>
                </c:pt>
                <c:pt idx="11">
                  <c:v>835.61345853614534</c:v>
                </c:pt>
                <c:pt idx="12">
                  <c:v>832.21753821891821</c:v>
                </c:pt>
                <c:pt idx="13">
                  <c:v>825.93152804980105</c:v>
                </c:pt>
                <c:pt idx="14">
                  <c:v>759.60198724236477</c:v>
                </c:pt>
                <c:pt idx="15">
                  <c:v>824.18667562548956</c:v>
                </c:pt>
                <c:pt idx="16">
                  <c:v>839.89187606450753</c:v>
                </c:pt>
                <c:pt idx="17">
                  <c:v>828.54095246328245</c:v>
                </c:pt>
                <c:pt idx="18">
                  <c:v>847.1232231415313</c:v>
                </c:pt>
                <c:pt idx="19">
                  <c:v>871.71809690844339</c:v>
                </c:pt>
                <c:pt idx="20">
                  <c:v>861.78037394866124</c:v>
                </c:pt>
                <c:pt idx="21">
                  <c:v>906.6503928731837</c:v>
                </c:pt>
                <c:pt idx="22">
                  <c:v>918.99537953183517</c:v>
                </c:pt>
                <c:pt idx="23">
                  <c:v>979.16523132838608</c:v>
                </c:pt>
              </c:numCache>
            </c:numRef>
          </c:val>
          <c:smooth val="0"/>
          <c:extLst>
            <c:ext xmlns:c16="http://schemas.microsoft.com/office/drawing/2014/chart" uri="{C3380CC4-5D6E-409C-BE32-E72D297353CC}">
              <c16:uniqueId val="{00000001-867E-43BB-9682-34496CE99106}"/>
            </c:ext>
          </c:extLst>
        </c:ser>
        <c:ser>
          <c:idx val="1"/>
          <c:order val="2"/>
          <c:tx>
            <c:strRef>
              <c:f>freight_graph!$B$40</c:f>
              <c:strCache>
                <c:ptCount val="1"/>
                <c:pt idx="0">
                  <c:v>Rail</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numRef>
              <c:f>freight_graph!$C$37:$Z$37</c:f>
              <c:numCache>
                <c:formatCode>0</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freight_graph!$C$40:$Z$40</c:f>
              <c:numCache>
                <c:formatCode>0.0</c:formatCode>
                <c:ptCount val="24"/>
                <c:pt idx="0">
                  <c:v>374.81806800000004</c:v>
                </c:pt>
                <c:pt idx="1">
                  <c:v>378.76300000000009</c:v>
                </c:pt>
                <c:pt idx="2">
                  <c:v>394.35199999999992</c:v>
                </c:pt>
                <c:pt idx="3">
                  <c:v>377.03752500000002</c:v>
                </c:pt>
                <c:pt idx="4">
                  <c:v>367.11001500293986</c:v>
                </c:pt>
                <c:pt idx="5">
                  <c:v>387.9207546422241</c:v>
                </c:pt>
                <c:pt idx="6">
                  <c:v>369.25330225225701</c:v>
                </c:pt>
                <c:pt idx="7">
                  <c:v>368.16119255303101</c:v>
                </c:pt>
                <c:pt idx="8">
                  <c:v>376.30926875462399</c:v>
                </c:pt>
                <c:pt idx="9">
                  <c:v>390.03499999999997</c:v>
                </c:pt>
                <c:pt idx="10">
                  <c:v>394.59700000000004</c:v>
                </c:pt>
                <c:pt idx="11">
                  <c:v>416.24600000000004</c:v>
                </c:pt>
                <c:pt idx="12">
                  <c:v>430.72400000000005</c:v>
                </c:pt>
                <c:pt idx="13">
                  <c:v>421.68599999999992</c:v>
                </c:pt>
                <c:pt idx="14">
                  <c:v>344.36900000000003</c:v>
                </c:pt>
                <c:pt idx="15">
                  <c:v>374.95499999999998</c:v>
                </c:pt>
                <c:pt idx="16">
                  <c:v>401.12199999999984</c:v>
                </c:pt>
                <c:pt idx="17">
                  <c:v>385.18899999999996</c:v>
                </c:pt>
                <c:pt idx="18">
                  <c:v>384.31900000000007</c:v>
                </c:pt>
                <c:pt idx="19">
                  <c:v>388.67999999999995</c:v>
                </c:pt>
                <c:pt idx="20">
                  <c:v>395.89300000000014</c:v>
                </c:pt>
                <c:pt idx="21">
                  <c:v>411.05700000000007</c:v>
                </c:pt>
                <c:pt idx="22">
                  <c:v>414.81500000000005</c:v>
                </c:pt>
                <c:pt idx="23">
                  <c:v>423.32500000000005</c:v>
                </c:pt>
              </c:numCache>
            </c:numRef>
          </c:val>
          <c:smooth val="0"/>
          <c:extLst>
            <c:ext xmlns:c16="http://schemas.microsoft.com/office/drawing/2014/chart" uri="{C3380CC4-5D6E-409C-BE32-E72D297353CC}">
              <c16:uniqueId val="{00000002-867E-43BB-9682-34496CE99106}"/>
            </c:ext>
          </c:extLst>
        </c:ser>
        <c:ser>
          <c:idx val="2"/>
          <c:order val="3"/>
          <c:tx>
            <c:strRef>
              <c:f>freight_graph!$B$41</c:f>
              <c:strCache>
                <c:ptCount val="1"/>
                <c:pt idx="0">
                  <c:v>Inland Waterway</c:v>
                </c:pt>
              </c:strCache>
            </c:strRef>
          </c:tx>
          <c:spPr>
            <a:ln w="25400">
              <a:solidFill>
                <a:srgbClr val="00FF00"/>
              </a:solidFill>
              <a:prstDash val="solid"/>
            </a:ln>
          </c:spPr>
          <c:marker>
            <c:symbol val="star"/>
            <c:size val="10"/>
            <c:spPr>
              <a:noFill/>
              <a:ln>
                <a:solidFill>
                  <a:srgbClr val="00FF00"/>
                </a:solidFill>
                <a:prstDash val="solid"/>
              </a:ln>
            </c:spPr>
          </c:marker>
          <c:cat>
            <c:numRef>
              <c:f>freight_graph!$C$37:$Z$37</c:f>
              <c:numCache>
                <c:formatCode>0</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freight_graph!$C$41:$Z$41</c:f>
              <c:numCache>
                <c:formatCode>0.0</c:formatCode>
                <c:ptCount val="24"/>
                <c:pt idx="0">
                  <c:v>121.91820799999999</c:v>
                </c:pt>
                <c:pt idx="1">
                  <c:v>119.59849199999999</c:v>
                </c:pt>
                <c:pt idx="2">
                  <c:v>127.72012699999998</c:v>
                </c:pt>
                <c:pt idx="3">
                  <c:v>130.914354551</c:v>
                </c:pt>
                <c:pt idx="4">
                  <c:v>128.618899</c:v>
                </c:pt>
                <c:pt idx="5">
                  <c:v>133.7148856</c:v>
                </c:pt>
                <c:pt idx="6">
                  <c:v>132.4162436</c:v>
                </c:pt>
                <c:pt idx="7">
                  <c:v>132.41402299999999</c:v>
                </c:pt>
                <c:pt idx="8">
                  <c:v>123.43508519999999</c:v>
                </c:pt>
                <c:pt idx="9">
                  <c:v>136.76315100000005</c:v>
                </c:pt>
                <c:pt idx="10">
                  <c:v>138.61097439999998</c:v>
                </c:pt>
                <c:pt idx="11">
                  <c:v>138.41696909999999</c:v>
                </c:pt>
                <c:pt idx="12">
                  <c:v>145.40199999999999</c:v>
                </c:pt>
                <c:pt idx="13">
                  <c:v>146.90300000000002</c:v>
                </c:pt>
                <c:pt idx="14">
                  <c:v>132.60600000000002</c:v>
                </c:pt>
                <c:pt idx="15">
                  <c:v>155.36499999999998</c:v>
                </c:pt>
                <c:pt idx="16">
                  <c:v>141.82500000000002</c:v>
                </c:pt>
                <c:pt idx="17">
                  <c:v>149.822</c:v>
                </c:pt>
                <c:pt idx="18">
                  <c:v>152.58400000000003</c:v>
                </c:pt>
                <c:pt idx="19">
                  <c:v>150.70699999999997</c:v>
                </c:pt>
                <c:pt idx="20">
                  <c:v>147.35100000000003</c:v>
                </c:pt>
                <c:pt idx="21">
                  <c:v>147.20899999999997</c:v>
                </c:pt>
                <c:pt idx="22">
                  <c:v>147.22333333333333</c:v>
                </c:pt>
                <c:pt idx="23">
                  <c:v>134.98377777777776</c:v>
                </c:pt>
              </c:numCache>
            </c:numRef>
          </c:val>
          <c:smooth val="0"/>
          <c:extLst>
            <c:ext xmlns:c16="http://schemas.microsoft.com/office/drawing/2014/chart" uri="{C3380CC4-5D6E-409C-BE32-E72D297353CC}">
              <c16:uniqueId val="{00000003-867E-43BB-9682-34496CE99106}"/>
            </c:ext>
          </c:extLst>
        </c:ser>
        <c:ser>
          <c:idx val="3"/>
          <c:order val="4"/>
          <c:tx>
            <c:strRef>
              <c:f>freight_graph!$B$42</c:f>
              <c:strCache>
                <c:ptCount val="1"/>
                <c:pt idx="0">
                  <c:v>Oil Pipeline</c:v>
                </c:pt>
              </c:strCache>
            </c:strRef>
          </c:tx>
          <c:spPr>
            <a:ln w="25400">
              <a:solidFill>
                <a:srgbClr val="000000"/>
              </a:solidFill>
              <a:prstDash val="solid"/>
            </a:ln>
          </c:spPr>
          <c:marker>
            <c:symbol val="circle"/>
            <c:size val="5"/>
            <c:spPr>
              <a:noFill/>
              <a:ln>
                <a:solidFill>
                  <a:srgbClr val="000000"/>
                </a:solidFill>
                <a:prstDash val="solid"/>
              </a:ln>
            </c:spPr>
          </c:marker>
          <c:cat>
            <c:numRef>
              <c:f>freight_graph!$C$37:$Z$37</c:f>
              <c:numCache>
                <c:formatCode>0</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freight_graph!$C$42:$Z$42</c:f>
              <c:numCache>
                <c:formatCode>0.0</c:formatCode>
                <c:ptCount val="24"/>
                <c:pt idx="0">
                  <c:v>103.81029999999998</c:v>
                </c:pt>
                <c:pt idx="1">
                  <c:v>107.7071</c:v>
                </c:pt>
                <c:pt idx="2">
                  <c:v>107.66900000000001</c:v>
                </c:pt>
                <c:pt idx="3">
                  <c:v>114.67399999999999</c:v>
                </c:pt>
                <c:pt idx="4">
                  <c:v>113.21399999999998</c:v>
                </c:pt>
                <c:pt idx="5">
                  <c:v>115.68269999999998</c:v>
                </c:pt>
                <c:pt idx="6">
                  <c:v>122.3753</c:v>
                </c:pt>
                <c:pt idx="7">
                  <c:v>118.79659999999998</c:v>
                </c:pt>
                <c:pt idx="8">
                  <c:v>121.20380000000002</c:v>
                </c:pt>
                <c:pt idx="9">
                  <c:v>122.60236060000001</c:v>
                </c:pt>
                <c:pt idx="10">
                  <c:v>126.80850379999998</c:v>
                </c:pt>
                <c:pt idx="11">
                  <c:v>125.78924979999998</c:v>
                </c:pt>
                <c:pt idx="12">
                  <c:v>118.22248842182226</c:v>
                </c:pt>
                <c:pt idx="13">
                  <c:v>114.76496585313126</c:v>
                </c:pt>
                <c:pt idx="14">
                  <c:v>111.63421473696151</c:v>
                </c:pt>
                <c:pt idx="15">
                  <c:v>110.96844560300448</c:v>
                </c:pt>
                <c:pt idx="16">
                  <c:v>108.27031897026802</c:v>
                </c:pt>
                <c:pt idx="17">
                  <c:v>104.98250906969668</c:v>
                </c:pt>
                <c:pt idx="18">
                  <c:v>102.0834831637049</c:v>
                </c:pt>
                <c:pt idx="19">
                  <c:v>101.08568894404827</c:v>
                </c:pt>
                <c:pt idx="20">
                  <c:v>104.14976966869865</c:v>
                </c:pt>
                <c:pt idx="21">
                  <c:v>104.6967429921506</c:v>
                </c:pt>
                <c:pt idx="22">
                  <c:v>103.95069553496583</c:v>
                </c:pt>
                <c:pt idx="23">
                  <c:v>104.04549608860503</c:v>
                </c:pt>
              </c:numCache>
            </c:numRef>
          </c:val>
          <c:smooth val="0"/>
          <c:extLst>
            <c:ext xmlns:c16="http://schemas.microsoft.com/office/drawing/2014/chart" uri="{C3380CC4-5D6E-409C-BE32-E72D297353CC}">
              <c16:uniqueId val="{00000004-867E-43BB-9682-34496CE99106}"/>
            </c:ext>
          </c:extLst>
        </c:ser>
        <c:ser>
          <c:idx val="5"/>
          <c:order val="5"/>
          <c:tx>
            <c:strRef>
              <c:f>freight_graph!$B$43</c:f>
              <c:strCache>
                <c:ptCount val="1"/>
                <c:pt idx="0">
                  <c:v>Air</c:v>
                </c:pt>
              </c:strCache>
            </c:strRef>
          </c:tx>
          <c:spPr>
            <a:ln w="12700">
              <a:solidFill>
                <a:srgbClr val="800000"/>
              </a:solidFill>
              <a:prstDash val="solid"/>
            </a:ln>
          </c:spPr>
          <c:marker>
            <c:symbol val="none"/>
          </c:marker>
          <c:cat>
            <c:numRef>
              <c:f>freight_graph!$C$37:$Z$37</c:f>
              <c:numCache>
                <c:formatCode>0</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freight_graph!$C$43:$Z$43</c:f>
              <c:numCache>
                <c:formatCode>0.0</c:formatCode>
                <c:ptCount val="24"/>
                <c:pt idx="0">
                  <c:v>1.4182255053453219</c:v>
                </c:pt>
                <c:pt idx="1">
                  <c:v>1.4607722705056818</c:v>
                </c:pt>
                <c:pt idx="2">
                  <c:v>1.5458658008264012</c:v>
                </c:pt>
                <c:pt idx="3">
                  <c:v>1.5955036935134874</c:v>
                </c:pt>
                <c:pt idx="4">
                  <c:v>1.6309593311471202</c:v>
                </c:pt>
                <c:pt idx="5">
                  <c:v>1.7373262440480199</c:v>
                </c:pt>
                <c:pt idx="6">
                  <c:v>1.7444173715747466</c:v>
                </c:pt>
                <c:pt idx="7">
                  <c:v>1.7018706064143865</c:v>
                </c:pt>
                <c:pt idx="8">
                  <c:v>1.7160528614678396</c:v>
                </c:pt>
                <c:pt idx="9">
                  <c:v>1.7798730092083788</c:v>
                </c:pt>
                <c:pt idx="10">
                  <c:v>1.8295109018954654</c:v>
                </c:pt>
                <c:pt idx="11">
                  <c:v>1.8862399221092783</c:v>
                </c:pt>
                <c:pt idx="12">
                  <c:v>1.9500600698498178</c:v>
                </c:pt>
                <c:pt idx="13" formatCode="0.00">
                  <c:v>1.9129519385787745</c:v>
                </c:pt>
                <c:pt idx="14" formatCode="0.00">
                  <c:v>1.8096093205950181</c:v>
                </c:pt>
                <c:pt idx="15" formatCode="0.00">
                  <c:v>1.8397722345524581</c:v>
                </c:pt>
                <c:pt idx="16" formatCode="0.00">
                  <c:v>1.8547253589011186</c:v>
                </c:pt>
                <c:pt idx="17" formatCode="0.00">
                  <c:v>1.825412420546995</c:v>
                </c:pt>
                <c:pt idx="18" formatCode="0.00">
                  <c:v>1.8374486208601757</c:v>
                </c:pt>
                <c:pt idx="19" formatCode="0.00">
                  <c:v>2.116369827169057</c:v>
                </c:pt>
                <c:pt idx="20" formatCode="0.00">
                  <c:v>2.1416673740029104</c:v>
                </c:pt>
                <c:pt idx="21" formatCode="0.00">
                  <c:v>2.3996201418886942</c:v>
                </c:pt>
                <c:pt idx="22" formatCode="0.00">
                  <c:v>2.173191624794542</c:v>
                </c:pt>
                <c:pt idx="23" formatCode="0.00">
                  <c:v>2.2156403045035571</c:v>
                </c:pt>
              </c:numCache>
            </c:numRef>
          </c:val>
          <c:smooth val="0"/>
          <c:extLst>
            <c:ext xmlns:c16="http://schemas.microsoft.com/office/drawing/2014/chart" uri="{C3380CC4-5D6E-409C-BE32-E72D297353CC}">
              <c16:uniqueId val="{00000005-867E-43BB-9682-34496CE99106}"/>
            </c:ext>
          </c:extLst>
        </c:ser>
        <c:dLbls>
          <c:showLegendKey val="0"/>
          <c:showVal val="0"/>
          <c:showCatName val="0"/>
          <c:showSerName val="0"/>
          <c:showPercent val="0"/>
          <c:showBubbleSize val="0"/>
        </c:dLbls>
        <c:marker val="1"/>
        <c:smooth val="0"/>
        <c:axId val="311608672"/>
        <c:axId val="1"/>
      </c:lineChart>
      <c:catAx>
        <c:axId val="31160867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22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11608672"/>
        <c:crosses val="autoZero"/>
        <c:crossBetween val="midCat"/>
        <c:majorUnit val="200"/>
      </c:valAx>
      <c:spPr>
        <a:solidFill>
          <a:srgbClr val="FFFFFF"/>
        </a:solidFill>
        <a:ln w="12700">
          <a:solidFill>
            <a:srgbClr val="808080"/>
          </a:solidFill>
          <a:prstDash val="solid"/>
        </a:ln>
      </c:spPr>
    </c:plotArea>
    <c:legend>
      <c:legendPos val="b"/>
      <c:layout>
        <c:manualLayout>
          <c:xMode val="edge"/>
          <c:yMode val="edge"/>
          <c:x val="7.039983202099738E-2"/>
          <c:y val="0.94887718789752507"/>
          <c:w val="0.70772728608923885"/>
          <c:h val="3.6713202260760358E-2"/>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CCFFCC"/>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133350</xdr:rowOff>
    </xdr:from>
    <xdr:to>
      <xdr:col>14</xdr:col>
      <xdr:colOff>314739</xdr:colOff>
      <xdr:row>30</xdr:row>
      <xdr:rowOff>8283</xdr:rowOff>
    </xdr:to>
    <xdr:graphicFrame macro="">
      <xdr:nvGraphicFramePr>
        <xdr:cNvPr id="12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tats.oecd.org/" TargetMode="External"/><Relationship Id="rId13" Type="http://schemas.openxmlformats.org/officeDocument/2006/relationships/hyperlink" Target="http://stats.oecd.org/OECDStat_Metadata/ShowMetadata.ashx?Dataset=ITF_GOODS_TRANSPORT&amp;ShowOnWeb=true&amp;Lang=en" TargetMode="External"/><Relationship Id="rId3" Type="http://schemas.openxmlformats.org/officeDocument/2006/relationships/hyperlink" Target="http://stats.oecd.org/OECDStat_Metadata/ShowMetadata.ashx?Dataset=ITF_GOODS_TRANSPORT&amp;Coords=%5b%5bVARIABLE%5d.%5bT-GOODS-TOT-INLD%5d%2c%5bCOUNTRY%5d.%5bBGR%5d%5d&amp;ShowOnWeb=true&amp;Lang=en" TargetMode="External"/><Relationship Id="rId7" Type="http://schemas.openxmlformats.org/officeDocument/2006/relationships/hyperlink" Target="http://stats.oecd.org/OECDStat_Metadata/ShowMetadata.ashx?Dataset=ITF_GOODS_TRANSPORT&amp;Coords=%5b%5bVARIABLE%5d.%5bT-GOODS-TOT-INLD%5d%2c%5bCOUNTRY%5d.%5bNOR%5d%5d&amp;ShowOnWeb=true&amp;Lang=en" TargetMode="External"/><Relationship Id="rId12" Type="http://schemas.openxmlformats.org/officeDocument/2006/relationships/hyperlink" Target="http://stats.oecd.org/OECDStat_Metadata/ShowMetadata.ashx?Dataset=ITF_GOODS_TRANSPORT&amp;ShowOnWeb=true&amp;Lang=en" TargetMode="External"/><Relationship Id="rId2" Type="http://schemas.openxmlformats.org/officeDocument/2006/relationships/hyperlink" Target="http://stats.oecd.org/OECDStat_Metadata/ShowMetadata.ashx?Dataset=ITF_GOODS_TRANSPORT&amp;Coords=%5bVARIABLE%5d.%5bT-GOODS-TOT-INLD%5d&amp;ShowOnWeb=true&amp;Lang=en" TargetMode="External"/><Relationship Id="rId1" Type="http://schemas.openxmlformats.org/officeDocument/2006/relationships/hyperlink" Target="http://stats.oecd.org/OECDStat_Metadata/ShowMetadata.ashx?Dataset=ITF_GOODS_TRANSPORT&amp;ShowOnWeb=true&amp;Lang=en" TargetMode="External"/><Relationship Id="rId6" Type="http://schemas.openxmlformats.org/officeDocument/2006/relationships/hyperlink" Target="http://stats.oecd.org/OECDStat_Metadata/ShowMetadata.ashx?Dataset=ITF_GOODS_TRANSPORT&amp;Coords=%5b%5bVARIABLE%5d.%5bT-GOODS-TOT-INLD%5d%2c%5bCOUNTRY%5d.%5bMNE%5d%5d&amp;ShowOnWeb=true&amp;Lang=en" TargetMode="External"/><Relationship Id="rId11" Type="http://schemas.openxmlformats.org/officeDocument/2006/relationships/hyperlink" Target="https://stats-2.oecd.org/index.aspx?DatasetCode=ITF_GOODS_TRANSPORT" TargetMode="External"/><Relationship Id="rId5" Type="http://schemas.openxmlformats.org/officeDocument/2006/relationships/hyperlink" Target="http://stats.oecd.org/OECDStat_Metadata/ShowMetadata.ashx?Dataset=ITF_GOODS_TRANSPORT&amp;Coords=%5b%5bVARIABLE%5d.%5bT-GOODS-TOT-INLD%5d%2c%5bCOUNTRY%5d.%5bMKD%5d%5d&amp;ShowOnWeb=true&amp;Lang=en" TargetMode="External"/><Relationship Id="rId10" Type="http://schemas.openxmlformats.org/officeDocument/2006/relationships/hyperlink" Target="http://stats.oecd.org/OECDStat_Metadata/ShowMetadata.ashx?Dataset=ITF_GOODS_TRANSPORT&amp;Coords=%5b%5bVARIABLE%5d.%5bT-GOODS-TOT-INLD%5d%2c%5bCOUNTRY%5d.%5bTUR%5d%5d&amp;ShowOnWeb=true&amp;Lang=en" TargetMode="External"/><Relationship Id="rId4" Type="http://schemas.openxmlformats.org/officeDocument/2006/relationships/hyperlink" Target="http://stats.oecd.org/" TargetMode="External"/><Relationship Id="rId9" Type="http://schemas.openxmlformats.org/officeDocument/2006/relationships/hyperlink" Target="http://stats.oecd.org/OECDStat_Metadata/ShowMetadata.ashx?Dataset=ITF_GOODS_TRANSPORT&amp;Coords=%5b%5bVARIABLE%5d.%5bT-GOODS-TOT-INLD%5d%2c%5bCOUNTRY%5d.%5bCHE%5d%5d&amp;ShowOnWeb=true&amp;Lang=en" TargetMode="External"/><Relationship Id="rId1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1">
    <pageSetUpPr fitToPage="1"/>
  </sheetPr>
  <dimension ref="B1:E71"/>
  <sheetViews>
    <sheetView tabSelected="1" topLeftCell="A7" workbookViewId="0">
      <selection activeCell="J14" sqref="J14"/>
    </sheetView>
  </sheetViews>
  <sheetFormatPr defaultRowHeight="12.75" x14ac:dyDescent="0.2"/>
  <cols>
    <col min="1" max="1" width="0.85546875" style="5" customWidth="1"/>
    <col min="2" max="2" width="7.7109375" style="8" customWidth="1"/>
    <col min="3" max="3" width="2" style="10" customWidth="1"/>
    <col min="4" max="4" width="51.5703125" style="5" customWidth="1"/>
    <col min="5" max="5" width="12.140625" style="5" customWidth="1"/>
    <col min="6" max="16384" width="9.140625" style="5"/>
  </cols>
  <sheetData>
    <row r="1" spans="2:5" ht="20.100000000000001" customHeight="1" x14ac:dyDescent="0.2">
      <c r="B1" s="535" t="s">
        <v>52</v>
      </c>
      <c r="C1" s="535"/>
      <c r="D1" s="535"/>
      <c r="E1" s="535"/>
    </row>
    <row r="2" spans="2:5" ht="20.100000000000001" customHeight="1" x14ac:dyDescent="0.2">
      <c r="B2" s="536" t="s">
        <v>53</v>
      </c>
      <c r="C2" s="536"/>
      <c r="D2" s="536"/>
      <c r="E2" s="536"/>
    </row>
    <row r="3" spans="2:5" ht="20.100000000000001" customHeight="1" x14ac:dyDescent="0.2">
      <c r="B3" s="537" t="s">
        <v>86</v>
      </c>
      <c r="C3" s="537"/>
      <c r="D3" s="537"/>
      <c r="E3" s="537"/>
    </row>
    <row r="4" spans="2:5" ht="20.100000000000001" customHeight="1" x14ac:dyDescent="0.2">
      <c r="B4" s="538" t="s">
        <v>54</v>
      </c>
      <c r="C4" s="538"/>
      <c r="D4" s="538"/>
      <c r="E4" s="538"/>
    </row>
    <row r="5" spans="2:5" ht="20.100000000000001" customHeight="1" x14ac:dyDescent="0.2">
      <c r="B5" s="55"/>
      <c r="C5" s="55"/>
      <c r="D5" s="55"/>
      <c r="E5" s="55"/>
    </row>
    <row r="6" spans="2:5" ht="20.100000000000001" customHeight="1" x14ac:dyDescent="0.2"/>
    <row r="7" spans="2:5" ht="20.100000000000001" customHeight="1" x14ac:dyDescent="0.2">
      <c r="B7" s="535" t="s">
        <v>85</v>
      </c>
      <c r="C7" s="535"/>
      <c r="D7" s="535"/>
      <c r="E7" s="535"/>
    </row>
    <row r="8" spans="2:5" ht="20.100000000000001" customHeight="1" x14ac:dyDescent="0.2">
      <c r="B8" s="534">
        <v>2020</v>
      </c>
      <c r="C8" s="534"/>
      <c r="D8" s="534"/>
      <c r="E8" s="534"/>
    </row>
    <row r="9" spans="2:5" ht="20.100000000000001" customHeight="1" x14ac:dyDescent="0.2">
      <c r="B9" s="56"/>
      <c r="C9" s="56"/>
      <c r="D9" s="56"/>
      <c r="E9" s="56"/>
    </row>
    <row r="10" spans="2:5" ht="20.100000000000001" customHeight="1" x14ac:dyDescent="0.2">
      <c r="B10" s="532" t="s">
        <v>87</v>
      </c>
      <c r="C10" s="532"/>
      <c r="D10" s="532"/>
      <c r="E10" s="532"/>
    </row>
    <row r="11" spans="2:5" ht="20.100000000000001" customHeight="1" x14ac:dyDescent="0.2">
      <c r="B11" s="7"/>
      <c r="E11" s="7"/>
    </row>
    <row r="12" spans="2:5" ht="20.100000000000001" customHeight="1" x14ac:dyDescent="0.2">
      <c r="B12" s="533" t="s">
        <v>88</v>
      </c>
      <c r="C12" s="533"/>
      <c r="D12" s="533"/>
      <c r="E12" s="533"/>
    </row>
    <row r="13" spans="2:5" customFormat="1" ht="20.100000000000001" customHeight="1" x14ac:dyDescent="0.2">
      <c r="B13" s="533" t="s">
        <v>55</v>
      </c>
      <c r="C13" s="533"/>
      <c r="D13" s="533"/>
      <c r="E13" s="533"/>
    </row>
    <row r="14" spans="2:5" customFormat="1" ht="20.100000000000001" customHeight="1" x14ac:dyDescent="0.2">
      <c r="B14" s="533" t="s">
        <v>56</v>
      </c>
      <c r="C14" s="533"/>
      <c r="D14" s="533"/>
      <c r="E14" s="533"/>
    </row>
    <row r="15" spans="2:5" ht="20.100000000000001" customHeight="1" x14ac:dyDescent="0.2">
      <c r="B15" s="7"/>
      <c r="D15"/>
      <c r="E15" s="7"/>
    </row>
    <row r="16" spans="2:5" ht="20.100000000000001" customHeight="1" x14ac:dyDescent="0.2">
      <c r="B16" s="7"/>
      <c r="E16" s="7"/>
    </row>
    <row r="17" spans="2:5" ht="15" customHeight="1" x14ac:dyDescent="0.2">
      <c r="B17" s="51" t="s">
        <v>75</v>
      </c>
      <c r="C17" s="52"/>
      <c r="D17" s="267" t="s">
        <v>132</v>
      </c>
      <c r="E17" s="7"/>
    </row>
    <row r="18" spans="2:5" ht="15" customHeight="1" x14ac:dyDescent="0.2">
      <c r="B18" s="51" t="s">
        <v>76</v>
      </c>
      <c r="C18" s="52"/>
      <c r="D18" s="267" t="s">
        <v>133</v>
      </c>
      <c r="E18" s="7"/>
    </row>
    <row r="19" spans="2:5" ht="15" customHeight="1" x14ac:dyDescent="0.2">
      <c r="B19" s="51" t="s">
        <v>77</v>
      </c>
      <c r="C19" s="52"/>
      <c r="D19" s="267" t="s">
        <v>134</v>
      </c>
      <c r="E19" s="7"/>
    </row>
    <row r="20" spans="2:5" ht="15" customHeight="1" x14ac:dyDescent="0.2">
      <c r="B20" s="51" t="s">
        <v>78</v>
      </c>
      <c r="C20" s="52"/>
      <c r="D20" s="267" t="s">
        <v>135</v>
      </c>
      <c r="E20" s="7"/>
    </row>
    <row r="21" spans="2:5" customFormat="1" ht="15" customHeight="1" x14ac:dyDescent="0.2">
      <c r="B21" s="51" t="s">
        <v>79</v>
      </c>
      <c r="C21" s="52"/>
      <c r="D21" s="267" t="s">
        <v>136</v>
      </c>
    </row>
    <row r="22" spans="2:5" customFormat="1" ht="15" customHeight="1" x14ac:dyDescent="0.2">
      <c r="B22" s="51" t="s">
        <v>80</v>
      </c>
      <c r="C22" s="52"/>
      <c r="D22" s="267" t="s">
        <v>141</v>
      </c>
    </row>
    <row r="23" spans="2:5" customFormat="1" ht="15" customHeight="1" x14ac:dyDescent="0.2">
      <c r="B23" s="266" t="s">
        <v>104</v>
      </c>
      <c r="C23" s="52"/>
      <c r="D23" s="267" t="s">
        <v>110</v>
      </c>
    </row>
    <row r="24" spans="2:5" ht="15" customHeight="1" x14ac:dyDescent="0.2">
      <c r="B24" s="51" t="s">
        <v>81</v>
      </c>
      <c r="C24" s="53"/>
      <c r="D24" s="54" t="s">
        <v>50</v>
      </c>
    </row>
    <row r="25" spans="2:5" ht="15" customHeight="1" x14ac:dyDescent="0.2">
      <c r="B25" s="51" t="s">
        <v>82</v>
      </c>
      <c r="C25" s="53"/>
      <c r="D25" s="54" t="s">
        <v>37</v>
      </c>
      <c r="E25" s="7"/>
    </row>
    <row r="26" spans="2:5" ht="15" customHeight="1" x14ac:dyDescent="0.2">
      <c r="B26" s="51" t="s">
        <v>83</v>
      </c>
      <c r="C26" s="53"/>
      <c r="D26" s="54" t="s">
        <v>51</v>
      </c>
      <c r="E26" s="7"/>
    </row>
    <row r="27" spans="2:5" ht="15" customHeight="1" x14ac:dyDescent="0.2">
      <c r="B27" s="51" t="s">
        <v>84</v>
      </c>
      <c r="D27" s="267" t="s">
        <v>137</v>
      </c>
      <c r="E27" s="7"/>
    </row>
    <row r="28" spans="2:5" customFormat="1" ht="12.6" customHeight="1" x14ac:dyDescent="0.2">
      <c r="B28" s="7"/>
      <c r="C28" s="10"/>
      <c r="D28" s="5"/>
      <c r="E28" s="7"/>
    </row>
    <row r="29" spans="2:5" customFormat="1" ht="12.6" customHeight="1" x14ac:dyDescent="0.2">
      <c r="B29" s="7"/>
      <c r="C29" s="10"/>
      <c r="D29" s="5"/>
      <c r="E29" s="7"/>
    </row>
    <row r="30" spans="2:5" customFormat="1" ht="12.6" customHeight="1" x14ac:dyDescent="0.2">
      <c r="B30" s="7"/>
      <c r="C30" s="10"/>
      <c r="E30" s="7"/>
    </row>
    <row r="31" spans="2:5" customFormat="1" ht="12.6" customHeight="1" x14ac:dyDescent="0.2">
      <c r="B31" s="7"/>
      <c r="C31" s="10"/>
      <c r="E31" s="7"/>
    </row>
    <row r="32" spans="2:5" ht="12.6" customHeight="1" x14ac:dyDescent="0.2">
      <c r="B32" s="7"/>
      <c r="D32"/>
      <c r="E32" s="7"/>
    </row>
    <row r="33" spans="2:5" ht="12.6" customHeight="1" x14ac:dyDescent="0.2">
      <c r="B33" s="7"/>
      <c r="D33"/>
      <c r="E33" s="7"/>
    </row>
    <row r="34" spans="2:5" customFormat="1" x14ac:dyDescent="0.2"/>
    <row r="35" spans="2:5" ht="12.6" customHeight="1" x14ac:dyDescent="0.2">
      <c r="B35"/>
      <c r="C35"/>
      <c r="D35"/>
      <c r="E35"/>
    </row>
    <row r="36" spans="2:5" ht="12.6" customHeight="1" x14ac:dyDescent="0.25">
      <c r="B36" s="9"/>
      <c r="E36" s="7"/>
    </row>
    <row r="37" spans="2:5" x14ac:dyDescent="0.2">
      <c r="B37" s="7"/>
      <c r="E37" s="7"/>
    </row>
    <row r="38" spans="2:5" x14ac:dyDescent="0.2">
      <c r="B38" s="7"/>
      <c r="E38" s="7"/>
    </row>
    <row r="39" spans="2:5" x14ac:dyDescent="0.2">
      <c r="B39" s="7"/>
      <c r="E39" s="7"/>
    </row>
    <row r="40" spans="2:5" x14ac:dyDescent="0.2">
      <c r="C40"/>
    </row>
    <row r="41" spans="2:5" x14ac:dyDescent="0.2">
      <c r="B41"/>
      <c r="C41"/>
      <c r="D41"/>
      <c r="E41"/>
    </row>
    <row r="42" spans="2:5" ht="13.5" x14ac:dyDescent="0.25">
      <c r="B42" s="9"/>
      <c r="E42"/>
    </row>
    <row r="43" spans="2:5" x14ac:dyDescent="0.2">
      <c r="B43" s="7"/>
      <c r="E43" s="7"/>
    </row>
    <row r="44" spans="2:5" x14ac:dyDescent="0.2">
      <c r="B44" s="7"/>
      <c r="E44" s="7"/>
    </row>
    <row r="45" spans="2:5" x14ac:dyDescent="0.2">
      <c r="B45" s="7"/>
      <c r="E45" s="7"/>
    </row>
    <row r="46" spans="2:5" x14ac:dyDescent="0.2">
      <c r="B46" s="7"/>
      <c r="E46" s="7"/>
    </row>
    <row r="47" spans="2:5" x14ac:dyDescent="0.2">
      <c r="B47" s="7"/>
      <c r="E47" s="7"/>
    </row>
    <row r="48" spans="2:5" x14ac:dyDescent="0.2">
      <c r="B48" s="7"/>
      <c r="E48" s="7"/>
    </row>
    <row r="49" spans="2:5" x14ac:dyDescent="0.2">
      <c r="B49" s="7"/>
      <c r="E49" s="7"/>
    </row>
    <row r="51" spans="2:5" ht="13.5" x14ac:dyDescent="0.25">
      <c r="B51" s="9"/>
      <c r="E51"/>
    </row>
    <row r="52" spans="2:5" x14ac:dyDescent="0.2">
      <c r="B52" s="7"/>
      <c r="E52" s="7"/>
    </row>
    <row r="53" spans="2:5" x14ac:dyDescent="0.2">
      <c r="B53" s="7"/>
      <c r="E53" s="7"/>
    </row>
    <row r="54" spans="2:5" x14ac:dyDescent="0.2">
      <c r="B54" s="7"/>
      <c r="E54" s="7"/>
    </row>
    <row r="61" spans="2:5" x14ac:dyDescent="0.2">
      <c r="C61" s="13"/>
      <c r="D61" s="14"/>
    </row>
    <row r="68" spans="3:5" customFormat="1" x14ac:dyDescent="0.2"/>
    <row r="71" spans="3:5" x14ac:dyDescent="0.2">
      <c r="C71"/>
      <c r="D71"/>
      <c r="E71"/>
    </row>
  </sheetData>
  <mergeCells count="10">
    <mergeCell ref="B1:E1"/>
    <mergeCell ref="B2:E2"/>
    <mergeCell ref="B3:E3"/>
    <mergeCell ref="B4:E4"/>
    <mergeCell ref="B7:E7"/>
    <mergeCell ref="B10:E10"/>
    <mergeCell ref="B12:E12"/>
    <mergeCell ref="B13:E13"/>
    <mergeCell ref="B14:E14"/>
    <mergeCell ref="B8:E8"/>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AI50"/>
  <sheetViews>
    <sheetView topLeftCell="A13" zoomScaleNormal="100" workbookViewId="0">
      <selection activeCell="AL26" sqref="AL26"/>
    </sheetView>
  </sheetViews>
  <sheetFormatPr defaultRowHeight="12.75" x14ac:dyDescent="0.2"/>
  <cols>
    <col min="1" max="1" width="2.7109375" customWidth="1"/>
    <col min="2" max="2" width="4" style="3" customWidth="1"/>
    <col min="3" max="10" width="6.7109375" style="3" customWidth="1"/>
    <col min="11" max="14" width="6.7109375" style="3" hidden="1" customWidth="1"/>
    <col min="15" max="20" width="6.7109375" style="3" customWidth="1"/>
    <col min="21" max="26" width="7.28515625" style="3" customWidth="1"/>
    <col min="27" max="33" width="7.42578125" style="3" customWidth="1"/>
    <col min="34" max="34" width="6.28515625" style="397" customWidth="1"/>
    <col min="35" max="35" width="4.7109375" style="3" customWidth="1"/>
    <col min="36" max="16384" width="9.140625" style="3"/>
  </cols>
  <sheetData>
    <row r="1" spans="1:35" ht="14.25" customHeight="1" x14ac:dyDescent="0.2">
      <c r="B1" s="42"/>
      <c r="C1" s="43"/>
      <c r="D1" s="43"/>
      <c r="E1" s="38"/>
      <c r="F1" s="38"/>
      <c r="G1" s="38"/>
      <c r="H1" s="38"/>
      <c r="I1" s="38"/>
      <c r="J1" s="38"/>
      <c r="K1" s="38"/>
      <c r="L1" s="38"/>
      <c r="M1" s="38"/>
      <c r="N1" s="38"/>
      <c r="O1" s="38"/>
      <c r="P1" s="38"/>
      <c r="R1"/>
      <c r="U1" s="39"/>
      <c r="V1" s="39"/>
      <c r="W1" s="39"/>
      <c r="X1" s="39"/>
      <c r="Y1" s="39"/>
      <c r="Z1" s="39"/>
      <c r="AA1" s="39"/>
      <c r="AB1" s="39"/>
      <c r="AC1" s="39"/>
      <c r="AD1" s="39"/>
      <c r="AE1" s="39"/>
      <c r="AF1" s="39"/>
      <c r="AG1" s="39"/>
      <c r="AI1" s="39" t="s">
        <v>82</v>
      </c>
    </row>
    <row r="2" spans="1:35" s="48" customFormat="1" ht="30" customHeight="1" x14ac:dyDescent="0.2">
      <c r="A2" s="81"/>
      <c r="B2" s="585" t="s">
        <v>145</v>
      </c>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row>
    <row r="3" spans="1:35" ht="12" customHeight="1" x14ac:dyDescent="0.2">
      <c r="B3" s="4"/>
      <c r="C3" s="4"/>
      <c r="E3" s="28"/>
      <c r="F3" s="28"/>
      <c r="G3" s="28"/>
      <c r="H3" s="28"/>
      <c r="I3" s="28"/>
      <c r="J3" s="30"/>
      <c r="K3" s="30"/>
      <c r="L3" s="30"/>
      <c r="M3" s="30"/>
      <c r="N3" s="30"/>
      <c r="O3" s="30"/>
      <c r="R3" s="45"/>
      <c r="T3" s="127"/>
      <c r="U3" s="127"/>
      <c r="W3" s="304"/>
      <c r="X3" s="305"/>
      <c r="Y3" s="21"/>
      <c r="Z3" s="21"/>
      <c r="AA3" s="21"/>
      <c r="AB3" s="21"/>
      <c r="AC3" s="21"/>
      <c r="AD3" s="304"/>
      <c r="AE3" s="304"/>
      <c r="AF3" s="319"/>
      <c r="AG3" s="304" t="s">
        <v>95</v>
      </c>
      <c r="AH3" s="398"/>
      <c r="AI3" s="46"/>
    </row>
    <row r="4" spans="1:35" ht="20.100000000000001" customHeight="1" x14ac:dyDescent="0.2">
      <c r="B4" s="32"/>
      <c r="C4" s="103">
        <v>1970</v>
      </c>
      <c r="D4" s="103">
        <v>1980</v>
      </c>
      <c r="E4" s="86">
        <v>1990</v>
      </c>
      <c r="F4" s="86">
        <v>1991</v>
      </c>
      <c r="G4" s="86">
        <v>1992</v>
      </c>
      <c r="H4" s="86">
        <v>1993</v>
      </c>
      <c r="I4" s="86">
        <v>1994</v>
      </c>
      <c r="J4" s="86">
        <v>1995</v>
      </c>
      <c r="K4" s="86">
        <v>1996</v>
      </c>
      <c r="L4" s="86">
        <v>1997</v>
      </c>
      <c r="M4" s="86">
        <v>1998</v>
      </c>
      <c r="N4" s="86">
        <v>1999</v>
      </c>
      <c r="O4" s="86">
        <v>2000</v>
      </c>
      <c r="P4" s="86">
        <v>2001</v>
      </c>
      <c r="Q4" s="86">
        <v>2002</v>
      </c>
      <c r="R4" s="86">
        <v>2003</v>
      </c>
      <c r="S4" s="86">
        <v>2004</v>
      </c>
      <c r="T4" s="86">
        <v>2005</v>
      </c>
      <c r="U4" s="86">
        <v>2006</v>
      </c>
      <c r="V4" s="86">
        <v>2007</v>
      </c>
      <c r="W4" s="86">
        <v>2008</v>
      </c>
      <c r="X4" s="86">
        <v>2009</v>
      </c>
      <c r="Y4" s="86">
        <v>2010</v>
      </c>
      <c r="Z4" s="86">
        <v>2011</v>
      </c>
      <c r="AA4" s="86">
        <v>2012</v>
      </c>
      <c r="AB4" s="86">
        <v>2013</v>
      </c>
      <c r="AC4" s="86">
        <v>2014</v>
      </c>
      <c r="AD4" s="86">
        <v>2015</v>
      </c>
      <c r="AE4" s="86">
        <v>2016</v>
      </c>
      <c r="AF4" s="86">
        <v>2017</v>
      </c>
      <c r="AG4" s="143">
        <v>2018</v>
      </c>
      <c r="AH4" s="459" t="s">
        <v>116</v>
      </c>
      <c r="AI4" s="63"/>
    </row>
    <row r="5" spans="1:35" ht="9.9499999999999993" customHeight="1" x14ac:dyDescent="0.2">
      <c r="B5" s="32"/>
      <c r="C5" s="104"/>
      <c r="D5" s="105"/>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396"/>
      <c r="AH5" s="460" t="s">
        <v>63</v>
      </c>
      <c r="AI5" s="63"/>
    </row>
    <row r="6" spans="1:35" ht="9.9499999999999993" customHeight="1" x14ac:dyDescent="0.2">
      <c r="B6" s="289" t="s">
        <v>115</v>
      </c>
      <c r="C6" s="306">
        <f>C7-C35</f>
        <v>112.476</v>
      </c>
      <c r="D6" s="306">
        <f t="shared" ref="D6:AG6" si="0">D7-D35</f>
        <v>119.371</v>
      </c>
      <c r="E6" s="307">
        <f t="shared" si="0"/>
        <v>118.53522714499999</v>
      </c>
      <c r="F6" s="307">
        <f t="shared" si="0"/>
        <v>116.50840167300001</v>
      </c>
      <c r="G6" s="307">
        <f t="shared" si="0"/>
        <v>114.86673840299999</v>
      </c>
      <c r="H6" s="307">
        <f t="shared" si="0"/>
        <v>108.88724280999999</v>
      </c>
      <c r="I6" s="307">
        <f t="shared" si="0"/>
        <v>118.58323084900002</v>
      </c>
      <c r="J6" s="307">
        <f t="shared" si="0"/>
        <v>121.91820799999999</v>
      </c>
      <c r="K6" s="307">
        <f t="shared" si="0"/>
        <v>119.59849199999999</v>
      </c>
      <c r="L6" s="307">
        <f t="shared" si="0"/>
        <v>127.72012699999998</v>
      </c>
      <c r="M6" s="307">
        <f t="shared" si="0"/>
        <v>130.914354551</v>
      </c>
      <c r="N6" s="307">
        <f t="shared" si="0"/>
        <v>128.618899</v>
      </c>
      <c r="O6" s="307">
        <f t="shared" si="0"/>
        <v>133.7148856</v>
      </c>
      <c r="P6" s="307">
        <f t="shared" si="0"/>
        <v>132.4162436</v>
      </c>
      <c r="Q6" s="307">
        <f t="shared" si="0"/>
        <v>132.41402299999999</v>
      </c>
      <c r="R6" s="307">
        <f t="shared" si="0"/>
        <v>123.43508519999999</v>
      </c>
      <c r="S6" s="307">
        <f t="shared" si="0"/>
        <v>136.76315100000005</v>
      </c>
      <c r="T6" s="307">
        <f t="shared" si="0"/>
        <v>138.61097439999998</v>
      </c>
      <c r="U6" s="307">
        <f t="shared" si="0"/>
        <v>138.41696909999999</v>
      </c>
      <c r="V6" s="307">
        <f t="shared" si="0"/>
        <v>145.40199999999999</v>
      </c>
      <c r="W6" s="307">
        <f t="shared" si="0"/>
        <v>146.90300000000002</v>
      </c>
      <c r="X6" s="307">
        <f t="shared" si="0"/>
        <v>132.60600000000002</v>
      </c>
      <c r="Y6" s="307">
        <f t="shared" si="0"/>
        <v>155.36499999999998</v>
      </c>
      <c r="Z6" s="307">
        <f t="shared" si="0"/>
        <v>141.82500000000002</v>
      </c>
      <c r="AA6" s="307">
        <f t="shared" si="0"/>
        <v>149.822</v>
      </c>
      <c r="AB6" s="307">
        <f t="shared" si="0"/>
        <v>152.58400000000003</v>
      </c>
      <c r="AC6" s="307">
        <f t="shared" si="0"/>
        <v>150.70699999999997</v>
      </c>
      <c r="AD6" s="307">
        <f t="shared" si="0"/>
        <v>147.35100000000003</v>
      </c>
      <c r="AE6" s="307">
        <f t="shared" si="0"/>
        <v>147.20899999999997</v>
      </c>
      <c r="AF6" s="307">
        <f t="shared" si="0"/>
        <v>147.22333333333333</v>
      </c>
      <c r="AG6" s="320">
        <f t="shared" si="0"/>
        <v>134.98377777777776</v>
      </c>
      <c r="AH6" s="458">
        <f>AG6/AF6*100-100</f>
        <v>-8.3135976332254273</v>
      </c>
      <c r="AI6" s="289" t="s">
        <v>115</v>
      </c>
    </row>
    <row r="7" spans="1:35" ht="12.75" customHeight="1" x14ac:dyDescent="0.2">
      <c r="B7" s="289" t="s">
        <v>99</v>
      </c>
      <c r="C7" s="306">
        <f>SUM(C8:C35)+2.43</f>
        <v>112.776</v>
      </c>
      <c r="D7" s="306">
        <f>SUM(D8:D35)+3.59</f>
        <v>119.771</v>
      </c>
      <c r="E7" s="307">
        <f>SUM(E8:E35)+4.42</f>
        <v>118.83522714499999</v>
      </c>
      <c r="F7" s="307">
        <f>SUM(F8:F35)+3.89</f>
        <v>116.70840167300001</v>
      </c>
      <c r="G7" s="307">
        <f>SUM(G8:G35)+2.98</f>
        <v>115.05673840299998</v>
      </c>
      <c r="H7" s="307">
        <f t="shared" ref="H7:AG7" si="1">SUM(H8:H35)</f>
        <v>109.08724280999999</v>
      </c>
      <c r="I7" s="307">
        <f t="shared" si="1"/>
        <v>118.78323084900002</v>
      </c>
      <c r="J7" s="307">
        <f t="shared" si="1"/>
        <v>122.118208</v>
      </c>
      <c r="K7" s="307">
        <f t="shared" si="1"/>
        <v>119.778492</v>
      </c>
      <c r="L7" s="307">
        <f t="shared" si="1"/>
        <v>127.87012699999998</v>
      </c>
      <c r="M7" s="307">
        <f t="shared" si="1"/>
        <v>131.06435455100001</v>
      </c>
      <c r="N7" s="307">
        <f t="shared" si="1"/>
        <v>128.778899</v>
      </c>
      <c r="O7" s="307">
        <f t="shared" si="1"/>
        <v>133.92488560000001</v>
      </c>
      <c r="P7" s="307">
        <f t="shared" si="1"/>
        <v>132.6062436</v>
      </c>
      <c r="Q7" s="307">
        <f t="shared" si="1"/>
        <v>132.59402299999999</v>
      </c>
      <c r="R7" s="307">
        <f t="shared" si="1"/>
        <v>123.6150852</v>
      </c>
      <c r="S7" s="307">
        <f t="shared" si="1"/>
        <v>136.91315100000006</v>
      </c>
      <c r="T7" s="307">
        <f t="shared" si="1"/>
        <v>138.78097439999996</v>
      </c>
      <c r="U7" s="307">
        <f t="shared" si="1"/>
        <v>138.57696909999999</v>
      </c>
      <c r="V7" s="307">
        <f t="shared" si="1"/>
        <v>145.56399999999999</v>
      </c>
      <c r="W7" s="307">
        <f t="shared" si="1"/>
        <v>147.06700000000001</v>
      </c>
      <c r="X7" s="307">
        <f t="shared" si="1"/>
        <v>132.73900000000003</v>
      </c>
      <c r="Y7" s="307">
        <f t="shared" si="1"/>
        <v>155.52099999999999</v>
      </c>
      <c r="Z7" s="307">
        <f t="shared" si="1"/>
        <v>141.96900000000002</v>
      </c>
      <c r="AA7" s="307">
        <f t="shared" si="1"/>
        <v>149.98699999999999</v>
      </c>
      <c r="AB7" s="307">
        <f t="shared" si="1"/>
        <v>152.79500000000004</v>
      </c>
      <c r="AC7" s="307">
        <f t="shared" si="1"/>
        <v>150.87599999999998</v>
      </c>
      <c r="AD7" s="307">
        <f t="shared" si="1"/>
        <v>147.47100000000003</v>
      </c>
      <c r="AE7" s="307">
        <f t="shared" si="1"/>
        <v>147.31699999999998</v>
      </c>
      <c r="AF7" s="307">
        <f t="shared" si="1"/>
        <v>147.32233333333332</v>
      </c>
      <c r="AG7" s="320">
        <f t="shared" si="1"/>
        <v>135.07677777777775</v>
      </c>
      <c r="AH7" s="458">
        <f t="shared" ref="AH7:AH43" si="2">AG7/AF7*100-100</f>
        <v>-8.3120836321867273</v>
      </c>
      <c r="AI7" s="289" t="s">
        <v>99</v>
      </c>
    </row>
    <row r="8" spans="1:35" ht="12.75" customHeight="1" x14ac:dyDescent="0.2">
      <c r="A8" s="15"/>
      <c r="B8" s="17" t="s">
        <v>22</v>
      </c>
      <c r="C8" s="97">
        <v>6.734</v>
      </c>
      <c r="D8" s="97">
        <v>5.8520000000000003</v>
      </c>
      <c r="E8" s="165">
        <v>5.3888962219999996</v>
      </c>
      <c r="F8" s="165">
        <v>5.177006499</v>
      </c>
      <c r="G8" s="165">
        <v>5.0178630999999996</v>
      </c>
      <c r="H8" s="165">
        <v>4.9316739729999997</v>
      </c>
      <c r="I8" s="165">
        <v>5.4902624380000002</v>
      </c>
      <c r="J8" s="165">
        <v>5.7309999999999999</v>
      </c>
      <c r="K8" s="165">
        <v>5.7149999999999999</v>
      </c>
      <c r="L8" s="165">
        <v>5.8289999999999997</v>
      </c>
      <c r="M8" s="165">
        <v>6.0149999999999997</v>
      </c>
      <c r="N8" s="165">
        <v>6.3620000000000001</v>
      </c>
      <c r="O8" s="165">
        <v>7.2149999999999999</v>
      </c>
      <c r="P8" s="165">
        <v>7.6550000000000002</v>
      </c>
      <c r="Q8" s="165">
        <v>8.0730000000000004</v>
      </c>
      <c r="R8" s="165">
        <v>8.23</v>
      </c>
      <c r="S8" s="165">
        <v>8.3919999999999995</v>
      </c>
      <c r="T8" s="165">
        <v>8.5660000000000007</v>
      </c>
      <c r="U8" s="165">
        <v>8.9079999999999995</v>
      </c>
      <c r="V8" s="165">
        <v>9.0060000000000002</v>
      </c>
      <c r="W8" s="165">
        <v>8.7460000000000004</v>
      </c>
      <c r="X8" s="165">
        <v>7.0869999999999997</v>
      </c>
      <c r="Y8" s="165">
        <v>9.07</v>
      </c>
      <c r="Z8" s="165">
        <v>9.2509999999999994</v>
      </c>
      <c r="AA8" s="165">
        <v>10.42</v>
      </c>
      <c r="AB8" s="165">
        <v>10.365</v>
      </c>
      <c r="AC8" s="165">
        <v>10.451000000000001</v>
      </c>
      <c r="AD8" s="165">
        <v>10.426</v>
      </c>
      <c r="AE8" s="165">
        <v>10.331</v>
      </c>
      <c r="AF8" s="321">
        <v>11.098000000000001</v>
      </c>
      <c r="AG8" s="166">
        <v>11.356999999999999</v>
      </c>
      <c r="AH8" s="174">
        <f t="shared" si="2"/>
        <v>2.3337538295188125</v>
      </c>
      <c r="AI8" s="17" t="s">
        <v>22</v>
      </c>
    </row>
    <row r="9" spans="1:35" ht="12.75" customHeight="1" x14ac:dyDescent="0.2">
      <c r="A9" s="15"/>
      <c r="B9" s="89" t="s">
        <v>5</v>
      </c>
      <c r="C9" s="102">
        <v>1.83</v>
      </c>
      <c r="D9" s="102">
        <v>2.61</v>
      </c>
      <c r="E9" s="155">
        <v>1.61</v>
      </c>
      <c r="F9" s="155">
        <v>1.024</v>
      </c>
      <c r="G9" s="155">
        <v>0.83699999999999997</v>
      </c>
      <c r="H9" s="155">
        <v>0.46</v>
      </c>
      <c r="I9" s="155">
        <v>0.36</v>
      </c>
      <c r="J9" s="155">
        <v>0.52600000000000002</v>
      </c>
      <c r="K9" s="155">
        <v>0.505</v>
      </c>
      <c r="L9" s="155">
        <v>0.6</v>
      </c>
      <c r="M9" s="155">
        <v>0.56299999999999994</v>
      </c>
      <c r="N9" s="155">
        <v>0.187</v>
      </c>
      <c r="O9" s="155">
        <v>0.313</v>
      </c>
      <c r="P9" s="155">
        <v>0.41799999999999998</v>
      </c>
      <c r="Q9" s="155">
        <v>0.56100000000000005</v>
      </c>
      <c r="R9" s="155">
        <v>0.61299999999999999</v>
      </c>
      <c r="S9" s="155">
        <v>0.69699999999999995</v>
      </c>
      <c r="T9" s="155">
        <v>0.75700000000000001</v>
      </c>
      <c r="U9" s="155">
        <v>0.78500000000000003</v>
      </c>
      <c r="V9" s="161">
        <v>1.0109999999999999</v>
      </c>
      <c r="W9" s="161">
        <v>2.89</v>
      </c>
      <c r="X9" s="155">
        <v>5.4359999999999999</v>
      </c>
      <c r="Y9" s="155">
        <v>6.048</v>
      </c>
      <c r="Z9" s="155">
        <v>4.3099999999999996</v>
      </c>
      <c r="AA9" s="155">
        <v>5.3490000000000002</v>
      </c>
      <c r="AB9" s="155">
        <v>5.3739999999999997</v>
      </c>
      <c r="AC9" s="155">
        <v>5.0739999999999998</v>
      </c>
      <c r="AD9" s="155">
        <v>5.5949999999999998</v>
      </c>
      <c r="AE9" s="155">
        <v>5.4770000000000003</v>
      </c>
      <c r="AF9" s="155">
        <v>5.2789999999999999</v>
      </c>
      <c r="AG9" s="156">
        <v>4.8579999999999997</v>
      </c>
      <c r="AH9" s="173">
        <f t="shared" si="2"/>
        <v>-7.974995264254602</v>
      </c>
      <c r="AI9" s="89" t="s">
        <v>5</v>
      </c>
    </row>
    <row r="10" spans="1:35" ht="12.75" customHeight="1" x14ac:dyDescent="0.2">
      <c r="A10" s="15"/>
      <c r="B10" s="17" t="s">
        <v>7</v>
      </c>
      <c r="C10" s="96"/>
      <c r="D10" s="96"/>
      <c r="E10" s="58"/>
      <c r="F10" s="58"/>
      <c r="G10" s="58"/>
      <c r="H10" s="145"/>
      <c r="I10" s="58">
        <v>0.25259999999999999</v>
      </c>
      <c r="J10" s="58">
        <v>0.2757</v>
      </c>
      <c r="K10" s="58">
        <v>0.25650000000000001</v>
      </c>
      <c r="L10" s="58">
        <v>9.8400000000000001E-2</v>
      </c>
      <c r="M10" s="58">
        <v>0.100313551</v>
      </c>
      <c r="N10" s="58">
        <v>8.6999999999999994E-2</v>
      </c>
      <c r="O10" s="58">
        <v>8.8999999999999996E-2</v>
      </c>
      <c r="P10" s="58">
        <v>7.8E-2</v>
      </c>
      <c r="Q10" s="58">
        <v>0.08</v>
      </c>
      <c r="R10" s="58">
        <v>5.8000000000000003E-2</v>
      </c>
      <c r="S10" s="58">
        <v>4.8000000000000001E-2</v>
      </c>
      <c r="T10" s="58">
        <v>6.3E-2</v>
      </c>
      <c r="U10" s="58">
        <v>4.2999999999999997E-2</v>
      </c>
      <c r="V10" s="58">
        <v>3.5999999999999997E-2</v>
      </c>
      <c r="W10" s="58">
        <v>2.8000000000000001E-2</v>
      </c>
      <c r="X10" s="58">
        <v>3.3000000000000002E-2</v>
      </c>
      <c r="Y10" s="58">
        <v>4.2999999999999997E-2</v>
      </c>
      <c r="Z10" s="58">
        <v>4.2000000000000003E-2</v>
      </c>
      <c r="AA10" s="58">
        <v>3.7999999999999999E-2</v>
      </c>
      <c r="AB10" s="58">
        <v>2.5000000000000001E-2</v>
      </c>
      <c r="AC10" s="58">
        <v>2.7E-2</v>
      </c>
      <c r="AD10" s="58">
        <v>3.3000000000000002E-2</v>
      </c>
      <c r="AE10" s="58">
        <v>3.5999999999999997E-2</v>
      </c>
      <c r="AF10" s="58">
        <v>2.5000000000000001E-2</v>
      </c>
      <c r="AG10" s="167">
        <v>2.3E-2</v>
      </c>
      <c r="AH10" s="174">
        <f t="shared" si="2"/>
        <v>-8</v>
      </c>
      <c r="AI10" s="17" t="s">
        <v>7</v>
      </c>
    </row>
    <row r="11" spans="1:35" ht="12.75" customHeight="1" x14ac:dyDescent="0.2">
      <c r="A11" s="15"/>
      <c r="B11" s="89" t="s">
        <v>18</v>
      </c>
      <c r="C11" s="102" t="s">
        <v>35</v>
      </c>
      <c r="D11" s="102" t="s">
        <v>35</v>
      </c>
      <c r="E11" s="155" t="s">
        <v>35</v>
      </c>
      <c r="F11" s="155" t="s">
        <v>35</v>
      </c>
      <c r="G11" s="155" t="s">
        <v>35</v>
      </c>
      <c r="H11" s="155" t="s">
        <v>35</v>
      </c>
      <c r="I11" s="155" t="s">
        <v>35</v>
      </c>
      <c r="J11" s="155" t="s">
        <v>35</v>
      </c>
      <c r="K11" s="155" t="s">
        <v>35</v>
      </c>
      <c r="L11" s="155" t="s">
        <v>35</v>
      </c>
      <c r="M11" s="155" t="s">
        <v>35</v>
      </c>
      <c r="N11" s="155" t="s">
        <v>35</v>
      </c>
      <c r="O11" s="155" t="s">
        <v>35</v>
      </c>
      <c r="P11" s="155" t="s">
        <v>35</v>
      </c>
      <c r="Q11" s="155" t="s">
        <v>35</v>
      </c>
      <c r="R11" s="155" t="s">
        <v>35</v>
      </c>
      <c r="S11" s="155" t="s">
        <v>35</v>
      </c>
      <c r="T11" s="155" t="s">
        <v>35</v>
      </c>
      <c r="U11" s="155" t="s">
        <v>35</v>
      </c>
      <c r="V11" s="155" t="s">
        <v>35</v>
      </c>
      <c r="W11" s="155" t="s">
        <v>35</v>
      </c>
      <c r="X11" s="155" t="s">
        <v>35</v>
      </c>
      <c r="Y11" s="155" t="s">
        <v>35</v>
      </c>
      <c r="Z11" s="155" t="s">
        <v>35</v>
      </c>
      <c r="AA11" s="160" t="s">
        <v>35</v>
      </c>
      <c r="AB11" s="160" t="s">
        <v>35</v>
      </c>
      <c r="AC11" s="160" t="s">
        <v>35</v>
      </c>
      <c r="AD11" s="160" t="s">
        <v>35</v>
      </c>
      <c r="AE11" s="160" t="s">
        <v>35</v>
      </c>
      <c r="AF11" s="160" t="s">
        <v>35</v>
      </c>
      <c r="AG11" s="187" t="s">
        <v>35</v>
      </c>
      <c r="AH11" s="505" t="s">
        <v>35</v>
      </c>
      <c r="AI11" s="89" t="s">
        <v>18</v>
      </c>
    </row>
    <row r="12" spans="1:35" ht="12.75" customHeight="1" x14ac:dyDescent="0.2">
      <c r="A12" s="15"/>
      <c r="B12" s="17" t="s">
        <v>23</v>
      </c>
      <c r="C12" s="96">
        <v>48.8</v>
      </c>
      <c r="D12" s="96">
        <v>51.4</v>
      </c>
      <c r="E12" s="58">
        <v>54.802999999999997</v>
      </c>
      <c r="F12" s="58">
        <v>55.973424604999998</v>
      </c>
      <c r="G12" s="58">
        <v>57.239443125999998</v>
      </c>
      <c r="H12" s="58">
        <v>57.559339868000002</v>
      </c>
      <c r="I12" s="58">
        <v>61.771966849999998</v>
      </c>
      <c r="J12" s="58">
        <v>63.981999999999999</v>
      </c>
      <c r="K12" s="58">
        <v>61.290999999999997</v>
      </c>
      <c r="L12" s="58">
        <v>62.152999999999999</v>
      </c>
      <c r="M12" s="58">
        <v>64.266999999999996</v>
      </c>
      <c r="N12" s="58">
        <v>62.692</v>
      </c>
      <c r="O12" s="58">
        <v>66.465000000000003</v>
      </c>
      <c r="P12" s="58">
        <v>64.817999999999998</v>
      </c>
      <c r="Q12" s="58">
        <v>64.165999999999997</v>
      </c>
      <c r="R12" s="58">
        <v>58.154000000000003</v>
      </c>
      <c r="S12" s="58">
        <v>63.667000000000002</v>
      </c>
      <c r="T12" s="58">
        <v>64.096000000000004</v>
      </c>
      <c r="U12" s="58">
        <v>63.975000000000001</v>
      </c>
      <c r="V12" s="58">
        <v>64.710999999999999</v>
      </c>
      <c r="W12" s="58">
        <v>64.055999999999997</v>
      </c>
      <c r="X12" s="58">
        <v>55.652000000000001</v>
      </c>
      <c r="Y12" s="58">
        <v>62.277999999999999</v>
      </c>
      <c r="Z12" s="58">
        <v>55.027000000000001</v>
      </c>
      <c r="AA12" s="58">
        <v>58.488</v>
      </c>
      <c r="AB12" s="58">
        <v>60.07</v>
      </c>
      <c r="AC12" s="58">
        <v>59.093000000000004</v>
      </c>
      <c r="AD12" s="58">
        <v>55.314999999999998</v>
      </c>
      <c r="AE12" s="58">
        <v>54.347000000000001</v>
      </c>
      <c r="AF12" s="58">
        <v>55.518000000000001</v>
      </c>
      <c r="AG12" s="167">
        <v>46.901000000000003</v>
      </c>
      <c r="AH12" s="174">
        <f t="shared" si="2"/>
        <v>-15.52109225836665</v>
      </c>
      <c r="AI12" s="17" t="s">
        <v>23</v>
      </c>
    </row>
    <row r="13" spans="1:35" ht="12.75" customHeight="1" x14ac:dyDescent="0.2">
      <c r="A13" s="15"/>
      <c r="B13" s="89" t="s">
        <v>8</v>
      </c>
      <c r="C13" s="102">
        <v>0.01</v>
      </c>
      <c r="D13" s="102">
        <v>0.01</v>
      </c>
      <c r="E13" s="155">
        <v>0</v>
      </c>
      <c r="F13" s="155">
        <v>1E-3</v>
      </c>
      <c r="G13" s="155">
        <v>1E-3</v>
      </c>
      <c r="H13" s="155">
        <v>0</v>
      </c>
      <c r="I13" s="155">
        <v>1E-3</v>
      </c>
      <c r="J13" s="155">
        <v>0</v>
      </c>
      <c r="K13" s="155">
        <v>0</v>
      </c>
      <c r="L13" s="155">
        <v>0</v>
      </c>
      <c r="M13" s="155">
        <v>0</v>
      </c>
      <c r="N13" s="155">
        <v>2E-3</v>
      </c>
      <c r="O13" s="155" t="s">
        <v>35</v>
      </c>
      <c r="P13" s="155" t="s">
        <v>35</v>
      </c>
      <c r="Q13" s="155" t="s">
        <v>35</v>
      </c>
      <c r="R13" s="155" t="s">
        <v>35</v>
      </c>
      <c r="S13" s="155" t="s">
        <v>35</v>
      </c>
      <c r="T13" s="155" t="s">
        <v>35</v>
      </c>
      <c r="U13" s="155" t="s">
        <v>35</v>
      </c>
      <c r="V13" s="155" t="s">
        <v>35</v>
      </c>
      <c r="W13" s="155" t="s">
        <v>35</v>
      </c>
      <c r="X13" s="155" t="s">
        <v>35</v>
      </c>
      <c r="Y13" s="155" t="s">
        <v>35</v>
      </c>
      <c r="Z13" s="155" t="s">
        <v>35</v>
      </c>
      <c r="AA13" s="160" t="s">
        <v>35</v>
      </c>
      <c r="AB13" s="160" t="s">
        <v>35</v>
      </c>
      <c r="AC13" s="160" t="s">
        <v>35</v>
      </c>
      <c r="AD13" s="160" t="s">
        <v>35</v>
      </c>
      <c r="AE13" s="160" t="s">
        <v>35</v>
      </c>
      <c r="AF13" s="160" t="s">
        <v>35</v>
      </c>
      <c r="AG13" s="187" t="s">
        <v>35</v>
      </c>
      <c r="AH13" s="505" t="s">
        <v>35</v>
      </c>
      <c r="AI13" s="89" t="s">
        <v>8</v>
      </c>
    </row>
    <row r="14" spans="1:35" ht="12.75" customHeight="1" x14ac:dyDescent="0.2">
      <c r="A14" s="15"/>
      <c r="B14" s="17" t="s">
        <v>26</v>
      </c>
      <c r="C14" s="97" t="s">
        <v>35</v>
      </c>
      <c r="D14" s="97" t="s">
        <v>35</v>
      </c>
      <c r="E14" s="165" t="s">
        <v>35</v>
      </c>
      <c r="F14" s="165" t="s">
        <v>35</v>
      </c>
      <c r="G14" s="165" t="s">
        <v>35</v>
      </c>
      <c r="H14" s="165" t="s">
        <v>35</v>
      </c>
      <c r="I14" s="165" t="s">
        <v>35</v>
      </c>
      <c r="J14" s="165" t="s">
        <v>35</v>
      </c>
      <c r="K14" s="165" t="s">
        <v>35</v>
      </c>
      <c r="L14" s="165" t="s">
        <v>35</v>
      </c>
      <c r="M14" s="165" t="s">
        <v>35</v>
      </c>
      <c r="N14" s="165" t="s">
        <v>35</v>
      </c>
      <c r="O14" s="165" t="s">
        <v>35</v>
      </c>
      <c r="P14" s="165" t="s">
        <v>35</v>
      </c>
      <c r="Q14" s="165" t="s">
        <v>35</v>
      </c>
      <c r="R14" s="165" t="s">
        <v>35</v>
      </c>
      <c r="S14" s="165" t="s">
        <v>35</v>
      </c>
      <c r="T14" s="165" t="s">
        <v>35</v>
      </c>
      <c r="U14" s="165" t="s">
        <v>35</v>
      </c>
      <c r="V14" s="165" t="s">
        <v>35</v>
      </c>
      <c r="W14" s="165" t="s">
        <v>35</v>
      </c>
      <c r="X14" s="165" t="s">
        <v>35</v>
      </c>
      <c r="Y14" s="165" t="s">
        <v>35</v>
      </c>
      <c r="Z14" s="165" t="s">
        <v>35</v>
      </c>
      <c r="AA14" s="152" t="s">
        <v>35</v>
      </c>
      <c r="AB14" s="152" t="s">
        <v>35</v>
      </c>
      <c r="AC14" s="152" t="s">
        <v>35</v>
      </c>
      <c r="AD14" s="152" t="s">
        <v>35</v>
      </c>
      <c r="AE14" s="152" t="s">
        <v>35</v>
      </c>
      <c r="AF14" s="152" t="s">
        <v>35</v>
      </c>
      <c r="AG14" s="188" t="s">
        <v>35</v>
      </c>
      <c r="AH14" s="507" t="s">
        <v>35</v>
      </c>
      <c r="AI14" s="17" t="s">
        <v>26</v>
      </c>
    </row>
    <row r="15" spans="1:35" ht="12.75" customHeight="1" x14ac:dyDescent="0.2">
      <c r="A15" s="15"/>
      <c r="B15" s="89" t="s">
        <v>19</v>
      </c>
      <c r="C15" s="102" t="s">
        <v>35</v>
      </c>
      <c r="D15" s="102" t="s">
        <v>35</v>
      </c>
      <c r="E15" s="155" t="s">
        <v>35</v>
      </c>
      <c r="F15" s="155" t="s">
        <v>35</v>
      </c>
      <c r="G15" s="155" t="s">
        <v>35</v>
      </c>
      <c r="H15" s="155" t="s">
        <v>35</v>
      </c>
      <c r="I15" s="155" t="s">
        <v>35</v>
      </c>
      <c r="J15" s="155" t="s">
        <v>35</v>
      </c>
      <c r="K15" s="155" t="s">
        <v>35</v>
      </c>
      <c r="L15" s="155" t="s">
        <v>35</v>
      </c>
      <c r="M15" s="155" t="s">
        <v>35</v>
      </c>
      <c r="N15" s="155" t="s">
        <v>35</v>
      </c>
      <c r="O15" s="155" t="s">
        <v>35</v>
      </c>
      <c r="P15" s="155" t="s">
        <v>35</v>
      </c>
      <c r="Q15" s="155" t="s">
        <v>35</v>
      </c>
      <c r="R15" s="155" t="s">
        <v>35</v>
      </c>
      <c r="S15" s="155" t="s">
        <v>35</v>
      </c>
      <c r="T15" s="155" t="s">
        <v>35</v>
      </c>
      <c r="U15" s="155" t="s">
        <v>35</v>
      </c>
      <c r="V15" s="155" t="s">
        <v>35</v>
      </c>
      <c r="W15" s="155" t="s">
        <v>35</v>
      </c>
      <c r="X15" s="160" t="s">
        <v>117</v>
      </c>
      <c r="Y15" s="155" t="s">
        <v>35</v>
      </c>
      <c r="Z15" s="155" t="s">
        <v>35</v>
      </c>
      <c r="AA15" s="160" t="s">
        <v>35</v>
      </c>
      <c r="AB15" s="160" t="s">
        <v>35</v>
      </c>
      <c r="AC15" s="160" t="s">
        <v>35</v>
      </c>
      <c r="AD15" s="160" t="s">
        <v>35</v>
      </c>
      <c r="AE15" s="160" t="s">
        <v>35</v>
      </c>
      <c r="AF15" s="160" t="s">
        <v>35</v>
      </c>
      <c r="AG15" s="187" t="s">
        <v>35</v>
      </c>
      <c r="AH15" s="505" t="s">
        <v>35</v>
      </c>
      <c r="AI15" s="89" t="s">
        <v>19</v>
      </c>
    </row>
    <row r="16" spans="1:35" ht="12.75" customHeight="1" x14ac:dyDescent="0.2">
      <c r="A16" s="15"/>
      <c r="B16" s="17" t="s">
        <v>24</v>
      </c>
      <c r="C16" s="97" t="s">
        <v>35</v>
      </c>
      <c r="D16" s="97" t="s">
        <v>35</v>
      </c>
      <c r="E16" s="165" t="s">
        <v>35</v>
      </c>
      <c r="F16" s="165" t="s">
        <v>35</v>
      </c>
      <c r="G16" s="165" t="s">
        <v>35</v>
      </c>
      <c r="H16" s="165" t="s">
        <v>35</v>
      </c>
      <c r="I16" s="165" t="s">
        <v>35</v>
      </c>
      <c r="J16" s="165" t="s">
        <v>35</v>
      </c>
      <c r="K16" s="165" t="s">
        <v>35</v>
      </c>
      <c r="L16" s="165" t="s">
        <v>35</v>
      </c>
      <c r="M16" s="165" t="s">
        <v>35</v>
      </c>
      <c r="N16" s="165" t="s">
        <v>35</v>
      </c>
      <c r="O16" s="165" t="s">
        <v>35</v>
      </c>
      <c r="P16" s="165" t="s">
        <v>35</v>
      </c>
      <c r="Q16" s="165" t="s">
        <v>35</v>
      </c>
      <c r="R16" s="165" t="s">
        <v>35</v>
      </c>
      <c r="S16" s="165" t="s">
        <v>35</v>
      </c>
      <c r="T16" s="165" t="s">
        <v>35</v>
      </c>
      <c r="U16" s="165" t="s">
        <v>35</v>
      </c>
      <c r="V16" s="165" t="s">
        <v>35</v>
      </c>
      <c r="W16" s="165" t="s">
        <v>35</v>
      </c>
      <c r="X16" s="165" t="s">
        <v>35</v>
      </c>
      <c r="Y16" s="165" t="s">
        <v>35</v>
      </c>
      <c r="Z16" s="165" t="s">
        <v>35</v>
      </c>
      <c r="AA16" s="152" t="s">
        <v>35</v>
      </c>
      <c r="AB16" s="152" t="s">
        <v>35</v>
      </c>
      <c r="AC16" s="152" t="s">
        <v>35</v>
      </c>
      <c r="AD16" s="152" t="s">
        <v>35</v>
      </c>
      <c r="AE16" s="152" t="s">
        <v>35</v>
      </c>
      <c r="AF16" s="152" t="s">
        <v>35</v>
      </c>
      <c r="AG16" s="188" t="s">
        <v>35</v>
      </c>
      <c r="AH16" s="507" t="s">
        <v>35</v>
      </c>
      <c r="AI16" s="17" t="s">
        <v>24</v>
      </c>
    </row>
    <row r="17" spans="1:35" ht="12.75" customHeight="1" x14ac:dyDescent="0.2">
      <c r="A17" s="15"/>
      <c r="B17" s="89" t="s">
        <v>25</v>
      </c>
      <c r="C17" s="102">
        <v>12.228999999999999</v>
      </c>
      <c r="D17" s="99">
        <v>10.869</v>
      </c>
      <c r="E17" s="155">
        <v>7.5810330869999998</v>
      </c>
      <c r="F17" s="155">
        <v>8.3465465230000007</v>
      </c>
      <c r="G17" s="155">
        <v>8.6314321770000006</v>
      </c>
      <c r="H17" s="155">
        <v>7.6842289690000003</v>
      </c>
      <c r="I17" s="155">
        <v>7.235301561</v>
      </c>
      <c r="J17" s="155">
        <v>6.63</v>
      </c>
      <c r="K17" s="155">
        <v>6.0270000000000001</v>
      </c>
      <c r="L17" s="155">
        <v>7.0579999999999998</v>
      </c>
      <c r="M17" s="155">
        <v>7.9359999999999999</v>
      </c>
      <c r="N17" s="155">
        <v>8.4779999999999998</v>
      </c>
      <c r="O17" s="155">
        <v>9.11</v>
      </c>
      <c r="P17" s="155">
        <v>8.2940000000000005</v>
      </c>
      <c r="Q17" s="155">
        <v>8.2690000000000001</v>
      </c>
      <c r="R17" s="155">
        <v>8.0239999999999991</v>
      </c>
      <c r="S17" s="155">
        <v>8.4160000000000004</v>
      </c>
      <c r="T17" s="155">
        <v>8.9049999999999994</v>
      </c>
      <c r="U17" s="155">
        <v>9.0050000000000008</v>
      </c>
      <c r="V17" s="155">
        <v>9.2080000000000002</v>
      </c>
      <c r="W17" s="155">
        <v>8.91</v>
      </c>
      <c r="X17" s="155">
        <v>8.7110000000000003</v>
      </c>
      <c r="Y17" s="155">
        <v>9.4740000000000002</v>
      </c>
      <c r="Z17" s="155">
        <v>9.0350000000000001</v>
      </c>
      <c r="AA17" s="155">
        <v>8.9160000000000004</v>
      </c>
      <c r="AB17" s="155">
        <v>9.2129999999999992</v>
      </c>
      <c r="AC17" s="155">
        <v>8.8030000000000008</v>
      </c>
      <c r="AD17" s="155">
        <v>8.516</v>
      </c>
      <c r="AE17" s="155">
        <v>8.3070000000000004</v>
      </c>
      <c r="AF17" s="155">
        <v>7.5129999999999999</v>
      </c>
      <c r="AG17" s="156">
        <v>7.2640000000000002</v>
      </c>
      <c r="AH17" s="173">
        <f t="shared" si="2"/>
        <v>-3.3142552908292231</v>
      </c>
      <c r="AI17" s="89" t="s">
        <v>25</v>
      </c>
    </row>
    <row r="18" spans="1:35" ht="12.75" customHeight="1" x14ac:dyDescent="0.2">
      <c r="A18" s="15"/>
      <c r="B18" s="191" t="s">
        <v>36</v>
      </c>
      <c r="C18" s="192">
        <v>0.3</v>
      </c>
      <c r="D18" s="192">
        <v>0.6</v>
      </c>
      <c r="E18" s="193">
        <v>0.5</v>
      </c>
      <c r="F18" s="193" t="s">
        <v>34</v>
      </c>
      <c r="G18" s="193" t="s">
        <v>34</v>
      </c>
      <c r="H18" s="193" t="s">
        <v>34</v>
      </c>
      <c r="I18" s="193" t="s">
        <v>34</v>
      </c>
      <c r="J18" s="193">
        <v>3.3000000000000002E-2</v>
      </c>
      <c r="K18" s="193">
        <v>2.1999999999999999E-2</v>
      </c>
      <c r="L18" s="193">
        <v>2.1999999999999999E-2</v>
      </c>
      <c r="M18" s="193">
        <v>5.2999999999999999E-2</v>
      </c>
      <c r="N18" s="193">
        <v>5.1999999999999998E-2</v>
      </c>
      <c r="O18" s="193">
        <v>6.3535999999999995E-2</v>
      </c>
      <c r="P18" s="193">
        <v>7.7483999999999997E-2</v>
      </c>
      <c r="Q18" s="193">
        <v>8.9745000000000005E-2</v>
      </c>
      <c r="R18" s="193">
        <v>0.10009999999999999</v>
      </c>
      <c r="S18" s="193">
        <v>0.1787</v>
      </c>
      <c r="T18" s="193">
        <v>0.1186</v>
      </c>
      <c r="U18" s="193">
        <v>0.1164</v>
      </c>
      <c r="V18" s="194">
        <v>0.109</v>
      </c>
      <c r="W18" s="193">
        <v>0.84199999999999997</v>
      </c>
      <c r="X18" s="193">
        <v>0.72699999999999998</v>
      </c>
      <c r="Y18" s="193">
        <v>0.94</v>
      </c>
      <c r="Z18" s="193">
        <v>0.69199999999999995</v>
      </c>
      <c r="AA18" s="193">
        <v>0.77200000000000002</v>
      </c>
      <c r="AB18" s="193">
        <v>0.77100000000000002</v>
      </c>
      <c r="AC18" s="193">
        <v>0.71599999999999997</v>
      </c>
      <c r="AD18" s="193">
        <v>0.879</v>
      </c>
      <c r="AE18" s="193">
        <v>0.83599999999999997</v>
      </c>
      <c r="AF18" s="193">
        <v>0.81299999999999994</v>
      </c>
      <c r="AG18" s="224">
        <v>0.67800000000000005</v>
      </c>
      <c r="AH18" s="174">
        <f t="shared" si="2"/>
        <v>-16.605166051660504</v>
      </c>
      <c r="AI18" s="191" t="s">
        <v>36</v>
      </c>
    </row>
    <row r="19" spans="1:35" ht="12.75" customHeight="1" x14ac:dyDescent="0.2">
      <c r="A19" s="15"/>
      <c r="B19" s="89" t="s">
        <v>27</v>
      </c>
      <c r="C19" s="102">
        <v>0.35</v>
      </c>
      <c r="D19" s="102">
        <v>0.20300000000000001</v>
      </c>
      <c r="E19" s="155">
        <v>0.11799999999999999</v>
      </c>
      <c r="F19" s="155">
        <v>0.09</v>
      </c>
      <c r="G19" s="155">
        <v>7.0000000000000007E-2</v>
      </c>
      <c r="H19" s="155">
        <v>9.7000000000000003E-2</v>
      </c>
      <c r="I19" s="155">
        <v>0.108</v>
      </c>
      <c r="J19" s="155">
        <v>0.13530800000000001</v>
      </c>
      <c r="K19" s="155">
        <v>0.12509200000000001</v>
      </c>
      <c r="L19" s="155">
        <v>0.20142699999999999</v>
      </c>
      <c r="M19" s="155">
        <v>0.126141</v>
      </c>
      <c r="N19" s="155">
        <v>0.17729900000000001</v>
      </c>
      <c r="O19" s="155">
        <v>0.16956599999999999</v>
      </c>
      <c r="P19" s="155">
        <v>0.161024</v>
      </c>
      <c r="Q19" s="155">
        <v>9.0063000000000004E-2</v>
      </c>
      <c r="R19" s="155">
        <v>9.0819999999999998E-2</v>
      </c>
      <c r="S19" s="155">
        <v>0.10983</v>
      </c>
      <c r="T19" s="155">
        <v>8.8749999999999996E-2</v>
      </c>
      <c r="U19" s="155">
        <v>7.5974E-2</v>
      </c>
      <c r="V19" s="155">
        <v>9.2999999999999999E-2</v>
      </c>
      <c r="W19" s="155">
        <v>6.4000000000000001E-2</v>
      </c>
      <c r="X19" s="155">
        <v>5.3999999999999999E-2</v>
      </c>
      <c r="Y19" s="155">
        <v>0.108</v>
      </c>
      <c r="Z19" s="155">
        <v>0.14399999999999999</v>
      </c>
      <c r="AA19" s="160">
        <v>8.1000000000000003E-2</v>
      </c>
      <c r="AB19" s="160">
        <v>8.8999999999999996E-2</v>
      </c>
      <c r="AC19" s="160">
        <v>6.4000000000000001E-2</v>
      </c>
      <c r="AD19" s="160">
        <v>6.2E-2</v>
      </c>
      <c r="AE19" s="160">
        <v>6.7000000000000004E-2</v>
      </c>
      <c r="AF19" s="160">
        <v>6.0999999999999999E-2</v>
      </c>
      <c r="AG19" s="187">
        <v>7.3999999999999996E-2</v>
      </c>
      <c r="AH19" s="173">
        <f t="shared" si="2"/>
        <v>21.311475409836063</v>
      </c>
      <c r="AI19" s="89" t="s">
        <v>27</v>
      </c>
    </row>
    <row r="20" spans="1:35" ht="12.75" customHeight="1" x14ac:dyDescent="0.2">
      <c r="A20" s="15"/>
      <c r="B20" s="17" t="s">
        <v>6</v>
      </c>
      <c r="C20" s="118" t="s">
        <v>35</v>
      </c>
      <c r="D20" s="118" t="s">
        <v>35</v>
      </c>
      <c r="E20" s="118" t="s">
        <v>35</v>
      </c>
      <c r="F20" s="58" t="s">
        <v>35</v>
      </c>
      <c r="G20" s="58" t="s">
        <v>35</v>
      </c>
      <c r="H20" s="58" t="s">
        <v>35</v>
      </c>
      <c r="I20" s="58" t="s">
        <v>35</v>
      </c>
      <c r="J20" s="58" t="s">
        <v>35</v>
      </c>
      <c r="K20" s="58" t="s">
        <v>35</v>
      </c>
      <c r="L20" s="58" t="s">
        <v>35</v>
      </c>
      <c r="M20" s="58" t="s">
        <v>35</v>
      </c>
      <c r="N20" s="58" t="s">
        <v>35</v>
      </c>
      <c r="O20" s="58" t="s">
        <v>35</v>
      </c>
      <c r="P20" s="58" t="s">
        <v>35</v>
      </c>
      <c r="Q20" s="58" t="s">
        <v>35</v>
      </c>
      <c r="R20" s="58" t="s">
        <v>35</v>
      </c>
      <c r="S20" s="58" t="s">
        <v>35</v>
      </c>
      <c r="T20" s="58" t="s">
        <v>35</v>
      </c>
      <c r="U20" s="58" t="s">
        <v>35</v>
      </c>
      <c r="V20" s="58" t="s">
        <v>35</v>
      </c>
      <c r="W20" s="58" t="s">
        <v>35</v>
      </c>
      <c r="X20" s="58" t="s">
        <v>35</v>
      </c>
      <c r="Y20" s="58" t="s">
        <v>35</v>
      </c>
      <c r="Z20" s="58" t="s">
        <v>35</v>
      </c>
      <c r="AA20" s="58" t="s">
        <v>35</v>
      </c>
      <c r="AB20" s="158" t="s">
        <v>35</v>
      </c>
      <c r="AC20" s="158" t="s">
        <v>35</v>
      </c>
      <c r="AD20" s="158" t="s">
        <v>35</v>
      </c>
      <c r="AE20" s="158" t="s">
        <v>35</v>
      </c>
      <c r="AF20" s="158" t="s">
        <v>35</v>
      </c>
      <c r="AG20" s="178" t="s">
        <v>35</v>
      </c>
      <c r="AH20" s="507" t="s">
        <v>35</v>
      </c>
      <c r="AI20" s="17" t="s">
        <v>6</v>
      </c>
    </row>
    <row r="21" spans="1:35" ht="12.75" customHeight="1" x14ac:dyDescent="0.2">
      <c r="A21" s="15"/>
      <c r="B21" s="89" t="s">
        <v>10</v>
      </c>
      <c r="C21" s="154">
        <v>0.05</v>
      </c>
      <c r="D21" s="154">
        <v>0.09</v>
      </c>
      <c r="E21" s="154" t="s">
        <v>35</v>
      </c>
      <c r="F21" s="155" t="s">
        <v>35</v>
      </c>
      <c r="G21" s="155" t="s">
        <v>35</v>
      </c>
      <c r="H21" s="155" t="s">
        <v>35</v>
      </c>
      <c r="I21" s="155" t="s">
        <v>35</v>
      </c>
      <c r="J21" s="155" t="s">
        <v>35</v>
      </c>
      <c r="K21" s="155" t="s">
        <v>35</v>
      </c>
      <c r="L21" s="155" t="s">
        <v>35</v>
      </c>
      <c r="M21" s="155" t="s">
        <v>35</v>
      </c>
      <c r="N21" s="155" t="s">
        <v>35</v>
      </c>
      <c r="O21" s="155" t="s">
        <v>35</v>
      </c>
      <c r="P21" s="155" t="s">
        <v>35</v>
      </c>
      <c r="Q21" s="155" t="s">
        <v>35</v>
      </c>
      <c r="R21" s="155" t="s">
        <v>35</v>
      </c>
      <c r="S21" s="155" t="s">
        <v>35</v>
      </c>
      <c r="T21" s="155" t="s">
        <v>35</v>
      </c>
      <c r="U21" s="155" t="s">
        <v>35</v>
      </c>
      <c r="V21" s="155" t="s">
        <v>35</v>
      </c>
      <c r="W21" s="155" t="s">
        <v>35</v>
      </c>
      <c r="X21" s="155" t="s">
        <v>35</v>
      </c>
      <c r="Y21" s="155" t="s">
        <v>35</v>
      </c>
      <c r="Z21" s="155" t="s">
        <v>35</v>
      </c>
      <c r="AA21" s="155" t="s">
        <v>35</v>
      </c>
      <c r="AB21" s="160" t="s">
        <v>35</v>
      </c>
      <c r="AC21" s="160" t="s">
        <v>35</v>
      </c>
      <c r="AD21" s="160" t="s">
        <v>35</v>
      </c>
      <c r="AE21" s="160" t="s">
        <v>35</v>
      </c>
      <c r="AF21" s="160" t="s">
        <v>35</v>
      </c>
      <c r="AG21" s="187" t="s">
        <v>35</v>
      </c>
      <c r="AH21" s="505" t="s">
        <v>35</v>
      </c>
      <c r="AI21" s="89" t="s">
        <v>10</v>
      </c>
    </row>
    <row r="22" spans="1:35" ht="12.75" customHeight="1" x14ac:dyDescent="0.2">
      <c r="A22" s="15"/>
      <c r="B22" s="17" t="s">
        <v>11</v>
      </c>
      <c r="C22" s="118">
        <v>0.12</v>
      </c>
      <c r="D22" s="118">
        <v>0.15</v>
      </c>
      <c r="E22" s="118">
        <v>0.16400000000000001</v>
      </c>
      <c r="F22" s="58">
        <v>0.14099999999999999</v>
      </c>
      <c r="G22" s="58">
        <v>4.4999999999999998E-2</v>
      </c>
      <c r="H22" s="58">
        <v>0.05</v>
      </c>
      <c r="I22" s="58">
        <v>0.03</v>
      </c>
      <c r="J22" s="58">
        <v>1.7999999999999999E-2</v>
      </c>
      <c r="K22" s="58">
        <v>7.0000000000000001E-3</v>
      </c>
      <c r="L22" s="58">
        <v>8.9999999999999993E-3</v>
      </c>
      <c r="M22" s="58">
        <v>1.4E-2</v>
      </c>
      <c r="N22" s="58">
        <v>3.0000000000000001E-3</v>
      </c>
      <c r="O22" s="58">
        <v>1.4835999999999998E-3</v>
      </c>
      <c r="P22" s="58">
        <v>5.3560000000000012E-4</v>
      </c>
      <c r="Q22" s="58">
        <v>5.1500000000000005E-4</v>
      </c>
      <c r="R22" s="58">
        <v>6.6519999999999991E-4</v>
      </c>
      <c r="S22" s="58">
        <v>6.2100000000000002E-4</v>
      </c>
      <c r="T22" s="58">
        <v>1.3244000000000001E-3</v>
      </c>
      <c r="U22" s="58">
        <v>1.7951E-3</v>
      </c>
      <c r="V22" s="58">
        <v>0.01</v>
      </c>
      <c r="W22" s="58">
        <v>1.2E-2</v>
      </c>
      <c r="X22" s="58">
        <v>3.0000000000000001E-3</v>
      </c>
      <c r="Y22" s="58">
        <v>3.0000000000000001E-3</v>
      </c>
      <c r="Z22" s="58">
        <v>3.0000000000000001E-3</v>
      </c>
      <c r="AA22" s="58">
        <v>1E-3</v>
      </c>
      <c r="AB22" s="58">
        <v>0</v>
      </c>
      <c r="AC22" s="58">
        <v>0</v>
      </c>
      <c r="AD22" s="58">
        <v>0</v>
      </c>
      <c r="AE22" s="58">
        <v>0</v>
      </c>
      <c r="AF22" s="58">
        <v>0</v>
      </c>
      <c r="AG22" s="167">
        <v>0</v>
      </c>
      <c r="AH22" s="174">
        <v>0</v>
      </c>
      <c r="AI22" s="17" t="s">
        <v>11</v>
      </c>
    </row>
    <row r="23" spans="1:35" ht="12.75" customHeight="1" x14ac:dyDescent="0.2">
      <c r="A23" s="15"/>
      <c r="B23" s="89" t="s">
        <v>28</v>
      </c>
      <c r="C23" s="154">
        <v>0.30199999999999999</v>
      </c>
      <c r="D23" s="154">
        <v>0.33100000000000002</v>
      </c>
      <c r="E23" s="154">
        <v>0.36229783599999998</v>
      </c>
      <c r="F23" s="155">
        <v>0.34042404599999998</v>
      </c>
      <c r="G23" s="155">
        <v>0.33800000000000002</v>
      </c>
      <c r="H23" s="155">
        <v>0.32300000000000001</v>
      </c>
      <c r="I23" s="155">
        <v>0.317</v>
      </c>
      <c r="J23" s="155">
        <v>0.33800000000000002</v>
      </c>
      <c r="K23" s="155">
        <v>0.32100000000000001</v>
      </c>
      <c r="L23" s="155">
        <v>0.35599999999999998</v>
      </c>
      <c r="M23" s="155">
        <v>0.36899999999999999</v>
      </c>
      <c r="N23" s="155">
        <v>0.35099999999999998</v>
      </c>
      <c r="O23" s="155">
        <v>0.378</v>
      </c>
      <c r="P23" s="155">
        <v>0.371</v>
      </c>
      <c r="Q23" s="155">
        <v>0.37</v>
      </c>
      <c r="R23" s="155">
        <v>0.316</v>
      </c>
      <c r="S23" s="155">
        <v>0.37</v>
      </c>
      <c r="T23" s="155">
        <v>0.34200000000000003</v>
      </c>
      <c r="U23" s="155">
        <v>0.38100000000000001</v>
      </c>
      <c r="V23" s="155">
        <v>0.34499999999999997</v>
      </c>
      <c r="W23" s="155">
        <v>0.36699999999999999</v>
      </c>
      <c r="X23" s="155">
        <v>0.27900000000000003</v>
      </c>
      <c r="Y23" s="155">
        <v>0.35899999999999999</v>
      </c>
      <c r="Z23" s="155">
        <v>0.30499999999999999</v>
      </c>
      <c r="AA23" s="155">
        <v>0.28999999999999998</v>
      </c>
      <c r="AB23" s="155">
        <v>0.313</v>
      </c>
      <c r="AC23" s="155">
        <v>0.28499999999999998</v>
      </c>
      <c r="AD23" s="155">
        <v>0.23499999999999999</v>
      </c>
      <c r="AE23" s="155">
        <v>0.19</v>
      </c>
      <c r="AF23" s="155">
        <v>0.19500000000000001</v>
      </c>
      <c r="AG23" s="156">
        <v>0.20499999999999999</v>
      </c>
      <c r="AH23" s="173">
        <f t="shared" si="2"/>
        <v>5.12820512820511</v>
      </c>
      <c r="AI23" s="89" t="s">
        <v>28</v>
      </c>
    </row>
    <row r="24" spans="1:35" ht="12.75" customHeight="1" x14ac:dyDescent="0.2">
      <c r="A24" s="15"/>
      <c r="B24" s="17" t="s">
        <v>9</v>
      </c>
      <c r="C24" s="157">
        <v>1.76</v>
      </c>
      <c r="D24" s="157">
        <v>2.15</v>
      </c>
      <c r="E24" s="157">
        <v>2.04</v>
      </c>
      <c r="F24" s="158">
        <v>1.72</v>
      </c>
      <c r="G24" s="158">
        <v>1.6</v>
      </c>
      <c r="H24" s="158">
        <v>1.62</v>
      </c>
      <c r="I24" s="158">
        <v>1.35</v>
      </c>
      <c r="J24" s="158">
        <v>1.2110000000000001</v>
      </c>
      <c r="K24" s="158">
        <v>1.397</v>
      </c>
      <c r="L24" s="158">
        <v>1.4410000000000001</v>
      </c>
      <c r="M24" s="158">
        <v>1.56</v>
      </c>
      <c r="N24" s="158">
        <v>0.95799999999999996</v>
      </c>
      <c r="O24" s="158">
        <v>0.89100000000000001</v>
      </c>
      <c r="P24" s="158">
        <v>1.087</v>
      </c>
      <c r="Q24" s="158">
        <v>1.407</v>
      </c>
      <c r="R24" s="158">
        <v>1.5169999999999999</v>
      </c>
      <c r="S24" s="158">
        <v>1.9039999999999999</v>
      </c>
      <c r="T24" s="158">
        <v>2.11</v>
      </c>
      <c r="U24" s="158">
        <v>1.913</v>
      </c>
      <c r="V24" s="158">
        <v>2.2120000000000002</v>
      </c>
      <c r="W24" s="158">
        <v>2.25</v>
      </c>
      <c r="X24" s="158">
        <v>1.831</v>
      </c>
      <c r="Y24" s="158">
        <v>2.3929999999999998</v>
      </c>
      <c r="Z24" s="158">
        <v>1.84</v>
      </c>
      <c r="AA24" s="158">
        <v>1.982</v>
      </c>
      <c r="AB24" s="158">
        <v>1.9239999999999999</v>
      </c>
      <c r="AC24" s="158">
        <v>1.8109999999999999</v>
      </c>
      <c r="AD24" s="158">
        <v>1.8240000000000001</v>
      </c>
      <c r="AE24" s="158">
        <v>1.9750000000000001</v>
      </c>
      <c r="AF24" s="158">
        <v>1.992</v>
      </c>
      <c r="AG24" s="178">
        <v>1.6080000000000001</v>
      </c>
      <c r="AH24" s="174">
        <f t="shared" si="2"/>
        <v>-19.277108433734938</v>
      </c>
      <c r="AI24" s="17" t="s">
        <v>9</v>
      </c>
    </row>
    <row r="25" spans="1:35" ht="12.75" customHeight="1" x14ac:dyDescent="0.2">
      <c r="A25" s="15"/>
      <c r="B25" s="57" t="s">
        <v>12</v>
      </c>
      <c r="C25" s="162" t="s">
        <v>35</v>
      </c>
      <c r="D25" s="162" t="s">
        <v>35</v>
      </c>
      <c r="E25" s="162" t="s">
        <v>35</v>
      </c>
      <c r="F25" s="163" t="s">
        <v>35</v>
      </c>
      <c r="G25" s="163" t="s">
        <v>35</v>
      </c>
      <c r="H25" s="163" t="s">
        <v>35</v>
      </c>
      <c r="I25" s="163" t="s">
        <v>35</v>
      </c>
      <c r="J25" s="163" t="s">
        <v>35</v>
      </c>
      <c r="K25" s="163" t="s">
        <v>35</v>
      </c>
      <c r="L25" s="163" t="s">
        <v>35</v>
      </c>
      <c r="M25" s="163" t="s">
        <v>35</v>
      </c>
      <c r="N25" s="163" t="s">
        <v>35</v>
      </c>
      <c r="O25" s="163" t="s">
        <v>35</v>
      </c>
      <c r="P25" s="163" t="s">
        <v>35</v>
      </c>
      <c r="Q25" s="163" t="s">
        <v>35</v>
      </c>
      <c r="R25" s="163" t="s">
        <v>35</v>
      </c>
      <c r="S25" s="163" t="s">
        <v>35</v>
      </c>
      <c r="T25" s="163" t="s">
        <v>35</v>
      </c>
      <c r="U25" s="163" t="s">
        <v>35</v>
      </c>
      <c r="V25" s="163" t="s">
        <v>35</v>
      </c>
      <c r="W25" s="163" t="s">
        <v>35</v>
      </c>
      <c r="X25" s="163" t="s">
        <v>35</v>
      </c>
      <c r="Y25" s="163" t="s">
        <v>35</v>
      </c>
      <c r="Z25" s="163" t="s">
        <v>35</v>
      </c>
      <c r="AA25" s="163" t="s">
        <v>35</v>
      </c>
      <c r="AB25" s="163" t="s">
        <v>35</v>
      </c>
      <c r="AC25" s="163" t="s">
        <v>35</v>
      </c>
      <c r="AD25" s="163" t="s">
        <v>35</v>
      </c>
      <c r="AE25" s="163" t="s">
        <v>35</v>
      </c>
      <c r="AF25" s="160" t="s">
        <v>35</v>
      </c>
      <c r="AG25" s="187" t="s">
        <v>35</v>
      </c>
      <c r="AH25" s="505" t="s">
        <v>35</v>
      </c>
      <c r="AI25" s="57" t="s">
        <v>12</v>
      </c>
    </row>
    <row r="26" spans="1:35" ht="12.75" customHeight="1" x14ac:dyDescent="0.2">
      <c r="A26" s="15"/>
      <c r="B26" s="17" t="s">
        <v>20</v>
      </c>
      <c r="C26" s="118">
        <v>30.617999999999999</v>
      </c>
      <c r="D26" s="118">
        <v>33.478999999999999</v>
      </c>
      <c r="E26" s="118">
        <v>35.661000000000001</v>
      </c>
      <c r="F26" s="58">
        <v>34.755000000000003</v>
      </c>
      <c r="G26" s="58">
        <v>33.53</v>
      </c>
      <c r="H26" s="58">
        <v>32.058</v>
      </c>
      <c r="I26" s="58">
        <v>36.011000000000003</v>
      </c>
      <c r="J26" s="58">
        <v>35.457000000000001</v>
      </c>
      <c r="K26" s="58">
        <v>35.512999999999998</v>
      </c>
      <c r="L26" s="58">
        <v>40.985999999999997</v>
      </c>
      <c r="M26" s="58">
        <v>40.683</v>
      </c>
      <c r="N26" s="58">
        <v>41.427999999999997</v>
      </c>
      <c r="O26" s="58">
        <v>41.271000000000001</v>
      </c>
      <c r="P26" s="58">
        <v>41.792999999999999</v>
      </c>
      <c r="Q26" s="58">
        <v>40.982999999999997</v>
      </c>
      <c r="R26" s="58">
        <v>39.030999999999999</v>
      </c>
      <c r="S26" s="58">
        <v>43.048999999999999</v>
      </c>
      <c r="T26" s="58">
        <v>42.232999999999997</v>
      </c>
      <c r="U26" s="58">
        <v>42.215000000000003</v>
      </c>
      <c r="V26" s="58">
        <v>46.485999999999997</v>
      </c>
      <c r="W26" s="58">
        <v>46.234000000000002</v>
      </c>
      <c r="X26" s="58">
        <v>37.863</v>
      </c>
      <c r="Y26" s="58">
        <v>46.561999999999998</v>
      </c>
      <c r="Z26" s="58">
        <v>46.462000000000003</v>
      </c>
      <c r="AA26" s="158">
        <v>47.533000000000001</v>
      </c>
      <c r="AB26" s="158">
        <v>48.627000000000002</v>
      </c>
      <c r="AC26" s="158">
        <v>49.295000000000002</v>
      </c>
      <c r="AD26" s="158">
        <v>48.534999999999997</v>
      </c>
      <c r="AE26" s="158">
        <v>49.398000000000003</v>
      </c>
      <c r="AF26" s="158">
        <v>49.015000000000001</v>
      </c>
      <c r="AG26" s="178">
        <v>47.24</v>
      </c>
      <c r="AH26" s="174">
        <f t="shared" si="2"/>
        <v>-3.6213404059981684</v>
      </c>
      <c r="AI26" s="17" t="s">
        <v>20</v>
      </c>
    </row>
    <row r="27" spans="1:35" ht="12.75" customHeight="1" x14ac:dyDescent="0.2">
      <c r="A27" s="15"/>
      <c r="B27" s="89" t="s">
        <v>29</v>
      </c>
      <c r="C27" s="154">
        <v>1.2929999999999999</v>
      </c>
      <c r="D27" s="154">
        <v>1.5569999999999999</v>
      </c>
      <c r="E27" s="154">
        <v>1.663</v>
      </c>
      <c r="F27" s="155">
        <v>1.48</v>
      </c>
      <c r="G27" s="155">
        <v>1.4370000000000001</v>
      </c>
      <c r="H27" s="155">
        <v>1.454</v>
      </c>
      <c r="I27" s="155">
        <v>1.82</v>
      </c>
      <c r="J27" s="155">
        <v>2.0459999999999998</v>
      </c>
      <c r="K27" s="155">
        <v>2.101</v>
      </c>
      <c r="L27" s="155">
        <v>2.0870000000000002</v>
      </c>
      <c r="M27" s="155">
        <v>2.2799999999999998</v>
      </c>
      <c r="N27" s="155">
        <v>2.2309999999999999</v>
      </c>
      <c r="O27" s="163">
        <v>2.444</v>
      </c>
      <c r="P27" s="163">
        <v>2.5569999999999999</v>
      </c>
      <c r="Q27" s="163">
        <v>2.8460000000000001</v>
      </c>
      <c r="R27" s="163">
        <v>2.2759999999999998</v>
      </c>
      <c r="S27" s="155">
        <v>1.7470000000000001</v>
      </c>
      <c r="T27" s="155">
        <v>1.7529999999999999</v>
      </c>
      <c r="U27" s="155">
        <v>1.837</v>
      </c>
      <c r="V27" s="155">
        <v>2.597</v>
      </c>
      <c r="W27" s="155">
        <v>2.359</v>
      </c>
      <c r="X27" s="155">
        <v>2.0030000000000001</v>
      </c>
      <c r="Y27" s="155">
        <v>2.375</v>
      </c>
      <c r="Z27" s="155">
        <v>2.1230000000000002</v>
      </c>
      <c r="AA27" s="160">
        <v>2.1909999999999998</v>
      </c>
      <c r="AB27" s="160">
        <v>2.3530000000000002</v>
      </c>
      <c r="AC27" s="160">
        <v>2.177</v>
      </c>
      <c r="AD27" s="160">
        <v>1.806</v>
      </c>
      <c r="AE27" s="160">
        <v>1.962</v>
      </c>
      <c r="AF27" s="160">
        <v>2.0219999999999998</v>
      </c>
      <c r="AG27" s="187">
        <v>1.4890000000000001</v>
      </c>
      <c r="AH27" s="173">
        <f t="shared" si="2"/>
        <v>-26.360039564787328</v>
      </c>
      <c r="AI27" s="89" t="s">
        <v>29</v>
      </c>
    </row>
    <row r="28" spans="1:35" ht="12.75" customHeight="1" x14ac:dyDescent="0.2">
      <c r="A28" s="15"/>
      <c r="B28" s="191" t="s">
        <v>13</v>
      </c>
      <c r="C28" s="192">
        <v>2.2999999999999998</v>
      </c>
      <c r="D28" s="192">
        <v>2.33</v>
      </c>
      <c r="E28" s="193">
        <v>1.034</v>
      </c>
      <c r="F28" s="193">
        <v>0.74</v>
      </c>
      <c r="G28" s="193">
        <v>0.75</v>
      </c>
      <c r="H28" s="193">
        <v>0.66</v>
      </c>
      <c r="I28" s="193">
        <v>0.79</v>
      </c>
      <c r="J28" s="193">
        <v>0.88</v>
      </c>
      <c r="K28" s="193">
        <v>0.85</v>
      </c>
      <c r="L28" s="193">
        <v>0.93</v>
      </c>
      <c r="M28" s="193">
        <v>1.1000000000000001</v>
      </c>
      <c r="N28" s="193">
        <v>1.028</v>
      </c>
      <c r="O28" s="193">
        <v>1.173</v>
      </c>
      <c r="P28" s="193">
        <v>1.264</v>
      </c>
      <c r="Q28" s="193">
        <v>1.1259999999999999</v>
      </c>
      <c r="R28" s="194">
        <v>0.872</v>
      </c>
      <c r="S28" s="193">
        <v>0.37</v>
      </c>
      <c r="T28" s="193">
        <v>0.32700000000000001</v>
      </c>
      <c r="U28" s="193">
        <v>0.28899999999999998</v>
      </c>
      <c r="V28" s="193">
        <v>0.27700000000000002</v>
      </c>
      <c r="W28" s="193">
        <v>0.27700000000000002</v>
      </c>
      <c r="X28" s="193">
        <v>0.20200000000000001</v>
      </c>
      <c r="Y28" s="193">
        <v>0.13</v>
      </c>
      <c r="Z28" s="193">
        <v>0.161</v>
      </c>
      <c r="AA28" s="193">
        <v>0.13100000000000001</v>
      </c>
      <c r="AB28" s="193">
        <v>9.0999999999999998E-2</v>
      </c>
      <c r="AC28" s="193">
        <v>0.11</v>
      </c>
      <c r="AD28" s="193">
        <v>8.7999999999999995E-2</v>
      </c>
      <c r="AE28" s="193">
        <v>0.108</v>
      </c>
      <c r="AF28" s="193">
        <v>0.115</v>
      </c>
      <c r="AG28" s="224">
        <v>0.125</v>
      </c>
      <c r="AH28" s="174">
        <f t="shared" si="2"/>
        <v>8.6956521739130324</v>
      </c>
      <c r="AI28" s="191" t="s">
        <v>13</v>
      </c>
    </row>
    <row r="29" spans="1:35" ht="12.75" customHeight="1" x14ac:dyDescent="0.2">
      <c r="A29" s="15"/>
      <c r="B29" s="57" t="s">
        <v>30</v>
      </c>
      <c r="C29" s="162" t="s">
        <v>35</v>
      </c>
      <c r="D29" s="162" t="s">
        <v>35</v>
      </c>
      <c r="E29" s="162" t="s">
        <v>35</v>
      </c>
      <c r="F29" s="163" t="s">
        <v>35</v>
      </c>
      <c r="G29" s="163" t="s">
        <v>35</v>
      </c>
      <c r="H29" s="163" t="s">
        <v>35</v>
      </c>
      <c r="I29" s="163" t="s">
        <v>35</v>
      </c>
      <c r="J29" s="163" t="s">
        <v>35</v>
      </c>
      <c r="K29" s="163" t="s">
        <v>35</v>
      </c>
      <c r="L29" s="163" t="s">
        <v>35</v>
      </c>
      <c r="M29" s="163" t="s">
        <v>35</v>
      </c>
      <c r="N29" s="163" t="s">
        <v>35</v>
      </c>
      <c r="O29" s="163" t="s">
        <v>35</v>
      </c>
      <c r="P29" s="163" t="s">
        <v>35</v>
      </c>
      <c r="Q29" s="163" t="s">
        <v>35</v>
      </c>
      <c r="R29" s="163" t="s">
        <v>35</v>
      </c>
      <c r="S29" s="163" t="s">
        <v>35</v>
      </c>
      <c r="T29" s="163" t="s">
        <v>35</v>
      </c>
      <c r="U29" s="163" t="s">
        <v>35</v>
      </c>
      <c r="V29" s="163" t="s">
        <v>35</v>
      </c>
      <c r="W29" s="163" t="s">
        <v>35</v>
      </c>
      <c r="X29" s="163" t="s">
        <v>35</v>
      </c>
      <c r="Y29" s="163" t="s">
        <v>35</v>
      </c>
      <c r="Z29" s="163" t="s">
        <v>35</v>
      </c>
      <c r="AA29" s="163" t="s">
        <v>35</v>
      </c>
      <c r="AB29" s="163" t="s">
        <v>35</v>
      </c>
      <c r="AC29" s="163" t="s">
        <v>35</v>
      </c>
      <c r="AD29" s="163" t="s">
        <v>35</v>
      </c>
      <c r="AE29" s="163" t="s">
        <v>35</v>
      </c>
      <c r="AF29" s="160" t="s">
        <v>35</v>
      </c>
      <c r="AG29" s="187" t="s">
        <v>35</v>
      </c>
      <c r="AH29" s="505" t="s">
        <v>35</v>
      </c>
      <c r="AI29" s="57" t="s">
        <v>30</v>
      </c>
    </row>
    <row r="30" spans="1:35" ht="12.75" customHeight="1" x14ac:dyDescent="0.2">
      <c r="A30" s="15"/>
      <c r="B30" s="191" t="s">
        <v>14</v>
      </c>
      <c r="C30" s="192">
        <v>1.35</v>
      </c>
      <c r="D30" s="192">
        <v>2.35</v>
      </c>
      <c r="E30" s="193">
        <v>2.09</v>
      </c>
      <c r="F30" s="193">
        <v>2.0299999999999998</v>
      </c>
      <c r="G30" s="193">
        <v>1.89</v>
      </c>
      <c r="H30" s="193">
        <v>1.59</v>
      </c>
      <c r="I30" s="193">
        <v>1.9</v>
      </c>
      <c r="J30" s="193">
        <v>3.11</v>
      </c>
      <c r="K30" s="193">
        <v>3.77</v>
      </c>
      <c r="L30" s="193">
        <v>4.33</v>
      </c>
      <c r="M30" s="193">
        <v>4.2030000000000003</v>
      </c>
      <c r="N30" s="193">
        <v>2.802</v>
      </c>
      <c r="O30" s="194">
        <v>2.6339999999999999</v>
      </c>
      <c r="P30" s="193">
        <v>2.746</v>
      </c>
      <c r="Q30" s="193">
        <v>3.641</v>
      </c>
      <c r="R30" s="194">
        <v>3.5209999999999999</v>
      </c>
      <c r="S30" s="193">
        <v>6.9550000000000001</v>
      </c>
      <c r="T30" s="193">
        <v>8.4350000000000005</v>
      </c>
      <c r="U30" s="193">
        <v>8.157</v>
      </c>
      <c r="V30" s="193">
        <v>8.1950000000000003</v>
      </c>
      <c r="W30" s="194">
        <v>8.6869999999999994</v>
      </c>
      <c r="X30" s="193">
        <v>11.765000000000001</v>
      </c>
      <c r="Y30" s="193">
        <v>14.317</v>
      </c>
      <c r="Z30" s="193">
        <v>11.409000000000001</v>
      </c>
      <c r="AA30" s="193">
        <v>12.52</v>
      </c>
      <c r="AB30" s="193">
        <v>12.242000000000001</v>
      </c>
      <c r="AC30" s="193">
        <v>11.76</v>
      </c>
      <c r="AD30" s="193">
        <v>13.167999999999999</v>
      </c>
      <c r="AE30" s="193">
        <v>13.153</v>
      </c>
      <c r="AF30" s="193">
        <v>12.516999999999999</v>
      </c>
      <c r="AG30" s="224">
        <v>12.260999999999999</v>
      </c>
      <c r="AH30" s="174">
        <f t="shared" si="2"/>
        <v>-2.0452185028361498</v>
      </c>
      <c r="AI30" s="191" t="s">
        <v>14</v>
      </c>
    </row>
    <row r="31" spans="1:35" ht="12.75" customHeight="1" x14ac:dyDescent="0.2">
      <c r="A31" s="15"/>
      <c r="B31" s="57" t="s">
        <v>16</v>
      </c>
      <c r="C31" s="162" t="s">
        <v>35</v>
      </c>
      <c r="D31" s="162" t="s">
        <v>35</v>
      </c>
      <c r="E31" s="162" t="s">
        <v>35</v>
      </c>
      <c r="F31" s="163" t="s">
        <v>35</v>
      </c>
      <c r="G31" s="163" t="s">
        <v>35</v>
      </c>
      <c r="H31" s="163" t="s">
        <v>35</v>
      </c>
      <c r="I31" s="163" t="s">
        <v>35</v>
      </c>
      <c r="J31" s="163" t="s">
        <v>35</v>
      </c>
      <c r="K31" s="163" t="s">
        <v>35</v>
      </c>
      <c r="L31" s="163" t="s">
        <v>35</v>
      </c>
      <c r="M31" s="163" t="s">
        <v>35</v>
      </c>
      <c r="N31" s="163" t="s">
        <v>35</v>
      </c>
      <c r="O31" s="163" t="s">
        <v>35</v>
      </c>
      <c r="P31" s="163" t="s">
        <v>35</v>
      </c>
      <c r="Q31" s="163" t="s">
        <v>35</v>
      </c>
      <c r="R31" s="163" t="s">
        <v>35</v>
      </c>
      <c r="S31" s="163" t="s">
        <v>35</v>
      </c>
      <c r="T31" s="163" t="s">
        <v>35</v>
      </c>
      <c r="U31" s="163" t="s">
        <v>35</v>
      </c>
      <c r="V31" s="163" t="s">
        <v>35</v>
      </c>
      <c r="W31" s="163" t="s">
        <v>35</v>
      </c>
      <c r="X31" s="163" t="s">
        <v>35</v>
      </c>
      <c r="Y31" s="163" t="s">
        <v>35</v>
      </c>
      <c r="Z31" s="163" t="s">
        <v>35</v>
      </c>
      <c r="AA31" s="163" t="s">
        <v>35</v>
      </c>
      <c r="AB31" s="163" t="s">
        <v>35</v>
      </c>
      <c r="AC31" s="163" t="s">
        <v>35</v>
      </c>
      <c r="AD31" s="163" t="s">
        <v>35</v>
      </c>
      <c r="AE31" s="163" t="s">
        <v>35</v>
      </c>
      <c r="AF31" s="160" t="s">
        <v>35</v>
      </c>
      <c r="AG31" s="187" t="s">
        <v>35</v>
      </c>
      <c r="AH31" s="505" t="s">
        <v>35</v>
      </c>
      <c r="AI31" s="57" t="s">
        <v>16</v>
      </c>
    </row>
    <row r="32" spans="1:35" ht="12.75" customHeight="1" x14ac:dyDescent="0.2">
      <c r="A32" s="15"/>
      <c r="B32" s="191" t="s">
        <v>15</v>
      </c>
      <c r="C32" s="192"/>
      <c r="D32" s="192"/>
      <c r="E32" s="193"/>
      <c r="F32" s="193"/>
      <c r="G32" s="193"/>
      <c r="H32" s="193"/>
      <c r="I32" s="193">
        <v>0.84609999999999996</v>
      </c>
      <c r="J32" s="193">
        <v>1.4681999999999999</v>
      </c>
      <c r="K32" s="193">
        <v>1.5979000000000001</v>
      </c>
      <c r="L32" s="193">
        <v>1.5193000000000001</v>
      </c>
      <c r="M32" s="193">
        <v>1.5268999999999999</v>
      </c>
      <c r="N32" s="193">
        <v>1.6626000000000001</v>
      </c>
      <c r="O32" s="193">
        <v>1.3793</v>
      </c>
      <c r="P32" s="193">
        <v>0.99519999999999997</v>
      </c>
      <c r="Q32" s="193">
        <v>0.59970000000000001</v>
      </c>
      <c r="R32" s="193">
        <v>0.52249999999999996</v>
      </c>
      <c r="S32" s="193">
        <v>0.74099999999999999</v>
      </c>
      <c r="T32" s="193">
        <v>0.74029999999999996</v>
      </c>
      <c r="U32" s="193">
        <v>0.64880000000000004</v>
      </c>
      <c r="V32" s="193">
        <v>1.004</v>
      </c>
      <c r="W32" s="193">
        <v>1.101</v>
      </c>
      <c r="X32" s="193">
        <v>0.89900000000000002</v>
      </c>
      <c r="Y32" s="193">
        <v>1.1890000000000001</v>
      </c>
      <c r="Z32" s="193">
        <v>0.93100000000000005</v>
      </c>
      <c r="AA32" s="193">
        <v>0.98599999999999999</v>
      </c>
      <c r="AB32" s="193">
        <v>1.006</v>
      </c>
      <c r="AC32" s="193">
        <v>0.90500000000000003</v>
      </c>
      <c r="AD32" s="193">
        <v>0.74099999999999999</v>
      </c>
      <c r="AE32" s="193">
        <v>0.90300000000000002</v>
      </c>
      <c r="AF32" s="193">
        <v>0.93300000000000005</v>
      </c>
      <c r="AG32" s="224">
        <v>0.77800000000000002</v>
      </c>
      <c r="AH32" s="174">
        <f t="shared" si="2"/>
        <v>-16.613076098606655</v>
      </c>
      <c r="AI32" s="191" t="s">
        <v>15</v>
      </c>
    </row>
    <row r="33" spans="1:35" ht="12.75" customHeight="1" x14ac:dyDescent="0.2">
      <c r="A33" s="15"/>
      <c r="B33" s="89" t="s">
        <v>31</v>
      </c>
      <c r="C33" s="159">
        <v>2</v>
      </c>
      <c r="D33" s="159">
        <v>1.8</v>
      </c>
      <c r="E33" s="159">
        <v>1.1000000000000001</v>
      </c>
      <c r="F33" s="160">
        <v>0.8</v>
      </c>
      <c r="G33" s="160">
        <v>0.5</v>
      </c>
      <c r="H33" s="160">
        <v>0.4</v>
      </c>
      <c r="I33" s="195">
        <v>0.3</v>
      </c>
      <c r="J33" s="160">
        <v>7.6999999999999999E-2</v>
      </c>
      <c r="K33" s="160">
        <v>0.1</v>
      </c>
      <c r="L33" s="160">
        <v>0.1</v>
      </c>
      <c r="M33" s="160">
        <v>0.11799999999999999</v>
      </c>
      <c r="N33" s="160">
        <v>0.11799999999999999</v>
      </c>
      <c r="O33" s="160">
        <v>0.11799999999999999</v>
      </c>
      <c r="P33" s="160">
        <v>0.10100000000000001</v>
      </c>
      <c r="Q33" s="160">
        <v>0.112</v>
      </c>
      <c r="R33" s="160">
        <v>0.109</v>
      </c>
      <c r="S33" s="160">
        <v>0.11799999999999999</v>
      </c>
      <c r="T33" s="160">
        <v>7.4999999999999997E-2</v>
      </c>
      <c r="U33" s="160">
        <v>6.6000000000000003E-2</v>
      </c>
      <c r="V33" s="160">
        <v>0.10199999999999999</v>
      </c>
      <c r="W33" s="160">
        <v>0.08</v>
      </c>
      <c r="X33" s="160">
        <v>6.0999999999999999E-2</v>
      </c>
      <c r="Y33" s="160">
        <v>7.5999999999999998E-2</v>
      </c>
      <c r="Z33" s="160">
        <v>0.09</v>
      </c>
      <c r="AA33" s="160">
        <v>0.124</v>
      </c>
      <c r="AB33" s="160">
        <v>0.121</v>
      </c>
      <c r="AC33" s="160">
        <v>0.13600000000000001</v>
      </c>
      <c r="AD33" s="160">
        <v>0.128</v>
      </c>
      <c r="AE33" s="160">
        <v>0.10299999999999999</v>
      </c>
      <c r="AF33" s="163">
        <f>AVERAGE(AC33:AE33)</f>
        <v>0.12233333333333334</v>
      </c>
      <c r="AG33" s="163">
        <f>AVERAGE(AD33:AF33)</f>
        <v>0.11777777777777777</v>
      </c>
      <c r="AH33" s="376">
        <f t="shared" si="2"/>
        <v>-3.7238873751135486</v>
      </c>
      <c r="AI33" s="89" t="s">
        <v>31</v>
      </c>
    </row>
    <row r="34" spans="1:35" ht="12.75" customHeight="1" x14ac:dyDescent="0.2">
      <c r="A34" s="15"/>
      <c r="B34" s="356" t="s">
        <v>32</v>
      </c>
      <c r="C34" s="357" t="s">
        <v>35</v>
      </c>
      <c r="D34" s="357" t="s">
        <v>35</v>
      </c>
      <c r="E34" s="358" t="s">
        <v>35</v>
      </c>
      <c r="F34" s="358" t="s">
        <v>35</v>
      </c>
      <c r="G34" s="358" t="s">
        <v>35</v>
      </c>
      <c r="H34" s="358" t="s">
        <v>35</v>
      </c>
      <c r="I34" s="358" t="s">
        <v>35</v>
      </c>
      <c r="J34" s="358" t="s">
        <v>35</v>
      </c>
      <c r="K34" s="358" t="s">
        <v>35</v>
      </c>
      <c r="L34" s="358" t="s">
        <v>35</v>
      </c>
      <c r="M34" s="358" t="s">
        <v>35</v>
      </c>
      <c r="N34" s="358" t="s">
        <v>35</v>
      </c>
      <c r="O34" s="358" t="s">
        <v>35</v>
      </c>
      <c r="P34" s="358" t="s">
        <v>35</v>
      </c>
      <c r="Q34" s="358" t="s">
        <v>35</v>
      </c>
      <c r="R34" s="358" t="s">
        <v>35</v>
      </c>
      <c r="S34" s="358" t="s">
        <v>35</v>
      </c>
      <c r="T34" s="358" t="s">
        <v>35</v>
      </c>
      <c r="U34" s="358" t="s">
        <v>35</v>
      </c>
      <c r="V34" s="358" t="s">
        <v>35</v>
      </c>
      <c r="W34" s="358" t="s">
        <v>35</v>
      </c>
      <c r="X34" s="358" t="s">
        <v>35</v>
      </c>
      <c r="Y34" s="358" t="s">
        <v>35</v>
      </c>
      <c r="Z34" s="358" t="s">
        <v>35</v>
      </c>
      <c r="AA34" s="359" t="s">
        <v>35</v>
      </c>
      <c r="AB34" s="359" t="s">
        <v>35</v>
      </c>
      <c r="AC34" s="359" t="s">
        <v>35</v>
      </c>
      <c r="AD34" s="359" t="s">
        <v>35</v>
      </c>
      <c r="AE34" s="359">
        <v>1.6E-2</v>
      </c>
      <c r="AF34" s="359">
        <v>5.0000000000000001E-3</v>
      </c>
      <c r="AG34" s="359">
        <v>5.0000000000000001E-3</v>
      </c>
      <c r="AH34" s="386">
        <f t="shared" si="2"/>
        <v>0</v>
      </c>
      <c r="AI34" s="356" t="s">
        <v>32</v>
      </c>
    </row>
    <row r="35" spans="1:35" ht="12.75" customHeight="1" x14ac:dyDescent="0.2">
      <c r="A35" s="15"/>
      <c r="B35" s="90" t="s">
        <v>21</v>
      </c>
      <c r="C35" s="400">
        <v>0.3</v>
      </c>
      <c r="D35" s="400">
        <v>0.4</v>
      </c>
      <c r="E35" s="202">
        <v>0.3</v>
      </c>
      <c r="F35" s="202">
        <v>0.2</v>
      </c>
      <c r="G35" s="202">
        <v>0.19</v>
      </c>
      <c r="H35" s="202">
        <v>0.2</v>
      </c>
      <c r="I35" s="202">
        <v>0.2</v>
      </c>
      <c r="J35" s="202">
        <v>0.2</v>
      </c>
      <c r="K35" s="202">
        <v>0.18</v>
      </c>
      <c r="L35" s="202">
        <v>0.15</v>
      </c>
      <c r="M35" s="202">
        <v>0.15</v>
      </c>
      <c r="N35" s="202">
        <v>0.16</v>
      </c>
      <c r="O35" s="202">
        <v>0.21</v>
      </c>
      <c r="P35" s="202">
        <v>0.19</v>
      </c>
      <c r="Q35" s="202">
        <v>0.18</v>
      </c>
      <c r="R35" s="202">
        <v>0.18</v>
      </c>
      <c r="S35" s="202">
        <v>0.15</v>
      </c>
      <c r="T35" s="202">
        <v>0.17</v>
      </c>
      <c r="U35" s="200">
        <v>0.16</v>
      </c>
      <c r="V35" s="202">
        <v>0.16200000000000001</v>
      </c>
      <c r="W35" s="202">
        <v>0.16400000000000001</v>
      </c>
      <c r="X35" s="202">
        <v>0.13300000000000001</v>
      </c>
      <c r="Y35" s="279">
        <v>0.156</v>
      </c>
      <c r="Z35" s="279">
        <v>0.14399999999999999</v>
      </c>
      <c r="AA35" s="279">
        <v>0.16500000000000001</v>
      </c>
      <c r="AB35" s="279">
        <v>0.21099999999999999</v>
      </c>
      <c r="AC35" s="279">
        <v>0.16900000000000001</v>
      </c>
      <c r="AD35" s="279">
        <v>0.12</v>
      </c>
      <c r="AE35" s="279">
        <v>0.108</v>
      </c>
      <c r="AF35" s="279">
        <v>9.9000000000000005E-2</v>
      </c>
      <c r="AG35" s="186">
        <v>9.2999999999999999E-2</v>
      </c>
      <c r="AH35" s="378">
        <f t="shared" si="2"/>
        <v>-6.0606060606060623</v>
      </c>
      <c r="AI35" s="90" t="s">
        <v>21</v>
      </c>
    </row>
    <row r="36" spans="1:35" ht="12.75" customHeight="1" x14ac:dyDescent="0.2">
      <c r="A36" s="15"/>
      <c r="B36" s="17" t="s">
        <v>96</v>
      </c>
      <c r="C36" s="392" t="s">
        <v>35</v>
      </c>
      <c r="D36" s="392" t="s">
        <v>35</v>
      </c>
      <c r="E36" s="193" t="s">
        <v>35</v>
      </c>
      <c r="F36" s="193" t="s">
        <v>35</v>
      </c>
      <c r="G36" s="193" t="s">
        <v>35</v>
      </c>
      <c r="H36" s="193" t="s">
        <v>35</v>
      </c>
      <c r="I36" s="193" t="s">
        <v>35</v>
      </c>
      <c r="J36" s="193" t="s">
        <v>35</v>
      </c>
      <c r="K36" s="193" t="s">
        <v>35</v>
      </c>
      <c r="L36" s="193" t="s">
        <v>35</v>
      </c>
      <c r="M36" s="193" t="s">
        <v>35</v>
      </c>
      <c r="N36" s="193" t="s">
        <v>35</v>
      </c>
      <c r="O36" s="193" t="s">
        <v>35</v>
      </c>
      <c r="P36" s="193" t="s">
        <v>35</v>
      </c>
      <c r="Q36" s="193" t="s">
        <v>35</v>
      </c>
      <c r="R36" s="193" t="s">
        <v>35</v>
      </c>
      <c r="S36" s="193" t="s">
        <v>35</v>
      </c>
      <c r="T36" s="193" t="s">
        <v>35</v>
      </c>
      <c r="U36" s="193" t="s">
        <v>35</v>
      </c>
      <c r="V36" s="193" t="s">
        <v>35</v>
      </c>
      <c r="W36" s="193" t="s">
        <v>35</v>
      </c>
      <c r="X36" s="193" t="s">
        <v>35</v>
      </c>
      <c r="Y36" s="193" t="s">
        <v>35</v>
      </c>
      <c r="Z36" s="193" t="s">
        <v>35</v>
      </c>
      <c r="AA36" s="193" t="s">
        <v>35</v>
      </c>
      <c r="AB36" s="193" t="s">
        <v>35</v>
      </c>
      <c r="AC36" s="193" t="s">
        <v>35</v>
      </c>
      <c r="AD36" s="193" t="s">
        <v>35</v>
      </c>
      <c r="AE36" s="193" t="s">
        <v>35</v>
      </c>
      <c r="AF36" s="193" t="s">
        <v>35</v>
      </c>
      <c r="AG36" s="224" t="s">
        <v>35</v>
      </c>
      <c r="AH36" s="507" t="s">
        <v>35</v>
      </c>
      <c r="AI36" s="17" t="s">
        <v>96</v>
      </c>
    </row>
    <row r="37" spans="1:35" ht="12.75" customHeight="1" x14ac:dyDescent="0.2">
      <c r="A37" s="15"/>
      <c r="B37" s="89" t="s">
        <v>2</v>
      </c>
      <c r="C37" s="393" t="s">
        <v>35</v>
      </c>
      <c r="D37" s="393" t="s">
        <v>35</v>
      </c>
      <c r="E37" s="160" t="s">
        <v>35</v>
      </c>
      <c r="F37" s="160" t="s">
        <v>35</v>
      </c>
      <c r="G37" s="160" t="s">
        <v>35</v>
      </c>
      <c r="H37" s="160" t="s">
        <v>35</v>
      </c>
      <c r="I37" s="160" t="s">
        <v>35</v>
      </c>
      <c r="J37" s="160" t="s">
        <v>35</v>
      </c>
      <c r="K37" s="160"/>
      <c r="L37" s="160"/>
      <c r="M37" s="160"/>
      <c r="N37" s="160"/>
      <c r="O37" s="160" t="s">
        <v>35</v>
      </c>
      <c r="P37" s="160" t="s">
        <v>35</v>
      </c>
      <c r="Q37" s="160" t="s">
        <v>35</v>
      </c>
      <c r="R37" s="160" t="s">
        <v>35</v>
      </c>
      <c r="S37" s="160" t="s">
        <v>35</v>
      </c>
      <c r="T37" s="160" t="s">
        <v>35</v>
      </c>
      <c r="U37" s="160" t="s">
        <v>35</v>
      </c>
      <c r="V37" s="160" t="s">
        <v>35</v>
      </c>
      <c r="W37" s="160" t="s">
        <v>35</v>
      </c>
      <c r="X37" s="160" t="s">
        <v>35</v>
      </c>
      <c r="Y37" s="160" t="s">
        <v>35</v>
      </c>
      <c r="Z37" s="160" t="s">
        <v>35</v>
      </c>
      <c r="AA37" s="160" t="s">
        <v>35</v>
      </c>
      <c r="AB37" s="160" t="s">
        <v>35</v>
      </c>
      <c r="AC37" s="160" t="s">
        <v>35</v>
      </c>
      <c r="AD37" s="160" t="s">
        <v>35</v>
      </c>
      <c r="AE37" s="160" t="s">
        <v>35</v>
      </c>
      <c r="AF37" s="160" t="s">
        <v>35</v>
      </c>
      <c r="AG37" s="187" t="s">
        <v>35</v>
      </c>
      <c r="AH37" s="505" t="s">
        <v>35</v>
      </c>
      <c r="AI37" s="89" t="s">
        <v>2</v>
      </c>
    </row>
    <row r="38" spans="1:35" ht="12.75" customHeight="1" x14ac:dyDescent="0.2">
      <c r="A38" s="15"/>
      <c r="B38" s="17" t="s">
        <v>100</v>
      </c>
      <c r="C38" s="392" t="s">
        <v>35</v>
      </c>
      <c r="D38" s="392" t="s">
        <v>35</v>
      </c>
      <c r="E38" s="193" t="s">
        <v>35</v>
      </c>
      <c r="F38" s="193" t="s">
        <v>35</v>
      </c>
      <c r="G38" s="193" t="s">
        <v>35</v>
      </c>
      <c r="H38" s="193" t="s">
        <v>35</v>
      </c>
      <c r="I38" s="193" t="s">
        <v>35</v>
      </c>
      <c r="J38" s="193" t="s">
        <v>35</v>
      </c>
      <c r="K38" s="193" t="s">
        <v>35</v>
      </c>
      <c r="L38" s="193" t="s">
        <v>35</v>
      </c>
      <c r="M38" s="193" t="s">
        <v>35</v>
      </c>
      <c r="N38" s="193" t="s">
        <v>35</v>
      </c>
      <c r="O38" s="193" t="s">
        <v>35</v>
      </c>
      <c r="P38" s="193" t="s">
        <v>35</v>
      </c>
      <c r="Q38" s="193" t="s">
        <v>35</v>
      </c>
      <c r="R38" s="193" t="s">
        <v>35</v>
      </c>
      <c r="S38" s="193" t="s">
        <v>35</v>
      </c>
      <c r="T38" s="193" t="s">
        <v>35</v>
      </c>
      <c r="U38" s="193" t="s">
        <v>35</v>
      </c>
      <c r="V38" s="193" t="s">
        <v>35</v>
      </c>
      <c r="W38" s="193" t="s">
        <v>35</v>
      </c>
      <c r="X38" s="193" t="s">
        <v>35</v>
      </c>
      <c r="Y38" s="193" t="s">
        <v>35</v>
      </c>
      <c r="Z38" s="193" t="s">
        <v>35</v>
      </c>
      <c r="AA38" s="193" t="s">
        <v>35</v>
      </c>
      <c r="AB38" s="193" t="s">
        <v>35</v>
      </c>
      <c r="AC38" s="193" t="s">
        <v>35</v>
      </c>
      <c r="AD38" s="193" t="s">
        <v>35</v>
      </c>
      <c r="AE38" s="193" t="s">
        <v>35</v>
      </c>
      <c r="AF38" s="193" t="s">
        <v>35</v>
      </c>
      <c r="AG38" s="224" t="s">
        <v>35</v>
      </c>
      <c r="AH38" s="507" t="s">
        <v>35</v>
      </c>
      <c r="AI38" s="17" t="s">
        <v>100</v>
      </c>
    </row>
    <row r="39" spans="1:35" ht="12.75" customHeight="1" x14ac:dyDescent="0.2">
      <c r="A39" s="160"/>
      <c r="B39" s="89" t="s">
        <v>97</v>
      </c>
      <c r="C39" s="393">
        <v>3.504</v>
      </c>
      <c r="D39" s="393">
        <v>4.22</v>
      </c>
      <c r="E39" s="160">
        <v>3.2320000000000002</v>
      </c>
      <c r="F39" s="160">
        <v>2.9159999999999999</v>
      </c>
      <c r="G39" s="160">
        <v>2.57</v>
      </c>
      <c r="H39" s="160">
        <v>0.28399999999999997</v>
      </c>
      <c r="I39" s="160">
        <v>0.26700000000000002</v>
      </c>
      <c r="J39" s="160">
        <v>0.33600000000000002</v>
      </c>
      <c r="K39" s="160">
        <v>1.3220000000000001</v>
      </c>
      <c r="L39" s="160">
        <v>1.825</v>
      </c>
      <c r="M39" s="160">
        <v>1.5940000000000001</v>
      </c>
      <c r="N39" s="160">
        <v>0.77800000000000002</v>
      </c>
      <c r="O39" s="160">
        <v>0.98</v>
      </c>
      <c r="P39" s="160">
        <v>0.98299999999999998</v>
      </c>
      <c r="Q39" s="160">
        <v>1.0820000000000001</v>
      </c>
      <c r="R39" s="160">
        <v>0.83399999999999996</v>
      </c>
      <c r="S39" s="160">
        <v>1.115</v>
      </c>
      <c r="T39" s="160">
        <v>1.6220000000000001</v>
      </c>
      <c r="U39" s="160">
        <v>1.64</v>
      </c>
      <c r="V39" s="160">
        <v>1.5840000000000001</v>
      </c>
      <c r="W39" s="160">
        <v>1.369</v>
      </c>
      <c r="X39" s="160">
        <v>1.1140000000000001</v>
      </c>
      <c r="Y39" s="160">
        <v>0.875</v>
      </c>
      <c r="Z39" s="160">
        <v>0.96299999999999997</v>
      </c>
      <c r="AA39" s="160">
        <v>0.60499999999999998</v>
      </c>
      <c r="AB39" s="160">
        <v>0.70099999999999996</v>
      </c>
      <c r="AC39" s="160">
        <v>0.75900000000000001</v>
      </c>
      <c r="AD39" s="160">
        <v>0.85899999999999999</v>
      </c>
      <c r="AE39" s="160">
        <v>0.92600000000000005</v>
      </c>
      <c r="AF39" s="160">
        <v>0.71960000000000002</v>
      </c>
      <c r="AG39" s="187">
        <v>0.57999999999999996</v>
      </c>
      <c r="AH39" s="376">
        <f t="shared" si="2"/>
        <v>-19.399666481378546</v>
      </c>
      <c r="AI39" s="89" t="s">
        <v>97</v>
      </c>
    </row>
    <row r="40" spans="1:35" ht="12.75" customHeight="1" x14ac:dyDescent="0.2">
      <c r="A40" s="15"/>
      <c r="B40" s="18" t="s">
        <v>17</v>
      </c>
      <c r="C40" s="357" t="s">
        <v>35</v>
      </c>
      <c r="D40" s="357" t="s">
        <v>35</v>
      </c>
      <c r="E40" s="358" t="s">
        <v>35</v>
      </c>
      <c r="F40" s="358" t="s">
        <v>35</v>
      </c>
      <c r="G40" s="358" t="s">
        <v>35</v>
      </c>
      <c r="H40" s="358" t="s">
        <v>35</v>
      </c>
      <c r="I40" s="358" t="s">
        <v>35</v>
      </c>
      <c r="J40" s="358" t="s">
        <v>35</v>
      </c>
      <c r="K40" s="358" t="s">
        <v>35</v>
      </c>
      <c r="L40" s="358" t="s">
        <v>35</v>
      </c>
      <c r="M40" s="358" t="s">
        <v>35</v>
      </c>
      <c r="N40" s="358" t="s">
        <v>35</v>
      </c>
      <c r="O40" s="358" t="s">
        <v>35</v>
      </c>
      <c r="P40" s="358" t="s">
        <v>35</v>
      </c>
      <c r="Q40" s="358" t="s">
        <v>35</v>
      </c>
      <c r="R40" s="358" t="s">
        <v>35</v>
      </c>
      <c r="S40" s="358" t="s">
        <v>35</v>
      </c>
      <c r="T40" s="358" t="s">
        <v>35</v>
      </c>
      <c r="U40" s="358" t="s">
        <v>35</v>
      </c>
      <c r="V40" s="358" t="s">
        <v>35</v>
      </c>
      <c r="W40" s="358" t="s">
        <v>35</v>
      </c>
      <c r="X40" s="358" t="s">
        <v>35</v>
      </c>
      <c r="Y40" s="358" t="s">
        <v>35</v>
      </c>
      <c r="Z40" s="358" t="s">
        <v>35</v>
      </c>
      <c r="AA40" s="359" t="s">
        <v>35</v>
      </c>
      <c r="AB40" s="359" t="s">
        <v>35</v>
      </c>
      <c r="AC40" s="359" t="s">
        <v>35</v>
      </c>
      <c r="AD40" s="359" t="s">
        <v>35</v>
      </c>
      <c r="AE40" s="359" t="s">
        <v>35</v>
      </c>
      <c r="AF40" s="359" t="s">
        <v>35</v>
      </c>
      <c r="AG40" s="395" t="s">
        <v>35</v>
      </c>
      <c r="AH40" s="516" t="s">
        <v>35</v>
      </c>
      <c r="AI40" s="18" t="s">
        <v>17</v>
      </c>
    </row>
    <row r="41" spans="1:35" ht="12.75" customHeight="1" x14ac:dyDescent="0.2">
      <c r="A41" s="15"/>
      <c r="B41" s="89" t="s">
        <v>3</v>
      </c>
      <c r="C41" s="393" t="s">
        <v>35</v>
      </c>
      <c r="D41" s="393" t="s">
        <v>35</v>
      </c>
      <c r="E41" s="160" t="s">
        <v>35</v>
      </c>
      <c r="F41" s="160" t="s">
        <v>35</v>
      </c>
      <c r="G41" s="160" t="s">
        <v>35</v>
      </c>
      <c r="H41" s="160" t="s">
        <v>35</v>
      </c>
      <c r="I41" s="160" t="s">
        <v>35</v>
      </c>
      <c r="J41" s="160" t="s">
        <v>35</v>
      </c>
      <c r="K41" s="160" t="s">
        <v>35</v>
      </c>
      <c r="L41" s="160" t="s">
        <v>35</v>
      </c>
      <c r="M41" s="160" t="s">
        <v>35</v>
      </c>
      <c r="N41" s="160" t="s">
        <v>35</v>
      </c>
      <c r="O41" s="160" t="s">
        <v>35</v>
      </c>
      <c r="P41" s="160" t="s">
        <v>35</v>
      </c>
      <c r="Q41" s="160" t="s">
        <v>35</v>
      </c>
      <c r="R41" s="160" t="s">
        <v>35</v>
      </c>
      <c r="S41" s="160" t="s">
        <v>35</v>
      </c>
      <c r="T41" s="160" t="s">
        <v>35</v>
      </c>
      <c r="U41" s="160" t="s">
        <v>35</v>
      </c>
      <c r="V41" s="160" t="s">
        <v>35</v>
      </c>
      <c r="W41" s="160" t="s">
        <v>35</v>
      </c>
      <c r="X41" s="160" t="s">
        <v>35</v>
      </c>
      <c r="Y41" s="160" t="s">
        <v>35</v>
      </c>
      <c r="Z41" s="160" t="s">
        <v>35</v>
      </c>
      <c r="AA41" s="160" t="s">
        <v>35</v>
      </c>
      <c r="AB41" s="160" t="s">
        <v>35</v>
      </c>
      <c r="AC41" s="160" t="s">
        <v>35</v>
      </c>
      <c r="AD41" s="160" t="s">
        <v>35</v>
      </c>
      <c r="AE41" s="160" t="s">
        <v>35</v>
      </c>
      <c r="AF41" s="160" t="s">
        <v>35</v>
      </c>
      <c r="AG41" s="187" t="s">
        <v>35</v>
      </c>
      <c r="AH41" s="505" t="s">
        <v>35</v>
      </c>
      <c r="AI41" s="89" t="s">
        <v>3</v>
      </c>
    </row>
    <row r="42" spans="1:35" ht="12.75" customHeight="1" x14ac:dyDescent="0.2">
      <c r="A42" s="15"/>
      <c r="B42" s="17" t="s">
        <v>33</v>
      </c>
      <c r="C42" s="192" t="s">
        <v>35</v>
      </c>
      <c r="D42" s="192" t="s">
        <v>35</v>
      </c>
      <c r="E42" s="193" t="s">
        <v>35</v>
      </c>
      <c r="F42" s="193" t="s">
        <v>35</v>
      </c>
      <c r="G42" s="193" t="s">
        <v>35</v>
      </c>
      <c r="H42" s="193" t="s">
        <v>35</v>
      </c>
      <c r="I42" s="193" t="s">
        <v>35</v>
      </c>
      <c r="J42" s="193" t="s">
        <v>35</v>
      </c>
      <c r="K42" s="193" t="s">
        <v>35</v>
      </c>
      <c r="L42" s="193" t="s">
        <v>35</v>
      </c>
      <c r="M42" s="193" t="s">
        <v>35</v>
      </c>
      <c r="N42" s="193" t="s">
        <v>35</v>
      </c>
      <c r="O42" s="193" t="s">
        <v>35</v>
      </c>
      <c r="P42" s="193" t="s">
        <v>35</v>
      </c>
      <c r="Q42" s="193" t="s">
        <v>35</v>
      </c>
      <c r="R42" s="193" t="s">
        <v>35</v>
      </c>
      <c r="S42" s="193" t="s">
        <v>35</v>
      </c>
      <c r="T42" s="193" t="s">
        <v>35</v>
      </c>
      <c r="U42" s="193" t="s">
        <v>35</v>
      </c>
      <c r="V42" s="193" t="s">
        <v>35</v>
      </c>
      <c r="W42" s="193" t="s">
        <v>35</v>
      </c>
      <c r="X42" s="193" t="s">
        <v>35</v>
      </c>
      <c r="Y42" s="193" t="s">
        <v>35</v>
      </c>
      <c r="Z42" s="193" t="s">
        <v>35</v>
      </c>
      <c r="AA42" s="196" t="s">
        <v>35</v>
      </c>
      <c r="AB42" s="196" t="s">
        <v>35</v>
      </c>
      <c r="AC42" s="196" t="s">
        <v>35</v>
      </c>
      <c r="AD42" s="196" t="s">
        <v>35</v>
      </c>
      <c r="AE42" s="196" t="s">
        <v>35</v>
      </c>
      <c r="AF42" s="196" t="s">
        <v>35</v>
      </c>
      <c r="AG42" s="225" t="s">
        <v>35</v>
      </c>
      <c r="AH42" s="507" t="s">
        <v>35</v>
      </c>
      <c r="AI42" s="17" t="s">
        <v>33</v>
      </c>
    </row>
    <row r="43" spans="1:35" ht="12.75" customHeight="1" x14ac:dyDescent="0.2">
      <c r="A43" s="15"/>
      <c r="B43" s="89" t="s">
        <v>4</v>
      </c>
      <c r="C43" s="394">
        <v>0.13900000000000001</v>
      </c>
      <c r="D43" s="394">
        <v>0.125</v>
      </c>
      <c r="E43" s="160">
        <v>0.19600000000000001</v>
      </c>
      <c r="F43" s="160">
        <v>0.19</v>
      </c>
      <c r="G43" s="160">
        <v>0.18</v>
      </c>
      <c r="H43" s="160">
        <v>0.17</v>
      </c>
      <c r="I43" s="160">
        <v>0.16</v>
      </c>
      <c r="J43" s="160">
        <v>4.7199999999999999E-2</v>
      </c>
      <c r="K43" s="160">
        <v>4.36E-2</v>
      </c>
      <c r="L43" s="160">
        <v>4.87E-2</v>
      </c>
      <c r="M43" s="160">
        <v>4.9000000000000002E-2</v>
      </c>
      <c r="N43" s="160">
        <v>4.1700000000000001E-2</v>
      </c>
      <c r="O43" s="160">
        <v>5.21E-2</v>
      </c>
      <c r="P43" s="160">
        <v>5.5500000000000001E-2</v>
      </c>
      <c r="Q43" s="160">
        <v>5.21E-2</v>
      </c>
      <c r="R43" s="160">
        <v>4.4400000000000002E-2</v>
      </c>
      <c r="S43" s="160">
        <v>4.5100000000000001E-2</v>
      </c>
      <c r="T43" s="160">
        <v>4.6600000000000003E-2</v>
      </c>
      <c r="U43" s="160">
        <v>4.2000000000000003E-2</v>
      </c>
      <c r="V43" s="160">
        <v>4.53E-2</v>
      </c>
      <c r="W43" s="160">
        <v>4.265E-2</v>
      </c>
      <c r="X43" s="160">
        <v>4.1000000000000002E-2</v>
      </c>
      <c r="Y43" s="160">
        <v>4.0090000000000001E-2</v>
      </c>
      <c r="Z43" s="160">
        <v>3.6400000000000002E-2</v>
      </c>
      <c r="AA43" s="160">
        <v>0.05</v>
      </c>
      <c r="AB43" s="160">
        <v>4.9000000000000002E-2</v>
      </c>
      <c r="AC43" s="160">
        <v>4.2999999999999997E-2</v>
      </c>
      <c r="AD43" s="160">
        <v>4.7E-2</v>
      </c>
      <c r="AE43" s="160">
        <v>0.03</v>
      </c>
      <c r="AF43" s="160">
        <v>4.1100000000000005E-2</v>
      </c>
      <c r="AG43" s="181">
        <v>4.1100000000000005E-2</v>
      </c>
      <c r="AH43" s="376">
        <f t="shared" si="2"/>
        <v>0</v>
      </c>
      <c r="AI43" s="89" t="s">
        <v>4</v>
      </c>
    </row>
    <row r="44" spans="1:35" ht="12.75" customHeight="1" x14ac:dyDescent="0.2">
      <c r="A44" s="15"/>
      <c r="B44" s="588" t="s">
        <v>130</v>
      </c>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row>
    <row r="45" spans="1:35" ht="12.75" customHeight="1" x14ac:dyDescent="0.2">
      <c r="A45" s="15"/>
      <c r="B45" s="586" t="s">
        <v>153</v>
      </c>
      <c r="C45" s="587"/>
      <c r="D45" s="587"/>
      <c r="E45" s="587"/>
      <c r="F45" s="587"/>
      <c r="G45" s="587"/>
      <c r="H45" s="587"/>
      <c r="I45" s="587"/>
      <c r="J45" s="587"/>
      <c r="K45" s="587"/>
      <c r="L45" s="587"/>
      <c r="M45" s="587"/>
      <c r="N45" s="587"/>
      <c r="O45" s="587"/>
      <c r="P45" s="587"/>
      <c r="Q45" s="587"/>
      <c r="R45" s="587"/>
      <c r="S45" s="587"/>
    </row>
    <row r="46" spans="1:35" ht="13.5" customHeight="1" x14ac:dyDescent="0.2">
      <c r="B46" s="129" t="s">
        <v>67</v>
      </c>
      <c r="C46" s="131"/>
      <c r="D46" s="131"/>
      <c r="E46" s="131"/>
      <c r="F46" s="131"/>
      <c r="G46" s="131"/>
      <c r="H46" s="131"/>
      <c r="I46" s="131"/>
      <c r="J46" s="131"/>
      <c r="K46" s="131"/>
      <c r="L46" s="131"/>
      <c r="M46" s="131"/>
      <c r="N46" s="131"/>
      <c r="O46" s="131"/>
      <c r="P46" s="131"/>
      <c r="Q46" s="131"/>
      <c r="R46" s="131"/>
      <c r="S46" s="131"/>
      <c r="T46" s="130"/>
      <c r="U46" s="130"/>
      <c r="V46" s="130"/>
      <c r="W46" s="130"/>
      <c r="X46" s="130"/>
      <c r="Y46" s="130"/>
      <c r="Z46" s="130"/>
      <c r="AA46" s="130"/>
      <c r="AB46" s="130"/>
      <c r="AC46" s="130"/>
      <c r="AD46" s="130"/>
      <c r="AE46" s="130"/>
      <c r="AF46" s="130"/>
      <c r="AG46" s="130"/>
      <c r="AH46" s="399"/>
      <c r="AI46" s="130"/>
    </row>
    <row r="47" spans="1:35" ht="12.75" customHeight="1" x14ac:dyDescent="0.2">
      <c r="B47" s="48" t="s">
        <v>112</v>
      </c>
      <c r="C47"/>
      <c r="D47"/>
      <c r="E47"/>
      <c r="F47"/>
      <c r="G47"/>
      <c r="H47"/>
      <c r="I47"/>
      <c r="J47"/>
      <c r="K47"/>
      <c r="L47"/>
      <c r="M47"/>
      <c r="N47"/>
      <c r="O47"/>
      <c r="P47"/>
    </row>
    <row r="48" spans="1:35" s="48" customFormat="1" ht="12.75" customHeight="1" x14ac:dyDescent="0.2">
      <c r="A48" s="81"/>
      <c r="B48" s="11" t="s">
        <v>93</v>
      </c>
      <c r="C48"/>
      <c r="D48"/>
      <c r="E48"/>
      <c r="F48"/>
      <c r="G48"/>
      <c r="H48"/>
      <c r="I48"/>
      <c r="J48"/>
      <c r="K48"/>
      <c r="L48"/>
      <c r="M48"/>
      <c r="N48" s="138">
        <v>2000</v>
      </c>
      <c r="O48"/>
      <c r="P48" s="3"/>
      <c r="Q48" s="3"/>
      <c r="R48" s="3"/>
      <c r="S48" s="3"/>
      <c r="T48" s="3"/>
      <c r="U48" s="3"/>
      <c r="V48" s="3"/>
      <c r="W48" s="3"/>
      <c r="X48" s="3"/>
      <c r="Y48" s="3"/>
      <c r="Z48" s="3"/>
      <c r="AA48" s="3"/>
      <c r="AB48" s="3"/>
      <c r="AC48" s="3"/>
      <c r="AD48" s="3"/>
      <c r="AE48" s="3"/>
      <c r="AF48" s="3"/>
      <c r="AG48" s="3"/>
      <c r="AH48" s="397"/>
      <c r="AI48" s="3"/>
    </row>
    <row r="49" spans="2:2" x14ac:dyDescent="0.2">
      <c r="B49" s="11" t="s">
        <v>94</v>
      </c>
    </row>
    <row r="50" spans="2:2" x14ac:dyDescent="0.2">
      <c r="B50" s="11" t="s">
        <v>89</v>
      </c>
    </row>
  </sheetData>
  <mergeCells count="3">
    <mergeCell ref="B2:AI2"/>
    <mergeCell ref="B45:S45"/>
    <mergeCell ref="B44:AI44"/>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AR54"/>
  <sheetViews>
    <sheetView topLeftCell="A16" workbookViewId="0">
      <selection activeCell="T49" sqref="T49"/>
    </sheetView>
  </sheetViews>
  <sheetFormatPr defaultRowHeight="11.25" x14ac:dyDescent="0.2"/>
  <cols>
    <col min="1" max="1" width="8" style="47" customWidth="1"/>
    <col min="2" max="2" width="5.42578125" style="3" customWidth="1"/>
    <col min="3" max="4" width="6.7109375" style="3" customWidth="1"/>
    <col min="5" max="5" width="7" style="3" customWidth="1"/>
    <col min="6" max="20" width="6.7109375" style="3" customWidth="1"/>
    <col min="21" max="32" width="7.28515625" style="3" customWidth="1"/>
    <col min="33" max="33" width="7.140625" style="3" customWidth="1"/>
    <col min="34" max="34" width="6.28515625" style="401" customWidth="1"/>
    <col min="35" max="35" width="5.140625" style="3" customWidth="1"/>
    <col min="36" max="16384" width="9.140625" style="3"/>
  </cols>
  <sheetData>
    <row r="1" spans="1:36" ht="14.25" customHeight="1" x14ac:dyDescent="0.2">
      <c r="B1" s="42"/>
      <c r="C1" s="43"/>
      <c r="D1" s="43"/>
      <c r="E1" s="38"/>
      <c r="F1" s="38"/>
      <c r="G1" s="38"/>
      <c r="H1" s="38"/>
      <c r="I1" s="38"/>
      <c r="J1" s="38"/>
      <c r="K1" s="38"/>
      <c r="L1" s="38"/>
      <c r="M1" s="38"/>
      <c r="N1" s="38"/>
      <c r="O1" s="38"/>
      <c r="P1" s="38"/>
      <c r="R1"/>
      <c r="U1" s="39"/>
      <c r="V1" s="39"/>
      <c r="W1" s="39"/>
      <c r="X1" s="39"/>
      <c r="Y1" s="39"/>
      <c r="Z1" s="39"/>
      <c r="AA1" s="39"/>
      <c r="AB1" s="39"/>
      <c r="AC1" s="39"/>
      <c r="AD1" s="39"/>
      <c r="AE1" s="39"/>
      <c r="AF1" s="39"/>
      <c r="AG1" s="39"/>
      <c r="AI1" s="39" t="s">
        <v>83</v>
      </c>
    </row>
    <row r="2" spans="1:36" s="48" customFormat="1" ht="30" customHeight="1" x14ac:dyDescent="0.2">
      <c r="A2" s="50"/>
      <c r="B2" s="590" t="s">
        <v>146</v>
      </c>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row>
    <row r="3" spans="1:36" ht="12.75" x14ac:dyDescent="0.2">
      <c r="B3" s="4"/>
      <c r="C3" s="4"/>
      <c r="E3" s="28"/>
      <c r="F3" s="28"/>
      <c r="G3" s="28"/>
      <c r="H3" s="28"/>
      <c r="I3" s="28"/>
      <c r="J3" s="30"/>
      <c r="K3" s="30"/>
      <c r="L3" s="30"/>
      <c r="M3" s="30"/>
      <c r="N3" s="30"/>
      <c r="O3" s="30"/>
      <c r="R3" s="1"/>
      <c r="W3" s="304"/>
      <c r="X3" s="305"/>
      <c r="Y3" s="21"/>
      <c r="Z3" s="21"/>
      <c r="AA3" s="21"/>
      <c r="AB3" s="21"/>
      <c r="AC3" s="21"/>
      <c r="AD3" s="21"/>
      <c r="AE3" s="304"/>
      <c r="AF3" s="319"/>
      <c r="AG3" s="304" t="s">
        <v>95</v>
      </c>
      <c r="AH3" s="402"/>
      <c r="AI3" s="46"/>
    </row>
    <row r="4" spans="1:36" ht="20.100000000000001" customHeight="1" x14ac:dyDescent="0.2">
      <c r="B4" s="32"/>
      <c r="C4" s="103">
        <v>1970</v>
      </c>
      <c r="D4" s="103">
        <v>1980</v>
      </c>
      <c r="E4" s="86">
        <v>1990</v>
      </c>
      <c r="F4" s="86">
        <v>1991</v>
      </c>
      <c r="G4" s="86">
        <v>1992</v>
      </c>
      <c r="H4" s="86">
        <v>1993</v>
      </c>
      <c r="I4" s="86">
        <v>1994</v>
      </c>
      <c r="J4" s="86">
        <v>1995</v>
      </c>
      <c r="K4" s="86">
        <v>1996</v>
      </c>
      <c r="L4" s="86">
        <v>1997</v>
      </c>
      <c r="M4" s="86">
        <v>1998</v>
      </c>
      <c r="N4" s="86">
        <v>1999</v>
      </c>
      <c r="O4" s="86">
        <v>2000</v>
      </c>
      <c r="P4" s="86">
        <v>2001</v>
      </c>
      <c r="Q4" s="86">
        <v>2002</v>
      </c>
      <c r="R4" s="86">
        <v>2003</v>
      </c>
      <c r="S4" s="86">
        <v>2004</v>
      </c>
      <c r="T4" s="86">
        <v>2005</v>
      </c>
      <c r="U4" s="86">
        <v>2006</v>
      </c>
      <c r="V4" s="86">
        <v>2007</v>
      </c>
      <c r="W4" s="86">
        <v>2008</v>
      </c>
      <c r="X4" s="86">
        <v>2009</v>
      </c>
      <c r="Y4" s="86">
        <v>2010</v>
      </c>
      <c r="Z4" s="86">
        <v>2011</v>
      </c>
      <c r="AA4" s="86">
        <v>2012</v>
      </c>
      <c r="AB4" s="86">
        <v>2013</v>
      </c>
      <c r="AC4" s="86">
        <v>2014</v>
      </c>
      <c r="AD4" s="86">
        <v>2015</v>
      </c>
      <c r="AE4" s="86">
        <v>2016</v>
      </c>
      <c r="AF4" s="86">
        <v>2017</v>
      </c>
      <c r="AG4" s="86">
        <v>2018</v>
      </c>
      <c r="AH4" s="381" t="s">
        <v>116</v>
      </c>
      <c r="AI4" s="63"/>
    </row>
    <row r="5" spans="1:36" ht="9.9499999999999993" customHeight="1" x14ac:dyDescent="0.2">
      <c r="B5" s="32"/>
      <c r="C5" s="104"/>
      <c r="D5" s="105"/>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403" t="s">
        <v>63</v>
      </c>
      <c r="AI5" s="63"/>
      <c r="AJ5" s="46"/>
    </row>
    <row r="6" spans="1:36" ht="12.75" customHeight="1" x14ac:dyDescent="0.2">
      <c r="B6" s="289" t="s">
        <v>115</v>
      </c>
      <c r="C6" s="306"/>
      <c r="D6" s="306"/>
      <c r="E6" s="307"/>
      <c r="F6" s="307"/>
      <c r="G6" s="307"/>
      <c r="H6" s="307"/>
      <c r="I6" s="298">
        <f>I7-I35</f>
        <v>103.47499999999999</v>
      </c>
      <c r="J6" s="298">
        <f t="shared" ref="J6:AG6" si="0">J7-J35</f>
        <v>103.81029999999998</v>
      </c>
      <c r="K6" s="298">
        <f t="shared" si="0"/>
        <v>107.7071</v>
      </c>
      <c r="L6" s="298">
        <f t="shared" si="0"/>
        <v>107.66900000000001</v>
      </c>
      <c r="M6" s="298">
        <f t="shared" si="0"/>
        <v>114.67399999999999</v>
      </c>
      <c r="N6" s="298">
        <f t="shared" si="0"/>
        <v>113.21399999999998</v>
      </c>
      <c r="O6" s="298">
        <f t="shared" si="0"/>
        <v>115.68269999999998</v>
      </c>
      <c r="P6" s="298">
        <f t="shared" si="0"/>
        <v>122.3753</v>
      </c>
      <c r="Q6" s="298">
        <f t="shared" si="0"/>
        <v>118.79659999999998</v>
      </c>
      <c r="R6" s="298">
        <f t="shared" si="0"/>
        <v>121.20380000000002</v>
      </c>
      <c r="S6" s="298">
        <f t="shared" si="0"/>
        <v>122.60236060000001</v>
      </c>
      <c r="T6" s="298">
        <f t="shared" si="0"/>
        <v>126.80850379999998</v>
      </c>
      <c r="U6" s="298">
        <f t="shared" si="0"/>
        <v>125.78924979999998</v>
      </c>
      <c r="V6" s="298">
        <f t="shared" si="0"/>
        <v>118.22248842182226</v>
      </c>
      <c r="W6" s="298">
        <f t="shared" si="0"/>
        <v>114.76496585313126</v>
      </c>
      <c r="X6" s="298">
        <f t="shared" si="0"/>
        <v>111.63421473696151</v>
      </c>
      <c r="Y6" s="298">
        <f t="shared" si="0"/>
        <v>110.96844560300448</v>
      </c>
      <c r="Z6" s="298">
        <f t="shared" si="0"/>
        <v>108.27031897026802</v>
      </c>
      <c r="AA6" s="298">
        <f t="shared" si="0"/>
        <v>104.98250906969668</v>
      </c>
      <c r="AB6" s="298">
        <f t="shared" si="0"/>
        <v>102.0834831637049</v>
      </c>
      <c r="AC6" s="298">
        <f t="shared" si="0"/>
        <v>101.08568894404827</v>
      </c>
      <c r="AD6" s="298">
        <f t="shared" si="0"/>
        <v>104.14976966869865</v>
      </c>
      <c r="AE6" s="298">
        <f t="shared" si="0"/>
        <v>104.6967429921506</v>
      </c>
      <c r="AF6" s="298">
        <f t="shared" si="0"/>
        <v>103.95069553496583</v>
      </c>
      <c r="AG6" s="298">
        <f t="shared" si="0"/>
        <v>104.04549608860503</v>
      </c>
      <c r="AH6" s="389">
        <f>AG6/AF6*100-100</f>
        <v>9.1197613591063487E-2</v>
      </c>
      <c r="AI6" s="289" t="s">
        <v>115</v>
      </c>
      <c r="AJ6" s="46"/>
    </row>
    <row r="7" spans="1:36" ht="12.75" customHeight="1" x14ac:dyDescent="0.2">
      <c r="A7" s="15"/>
      <c r="B7" s="289" t="s">
        <v>99</v>
      </c>
      <c r="C7" s="306"/>
      <c r="D7" s="306"/>
      <c r="E7" s="307"/>
      <c r="F7" s="307"/>
      <c r="G7" s="307"/>
      <c r="H7" s="307"/>
      <c r="I7" s="298">
        <f t="shared" ref="I7:AB7" si="1">SUM(I8:I35)</f>
        <v>115.47499999999999</v>
      </c>
      <c r="J7" s="298">
        <f t="shared" si="1"/>
        <v>114.91029999999998</v>
      </c>
      <c r="K7" s="298">
        <f t="shared" si="1"/>
        <v>119.3301</v>
      </c>
      <c r="L7" s="298">
        <f t="shared" si="1"/>
        <v>118.90400000000001</v>
      </c>
      <c r="M7" s="298">
        <f t="shared" si="1"/>
        <v>126.33999999999999</v>
      </c>
      <c r="N7" s="298">
        <f t="shared" si="1"/>
        <v>124.85099999999998</v>
      </c>
      <c r="O7" s="298">
        <f t="shared" si="1"/>
        <v>127.10669999999999</v>
      </c>
      <c r="P7" s="298">
        <f t="shared" si="1"/>
        <v>133.93729999999999</v>
      </c>
      <c r="Q7" s="298">
        <f t="shared" si="1"/>
        <v>129.73159999999999</v>
      </c>
      <c r="R7" s="298">
        <f t="shared" si="1"/>
        <v>131.68780000000001</v>
      </c>
      <c r="S7" s="298">
        <f t="shared" si="1"/>
        <v>133.25936060000001</v>
      </c>
      <c r="T7" s="298">
        <f t="shared" si="1"/>
        <v>137.58850379999998</v>
      </c>
      <c r="U7" s="298">
        <f t="shared" si="1"/>
        <v>136.56624979999998</v>
      </c>
      <c r="V7" s="298">
        <f t="shared" si="1"/>
        <v>128.45148842182226</v>
      </c>
      <c r="W7" s="298">
        <f t="shared" si="1"/>
        <v>124.94496585313127</v>
      </c>
      <c r="X7" s="298">
        <f t="shared" si="1"/>
        <v>121.81921473696151</v>
      </c>
      <c r="Y7" s="298">
        <f t="shared" si="1"/>
        <v>121.13344560300447</v>
      </c>
      <c r="Z7" s="298">
        <f t="shared" si="1"/>
        <v>118.37031897026802</v>
      </c>
      <c r="AA7" s="298">
        <f t="shared" si="1"/>
        <v>114.89650906969668</v>
      </c>
      <c r="AB7" s="298">
        <f t="shared" si="1"/>
        <v>112.04489385359166</v>
      </c>
      <c r="AC7" s="298">
        <f>SUM(AC8:AC35)</f>
        <v>111.07749250734386</v>
      </c>
      <c r="AD7" s="298">
        <f>SUM(AD8:AD35)</f>
        <v>114.10550775309277</v>
      </c>
      <c r="AE7" s="298">
        <f>SUM(AE8:AE35)</f>
        <v>114.66639377134275</v>
      </c>
      <c r="AF7" s="298">
        <f>SUM(AF8:AF35)</f>
        <v>113.92309301059311</v>
      </c>
      <c r="AG7" s="298">
        <f>SUM(AG8:AG35)</f>
        <v>114.01142486834289</v>
      </c>
      <c r="AH7" s="389">
        <f t="shared" ref="AH7:AH43" si="2">AG7/AF7*100-100</f>
        <v>7.7536393557679162E-2</v>
      </c>
      <c r="AI7" s="289" t="s">
        <v>99</v>
      </c>
      <c r="AJ7" s="46"/>
    </row>
    <row r="8" spans="1:36" ht="12.75" customHeight="1" x14ac:dyDescent="0.2">
      <c r="A8" s="15"/>
      <c r="B8" s="17" t="s">
        <v>22</v>
      </c>
      <c r="C8" s="97">
        <v>0.27</v>
      </c>
      <c r="D8" s="97">
        <v>1.802</v>
      </c>
      <c r="E8" s="165">
        <v>1.024</v>
      </c>
      <c r="F8" s="165">
        <v>1.1299999999999999</v>
      </c>
      <c r="G8" s="165">
        <v>1.1679999999999999</v>
      </c>
      <c r="H8" s="165">
        <v>1.2629999999999999</v>
      </c>
      <c r="I8" s="165">
        <v>1.37</v>
      </c>
      <c r="J8" s="165">
        <v>1.37</v>
      </c>
      <c r="K8" s="165">
        <v>1.45</v>
      </c>
      <c r="L8" s="165">
        <v>1.526</v>
      </c>
      <c r="M8" s="165">
        <v>1.57</v>
      </c>
      <c r="N8" s="165">
        <v>1.577</v>
      </c>
      <c r="O8" s="165">
        <v>1.6240000000000001</v>
      </c>
      <c r="P8" s="165">
        <v>1.544</v>
      </c>
      <c r="Q8" s="165">
        <v>1.5109999999999999</v>
      </c>
      <c r="R8" s="165">
        <v>1.518</v>
      </c>
      <c r="S8" s="165">
        <v>1.5329999999999999</v>
      </c>
      <c r="T8" s="165">
        <v>1.5169999999999999</v>
      </c>
      <c r="U8" s="165">
        <v>1.5720000000000001</v>
      </c>
      <c r="V8" s="171">
        <v>1.4693124218222637</v>
      </c>
      <c r="W8" s="171">
        <v>1.4604484531312809</v>
      </c>
      <c r="X8" s="171">
        <v>1.5250113322259891</v>
      </c>
      <c r="Y8" s="171">
        <v>1.5165343017285184</v>
      </c>
      <c r="Z8" s="171">
        <v>1.3965357700971579</v>
      </c>
      <c r="AA8" s="171">
        <v>1.6315054983427759</v>
      </c>
      <c r="AB8" s="171">
        <v>1.6930081637049001</v>
      </c>
      <c r="AC8" s="171">
        <f>AVERAGE(Z8:AB8)</f>
        <v>1.5736831440482781</v>
      </c>
      <c r="AD8" s="171">
        <f>AVERAGE(AA8:AC8)</f>
        <v>1.6327322686986514</v>
      </c>
      <c r="AE8" s="171">
        <f>AVERAGE(AB8:AD8)</f>
        <v>1.63314119215061</v>
      </c>
      <c r="AF8" s="206">
        <v>1.6131855349658466</v>
      </c>
      <c r="AG8" s="323">
        <f>AVERAGE(AD8:AF8)</f>
        <v>1.626352998605036</v>
      </c>
      <c r="AH8" s="312">
        <f t="shared" si="2"/>
        <v>0.81623987779360618</v>
      </c>
      <c r="AI8" s="17" t="s">
        <v>22</v>
      </c>
      <c r="AJ8" s="46"/>
    </row>
    <row r="9" spans="1:36" ht="12.75" customHeight="1" x14ac:dyDescent="0.2">
      <c r="A9" s="15"/>
      <c r="B9" s="89" t="s">
        <v>5</v>
      </c>
      <c r="C9" s="102">
        <v>0</v>
      </c>
      <c r="D9" s="102">
        <v>0.75</v>
      </c>
      <c r="E9" s="155">
        <v>0.64</v>
      </c>
      <c r="F9" s="155">
        <v>0.45400000000000001</v>
      </c>
      <c r="G9" s="155">
        <v>0.25900000000000001</v>
      </c>
      <c r="H9" s="155">
        <v>0.3</v>
      </c>
      <c r="I9" s="155">
        <v>0.36</v>
      </c>
      <c r="J9" s="155">
        <v>0.41</v>
      </c>
      <c r="K9" s="155">
        <v>0.36</v>
      </c>
      <c r="L9" s="155">
        <v>0.26</v>
      </c>
      <c r="M9" s="155">
        <v>0.24399999999999999</v>
      </c>
      <c r="N9" s="155">
        <v>0.33</v>
      </c>
      <c r="O9" s="155">
        <v>0.379</v>
      </c>
      <c r="P9" s="155">
        <v>0.33900000000000002</v>
      </c>
      <c r="Q9" s="155">
        <v>0.28599999999999998</v>
      </c>
      <c r="R9" s="155">
        <v>0.28199999999999997</v>
      </c>
      <c r="S9" s="155">
        <v>0.27400000000000002</v>
      </c>
      <c r="T9" s="155">
        <v>0.35199999999999998</v>
      </c>
      <c r="U9" s="155">
        <v>0.35659999999999997</v>
      </c>
      <c r="V9" s="155">
        <v>0.41959999999999997</v>
      </c>
      <c r="W9" s="155">
        <v>0.41980000000000001</v>
      </c>
      <c r="X9" s="155">
        <v>0.4365</v>
      </c>
      <c r="Y9" s="155">
        <v>0.41449999999999998</v>
      </c>
      <c r="Z9" s="155">
        <v>0.48080000000000001</v>
      </c>
      <c r="AA9" s="155">
        <v>0.57289999999999996</v>
      </c>
      <c r="AB9" s="155">
        <v>0.63300000000000001</v>
      </c>
      <c r="AC9" s="155">
        <v>0.58299999999999996</v>
      </c>
      <c r="AD9" s="155">
        <v>0.66100000000000003</v>
      </c>
      <c r="AE9" s="155">
        <v>0.71</v>
      </c>
      <c r="AF9" s="155">
        <v>0.70579999999999998</v>
      </c>
      <c r="AG9" s="156">
        <v>0.67079999999999995</v>
      </c>
      <c r="AH9" s="376">
        <f t="shared" si="2"/>
        <v>-4.9589118730518607</v>
      </c>
      <c r="AI9" s="89" t="s">
        <v>5</v>
      </c>
      <c r="AJ9"/>
    </row>
    <row r="10" spans="1:36" ht="12.75" customHeight="1" x14ac:dyDescent="0.2">
      <c r="A10" s="15"/>
      <c r="B10" s="17" t="s">
        <v>7</v>
      </c>
      <c r="C10" s="96"/>
      <c r="D10" s="96"/>
      <c r="E10" s="58"/>
      <c r="F10" s="58"/>
      <c r="G10" s="58"/>
      <c r="H10" s="145">
        <v>1.98</v>
      </c>
      <c r="I10" s="58">
        <v>2.1800000000000002</v>
      </c>
      <c r="J10" s="58">
        <v>2.2759999999999998</v>
      </c>
      <c r="K10" s="58">
        <v>2.27</v>
      </c>
      <c r="L10" s="58">
        <v>2.11</v>
      </c>
      <c r="M10" s="58">
        <v>2.0779999999999998</v>
      </c>
      <c r="N10" s="58">
        <v>1.7949999999999999</v>
      </c>
      <c r="O10" s="58">
        <v>1.6120000000000001</v>
      </c>
      <c r="P10" s="58">
        <v>1.661</v>
      </c>
      <c r="Q10" s="58">
        <v>1.7170000000000001</v>
      </c>
      <c r="R10" s="58">
        <v>1.82</v>
      </c>
      <c r="S10" s="58">
        <v>1.9019999999999999</v>
      </c>
      <c r="T10" s="58">
        <v>2.2589999999999999</v>
      </c>
      <c r="U10" s="58">
        <v>2.2909999999999999</v>
      </c>
      <c r="V10" s="58">
        <v>2.0790000000000002</v>
      </c>
      <c r="W10" s="58">
        <v>2.3149999999999999</v>
      </c>
      <c r="X10" s="58">
        <v>2.1560000000000001</v>
      </c>
      <c r="Y10" s="58">
        <v>2.1909999999999998</v>
      </c>
      <c r="Z10" s="58">
        <v>1.9537</v>
      </c>
      <c r="AA10" s="58">
        <v>1.907</v>
      </c>
      <c r="AB10" s="58">
        <v>1.9330000000000001</v>
      </c>
      <c r="AC10" s="58">
        <v>2.0630000000000002</v>
      </c>
      <c r="AD10" s="58">
        <v>2.0230000000000001</v>
      </c>
      <c r="AE10" s="58">
        <v>1.5880000000000001</v>
      </c>
      <c r="AF10" s="58">
        <v>2.165</v>
      </c>
      <c r="AG10" s="167">
        <v>2.1070000000000002</v>
      </c>
      <c r="AH10" s="179">
        <f t="shared" si="2"/>
        <v>-2.6789838337182346</v>
      </c>
      <c r="AI10" s="17" t="s">
        <v>7</v>
      </c>
      <c r="AJ10"/>
    </row>
    <row r="11" spans="1:36" ht="12.75" customHeight="1" x14ac:dyDescent="0.2">
      <c r="A11" s="15"/>
      <c r="B11" s="89" t="s">
        <v>18</v>
      </c>
      <c r="C11" s="102"/>
      <c r="D11" s="102"/>
      <c r="E11" s="155">
        <v>2.016</v>
      </c>
      <c r="F11" s="155">
        <v>2.3610000000000002</v>
      </c>
      <c r="G11" s="155">
        <v>2.6240000000000001</v>
      </c>
      <c r="H11" s="155">
        <v>2.7970000000000002</v>
      </c>
      <c r="I11" s="155">
        <v>3.0870000000000002</v>
      </c>
      <c r="J11" s="155">
        <v>3.109</v>
      </c>
      <c r="K11" s="155">
        <v>3.4609999999999999</v>
      </c>
      <c r="L11" s="155">
        <v>3.823</v>
      </c>
      <c r="M11" s="155">
        <v>3.9209999999999998</v>
      </c>
      <c r="N11" s="155">
        <v>4.2709999999999999</v>
      </c>
      <c r="O11" s="155">
        <v>4.6900000000000004</v>
      </c>
      <c r="P11" s="155">
        <v>4.6950000000000003</v>
      </c>
      <c r="Q11" s="155">
        <v>5.1029999999999998</v>
      </c>
      <c r="R11" s="155">
        <v>5.1539999999999999</v>
      </c>
      <c r="S11" s="155">
        <v>5.2539999999999996</v>
      </c>
      <c r="T11" s="155">
        <v>5.125</v>
      </c>
      <c r="U11" s="155">
        <v>4.8719999999999999</v>
      </c>
      <c r="V11" s="155">
        <v>4.6269999999999998</v>
      </c>
      <c r="W11" s="155">
        <v>4.2089999999999996</v>
      </c>
      <c r="X11" s="155">
        <v>3.895</v>
      </c>
      <c r="Y11" s="155">
        <v>3.5470000000000002</v>
      </c>
      <c r="Z11" s="155">
        <v>3.2650000000000001</v>
      </c>
      <c r="AA11" s="160">
        <v>3.0779999999999998</v>
      </c>
      <c r="AB11" s="160">
        <v>2.7389999999999999</v>
      </c>
      <c r="AC11" s="160">
        <v>2.4089999999999998</v>
      </c>
      <c r="AD11" s="160">
        <v>2.258</v>
      </c>
      <c r="AE11" s="160">
        <v>2.0259999999999998</v>
      </c>
      <c r="AF11" s="160">
        <v>2.246</v>
      </c>
      <c r="AG11" s="187">
        <v>2</v>
      </c>
      <c r="AH11" s="376">
        <f t="shared" si="2"/>
        <v>-10.952804986642917</v>
      </c>
      <c r="AI11" s="89" t="s">
        <v>18</v>
      </c>
      <c r="AJ11"/>
    </row>
    <row r="12" spans="1:36" ht="12.75" customHeight="1" x14ac:dyDescent="0.2">
      <c r="A12" s="15"/>
      <c r="B12" s="17" t="s">
        <v>23</v>
      </c>
      <c r="C12" s="96">
        <v>16.899999999999999</v>
      </c>
      <c r="D12" s="96">
        <v>14.3</v>
      </c>
      <c r="E12" s="58">
        <v>13.3</v>
      </c>
      <c r="F12" s="204">
        <v>15.7</v>
      </c>
      <c r="G12" s="58">
        <v>15.7</v>
      </c>
      <c r="H12" s="58">
        <v>16.100000000000001</v>
      </c>
      <c r="I12" s="153">
        <v>16.8</v>
      </c>
      <c r="J12" s="58">
        <v>14.757</v>
      </c>
      <c r="K12" s="58">
        <v>14.5</v>
      </c>
      <c r="L12" s="58">
        <v>13.151</v>
      </c>
      <c r="M12" s="58">
        <v>14.849</v>
      </c>
      <c r="N12" s="58">
        <v>14.965999999999999</v>
      </c>
      <c r="O12" s="58">
        <v>15.032999999999999</v>
      </c>
      <c r="P12" s="58">
        <v>15.760999999999999</v>
      </c>
      <c r="Q12" s="58">
        <v>15.205</v>
      </c>
      <c r="R12" s="58">
        <v>15.407</v>
      </c>
      <c r="S12" s="58">
        <v>16.236000000000001</v>
      </c>
      <c r="T12" s="58">
        <v>16.741</v>
      </c>
      <c r="U12" s="58">
        <v>15.843999999999999</v>
      </c>
      <c r="V12" s="58">
        <v>15.824</v>
      </c>
      <c r="W12" s="58">
        <v>15.67</v>
      </c>
      <c r="X12" s="58">
        <v>15.95</v>
      </c>
      <c r="Y12" s="58">
        <v>16.259</v>
      </c>
      <c r="Z12" s="58">
        <v>15.622999999999999</v>
      </c>
      <c r="AA12" s="58">
        <v>16.207000000000001</v>
      </c>
      <c r="AB12" s="58">
        <v>18.18</v>
      </c>
      <c r="AC12" s="58">
        <v>17.541</v>
      </c>
      <c r="AD12" s="58">
        <v>17.713000000000001</v>
      </c>
      <c r="AE12" s="58">
        <v>18.760999999999999</v>
      </c>
      <c r="AF12" s="58">
        <v>18.239999999999998</v>
      </c>
      <c r="AG12" s="167">
        <v>17.234000000000002</v>
      </c>
      <c r="AH12" s="179">
        <f t="shared" si="2"/>
        <v>-5.515350877192958</v>
      </c>
      <c r="AI12" s="17" t="s">
        <v>23</v>
      </c>
      <c r="AJ12"/>
    </row>
    <row r="13" spans="1:36" ht="12.75" customHeight="1" x14ac:dyDescent="0.2">
      <c r="A13" s="15"/>
      <c r="B13" s="89" t="s">
        <v>8</v>
      </c>
      <c r="C13" s="102" t="s">
        <v>35</v>
      </c>
      <c r="D13" s="102" t="s">
        <v>35</v>
      </c>
      <c r="E13" s="155" t="s">
        <v>35</v>
      </c>
      <c r="F13" s="155" t="s">
        <v>35</v>
      </c>
      <c r="G13" s="155" t="s">
        <v>35</v>
      </c>
      <c r="H13" s="155" t="s">
        <v>35</v>
      </c>
      <c r="I13" s="155" t="s">
        <v>35</v>
      </c>
      <c r="J13" s="155" t="s">
        <v>35</v>
      </c>
      <c r="K13" s="155" t="s">
        <v>35</v>
      </c>
      <c r="L13" s="155" t="s">
        <v>35</v>
      </c>
      <c r="M13" s="155" t="s">
        <v>35</v>
      </c>
      <c r="N13" s="155" t="s">
        <v>35</v>
      </c>
      <c r="O13" s="155" t="s">
        <v>35</v>
      </c>
      <c r="P13" s="155" t="s">
        <v>35</v>
      </c>
      <c r="Q13" s="155" t="s">
        <v>35</v>
      </c>
      <c r="R13" s="155" t="s">
        <v>35</v>
      </c>
      <c r="S13" s="155" t="s">
        <v>35</v>
      </c>
      <c r="T13" s="155" t="s">
        <v>35</v>
      </c>
      <c r="U13" s="155" t="s">
        <v>35</v>
      </c>
      <c r="V13" s="155" t="s">
        <v>35</v>
      </c>
      <c r="W13" s="155" t="s">
        <v>35</v>
      </c>
      <c r="X13" s="155" t="s">
        <v>35</v>
      </c>
      <c r="Y13" s="155" t="s">
        <v>35</v>
      </c>
      <c r="Z13" s="155" t="s">
        <v>35</v>
      </c>
      <c r="AA13" s="160" t="s">
        <v>35</v>
      </c>
      <c r="AB13" s="160" t="s">
        <v>35</v>
      </c>
      <c r="AC13" s="160" t="s">
        <v>35</v>
      </c>
      <c r="AD13" s="160" t="s">
        <v>35</v>
      </c>
      <c r="AE13" s="160" t="s">
        <v>35</v>
      </c>
      <c r="AF13" s="160" t="s">
        <v>35</v>
      </c>
      <c r="AG13" s="187" t="s">
        <v>35</v>
      </c>
      <c r="AH13" s="506" t="s">
        <v>35</v>
      </c>
      <c r="AI13" s="89" t="s">
        <v>8</v>
      </c>
      <c r="AJ13"/>
    </row>
    <row r="14" spans="1:36" ht="12.75" customHeight="1" x14ac:dyDescent="0.2">
      <c r="A14" s="15"/>
      <c r="B14" s="17" t="s">
        <v>26</v>
      </c>
      <c r="C14" s="97" t="s">
        <v>35</v>
      </c>
      <c r="D14" s="97" t="s">
        <v>35</v>
      </c>
      <c r="E14" s="165" t="s">
        <v>35</v>
      </c>
      <c r="F14" s="165" t="s">
        <v>35</v>
      </c>
      <c r="G14" s="165" t="s">
        <v>35</v>
      </c>
      <c r="H14" s="165" t="s">
        <v>35</v>
      </c>
      <c r="I14" s="165" t="s">
        <v>35</v>
      </c>
      <c r="J14" s="165" t="s">
        <v>35</v>
      </c>
      <c r="K14" s="165" t="s">
        <v>35</v>
      </c>
      <c r="L14" s="165" t="s">
        <v>35</v>
      </c>
      <c r="M14" s="165" t="s">
        <v>35</v>
      </c>
      <c r="N14" s="165" t="s">
        <v>35</v>
      </c>
      <c r="O14" s="165" t="s">
        <v>35</v>
      </c>
      <c r="P14" s="165" t="s">
        <v>35</v>
      </c>
      <c r="Q14" s="165" t="s">
        <v>35</v>
      </c>
      <c r="R14" s="165" t="s">
        <v>35</v>
      </c>
      <c r="S14" s="165" t="s">
        <v>35</v>
      </c>
      <c r="T14" s="165" t="s">
        <v>35</v>
      </c>
      <c r="U14" s="165" t="s">
        <v>35</v>
      </c>
      <c r="V14" s="165" t="s">
        <v>35</v>
      </c>
      <c r="W14" s="165" t="s">
        <v>35</v>
      </c>
      <c r="X14" s="165" t="s">
        <v>35</v>
      </c>
      <c r="Y14" s="165" t="s">
        <v>35</v>
      </c>
      <c r="Z14" s="165" t="s">
        <v>35</v>
      </c>
      <c r="AA14" s="152" t="s">
        <v>35</v>
      </c>
      <c r="AB14" s="152" t="s">
        <v>35</v>
      </c>
      <c r="AC14" s="152" t="s">
        <v>35</v>
      </c>
      <c r="AD14" s="152" t="s">
        <v>35</v>
      </c>
      <c r="AE14" s="152" t="s">
        <v>35</v>
      </c>
      <c r="AF14" s="152" t="s">
        <v>35</v>
      </c>
      <c r="AG14" s="188" t="s">
        <v>35</v>
      </c>
      <c r="AH14" s="507" t="s">
        <v>35</v>
      </c>
      <c r="AI14" s="17" t="s">
        <v>26</v>
      </c>
      <c r="AJ14"/>
    </row>
    <row r="15" spans="1:36" ht="12.75" customHeight="1" x14ac:dyDescent="0.2">
      <c r="A15" s="15"/>
      <c r="B15" s="89" t="s">
        <v>19</v>
      </c>
      <c r="C15" s="102" t="s">
        <v>35</v>
      </c>
      <c r="D15" s="102" t="s">
        <v>35</v>
      </c>
      <c r="E15" s="155" t="s">
        <v>35</v>
      </c>
      <c r="F15" s="155" t="s">
        <v>35</v>
      </c>
      <c r="G15" s="155" t="s">
        <v>35</v>
      </c>
      <c r="H15" s="155" t="s">
        <v>35</v>
      </c>
      <c r="I15" s="155" t="s">
        <v>35</v>
      </c>
      <c r="J15" s="155" t="s">
        <v>35</v>
      </c>
      <c r="K15" s="155" t="s">
        <v>35</v>
      </c>
      <c r="L15" s="155" t="s">
        <v>35</v>
      </c>
      <c r="M15" s="155" t="s">
        <v>35</v>
      </c>
      <c r="N15" s="155" t="s">
        <v>35</v>
      </c>
      <c r="O15" s="155" t="s">
        <v>35</v>
      </c>
      <c r="P15" s="155" t="s">
        <v>35</v>
      </c>
      <c r="Q15" s="155">
        <v>0.02</v>
      </c>
      <c r="R15" s="155">
        <v>0.06</v>
      </c>
      <c r="S15" s="203">
        <v>0.19700000000000001</v>
      </c>
      <c r="T15" s="155">
        <v>0.22900000000000001</v>
      </c>
      <c r="U15" s="155">
        <v>0.253</v>
      </c>
      <c r="V15" s="155">
        <v>0.254</v>
      </c>
      <c r="W15" s="160">
        <v>0.254</v>
      </c>
      <c r="X15" s="163">
        <v>0.18513600473552563</v>
      </c>
      <c r="Y15" s="163">
        <v>0.18896090127596751</v>
      </c>
      <c r="Z15" s="163">
        <v>0.24139480017087667</v>
      </c>
      <c r="AA15" s="508">
        <v>0.2116849713538852</v>
      </c>
      <c r="AB15" s="322">
        <v>1.5939999999999999E-2</v>
      </c>
      <c r="AC15" s="322">
        <v>1.8499999999999999E-2</v>
      </c>
      <c r="AD15" s="322">
        <v>2.24E-2</v>
      </c>
      <c r="AE15" s="322">
        <v>2.4820000000000002E-2</v>
      </c>
      <c r="AF15" s="322">
        <v>2.6629999999999997E-2</v>
      </c>
      <c r="AG15" s="517">
        <v>2.6634089999999999E-2</v>
      </c>
      <c r="AH15" s="461">
        <f t="shared" si="2"/>
        <v>1.5358618099895693E-2</v>
      </c>
      <c r="AI15" s="89" t="s">
        <v>19</v>
      </c>
      <c r="AJ15"/>
    </row>
    <row r="16" spans="1:36" ht="12.75" customHeight="1" x14ac:dyDescent="0.2">
      <c r="A16" s="15"/>
      <c r="B16" s="17" t="s">
        <v>24</v>
      </c>
      <c r="C16" s="97">
        <v>1.0229999999999999</v>
      </c>
      <c r="D16" s="97">
        <v>3.0049999999999999</v>
      </c>
      <c r="E16" s="165">
        <v>4.2149999999999999</v>
      </c>
      <c r="F16" s="165">
        <v>4.78</v>
      </c>
      <c r="G16" s="165">
        <v>5.266</v>
      </c>
      <c r="H16" s="165">
        <v>5.4089999999999998</v>
      </c>
      <c r="I16" s="165">
        <v>5.4790000000000001</v>
      </c>
      <c r="J16" s="165">
        <v>5.8869999999999996</v>
      </c>
      <c r="K16" s="165">
        <v>6.1130000000000004</v>
      </c>
      <c r="L16" s="165">
        <v>6.5339999999999998</v>
      </c>
      <c r="M16" s="165">
        <v>6.8719999999999999</v>
      </c>
      <c r="N16" s="165">
        <v>7.0309999999999997</v>
      </c>
      <c r="O16" s="165">
        <v>7.4660000000000002</v>
      </c>
      <c r="P16" s="165">
        <v>7.7629999999999999</v>
      </c>
      <c r="Q16" s="165">
        <v>7.8029999999999999</v>
      </c>
      <c r="R16" s="165">
        <v>7.319</v>
      </c>
      <c r="S16" s="165">
        <v>8.2789999999999999</v>
      </c>
      <c r="T16" s="165">
        <v>9.2279999999999998</v>
      </c>
      <c r="U16" s="165">
        <v>9.2240000000000002</v>
      </c>
      <c r="V16" s="165">
        <v>8.9359999999999999</v>
      </c>
      <c r="W16" s="165">
        <v>9.141</v>
      </c>
      <c r="X16" s="165">
        <v>8.23</v>
      </c>
      <c r="Y16" s="165">
        <v>8.1820000000000004</v>
      </c>
      <c r="Z16" s="165">
        <v>8.6010000000000009</v>
      </c>
      <c r="AA16" s="152">
        <v>8.9</v>
      </c>
      <c r="AB16" s="152">
        <v>8.6910000000000007</v>
      </c>
      <c r="AC16" s="152">
        <v>8.9670000000000005</v>
      </c>
      <c r="AD16" s="152">
        <v>10.115</v>
      </c>
      <c r="AE16" s="152">
        <v>9.99</v>
      </c>
      <c r="AF16" s="152">
        <v>9.7129999999999992</v>
      </c>
      <c r="AG16" s="188">
        <v>9.9489999999999998</v>
      </c>
      <c r="AH16" s="179">
        <f t="shared" si="2"/>
        <v>2.4297333470606475</v>
      </c>
      <c r="AI16" s="17" t="s">
        <v>24</v>
      </c>
      <c r="AJ16"/>
    </row>
    <row r="17" spans="1:40" ht="12.75" customHeight="1" x14ac:dyDescent="0.2">
      <c r="A17" s="15"/>
      <c r="B17" s="89" t="s">
        <v>25</v>
      </c>
      <c r="C17" s="102">
        <v>28.184000000000001</v>
      </c>
      <c r="D17" s="102">
        <v>34.673999999999999</v>
      </c>
      <c r="E17" s="155">
        <v>19.609000000000002</v>
      </c>
      <c r="F17" s="155">
        <v>22.501000000000001</v>
      </c>
      <c r="G17" s="155">
        <v>23.381</v>
      </c>
      <c r="H17" s="155">
        <v>23.312000000000001</v>
      </c>
      <c r="I17" s="155">
        <v>22.187000000000001</v>
      </c>
      <c r="J17" s="155">
        <v>22.274999999999999</v>
      </c>
      <c r="K17" s="155">
        <v>21.908999999999999</v>
      </c>
      <c r="L17" s="155">
        <v>22.088999999999999</v>
      </c>
      <c r="M17" s="155">
        <v>21.582000000000001</v>
      </c>
      <c r="N17" s="155">
        <v>21.321999999999999</v>
      </c>
      <c r="O17" s="155">
        <v>21.669</v>
      </c>
      <c r="P17" s="155">
        <v>22.14</v>
      </c>
      <c r="Q17" s="155">
        <v>20.954000000000001</v>
      </c>
      <c r="R17" s="155">
        <v>22.146999999999998</v>
      </c>
      <c r="S17" s="155">
        <v>20.559000000000001</v>
      </c>
      <c r="T17" s="155">
        <v>20.856000000000002</v>
      </c>
      <c r="U17" s="155">
        <v>22.2</v>
      </c>
      <c r="V17" s="155">
        <v>21.140999999999998</v>
      </c>
      <c r="W17" s="155">
        <v>20.917999999999999</v>
      </c>
      <c r="X17" s="155">
        <v>19.481000000000002</v>
      </c>
      <c r="Y17" s="155">
        <v>17.606999999999999</v>
      </c>
      <c r="Z17" s="155">
        <v>17.207000000000001</v>
      </c>
      <c r="AA17" s="155">
        <v>15.151</v>
      </c>
      <c r="AB17" s="155">
        <v>11.521000000000001</v>
      </c>
      <c r="AC17" s="155">
        <v>11.055</v>
      </c>
      <c r="AD17" s="155">
        <v>11.443</v>
      </c>
      <c r="AE17" s="155">
        <v>11.372999999999999</v>
      </c>
      <c r="AF17" s="155">
        <v>11.180999999999999</v>
      </c>
      <c r="AG17" s="156">
        <v>12.449</v>
      </c>
      <c r="AH17" s="376">
        <f t="shared" si="2"/>
        <v>11.340667203291304</v>
      </c>
      <c r="AI17" s="89" t="s">
        <v>25</v>
      </c>
      <c r="AJ17"/>
    </row>
    <row r="18" spans="1:40" ht="12.75" customHeight="1" x14ac:dyDescent="0.2">
      <c r="A18" s="15"/>
      <c r="B18" s="191" t="s">
        <v>36</v>
      </c>
      <c r="C18" s="192" t="s">
        <v>34</v>
      </c>
      <c r="D18" s="192" t="s">
        <v>34</v>
      </c>
      <c r="E18" s="193">
        <v>3.6</v>
      </c>
      <c r="F18" s="193" t="s">
        <v>34</v>
      </c>
      <c r="G18" s="193"/>
      <c r="H18" s="193"/>
      <c r="I18" s="193"/>
      <c r="J18" s="193" t="s">
        <v>34</v>
      </c>
      <c r="K18" s="193"/>
      <c r="L18" s="193">
        <v>0.72499999999999998</v>
      </c>
      <c r="M18" s="193">
        <v>0.95099999999999996</v>
      </c>
      <c r="N18" s="193">
        <v>0.623</v>
      </c>
      <c r="O18" s="193">
        <v>0.42799999999999999</v>
      </c>
      <c r="P18" s="193">
        <v>0.89700000000000002</v>
      </c>
      <c r="Q18" s="193">
        <v>1.286</v>
      </c>
      <c r="R18" s="193">
        <v>1.335</v>
      </c>
      <c r="S18" s="193">
        <v>1.5149999999999999</v>
      </c>
      <c r="T18" s="193">
        <v>1.5069999999999999</v>
      </c>
      <c r="U18" s="193">
        <v>1.2549999999999999</v>
      </c>
      <c r="V18" s="193">
        <v>1.4059999999999999</v>
      </c>
      <c r="W18" s="193">
        <v>1.3080000000000001</v>
      </c>
      <c r="X18" s="193">
        <v>1.4450000000000001</v>
      </c>
      <c r="Y18" s="193">
        <v>1.3</v>
      </c>
      <c r="Z18" s="193">
        <v>1.028</v>
      </c>
      <c r="AA18" s="193">
        <v>0.83799999999999997</v>
      </c>
      <c r="AB18" s="193">
        <v>1.127</v>
      </c>
      <c r="AC18" s="193">
        <v>1.1140000000000001</v>
      </c>
      <c r="AD18" s="193">
        <v>1.395</v>
      </c>
      <c r="AE18" s="193">
        <v>1.589</v>
      </c>
      <c r="AF18" s="193">
        <v>1.768</v>
      </c>
      <c r="AG18" s="224">
        <v>1.9850000000000001</v>
      </c>
      <c r="AH18" s="179">
        <f t="shared" si="2"/>
        <v>12.273755656108591</v>
      </c>
      <c r="AI18" s="191" t="s">
        <v>36</v>
      </c>
      <c r="AJ18"/>
    </row>
    <row r="19" spans="1:40" ht="12.75" customHeight="1" x14ac:dyDescent="0.2">
      <c r="A19" s="15"/>
      <c r="B19" s="89" t="s">
        <v>27</v>
      </c>
      <c r="C19" s="102">
        <v>7</v>
      </c>
      <c r="D19" s="102">
        <v>9</v>
      </c>
      <c r="E19" s="155">
        <v>9.1999999999999993</v>
      </c>
      <c r="F19" s="155">
        <v>9.3000000000000007</v>
      </c>
      <c r="G19" s="155">
        <v>9.4</v>
      </c>
      <c r="H19" s="155">
        <v>9.5</v>
      </c>
      <c r="I19" s="155">
        <v>9.6</v>
      </c>
      <c r="J19" s="155">
        <v>9.65</v>
      </c>
      <c r="K19" s="155">
        <v>10.1</v>
      </c>
      <c r="L19" s="155">
        <v>9.7970000000000006</v>
      </c>
      <c r="M19" s="155">
        <v>10.624000000000001</v>
      </c>
      <c r="N19" s="155">
        <v>10.409000000000001</v>
      </c>
      <c r="O19" s="155">
        <v>10.317</v>
      </c>
      <c r="P19" s="155">
        <v>10.69</v>
      </c>
      <c r="Q19" s="155">
        <v>10.692</v>
      </c>
      <c r="R19" s="155">
        <v>10.656000000000001</v>
      </c>
      <c r="S19" s="155">
        <v>10.699</v>
      </c>
      <c r="T19" s="155">
        <v>11.423</v>
      </c>
      <c r="U19" s="155">
        <v>11.446999999999999</v>
      </c>
      <c r="V19" s="155">
        <v>11.388</v>
      </c>
      <c r="W19" s="155">
        <v>11.266</v>
      </c>
      <c r="X19" s="155">
        <v>10.497</v>
      </c>
      <c r="Y19" s="155">
        <v>10.4</v>
      </c>
      <c r="Z19" s="155">
        <v>9.9540000000000006</v>
      </c>
      <c r="AA19" s="160">
        <v>10.066000000000001</v>
      </c>
      <c r="AB19" s="160">
        <v>10.023999999999999</v>
      </c>
      <c r="AC19" s="160">
        <v>9.5549999999999997</v>
      </c>
      <c r="AD19" s="160">
        <v>9.2129999999999992</v>
      </c>
      <c r="AE19" s="160">
        <v>9.9770000000000003</v>
      </c>
      <c r="AF19" s="160">
        <v>10.194000000000001</v>
      </c>
      <c r="AG19" s="187">
        <v>10.329000000000001</v>
      </c>
      <c r="AH19" s="376">
        <f t="shared" si="2"/>
        <v>1.3243084167157093</v>
      </c>
      <c r="AI19" s="89" t="s">
        <v>27</v>
      </c>
      <c r="AJ19"/>
    </row>
    <row r="20" spans="1:40" ht="12.75" customHeight="1" x14ac:dyDescent="0.2">
      <c r="A20" s="15"/>
      <c r="B20" s="17" t="s">
        <v>6</v>
      </c>
      <c r="C20" s="118" t="s">
        <v>35</v>
      </c>
      <c r="D20" s="118" t="s">
        <v>35</v>
      </c>
      <c r="E20" s="118" t="s">
        <v>35</v>
      </c>
      <c r="F20" s="58" t="s">
        <v>35</v>
      </c>
      <c r="G20" s="58" t="s">
        <v>35</v>
      </c>
      <c r="H20" s="58" t="s">
        <v>35</v>
      </c>
      <c r="I20" s="58" t="s">
        <v>35</v>
      </c>
      <c r="J20" s="58" t="s">
        <v>35</v>
      </c>
      <c r="K20" s="58" t="s">
        <v>35</v>
      </c>
      <c r="L20" s="58" t="s">
        <v>35</v>
      </c>
      <c r="M20" s="58" t="s">
        <v>35</v>
      </c>
      <c r="N20" s="58" t="s">
        <v>35</v>
      </c>
      <c r="O20" s="58" t="s">
        <v>35</v>
      </c>
      <c r="P20" s="58" t="s">
        <v>35</v>
      </c>
      <c r="Q20" s="58" t="s">
        <v>35</v>
      </c>
      <c r="R20" s="58" t="s">
        <v>35</v>
      </c>
      <c r="S20" s="58" t="s">
        <v>35</v>
      </c>
      <c r="T20" s="58" t="s">
        <v>35</v>
      </c>
      <c r="U20" s="58" t="s">
        <v>35</v>
      </c>
      <c r="V20" s="58" t="s">
        <v>35</v>
      </c>
      <c r="W20" s="58" t="s">
        <v>35</v>
      </c>
      <c r="X20" s="58" t="s">
        <v>35</v>
      </c>
      <c r="Y20" s="58" t="s">
        <v>35</v>
      </c>
      <c r="Z20" s="58" t="s">
        <v>35</v>
      </c>
      <c r="AA20" s="58" t="s">
        <v>35</v>
      </c>
      <c r="AB20" s="158" t="s">
        <v>35</v>
      </c>
      <c r="AC20" s="158" t="s">
        <v>35</v>
      </c>
      <c r="AD20" s="158" t="s">
        <v>35</v>
      </c>
      <c r="AE20" s="158" t="s">
        <v>35</v>
      </c>
      <c r="AF20" s="152" t="s">
        <v>35</v>
      </c>
      <c r="AG20" s="188" t="s">
        <v>35</v>
      </c>
      <c r="AH20" s="188" t="s">
        <v>35</v>
      </c>
      <c r="AI20" s="17" t="s">
        <v>6</v>
      </c>
      <c r="AJ20"/>
    </row>
    <row r="21" spans="1:40" ht="12.75" customHeight="1" x14ac:dyDescent="0.2">
      <c r="A21" s="15"/>
      <c r="B21" s="89" t="s">
        <v>10</v>
      </c>
      <c r="C21" s="154" t="s">
        <v>0</v>
      </c>
      <c r="D21" s="154" t="s">
        <v>0</v>
      </c>
      <c r="E21" s="154" t="s">
        <v>0</v>
      </c>
      <c r="F21" s="155" t="s">
        <v>0</v>
      </c>
      <c r="G21" s="155" t="s">
        <v>0</v>
      </c>
      <c r="H21" s="155" t="s">
        <v>1</v>
      </c>
      <c r="I21" s="155">
        <v>4.5999999999999996</v>
      </c>
      <c r="J21" s="155">
        <v>5.3159999999999998</v>
      </c>
      <c r="K21" s="155">
        <v>6.06</v>
      </c>
      <c r="L21" s="155">
        <v>6.3620000000000001</v>
      </c>
      <c r="M21" s="155">
        <v>6.569</v>
      </c>
      <c r="N21" s="155">
        <v>6.0549999999999997</v>
      </c>
      <c r="O21" s="155">
        <v>6.4669999999999996</v>
      </c>
      <c r="P21" s="155">
        <v>7.524</v>
      </c>
      <c r="Q21" s="155">
        <v>5.0709999999999997</v>
      </c>
      <c r="R21" s="155">
        <v>3.15</v>
      </c>
      <c r="S21" s="155">
        <v>3.2519999999999998</v>
      </c>
      <c r="T21" s="155">
        <v>3.3809999999999998</v>
      </c>
      <c r="U21" s="155">
        <v>3.6280000000000001</v>
      </c>
      <c r="V21" s="155">
        <v>2.7109999999999999</v>
      </c>
      <c r="W21" s="155">
        <v>2.097</v>
      </c>
      <c r="X21" s="155">
        <v>1.573</v>
      </c>
      <c r="Y21" s="155">
        <v>2.35</v>
      </c>
      <c r="Z21" s="155">
        <v>2.4159999999999999</v>
      </c>
      <c r="AA21" s="155">
        <v>2.6309999999999998</v>
      </c>
      <c r="AB21" s="155">
        <v>2.2789999999999999</v>
      </c>
      <c r="AC21" s="155">
        <v>2.3759999999999999</v>
      </c>
      <c r="AD21" s="155">
        <v>1.9650000000000001</v>
      </c>
      <c r="AE21" s="155">
        <v>1.5069999999999999</v>
      </c>
      <c r="AF21" s="155">
        <v>1.411</v>
      </c>
      <c r="AG21" s="156">
        <v>1.109</v>
      </c>
      <c r="AH21" s="376">
        <f t="shared" si="2"/>
        <v>-21.403260099220418</v>
      </c>
      <c r="AI21" s="89" t="s">
        <v>10</v>
      </c>
      <c r="AJ21"/>
    </row>
    <row r="22" spans="1:40" ht="12.75" customHeight="1" x14ac:dyDescent="0.2">
      <c r="A22" s="15"/>
      <c r="B22" s="17" t="s">
        <v>11</v>
      </c>
      <c r="C22" s="118" t="s">
        <v>0</v>
      </c>
      <c r="D22" s="118" t="s">
        <v>0</v>
      </c>
      <c r="E22" s="118" t="s">
        <v>0</v>
      </c>
      <c r="F22" s="58" t="s">
        <v>0</v>
      </c>
      <c r="G22" s="58" t="s">
        <v>0</v>
      </c>
      <c r="H22" s="58">
        <v>2</v>
      </c>
      <c r="I22" s="58">
        <v>1.9</v>
      </c>
      <c r="J22" s="58">
        <v>2.0059999999999998</v>
      </c>
      <c r="K22" s="58">
        <v>2.3079999999999998</v>
      </c>
      <c r="L22" s="58">
        <v>2.6560000000000001</v>
      </c>
      <c r="M22" s="58">
        <v>2.964</v>
      </c>
      <c r="N22" s="58">
        <v>2.6269999999999998</v>
      </c>
      <c r="O22" s="58">
        <v>3.4566999999999997</v>
      </c>
      <c r="P22" s="58">
        <v>4.7796000000000003</v>
      </c>
      <c r="Q22" s="58">
        <v>4.8916000000000004</v>
      </c>
      <c r="R22" s="58">
        <v>5.0848000000000004</v>
      </c>
      <c r="S22" s="58">
        <v>4.2873999999999999</v>
      </c>
      <c r="T22" s="58">
        <v>4.4059999999999997</v>
      </c>
      <c r="U22" s="58">
        <v>2.67</v>
      </c>
      <c r="V22" s="58">
        <v>1.032</v>
      </c>
      <c r="W22" s="58">
        <v>0.52700000000000002</v>
      </c>
      <c r="X22" s="58">
        <v>0.4103</v>
      </c>
      <c r="Y22" s="58">
        <v>0.5786</v>
      </c>
      <c r="Z22" s="58">
        <v>0.59139999999999993</v>
      </c>
      <c r="AA22" s="158">
        <v>0.63219999999999998</v>
      </c>
      <c r="AB22" s="158">
        <v>0.56299999999999994</v>
      </c>
      <c r="AC22" s="158">
        <v>0.56699999999999995</v>
      </c>
      <c r="AD22" s="158">
        <v>0.496</v>
      </c>
      <c r="AE22" s="158">
        <v>0.40600000000000003</v>
      </c>
      <c r="AF22" s="158">
        <v>0.39100000000000001</v>
      </c>
      <c r="AG22" s="178">
        <v>0.32639999999999997</v>
      </c>
      <c r="AH22" s="179">
        <f t="shared" si="2"/>
        <v>-16.521739130434796</v>
      </c>
      <c r="AI22" s="17" t="s">
        <v>11</v>
      </c>
      <c r="AJ22"/>
    </row>
    <row r="23" spans="1:40" ht="12.75" customHeight="1" x14ac:dyDescent="0.2">
      <c r="A23" s="15"/>
      <c r="B23" s="89" t="s">
        <v>28</v>
      </c>
      <c r="C23" s="154" t="s">
        <v>35</v>
      </c>
      <c r="D23" s="154" t="s">
        <v>35</v>
      </c>
      <c r="E23" s="154" t="s">
        <v>35</v>
      </c>
      <c r="F23" s="155" t="s">
        <v>35</v>
      </c>
      <c r="G23" s="155" t="s">
        <v>35</v>
      </c>
      <c r="H23" s="155" t="s">
        <v>35</v>
      </c>
      <c r="I23" s="155" t="s">
        <v>35</v>
      </c>
      <c r="J23" s="155" t="s">
        <v>35</v>
      </c>
      <c r="K23" s="155" t="s">
        <v>35</v>
      </c>
      <c r="L23" s="155" t="s">
        <v>35</v>
      </c>
      <c r="M23" s="155" t="s">
        <v>35</v>
      </c>
      <c r="N23" s="155" t="s">
        <v>35</v>
      </c>
      <c r="O23" s="155" t="s">
        <v>35</v>
      </c>
      <c r="P23" s="155" t="s">
        <v>35</v>
      </c>
      <c r="Q23" s="155" t="s">
        <v>35</v>
      </c>
      <c r="R23" s="155" t="s">
        <v>35</v>
      </c>
      <c r="S23" s="155" t="s">
        <v>35</v>
      </c>
      <c r="T23" s="155" t="s">
        <v>35</v>
      </c>
      <c r="U23" s="155" t="s">
        <v>35</v>
      </c>
      <c r="V23" s="155" t="s">
        <v>35</v>
      </c>
      <c r="W23" s="155" t="s">
        <v>35</v>
      </c>
      <c r="X23" s="155" t="s">
        <v>35</v>
      </c>
      <c r="Y23" s="155" t="s">
        <v>35</v>
      </c>
      <c r="Z23" s="155" t="s">
        <v>35</v>
      </c>
      <c r="AA23" s="155" t="s">
        <v>35</v>
      </c>
      <c r="AB23" s="160" t="s">
        <v>35</v>
      </c>
      <c r="AC23" s="160" t="s">
        <v>35</v>
      </c>
      <c r="AD23" s="160" t="s">
        <v>35</v>
      </c>
      <c r="AE23" s="160" t="s">
        <v>35</v>
      </c>
      <c r="AF23" s="160" t="s">
        <v>35</v>
      </c>
      <c r="AG23" s="187" t="s">
        <v>35</v>
      </c>
      <c r="AH23" s="505" t="s">
        <v>35</v>
      </c>
      <c r="AI23" s="89" t="s">
        <v>28</v>
      </c>
      <c r="AJ23"/>
    </row>
    <row r="24" spans="1:40" ht="12.75" customHeight="1" x14ac:dyDescent="0.2">
      <c r="A24" s="15"/>
      <c r="B24" s="17" t="s">
        <v>9</v>
      </c>
      <c r="C24" s="157" t="s">
        <v>34</v>
      </c>
      <c r="D24" s="157" t="s">
        <v>34</v>
      </c>
      <c r="E24" s="157">
        <v>5.2869999999999999</v>
      </c>
      <c r="F24" s="158" t="s">
        <v>34</v>
      </c>
      <c r="G24" s="158" t="s">
        <v>34</v>
      </c>
      <c r="H24" s="158" t="s">
        <v>34</v>
      </c>
      <c r="I24" s="158" t="s">
        <v>34</v>
      </c>
      <c r="J24" s="158">
        <v>2.1812999999999998</v>
      </c>
      <c r="K24" s="158">
        <v>2.3511000000000002</v>
      </c>
      <c r="L24" s="158">
        <v>1.81</v>
      </c>
      <c r="M24" s="158">
        <v>1.9370000000000001</v>
      </c>
      <c r="N24" s="158">
        <v>2.3159999999999998</v>
      </c>
      <c r="O24" s="158">
        <v>2.2629999999999999</v>
      </c>
      <c r="P24" s="158">
        <v>2.5209999999999999</v>
      </c>
      <c r="Q24" s="158">
        <v>2.4449999999999998</v>
      </c>
      <c r="R24" s="158">
        <v>2.4159999999999999</v>
      </c>
      <c r="S24" s="158">
        <v>2.5459999999999998</v>
      </c>
      <c r="T24" s="158">
        <v>2.6829999999999998</v>
      </c>
      <c r="U24" s="158">
        <v>3.0409999999999999</v>
      </c>
      <c r="V24" s="158">
        <v>2.9870000000000001</v>
      </c>
      <c r="W24" s="158">
        <v>2.9746999999999999</v>
      </c>
      <c r="X24" s="158">
        <v>3.0104000000000002</v>
      </c>
      <c r="Y24" s="158">
        <v>3.2136999999999998</v>
      </c>
      <c r="Z24" s="158">
        <v>3.1190000000000002</v>
      </c>
      <c r="AA24" s="158">
        <v>2.7597100000000001</v>
      </c>
      <c r="AB24" s="158">
        <v>2.7024599999999999</v>
      </c>
      <c r="AC24" s="158">
        <v>2.7970000000000002</v>
      </c>
      <c r="AD24" s="158">
        <v>2.46488</v>
      </c>
      <c r="AE24" s="158">
        <v>2.2796400000000001</v>
      </c>
      <c r="AF24" s="158">
        <v>2.3830800000000001</v>
      </c>
      <c r="AG24" s="178">
        <v>2.4969699999999997</v>
      </c>
      <c r="AH24" s="174">
        <f t="shared" si="2"/>
        <v>4.779109387850994</v>
      </c>
      <c r="AI24" s="17" t="s">
        <v>9</v>
      </c>
      <c r="AJ24"/>
      <c r="AN24" s="2"/>
    </row>
    <row r="25" spans="1:40" ht="12.75" customHeight="1" x14ac:dyDescent="0.2">
      <c r="A25" s="15"/>
      <c r="B25" s="57" t="s">
        <v>12</v>
      </c>
      <c r="C25" s="162" t="s">
        <v>35</v>
      </c>
      <c r="D25" s="162" t="s">
        <v>35</v>
      </c>
      <c r="E25" s="162" t="s">
        <v>35</v>
      </c>
      <c r="F25" s="163" t="s">
        <v>35</v>
      </c>
      <c r="G25" s="163" t="s">
        <v>35</v>
      </c>
      <c r="H25" s="163" t="s">
        <v>35</v>
      </c>
      <c r="I25" s="163" t="s">
        <v>35</v>
      </c>
      <c r="J25" s="163" t="s">
        <v>35</v>
      </c>
      <c r="K25" s="163" t="s">
        <v>35</v>
      </c>
      <c r="L25" s="163" t="s">
        <v>35</v>
      </c>
      <c r="M25" s="163" t="s">
        <v>35</v>
      </c>
      <c r="N25" s="163" t="s">
        <v>35</v>
      </c>
      <c r="O25" s="163" t="s">
        <v>35</v>
      </c>
      <c r="P25" s="163" t="s">
        <v>35</v>
      </c>
      <c r="Q25" s="163" t="s">
        <v>35</v>
      </c>
      <c r="R25" s="163" t="s">
        <v>35</v>
      </c>
      <c r="S25" s="163" t="s">
        <v>35</v>
      </c>
      <c r="T25" s="163" t="s">
        <v>35</v>
      </c>
      <c r="U25" s="163" t="s">
        <v>35</v>
      </c>
      <c r="V25" s="163" t="s">
        <v>35</v>
      </c>
      <c r="W25" s="163" t="s">
        <v>35</v>
      </c>
      <c r="X25" s="163" t="s">
        <v>35</v>
      </c>
      <c r="Y25" s="163" t="s">
        <v>35</v>
      </c>
      <c r="Z25" s="163" t="s">
        <v>35</v>
      </c>
      <c r="AA25" s="163" t="s">
        <v>35</v>
      </c>
      <c r="AB25" s="163" t="s">
        <v>35</v>
      </c>
      <c r="AC25" s="163" t="s">
        <v>35</v>
      </c>
      <c r="AD25" s="163" t="s">
        <v>35</v>
      </c>
      <c r="AE25" s="163" t="s">
        <v>35</v>
      </c>
      <c r="AF25" s="160" t="s">
        <v>35</v>
      </c>
      <c r="AG25" s="187" t="s">
        <v>35</v>
      </c>
      <c r="AH25" s="505" t="s">
        <v>35</v>
      </c>
      <c r="AI25" s="57" t="s">
        <v>12</v>
      </c>
      <c r="AJ25"/>
      <c r="AN25" s="2"/>
    </row>
    <row r="26" spans="1:40" ht="12.75" customHeight="1" x14ac:dyDescent="0.2">
      <c r="A26" s="15"/>
      <c r="B26" s="17" t="s">
        <v>20</v>
      </c>
      <c r="C26" s="118">
        <v>4.0750000000000002</v>
      </c>
      <c r="D26" s="118">
        <v>5.0439999999999996</v>
      </c>
      <c r="E26" s="118">
        <v>4.8730000000000002</v>
      </c>
      <c r="F26" s="58">
        <v>5.43</v>
      </c>
      <c r="G26" s="58">
        <v>5.5030000000000001</v>
      </c>
      <c r="H26" s="58">
        <v>5.4909999999999997</v>
      </c>
      <c r="I26" s="58">
        <v>5.6210000000000004</v>
      </c>
      <c r="J26" s="58">
        <v>5.2779999999999996</v>
      </c>
      <c r="K26" s="58">
        <v>5.96</v>
      </c>
      <c r="L26" s="58">
        <v>6.04</v>
      </c>
      <c r="M26" s="58">
        <v>6.0430000000000001</v>
      </c>
      <c r="N26" s="58">
        <v>6.008</v>
      </c>
      <c r="O26" s="58">
        <v>5.8689999999999998</v>
      </c>
      <c r="P26" s="58">
        <v>5.827</v>
      </c>
      <c r="Q26" s="58">
        <v>6.0170000000000003</v>
      </c>
      <c r="R26" s="58">
        <v>6.1310000000000002</v>
      </c>
      <c r="S26" s="58">
        <v>6.09</v>
      </c>
      <c r="T26" s="58">
        <v>5.9390000000000001</v>
      </c>
      <c r="U26" s="58">
        <v>5.8280000000000003</v>
      </c>
      <c r="V26" s="58">
        <v>5.5830000000000002</v>
      </c>
      <c r="W26" s="58">
        <v>5.9669999999999996</v>
      </c>
      <c r="X26" s="58">
        <v>5.6219999999999999</v>
      </c>
      <c r="Y26" s="58">
        <v>5.6470000000000002</v>
      </c>
      <c r="Z26" s="58">
        <v>5.5019999999999998</v>
      </c>
      <c r="AA26" s="158">
        <v>5.5720000000000001</v>
      </c>
      <c r="AB26" s="158">
        <v>5.4050000000000002</v>
      </c>
      <c r="AC26" s="158">
        <v>5.8369999999999997</v>
      </c>
      <c r="AD26" s="158">
        <v>6.0439999999999996</v>
      </c>
      <c r="AE26" s="158">
        <v>6.0469999999999997</v>
      </c>
      <c r="AF26" s="158">
        <v>6.1429999999999998</v>
      </c>
      <c r="AG26" s="178">
        <v>5.5350000000000001</v>
      </c>
      <c r="AH26" s="174">
        <f t="shared" si="2"/>
        <v>-9.8974442454826601</v>
      </c>
      <c r="AI26" s="17" t="s">
        <v>20</v>
      </c>
      <c r="AJ26"/>
    </row>
    <row r="27" spans="1:40" ht="12.75" customHeight="1" x14ac:dyDescent="0.2">
      <c r="A27" s="15"/>
      <c r="B27" s="89" t="s">
        <v>29</v>
      </c>
      <c r="C27" s="154">
        <v>3.62</v>
      </c>
      <c r="D27" s="154">
        <v>7.0540000000000003</v>
      </c>
      <c r="E27" s="154">
        <v>6.37</v>
      </c>
      <c r="F27" s="155">
        <v>6.6539999999999999</v>
      </c>
      <c r="G27" s="155">
        <v>6.7009999999999996</v>
      </c>
      <c r="H27" s="155">
        <v>6.7210000000000001</v>
      </c>
      <c r="I27" s="155">
        <v>6.99</v>
      </c>
      <c r="J27" s="155">
        <v>6.766</v>
      </c>
      <c r="K27" s="155">
        <v>7.0730000000000004</v>
      </c>
      <c r="L27" s="155">
        <v>8.02</v>
      </c>
      <c r="M27" s="155">
        <v>8.1639999999999997</v>
      </c>
      <c r="N27" s="155">
        <v>7.6310000000000002</v>
      </c>
      <c r="O27" s="163">
        <v>7.5629999999999997</v>
      </c>
      <c r="P27" s="163">
        <v>8.0709999999999997</v>
      </c>
      <c r="Q27" s="163">
        <v>7.9610000000000003</v>
      </c>
      <c r="R27" s="163">
        <v>7.7629999999999999</v>
      </c>
      <c r="S27" s="155">
        <v>7.5709999999999997</v>
      </c>
      <c r="T27" s="155">
        <v>7.78</v>
      </c>
      <c r="U27" s="155">
        <v>7.6390000000000002</v>
      </c>
      <c r="V27" s="155">
        <v>7.226</v>
      </c>
      <c r="W27" s="155">
        <v>7.5209999999999999</v>
      </c>
      <c r="X27" s="155">
        <v>7.3040000000000003</v>
      </c>
      <c r="Y27" s="155">
        <v>7</v>
      </c>
      <c r="Z27" s="155">
        <v>7.2279999999999998</v>
      </c>
      <c r="AA27" s="160">
        <v>7.1459999999999999</v>
      </c>
      <c r="AB27" s="160">
        <v>8.3919999999999995</v>
      </c>
      <c r="AC27" s="160">
        <v>8.2590000000000003</v>
      </c>
      <c r="AD27" s="160">
        <v>8.4749999999999996</v>
      </c>
      <c r="AE27" s="160">
        <v>8.4730000000000008</v>
      </c>
      <c r="AF27" s="160">
        <v>8.3960000000000008</v>
      </c>
      <c r="AG27" s="187">
        <v>8.577</v>
      </c>
      <c r="AH27" s="376">
        <f t="shared" si="2"/>
        <v>2.1557884707003296</v>
      </c>
      <c r="AI27" s="89" t="s">
        <v>29</v>
      </c>
      <c r="AJ27"/>
    </row>
    <row r="28" spans="1:40" ht="12.75" customHeight="1" x14ac:dyDescent="0.2">
      <c r="A28" s="15"/>
      <c r="B28" s="191" t="s">
        <v>13</v>
      </c>
      <c r="C28" s="192">
        <v>6.98</v>
      </c>
      <c r="D28" s="192">
        <v>17.12</v>
      </c>
      <c r="E28" s="193">
        <v>13.887</v>
      </c>
      <c r="F28" s="193">
        <v>10.39</v>
      </c>
      <c r="G28" s="193">
        <v>11.93</v>
      </c>
      <c r="H28" s="193">
        <v>12.2</v>
      </c>
      <c r="I28" s="193">
        <v>14.3</v>
      </c>
      <c r="J28" s="193">
        <v>13.493</v>
      </c>
      <c r="K28" s="193">
        <v>15.33</v>
      </c>
      <c r="L28" s="193">
        <v>14.97</v>
      </c>
      <c r="M28" s="193">
        <v>18.448</v>
      </c>
      <c r="N28" s="193">
        <v>19.417000000000002</v>
      </c>
      <c r="O28" s="193">
        <v>20.353999999999999</v>
      </c>
      <c r="P28" s="193">
        <v>21.092700000000001</v>
      </c>
      <c r="Q28" s="193">
        <v>20.853999999999999</v>
      </c>
      <c r="R28" s="193">
        <v>23.870999999999999</v>
      </c>
      <c r="S28" s="193">
        <v>24.806000000000001</v>
      </c>
      <c r="T28" s="193">
        <v>25.388000000000002</v>
      </c>
      <c r="U28" s="193">
        <v>25.588099999999997</v>
      </c>
      <c r="V28" s="193">
        <v>23.513000000000002</v>
      </c>
      <c r="W28" s="193">
        <v>21.247299999999999</v>
      </c>
      <c r="X28" s="193">
        <v>22.908000000000001</v>
      </c>
      <c r="Y28" s="193">
        <v>24.157</v>
      </c>
      <c r="Z28" s="193">
        <v>23.460999999999999</v>
      </c>
      <c r="AA28" s="193">
        <v>22.324999999999999</v>
      </c>
      <c r="AB28" s="193">
        <v>20.111999999999998</v>
      </c>
      <c r="AC28" s="193">
        <v>20.542999999999999</v>
      </c>
      <c r="AD28" s="193">
        <v>21.843</v>
      </c>
      <c r="AE28" s="193">
        <v>22.204000000000001</v>
      </c>
      <c r="AF28" s="193">
        <v>21.08</v>
      </c>
      <c r="AG28" s="224">
        <v>21.314</v>
      </c>
      <c r="AH28" s="179">
        <f t="shared" si="2"/>
        <v>1.1100569259962185</v>
      </c>
      <c r="AI28" s="191" t="s">
        <v>13</v>
      </c>
    </row>
    <row r="29" spans="1:40" ht="12.75" customHeight="1" x14ac:dyDescent="0.2">
      <c r="A29" s="15"/>
      <c r="B29" s="89" t="s">
        <v>30</v>
      </c>
      <c r="C29" s="159" t="s">
        <v>35</v>
      </c>
      <c r="D29" s="159" t="s">
        <v>35</v>
      </c>
      <c r="E29" s="159"/>
      <c r="F29" s="160" t="s">
        <v>35</v>
      </c>
      <c r="G29" s="160" t="s">
        <v>35</v>
      </c>
      <c r="H29" s="160" t="s">
        <v>35</v>
      </c>
      <c r="I29" s="160" t="s">
        <v>35</v>
      </c>
      <c r="J29" s="160" t="s">
        <v>35</v>
      </c>
      <c r="K29" s="160" t="s">
        <v>35</v>
      </c>
      <c r="L29" s="160" t="s">
        <v>35</v>
      </c>
      <c r="M29" s="160" t="s">
        <v>35</v>
      </c>
      <c r="N29" s="160" t="s">
        <v>35</v>
      </c>
      <c r="O29" s="160">
        <v>0.5</v>
      </c>
      <c r="P29" s="160">
        <v>0.5</v>
      </c>
      <c r="Q29" s="160">
        <v>0.5</v>
      </c>
      <c r="R29" s="160">
        <v>0.5</v>
      </c>
      <c r="S29" s="160">
        <v>0.50396059999999998</v>
      </c>
      <c r="T29" s="160">
        <v>0.48450380000000004</v>
      </c>
      <c r="U29" s="160">
        <v>0.4535498</v>
      </c>
      <c r="V29" s="160">
        <v>0.477576</v>
      </c>
      <c r="W29" s="160">
        <v>0.44971740000000004</v>
      </c>
      <c r="X29" s="160">
        <v>0.41286740000000005</v>
      </c>
      <c r="Y29" s="160">
        <v>0.3826504</v>
      </c>
      <c r="Z29" s="160">
        <v>0.36348840000000004</v>
      </c>
      <c r="AA29" s="160">
        <v>0.35950860000000001</v>
      </c>
      <c r="AB29" s="160">
        <v>0.35007500000000003</v>
      </c>
      <c r="AC29" s="160">
        <f>2.517*0.1474</f>
        <v>0.3710058</v>
      </c>
      <c r="AD29" s="160">
        <f>2.651*0.1474</f>
        <v>0.39075739999999998</v>
      </c>
      <c r="AE29" s="322">
        <f>2.657*0.1474</f>
        <v>0.39164180000000004</v>
      </c>
      <c r="AF29" s="322">
        <v>0.41599999999999998</v>
      </c>
      <c r="AG29" s="324">
        <v>0.44033899999999998</v>
      </c>
      <c r="AH29" s="376">
        <f t="shared" si="2"/>
        <v>5.8507211538461519</v>
      </c>
      <c r="AI29" s="89" t="s">
        <v>30</v>
      </c>
      <c r="AJ29"/>
    </row>
    <row r="30" spans="1:40" ht="12.75" customHeight="1" x14ac:dyDescent="0.2">
      <c r="A30" s="15"/>
      <c r="B30" s="191" t="s">
        <v>14</v>
      </c>
      <c r="C30" s="192">
        <v>1.84</v>
      </c>
      <c r="D30" s="192">
        <v>5.19</v>
      </c>
      <c r="E30" s="193">
        <v>5.0620000000000003</v>
      </c>
      <c r="F30" s="193">
        <v>3.18</v>
      </c>
      <c r="G30" s="193">
        <v>2.5579999999999998</v>
      </c>
      <c r="H30" s="193">
        <v>2.4710000000000001</v>
      </c>
      <c r="I30" s="193">
        <v>2.8010000000000002</v>
      </c>
      <c r="J30" s="193">
        <v>2.9359999999999999</v>
      </c>
      <c r="K30" s="193">
        <v>2.6619999999999999</v>
      </c>
      <c r="L30" s="193">
        <v>2.2959999999999998</v>
      </c>
      <c r="M30" s="193">
        <v>2.258</v>
      </c>
      <c r="N30" s="193">
        <v>1.6359999999999999</v>
      </c>
      <c r="O30" s="193">
        <v>1.3919999999999999</v>
      </c>
      <c r="P30" s="193">
        <v>1.77</v>
      </c>
      <c r="Q30" s="193">
        <v>1.78</v>
      </c>
      <c r="R30" s="193">
        <v>1.59</v>
      </c>
      <c r="S30" s="193">
        <v>1.8979999999999999</v>
      </c>
      <c r="T30" s="193">
        <v>2.21</v>
      </c>
      <c r="U30" s="193">
        <v>2.0270000000000001</v>
      </c>
      <c r="V30" s="193">
        <v>1.849</v>
      </c>
      <c r="W30" s="193">
        <v>1.72</v>
      </c>
      <c r="X30" s="193">
        <v>1.2430000000000001</v>
      </c>
      <c r="Y30" s="193">
        <v>0.996</v>
      </c>
      <c r="Z30" s="196">
        <v>0.879</v>
      </c>
      <c r="AA30" s="196">
        <v>0.78500000000000003</v>
      </c>
      <c r="AB30" s="196">
        <v>0.82899999999999996</v>
      </c>
      <c r="AC30" s="196">
        <v>0.98399999999999999</v>
      </c>
      <c r="AD30" s="196">
        <v>1.0289999999999999</v>
      </c>
      <c r="AE30" s="196">
        <v>1.131</v>
      </c>
      <c r="AF30" s="196">
        <v>1.087</v>
      </c>
      <c r="AG30" s="225">
        <v>1.08</v>
      </c>
      <c r="AH30" s="179">
        <f t="shared" si="2"/>
        <v>-0.6439742410303495</v>
      </c>
      <c r="AI30" s="191" t="s">
        <v>14</v>
      </c>
      <c r="AJ30"/>
    </row>
    <row r="31" spans="1:40" ht="12.75" customHeight="1" x14ac:dyDescent="0.2">
      <c r="A31" s="15"/>
      <c r="B31" s="57" t="s">
        <v>16</v>
      </c>
      <c r="C31" s="162" t="s">
        <v>35</v>
      </c>
      <c r="D31" s="162" t="s">
        <v>35</v>
      </c>
      <c r="E31" s="162" t="s">
        <v>35</v>
      </c>
      <c r="F31" s="163" t="s">
        <v>35</v>
      </c>
      <c r="G31" s="163" t="s">
        <v>35</v>
      </c>
      <c r="H31" s="163" t="s">
        <v>35</v>
      </c>
      <c r="I31" s="163" t="s">
        <v>35</v>
      </c>
      <c r="J31" s="163" t="s">
        <v>35</v>
      </c>
      <c r="K31" s="163" t="s">
        <v>35</v>
      </c>
      <c r="L31" s="163" t="s">
        <v>35</v>
      </c>
      <c r="M31" s="163" t="s">
        <v>35</v>
      </c>
      <c r="N31" s="163" t="s">
        <v>35</v>
      </c>
      <c r="O31" s="163" t="s">
        <v>35</v>
      </c>
      <c r="P31" s="163" t="s">
        <v>35</v>
      </c>
      <c r="Q31" s="163" t="s">
        <v>35</v>
      </c>
      <c r="R31" s="163" t="s">
        <v>35</v>
      </c>
      <c r="S31" s="163" t="s">
        <v>35</v>
      </c>
      <c r="T31" s="163" t="s">
        <v>35</v>
      </c>
      <c r="U31" s="163" t="s">
        <v>35</v>
      </c>
      <c r="V31" s="163" t="s">
        <v>35</v>
      </c>
      <c r="W31" s="163" t="s">
        <v>35</v>
      </c>
      <c r="X31" s="163" t="s">
        <v>35</v>
      </c>
      <c r="Y31" s="163" t="s">
        <v>35</v>
      </c>
      <c r="Z31" s="163" t="s">
        <v>35</v>
      </c>
      <c r="AA31" s="163" t="s">
        <v>35</v>
      </c>
      <c r="AB31" s="163" t="s">
        <v>35</v>
      </c>
      <c r="AC31" s="163" t="s">
        <v>35</v>
      </c>
      <c r="AD31" s="163" t="s">
        <v>35</v>
      </c>
      <c r="AE31" s="163" t="s">
        <v>35</v>
      </c>
      <c r="AF31" s="160" t="s">
        <v>35</v>
      </c>
      <c r="AG31" s="187" t="s">
        <v>35</v>
      </c>
      <c r="AH31" s="505" t="s">
        <v>35</v>
      </c>
      <c r="AI31" s="57" t="s">
        <v>16</v>
      </c>
      <c r="AJ31"/>
    </row>
    <row r="32" spans="1:40" ht="12.75" customHeight="1" x14ac:dyDescent="0.2">
      <c r="A32" s="15"/>
      <c r="B32" s="191" t="s">
        <v>15</v>
      </c>
      <c r="C32" s="192"/>
      <c r="D32" s="192"/>
      <c r="E32" s="193"/>
      <c r="F32" s="193"/>
      <c r="G32" s="193"/>
      <c r="H32" s="193">
        <v>5.4</v>
      </c>
      <c r="I32" s="193">
        <v>6.2</v>
      </c>
      <c r="J32" s="205">
        <v>6.1</v>
      </c>
      <c r="K32" s="205">
        <v>5.8</v>
      </c>
      <c r="L32" s="205">
        <v>5.5</v>
      </c>
      <c r="M32" s="205">
        <v>5.6</v>
      </c>
      <c r="N32" s="205">
        <v>5.2</v>
      </c>
      <c r="O32" s="205">
        <v>4.5999999999999996</v>
      </c>
      <c r="P32" s="205">
        <v>4.8</v>
      </c>
      <c r="Q32" s="205">
        <v>4.7</v>
      </c>
      <c r="R32" s="205">
        <v>5</v>
      </c>
      <c r="S32" s="205">
        <v>5.2</v>
      </c>
      <c r="T32" s="205">
        <v>5.3</v>
      </c>
      <c r="U32" s="205">
        <v>5.6</v>
      </c>
      <c r="V32" s="205">
        <v>5.3</v>
      </c>
      <c r="W32" s="205">
        <v>5.3</v>
      </c>
      <c r="X32" s="205">
        <v>5.35</v>
      </c>
      <c r="Y32" s="205">
        <v>5.0374999999999996</v>
      </c>
      <c r="Z32" s="205">
        <v>4.96</v>
      </c>
      <c r="AA32" s="205">
        <v>4.2089999999999996</v>
      </c>
      <c r="AB32" s="205">
        <f>4.894</f>
        <v>4.8940000000000001</v>
      </c>
      <c r="AC32" s="205">
        <v>4.4725000000000001</v>
      </c>
      <c r="AD32" s="205">
        <v>4.9660000000000002</v>
      </c>
      <c r="AE32" s="205">
        <v>4.5854999999999997</v>
      </c>
      <c r="AF32" s="205">
        <v>4.7910000000000004</v>
      </c>
      <c r="AG32" s="227">
        <v>4.79</v>
      </c>
      <c r="AH32" s="174">
        <f t="shared" si="2"/>
        <v>-2.0872469213117029E-2</v>
      </c>
      <c r="AI32" s="191" t="s">
        <v>15</v>
      </c>
      <c r="AJ32"/>
    </row>
    <row r="33" spans="1:44" ht="12.75" customHeight="1" x14ac:dyDescent="0.2">
      <c r="A33" s="15"/>
      <c r="B33" s="89" t="s">
        <v>31</v>
      </c>
      <c r="C33" s="159" t="s">
        <v>35</v>
      </c>
      <c r="D33" s="159" t="s">
        <v>35</v>
      </c>
      <c r="E33" s="159" t="s">
        <v>35</v>
      </c>
      <c r="F33" s="160" t="s">
        <v>35</v>
      </c>
      <c r="G33" s="160" t="s">
        <v>35</v>
      </c>
      <c r="H33" s="160" t="s">
        <v>35</v>
      </c>
      <c r="I33" s="160" t="s">
        <v>35</v>
      </c>
      <c r="J33" s="160" t="s">
        <v>35</v>
      </c>
      <c r="K33" s="160" t="s">
        <v>35</v>
      </c>
      <c r="L33" s="160" t="s">
        <v>35</v>
      </c>
      <c r="M33" s="160" t="s">
        <v>35</v>
      </c>
      <c r="N33" s="160" t="s">
        <v>35</v>
      </c>
      <c r="O33" s="160" t="s">
        <v>35</v>
      </c>
      <c r="P33" s="160" t="s">
        <v>35</v>
      </c>
      <c r="Q33" s="160" t="s">
        <v>35</v>
      </c>
      <c r="R33" s="160" t="s">
        <v>35</v>
      </c>
      <c r="S33" s="160" t="s">
        <v>35</v>
      </c>
      <c r="T33" s="160" t="s">
        <v>35</v>
      </c>
      <c r="U33" s="160" t="s">
        <v>35</v>
      </c>
      <c r="V33" s="160" t="s">
        <v>35</v>
      </c>
      <c r="W33" s="160" t="s">
        <v>35</v>
      </c>
      <c r="X33" s="160" t="s">
        <v>35</v>
      </c>
      <c r="Y33" s="160" t="s">
        <v>35</v>
      </c>
      <c r="Z33" s="160" t="s">
        <v>35</v>
      </c>
      <c r="AA33" s="160" t="s">
        <v>35</v>
      </c>
      <c r="AB33" s="160" t="s">
        <v>35</v>
      </c>
      <c r="AC33" s="160" t="s">
        <v>35</v>
      </c>
      <c r="AD33" s="160" t="s">
        <v>35</v>
      </c>
      <c r="AE33" s="160" t="s">
        <v>35</v>
      </c>
      <c r="AF33" s="160" t="s">
        <v>35</v>
      </c>
      <c r="AG33" s="187" t="s">
        <v>35</v>
      </c>
      <c r="AH33" s="505" t="s">
        <v>35</v>
      </c>
      <c r="AI33" s="89" t="s">
        <v>31</v>
      </c>
      <c r="AJ33"/>
    </row>
    <row r="34" spans="1:44" ht="12.75" customHeight="1" x14ac:dyDescent="0.2">
      <c r="A34" s="15"/>
      <c r="B34" s="356" t="s">
        <v>32</v>
      </c>
      <c r="C34" s="357" t="s">
        <v>35</v>
      </c>
      <c r="D34" s="357" t="s">
        <v>35</v>
      </c>
      <c r="E34" s="358" t="s">
        <v>35</v>
      </c>
      <c r="F34" s="358" t="s">
        <v>35</v>
      </c>
      <c r="G34" s="358" t="s">
        <v>35</v>
      </c>
      <c r="H34" s="358" t="s">
        <v>35</v>
      </c>
      <c r="I34" s="358" t="s">
        <v>35</v>
      </c>
      <c r="J34" s="358" t="s">
        <v>35</v>
      </c>
      <c r="K34" s="358" t="s">
        <v>35</v>
      </c>
      <c r="L34" s="358" t="s">
        <v>35</v>
      </c>
      <c r="M34" s="358" t="s">
        <v>35</v>
      </c>
      <c r="N34" s="358" t="s">
        <v>35</v>
      </c>
      <c r="O34" s="358" t="s">
        <v>35</v>
      </c>
      <c r="P34" s="358" t="s">
        <v>35</v>
      </c>
      <c r="Q34" s="358" t="s">
        <v>35</v>
      </c>
      <c r="R34" s="358" t="s">
        <v>35</v>
      </c>
      <c r="S34" s="358" t="s">
        <v>35</v>
      </c>
      <c r="T34" s="358" t="s">
        <v>35</v>
      </c>
      <c r="U34" s="358" t="s">
        <v>35</v>
      </c>
      <c r="V34" s="358" t="s">
        <v>35</v>
      </c>
      <c r="W34" s="358" t="s">
        <v>35</v>
      </c>
      <c r="X34" s="358" t="s">
        <v>35</v>
      </c>
      <c r="Y34" s="358" t="s">
        <v>35</v>
      </c>
      <c r="Z34" s="358" t="s">
        <v>35</v>
      </c>
      <c r="AA34" s="359" t="s">
        <v>35</v>
      </c>
      <c r="AB34" s="359" t="s">
        <v>35</v>
      </c>
      <c r="AC34" s="359" t="s">
        <v>35</v>
      </c>
      <c r="AD34" s="359" t="s">
        <v>35</v>
      </c>
      <c r="AE34" s="359" t="s">
        <v>35</v>
      </c>
      <c r="AF34" s="363" t="s">
        <v>35</v>
      </c>
      <c r="AG34" s="362" t="s">
        <v>35</v>
      </c>
      <c r="AH34" s="526" t="s">
        <v>35</v>
      </c>
      <c r="AI34" s="191" t="s">
        <v>32</v>
      </c>
      <c r="AJ34"/>
    </row>
    <row r="35" spans="1:44" ht="12.75" customHeight="1" x14ac:dyDescent="0.2">
      <c r="A35" s="15"/>
      <c r="B35" s="423" t="s">
        <v>21</v>
      </c>
      <c r="C35" s="400">
        <v>2.665</v>
      </c>
      <c r="D35" s="400">
        <v>10.077999999999999</v>
      </c>
      <c r="E35" s="527">
        <v>11.1</v>
      </c>
      <c r="F35" s="527">
        <v>11.07</v>
      </c>
      <c r="G35" s="527">
        <v>11</v>
      </c>
      <c r="H35" s="527">
        <v>11.6</v>
      </c>
      <c r="I35" s="527">
        <v>12</v>
      </c>
      <c r="J35" s="527">
        <v>11.1</v>
      </c>
      <c r="K35" s="527">
        <v>11.622999999999999</v>
      </c>
      <c r="L35" s="527">
        <v>11.234999999999999</v>
      </c>
      <c r="M35" s="527">
        <v>11.666</v>
      </c>
      <c r="N35" s="527">
        <v>11.637</v>
      </c>
      <c r="O35" s="527">
        <v>11.423999999999999</v>
      </c>
      <c r="P35" s="527">
        <v>11.561999999999999</v>
      </c>
      <c r="Q35" s="527">
        <v>10.935</v>
      </c>
      <c r="R35" s="527">
        <v>10.484</v>
      </c>
      <c r="S35" s="527">
        <v>10.657</v>
      </c>
      <c r="T35" s="527">
        <v>10.78</v>
      </c>
      <c r="U35" s="527">
        <v>10.776999999999999</v>
      </c>
      <c r="V35" s="527">
        <v>10.228999999999999</v>
      </c>
      <c r="W35" s="527">
        <v>10.18</v>
      </c>
      <c r="X35" s="527">
        <v>10.185</v>
      </c>
      <c r="Y35" s="528">
        <v>10.164999999999999</v>
      </c>
      <c r="Z35" s="528">
        <v>10.1</v>
      </c>
      <c r="AA35" s="528">
        <v>9.9139999999999997</v>
      </c>
      <c r="AB35" s="529">
        <v>9.9614106898867565</v>
      </c>
      <c r="AC35" s="529">
        <f>AVERAGE(Z35:AB35)</f>
        <v>9.9918035632955853</v>
      </c>
      <c r="AD35" s="529">
        <f>AVERAGE(AA35:AC35)</f>
        <v>9.9557380843941132</v>
      </c>
      <c r="AE35" s="275">
        <f>AVERAGE(AB35:AD35)</f>
        <v>9.9696507791921523</v>
      </c>
      <c r="AF35" s="275">
        <f>AVERAGE(AC35:AE35)</f>
        <v>9.9723974756272824</v>
      </c>
      <c r="AG35" s="325">
        <f>AVERAGE(AD35:AF35)</f>
        <v>9.9659287797378493</v>
      </c>
      <c r="AH35" s="378">
        <f t="shared" si="2"/>
        <v>-6.4866005443946051E-2</v>
      </c>
      <c r="AI35" s="423" t="s">
        <v>21</v>
      </c>
      <c r="AJ35"/>
    </row>
    <row r="36" spans="1:44" ht="12.75" customHeight="1" x14ac:dyDescent="0.2">
      <c r="A36" s="15"/>
      <c r="B36" s="17" t="s">
        <v>96</v>
      </c>
      <c r="C36" s="531" t="s">
        <v>35</v>
      </c>
      <c r="D36" s="531" t="s">
        <v>35</v>
      </c>
      <c r="E36" s="158" t="s">
        <v>35</v>
      </c>
      <c r="F36" s="158" t="s">
        <v>35</v>
      </c>
      <c r="G36" s="158" t="s">
        <v>35</v>
      </c>
      <c r="H36" s="158" t="s">
        <v>35</v>
      </c>
      <c r="I36" s="158" t="s">
        <v>35</v>
      </c>
      <c r="J36" s="158" t="s">
        <v>35</v>
      </c>
      <c r="K36" s="58" t="s">
        <v>35</v>
      </c>
      <c r="L36" s="58" t="s">
        <v>35</v>
      </c>
      <c r="M36" s="58" t="s">
        <v>35</v>
      </c>
      <c r="N36" s="58" t="s">
        <v>35</v>
      </c>
      <c r="O36" s="158" t="s">
        <v>35</v>
      </c>
      <c r="P36" s="158" t="s">
        <v>35</v>
      </c>
      <c r="Q36" s="158" t="s">
        <v>35</v>
      </c>
      <c r="R36" s="158" t="s">
        <v>35</v>
      </c>
      <c r="S36" s="158" t="s">
        <v>35</v>
      </c>
      <c r="T36" s="158" t="s">
        <v>35</v>
      </c>
      <c r="U36" s="158" t="s">
        <v>35</v>
      </c>
      <c r="V36" s="158" t="s">
        <v>35</v>
      </c>
      <c r="W36" s="158" t="s">
        <v>35</v>
      </c>
      <c r="X36" s="158" t="s">
        <v>35</v>
      </c>
      <c r="Y36" s="158" t="s">
        <v>35</v>
      </c>
      <c r="Z36" s="158" t="s">
        <v>35</v>
      </c>
      <c r="AA36" s="158" t="s">
        <v>35</v>
      </c>
      <c r="AB36" s="158" t="s">
        <v>35</v>
      </c>
      <c r="AC36" s="158" t="s">
        <v>35</v>
      </c>
      <c r="AD36" s="158" t="s">
        <v>35</v>
      </c>
      <c r="AE36" s="158" t="s">
        <v>35</v>
      </c>
      <c r="AF36" s="158" t="s">
        <v>35</v>
      </c>
      <c r="AG36" s="178" t="s">
        <v>35</v>
      </c>
      <c r="AH36" s="178" t="s">
        <v>35</v>
      </c>
      <c r="AI36" s="405" t="s">
        <v>96</v>
      </c>
      <c r="AJ36"/>
      <c r="AO36" s="2"/>
    </row>
    <row r="37" spans="1:44" ht="12.75" customHeight="1" x14ac:dyDescent="0.2">
      <c r="A37" s="15"/>
      <c r="B37" s="197" t="s">
        <v>2</v>
      </c>
      <c r="C37" s="198" t="s">
        <v>35</v>
      </c>
      <c r="D37" s="198" t="s">
        <v>35</v>
      </c>
      <c r="E37" s="199" t="s">
        <v>35</v>
      </c>
      <c r="F37" s="199" t="s">
        <v>35</v>
      </c>
      <c r="G37" s="199" t="s">
        <v>35</v>
      </c>
      <c r="H37" s="199" t="s">
        <v>35</v>
      </c>
      <c r="I37" s="199" t="s">
        <v>35</v>
      </c>
      <c r="J37" s="199" t="s">
        <v>35</v>
      </c>
      <c r="K37" s="199" t="s">
        <v>35</v>
      </c>
      <c r="L37" s="199" t="s">
        <v>35</v>
      </c>
      <c r="M37" s="199" t="s">
        <v>35</v>
      </c>
      <c r="N37" s="199" t="s">
        <v>35</v>
      </c>
      <c r="O37" s="199" t="s">
        <v>35</v>
      </c>
      <c r="P37" s="199" t="s">
        <v>35</v>
      </c>
      <c r="Q37" s="199">
        <v>0.04</v>
      </c>
      <c r="R37" s="199">
        <v>0.121</v>
      </c>
      <c r="S37" s="199">
        <v>0.12</v>
      </c>
      <c r="T37" s="199">
        <v>0.14899999999999999</v>
      </c>
      <c r="U37" s="199">
        <v>0.17</v>
      </c>
      <c r="V37" s="199">
        <v>0.16400000000000001</v>
      </c>
      <c r="W37" s="199">
        <v>0.16400000000000001</v>
      </c>
      <c r="X37" s="199">
        <v>0.14399999999999999</v>
      </c>
      <c r="Y37" s="199">
        <v>0.123</v>
      </c>
      <c r="Z37" s="199">
        <v>9.8000000000000004E-2</v>
      </c>
      <c r="AA37" s="201">
        <v>3.6999999999999998E-2</v>
      </c>
      <c r="AB37" s="213" t="s">
        <v>35</v>
      </c>
      <c r="AC37" s="201">
        <v>6.0000000000000001E-3</v>
      </c>
      <c r="AD37" s="201">
        <v>6.0000000000000001E-3</v>
      </c>
      <c r="AE37" s="201">
        <v>0.01</v>
      </c>
      <c r="AF37" s="201">
        <v>1.2999999999999999E-2</v>
      </c>
      <c r="AG37" s="223">
        <v>1.2E-2</v>
      </c>
      <c r="AH37" s="518">
        <f t="shared" si="2"/>
        <v>-7.6923076923076934</v>
      </c>
      <c r="AI37" s="197" t="s">
        <v>2</v>
      </c>
      <c r="AJ37"/>
      <c r="AO37" s="2"/>
    </row>
    <row r="38" spans="1:44" ht="12.75" customHeight="1" x14ac:dyDescent="0.2">
      <c r="A38" s="15"/>
      <c r="B38" s="17" t="s">
        <v>100</v>
      </c>
      <c r="C38" s="96" t="s">
        <v>35</v>
      </c>
      <c r="D38" s="96" t="s">
        <v>35</v>
      </c>
      <c r="E38" s="58" t="s">
        <v>35</v>
      </c>
      <c r="F38" s="58" t="s">
        <v>35</v>
      </c>
      <c r="G38" s="58" t="s">
        <v>35</v>
      </c>
      <c r="H38" s="58" t="s">
        <v>35</v>
      </c>
      <c r="I38" s="58" t="s">
        <v>35</v>
      </c>
      <c r="J38" s="58" t="s">
        <v>35</v>
      </c>
      <c r="K38" s="58" t="s">
        <v>35</v>
      </c>
      <c r="L38" s="58" t="s">
        <v>35</v>
      </c>
      <c r="M38" s="58" t="s">
        <v>35</v>
      </c>
      <c r="N38" s="58" t="s">
        <v>35</v>
      </c>
      <c r="O38" s="58" t="s">
        <v>35</v>
      </c>
      <c r="P38" s="58" t="s">
        <v>35</v>
      </c>
      <c r="Q38" s="58" t="s">
        <v>35</v>
      </c>
      <c r="R38" s="58" t="s">
        <v>35</v>
      </c>
      <c r="S38" s="58" t="s">
        <v>35</v>
      </c>
      <c r="T38" s="58" t="s">
        <v>35</v>
      </c>
      <c r="U38" s="58" t="s">
        <v>35</v>
      </c>
      <c r="V38" s="58" t="s">
        <v>35</v>
      </c>
      <c r="W38" s="58" t="s">
        <v>35</v>
      </c>
      <c r="X38" s="58" t="s">
        <v>35</v>
      </c>
      <c r="Y38" s="158" t="s">
        <v>35</v>
      </c>
      <c r="Z38" s="158" t="s">
        <v>35</v>
      </c>
      <c r="AA38" s="158" t="s">
        <v>35</v>
      </c>
      <c r="AB38" s="158" t="s">
        <v>35</v>
      </c>
      <c r="AC38" s="158" t="s">
        <v>35</v>
      </c>
      <c r="AD38" s="158" t="s">
        <v>35</v>
      </c>
      <c r="AE38" s="158" t="s">
        <v>35</v>
      </c>
      <c r="AF38" s="152" t="s">
        <v>35</v>
      </c>
      <c r="AG38" s="188" t="s">
        <v>35</v>
      </c>
      <c r="AH38" s="188" t="s">
        <v>35</v>
      </c>
      <c r="AI38" s="405" t="s">
        <v>100</v>
      </c>
      <c r="AJ38"/>
    </row>
    <row r="39" spans="1:44" ht="12.75" customHeight="1" x14ac:dyDescent="0.2">
      <c r="A39" s="15"/>
      <c r="B39" s="197" t="s">
        <v>97</v>
      </c>
      <c r="C39" s="198" t="s">
        <v>35</v>
      </c>
      <c r="D39" s="198" t="s">
        <v>35</v>
      </c>
      <c r="E39" s="199" t="s">
        <v>35</v>
      </c>
      <c r="F39" s="199" t="s">
        <v>35</v>
      </c>
      <c r="G39" s="199" t="s">
        <v>35</v>
      </c>
      <c r="H39" s="199" t="s">
        <v>35</v>
      </c>
      <c r="I39" s="199" t="s">
        <v>35</v>
      </c>
      <c r="J39" s="199" t="s">
        <v>35</v>
      </c>
      <c r="K39" s="199" t="s">
        <v>35</v>
      </c>
      <c r="L39" s="199" t="s">
        <v>35</v>
      </c>
      <c r="M39" s="199" t="s">
        <v>35</v>
      </c>
      <c r="N39" s="199" t="s">
        <v>35</v>
      </c>
      <c r="O39" s="199" t="s">
        <v>35</v>
      </c>
      <c r="P39" s="199" t="s">
        <v>35</v>
      </c>
      <c r="Q39" s="199" t="s">
        <v>35</v>
      </c>
      <c r="R39" s="199" t="s">
        <v>35</v>
      </c>
      <c r="S39" s="199" t="s">
        <v>35</v>
      </c>
      <c r="T39" s="199" t="s">
        <v>35</v>
      </c>
      <c r="U39" s="199">
        <v>0.47</v>
      </c>
      <c r="V39" s="199">
        <v>0.45200000000000001</v>
      </c>
      <c r="W39" s="199">
        <v>0.46200000000000002</v>
      </c>
      <c r="X39" s="199">
        <v>0.40200000000000002</v>
      </c>
      <c r="Y39" s="199">
        <v>0.38100000000000001</v>
      </c>
      <c r="Z39" s="199">
        <v>0.311</v>
      </c>
      <c r="AA39" s="199">
        <v>0.29499999999999998</v>
      </c>
      <c r="AB39" s="201">
        <v>0.38100000000000001</v>
      </c>
      <c r="AC39" s="201">
        <v>0.35499999999999998</v>
      </c>
      <c r="AD39" s="201">
        <v>0.40500000000000003</v>
      </c>
      <c r="AE39" s="201">
        <v>0.44700000000000001</v>
      </c>
      <c r="AF39" s="201">
        <v>0.48099999999999998</v>
      </c>
      <c r="AG39" s="231">
        <f>AVERAGE(AD39:AF39)</f>
        <v>0.44433333333333341</v>
      </c>
      <c r="AH39" s="376">
        <f t="shared" si="2"/>
        <v>-7.6230076230076094</v>
      </c>
      <c r="AI39" s="197" t="s">
        <v>97</v>
      </c>
      <c r="AJ39"/>
    </row>
    <row r="40" spans="1:44" ht="12.75" customHeight="1" x14ac:dyDescent="0.2">
      <c r="A40" s="15"/>
      <c r="B40" s="18" t="s">
        <v>17</v>
      </c>
      <c r="C40" s="98">
        <v>1.3</v>
      </c>
      <c r="D40" s="98">
        <v>13.8</v>
      </c>
      <c r="E40" s="59" t="s">
        <v>34</v>
      </c>
      <c r="F40" s="59" t="s">
        <v>0</v>
      </c>
      <c r="G40" s="59">
        <v>3.1</v>
      </c>
      <c r="H40" s="59">
        <v>3.1</v>
      </c>
      <c r="I40" s="59">
        <v>3.1</v>
      </c>
      <c r="J40" s="59">
        <v>3.2</v>
      </c>
      <c r="K40" s="59">
        <v>4</v>
      </c>
      <c r="L40" s="59">
        <v>21</v>
      </c>
      <c r="M40" s="59">
        <v>39.700000000000003</v>
      </c>
      <c r="N40" s="59">
        <v>43.478000000000002</v>
      </c>
      <c r="O40" s="59">
        <v>53.134</v>
      </c>
      <c r="P40" s="59">
        <v>43.518000000000001</v>
      </c>
      <c r="Q40" s="59">
        <v>47.691000000000003</v>
      </c>
      <c r="R40" s="59">
        <v>18.127734</v>
      </c>
      <c r="S40" s="59">
        <v>11.927372999999999</v>
      </c>
      <c r="T40" s="59">
        <v>5.735652</v>
      </c>
      <c r="U40" s="59">
        <v>5.8407600000000004</v>
      </c>
      <c r="V40" s="59">
        <v>12.893485</v>
      </c>
      <c r="W40" s="59">
        <v>36.397748999999997</v>
      </c>
      <c r="X40" s="59">
        <v>45.111153000000002</v>
      </c>
      <c r="Y40" s="59">
        <v>39.636437999999998</v>
      </c>
      <c r="Z40" s="59">
        <v>44.69</v>
      </c>
      <c r="AA40" s="226">
        <f>37268707/1000000</f>
        <v>37.268706999999999</v>
      </c>
      <c r="AB40" s="226">
        <v>26.713999999999999</v>
      </c>
      <c r="AC40" s="226">
        <v>15.331</v>
      </c>
      <c r="AD40" s="226">
        <v>52.514451999999999</v>
      </c>
      <c r="AE40" s="226">
        <v>52.683</v>
      </c>
      <c r="AF40" s="226">
        <v>52.095254000000004</v>
      </c>
      <c r="AG40" s="280">
        <v>38.65</v>
      </c>
      <c r="AH40" s="406">
        <f t="shared" si="2"/>
        <v>-25.80898060310831</v>
      </c>
      <c r="AI40" s="18" t="s">
        <v>17</v>
      </c>
      <c r="AJ40"/>
    </row>
    <row r="41" spans="1:44" ht="12.75" customHeight="1" x14ac:dyDescent="0.2">
      <c r="A41" s="15"/>
      <c r="B41" s="197" t="s">
        <v>3</v>
      </c>
      <c r="C41" s="228" t="s">
        <v>35</v>
      </c>
      <c r="D41" s="228" t="s">
        <v>35</v>
      </c>
      <c r="E41" s="214" t="s">
        <v>35</v>
      </c>
      <c r="F41" s="214" t="s">
        <v>35</v>
      </c>
      <c r="G41" s="214" t="s">
        <v>35</v>
      </c>
      <c r="H41" s="214" t="s">
        <v>35</v>
      </c>
      <c r="I41" s="214" t="s">
        <v>35</v>
      </c>
      <c r="J41" s="214" t="s">
        <v>35</v>
      </c>
      <c r="K41" s="214" t="s">
        <v>35</v>
      </c>
      <c r="L41" s="214" t="s">
        <v>35</v>
      </c>
      <c r="M41" s="214" t="s">
        <v>35</v>
      </c>
      <c r="N41" s="214" t="s">
        <v>35</v>
      </c>
      <c r="O41" s="214" t="s">
        <v>35</v>
      </c>
      <c r="P41" s="214" t="s">
        <v>35</v>
      </c>
      <c r="Q41" s="214" t="s">
        <v>35</v>
      </c>
      <c r="R41" s="214" t="s">
        <v>35</v>
      </c>
      <c r="S41" s="214" t="s">
        <v>35</v>
      </c>
      <c r="T41" s="214" t="s">
        <v>35</v>
      </c>
      <c r="U41" s="214" t="s">
        <v>35</v>
      </c>
      <c r="V41" s="214" t="s">
        <v>35</v>
      </c>
      <c r="W41" s="214" t="s">
        <v>35</v>
      </c>
      <c r="X41" s="214" t="s">
        <v>35</v>
      </c>
      <c r="Y41" s="214" t="s">
        <v>35</v>
      </c>
      <c r="Z41" s="214" t="s">
        <v>35</v>
      </c>
      <c r="AA41" s="215" t="s">
        <v>35</v>
      </c>
      <c r="AB41" s="201" t="s">
        <v>35</v>
      </c>
      <c r="AC41" s="201" t="s">
        <v>35</v>
      </c>
      <c r="AD41" s="201" t="s">
        <v>35</v>
      </c>
      <c r="AE41" s="201" t="s">
        <v>35</v>
      </c>
      <c r="AF41" s="201" t="s">
        <v>35</v>
      </c>
      <c r="AG41" s="223" t="s">
        <v>35</v>
      </c>
      <c r="AH41" s="201" t="s">
        <v>35</v>
      </c>
      <c r="AI41" s="197" t="s">
        <v>3</v>
      </c>
    </row>
    <row r="42" spans="1:44" ht="12.75" customHeight="1" x14ac:dyDescent="0.2">
      <c r="A42" s="15"/>
      <c r="B42" s="17" t="s">
        <v>33</v>
      </c>
      <c r="C42" s="96" t="s">
        <v>35</v>
      </c>
      <c r="D42" s="96" t="s">
        <v>35</v>
      </c>
      <c r="E42" s="58">
        <v>2.0550000000000002</v>
      </c>
      <c r="F42" s="58">
        <v>2.5049999999999999</v>
      </c>
      <c r="G42" s="58">
        <v>3.0710000000000002</v>
      </c>
      <c r="H42" s="58">
        <v>3.39</v>
      </c>
      <c r="I42" s="58">
        <v>4.0490000000000004</v>
      </c>
      <c r="J42" s="58">
        <v>5.2610000000000001</v>
      </c>
      <c r="K42" s="58">
        <v>5.1260000000000003</v>
      </c>
      <c r="L42" s="58">
        <v>4.16</v>
      </c>
      <c r="M42" s="58">
        <v>4.1360000000000001</v>
      </c>
      <c r="N42" s="58">
        <v>3.9809999999999999</v>
      </c>
      <c r="O42" s="58">
        <v>3.4849999999999999</v>
      </c>
      <c r="P42" s="58">
        <v>3.681</v>
      </c>
      <c r="Q42" s="58">
        <v>3.601</v>
      </c>
      <c r="R42" s="58">
        <v>3.4940000000000002</v>
      </c>
      <c r="S42" s="58">
        <v>4.7210000000000001</v>
      </c>
      <c r="T42" s="58">
        <v>4.59</v>
      </c>
      <c r="U42" s="58">
        <v>4.5289999999999999</v>
      </c>
      <c r="V42" s="58">
        <v>4.1920000000000002</v>
      </c>
      <c r="W42" s="58">
        <v>3.827</v>
      </c>
      <c r="X42" s="58">
        <v>3.8540000000000001</v>
      </c>
      <c r="Y42" s="58">
        <v>3.4649999999999999</v>
      </c>
      <c r="Z42" s="58">
        <v>3.3719999999999999</v>
      </c>
      <c r="AA42" s="158">
        <v>3.1150000000000002</v>
      </c>
      <c r="AB42" s="158">
        <v>2.7240000000000002</v>
      </c>
      <c r="AC42" s="158">
        <v>2.8450000000000002</v>
      </c>
      <c r="AD42" s="158">
        <v>3.3769999999999998</v>
      </c>
      <c r="AE42" s="158">
        <v>3.8130000000000002</v>
      </c>
      <c r="AF42" s="145">
        <v>3.1109999999999998</v>
      </c>
      <c r="AG42" s="107">
        <f>AVERAGE(AD42:AF42)</f>
        <v>3.433666666666666</v>
      </c>
      <c r="AH42" s="174">
        <f t="shared" si="2"/>
        <v>10.371798992821169</v>
      </c>
      <c r="AI42" s="17" t="s">
        <v>33</v>
      </c>
      <c r="AJ42"/>
      <c r="AQ42" s="509"/>
    </row>
    <row r="43" spans="1:44" ht="12.75" customHeight="1" x14ac:dyDescent="0.2">
      <c r="A43" s="15"/>
      <c r="B43" s="220" t="s">
        <v>4</v>
      </c>
      <c r="C43" s="221">
        <v>1.2</v>
      </c>
      <c r="D43" s="221">
        <v>1.1000000000000001</v>
      </c>
      <c r="E43" s="229">
        <v>1.2</v>
      </c>
      <c r="F43" s="202">
        <v>1.2270000000000001</v>
      </c>
      <c r="G43" s="202">
        <v>1.2649999999999999</v>
      </c>
      <c r="H43" s="202">
        <v>1.2210000000000001</v>
      </c>
      <c r="I43" s="202">
        <v>1.2110000000000001</v>
      </c>
      <c r="J43" s="230">
        <v>1.248</v>
      </c>
      <c r="K43" s="202">
        <v>1.202</v>
      </c>
      <c r="L43" s="202">
        <v>0.28899999999999998</v>
      </c>
      <c r="M43" s="202">
        <v>0.23400000000000001</v>
      </c>
      <c r="N43" s="202">
        <v>0.23300000000000001</v>
      </c>
      <c r="O43" s="202">
        <v>0.216</v>
      </c>
      <c r="P43" s="202">
        <v>0.23</v>
      </c>
      <c r="Q43" s="202">
        <v>0.22600000000000001</v>
      </c>
      <c r="R43" s="202">
        <v>0.222</v>
      </c>
      <c r="S43" s="202">
        <v>0.23799999999999999</v>
      </c>
      <c r="T43" s="202">
        <v>0.22600000000000001</v>
      </c>
      <c r="U43" s="202">
        <v>0.25600000000000001</v>
      </c>
      <c r="V43" s="202">
        <v>0.217</v>
      </c>
      <c r="W43" s="202">
        <v>0.248</v>
      </c>
      <c r="X43" s="202">
        <v>0.23300000000000001</v>
      </c>
      <c r="Y43" s="202">
        <v>0.218</v>
      </c>
      <c r="Z43" s="202">
        <v>0.20300000000000001</v>
      </c>
      <c r="AA43" s="202">
        <v>0.183</v>
      </c>
      <c r="AB43" s="202">
        <v>0.22800000000000001</v>
      </c>
      <c r="AC43" s="202">
        <v>0.23400000000000001</v>
      </c>
      <c r="AD43" s="308">
        <v>0.113</v>
      </c>
      <c r="AE43" s="279">
        <v>0.109</v>
      </c>
      <c r="AF43" s="279">
        <v>0.107</v>
      </c>
      <c r="AG43" s="259">
        <v>0.112</v>
      </c>
      <c r="AH43" s="378">
        <f t="shared" si="2"/>
        <v>4.6728971962616868</v>
      </c>
      <c r="AI43" s="220" t="s">
        <v>4</v>
      </c>
      <c r="AJ43"/>
    </row>
    <row r="44" spans="1:44" ht="12.75" customHeight="1" x14ac:dyDescent="0.2">
      <c r="A44" s="15"/>
      <c r="B44" s="133" t="s">
        <v>119</v>
      </c>
      <c r="C44" s="64"/>
      <c r="D44" s="64"/>
      <c r="E44" s="64"/>
      <c r="F44" s="64"/>
      <c r="G44" s="64"/>
      <c r="H44" s="64"/>
      <c r="I44" s="64"/>
      <c r="J44" s="64"/>
      <c r="K44" s="64"/>
      <c r="L44" s="64"/>
      <c r="M44" s="64"/>
      <c r="N44" s="64"/>
      <c r="O44" s="64"/>
      <c r="P44" s="64"/>
      <c r="Q44" s="64"/>
      <c r="R44" s="64"/>
      <c r="S44" s="64"/>
      <c r="AJ44"/>
    </row>
    <row r="45" spans="1:44" ht="14.25" customHeight="1" x14ac:dyDescent="0.2">
      <c r="B45" s="592" t="s">
        <v>153</v>
      </c>
      <c r="C45" s="593"/>
      <c r="D45" s="593"/>
      <c r="E45" s="593"/>
      <c r="F45" s="593"/>
      <c r="G45" s="593"/>
      <c r="H45" s="593"/>
      <c r="I45" s="593"/>
      <c r="J45" s="593"/>
      <c r="K45" s="593"/>
      <c r="L45" s="593"/>
      <c r="M45" s="593"/>
      <c r="N45" s="593"/>
      <c r="O45" s="593"/>
      <c r="P45" s="593"/>
      <c r="Q45" s="593"/>
      <c r="R45" s="593"/>
      <c r="S45" s="593"/>
      <c r="AD45" s="288"/>
      <c r="AE45" s="288"/>
      <c r="AF45" s="288"/>
      <c r="AG45" s="288"/>
      <c r="AH45" s="288"/>
      <c r="AI45" s="288"/>
      <c r="AJ45" s="288"/>
      <c r="AK45" s="288"/>
    </row>
    <row r="46" spans="1:44" ht="12.75" customHeight="1" x14ac:dyDescent="0.2">
      <c r="B46" s="309" t="s">
        <v>102</v>
      </c>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row>
    <row r="47" spans="1:44" ht="15" customHeight="1" x14ac:dyDescent="0.2">
      <c r="B47" s="94" t="s">
        <v>73</v>
      </c>
      <c r="C47" s="48"/>
      <c r="D47" s="48"/>
      <c r="E47" s="48"/>
      <c r="F47" s="48"/>
      <c r="G47" s="48"/>
      <c r="H47" s="48"/>
      <c r="I47" s="48"/>
      <c r="J47" s="48"/>
      <c r="K47" s="48"/>
      <c r="L47" s="48"/>
      <c r="M47" s="48"/>
      <c r="N47" s="48"/>
      <c r="O47" s="48"/>
      <c r="P47" s="48"/>
      <c r="Q47" s="48"/>
      <c r="R47" s="48"/>
      <c r="S47" s="48"/>
      <c r="T47" s="48"/>
      <c r="U47" s="48"/>
      <c r="V47" s="48"/>
      <c r="W47" s="48"/>
      <c r="X47" s="48"/>
      <c r="AA47" s="48"/>
      <c r="AB47" s="48"/>
      <c r="AC47" s="48"/>
      <c r="AD47" s="48"/>
      <c r="AE47" s="48"/>
      <c r="AF47" s="48"/>
      <c r="AG47" s="48"/>
      <c r="AH47" s="404"/>
      <c r="AI47" s="48"/>
    </row>
    <row r="48" spans="1:44" ht="12.75" customHeight="1" x14ac:dyDescent="0.2">
      <c r="B48" s="94" t="s">
        <v>74</v>
      </c>
      <c r="C48" s="48"/>
      <c r="D48" s="48"/>
      <c r="E48" s="48"/>
      <c r="F48" s="48"/>
      <c r="G48" s="48"/>
      <c r="H48" s="48"/>
      <c r="I48" s="48"/>
      <c r="J48" s="48"/>
      <c r="K48" s="48"/>
      <c r="L48" s="48"/>
      <c r="M48" s="48"/>
      <c r="N48" s="48"/>
      <c r="O48" s="48"/>
      <c r="X48" s="48"/>
      <c r="Z48" s="530"/>
      <c r="AA48" s="48"/>
      <c r="AB48" s="48"/>
      <c r="AC48" s="48"/>
      <c r="AD48" s="48"/>
      <c r="AE48" s="48"/>
      <c r="AF48" s="48"/>
      <c r="AG48" s="48"/>
      <c r="AH48" s="404"/>
      <c r="AI48" s="48"/>
      <c r="AR48" s="2"/>
    </row>
    <row r="49" spans="2:37" ht="16.5" customHeight="1" x14ac:dyDescent="0.2">
      <c r="B49" s="189" t="s">
        <v>113</v>
      </c>
    </row>
    <row r="54" spans="2:37" x14ac:dyDescent="0.2">
      <c r="AK54" s="2"/>
    </row>
  </sheetData>
  <mergeCells count="2">
    <mergeCell ref="B2:AI2"/>
    <mergeCell ref="B45:S45"/>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pageSetUpPr fitToPage="1"/>
  </sheetPr>
  <dimension ref="A1:K96"/>
  <sheetViews>
    <sheetView workbookViewId="0">
      <selection activeCell="P43" sqref="P43"/>
    </sheetView>
  </sheetViews>
  <sheetFormatPr defaultRowHeight="12.75" x14ac:dyDescent="0.2"/>
  <cols>
    <col min="1" max="1" width="2.28515625" customWidth="1"/>
    <col min="2" max="2" width="6.140625" customWidth="1"/>
    <col min="3" max="3" width="12.42578125" customWidth="1"/>
    <col min="4" max="7" width="8.7109375" customWidth="1"/>
    <col min="8" max="8" width="1.85546875" customWidth="1"/>
  </cols>
  <sheetData>
    <row r="1" spans="1:7" ht="14.25" customHeight="1" x14ac:dyDescent="0.2">
      <c r="B1" s="66"/>
      <c r="C1" s="31"/>
      <c r="D1" s="31"/>
      <c r="E1" s="31"/>
      <c r="F1" s="31"/>
      <c r="G1" s="20" t="s">
        <v>84</v>
      </c>
    </row>
    <row r="2" spans="1:7" s="81" customFormat="1" ht="30" customHeight="1" x14ac:dyDescent="0.2">
      <c r="A2" s="82"/>
      <c r="B2" s="595" t="s">
        <v>57</v>
      </c>
      <c r="C2" s="595"/>
      <c r="D2" s="595"/>
      <c r="E2" s="595"/>
      <c r="F2" s="595"/>
      <c r="G2" s="595"/>
    </row>
    <row r="3" spans="1:7" ht="15" customHeight="1" x14ac:dyDescent="0.2">
      <c r="B3" s="560" t="s">
        <v>147</v>
      </c>
      <c r="C3" s="560"/>
      <c r="D3" s="560"/>
      <c r="E3" s="560"/>
      <c r="F3" s="560"/>
      <c r="G3" s="560"/>
    </row>
    <row r="4" spans="1:7" ht="12" customHeight="1" x14ac:dyDescent="0.2">
      <c r="B4" s="554" t="s">
        <v>95</v>
      </c>
      <c r="C4" s="554"/>
      <c r="D4" s="554"/>
      <c r="E4" s="554"/>
      <c r="F4" s="554"/>
      <c r="G4" s="554"/>
    </row>
    <row r="5" spans="1:7" x14ac:dyDescent="0.2">
      <c r="B5" s="35"/>
      <c r="C5" s="67" t="s">
        <v>58</v>
      </c>
      <c r="D5" s="596" t="s">
        <v>41</v>
      </c>
      <c r="E5" s="598" t="s">
        <v>46</v>
      </c>
      <c r="F5" s="600" t="s">
        <v>44</v>
      </c>
      <c r="G5" s="68" t="s">
        <v>43</v>
      </c>
    </row>
    <row r="6" spans="1:7" ht="21.75" customHeight="1" x14ac:dyDescent="0.2">
      <c r="B6" s="35"/>
      <c r="C6" s="69"/>
      <c r="D6" s="597"/>
      <c r="E6" s="599"/>
      <c r="F6" s="601"/>
      <c r="G6" s="70"/>
    </row>
    <row r="7" spans="1:7" ht="12.75" customHeight="1" x14ac:dyDescent="0.2">
      <c r="B7" s="121">
        <v>1990</v>
      </c>
      <c r="C7" s="242">
        <v>2492.7173913251941</v>
      </c>
      <c r="D7" s="243">
        <v>1554.0052774039339</v>
      </c>
      <c r="E7" s="243">
        <v>515.8416869560001</v>
      </c>
      <c r="F7" s="244">
        <v>1519.8945302595796</v>
      </c>
      <c r="G7" s="245">
        <f t="shared" ref="G7:G32" si="0">SUM(C7:F7)</f>
        <v>6082.4588859447076</v>
      </c>
    </row>
    <row r="8" spans="1:7" ht="12.75" customHeight="1" x14ac:dyDescent="0.2">
      <c r="B8" s="120">
        <v>1991</v>
      </c>
      <c r="C8" s="246">
        <v>2548.9834442290417</v>
      </c>
      <c r="D8" s="247">
        <v>1521.1868936356595</v>
      </c>
      <c r="E8" s="247">
        <v>504.12541165599998</v>
      </c>
      <c r="F8" s="248">
        <v>1505.3226943248876</v>
      </c>
      <c r="G8" s="245">
        <f t="shared" si="0"/>
        <v>6079.6184438455884</v>
      </c>
    </row>
    <row r="9" spans="1:7" ht="12.75" customHeight="1" x14ac:dyDescent="0.2">
      <c r="B9" s="120">
        <v>1992</v>
      </c>
      <c r="C9" s="246">
        <v>2614.453880219251</v>
      </c>
      <c r="D9" s="247">
        <v>1603.6032488397896</v>
      </c>
      <c r="E9" s="247">
        <v>515.98622418399998</v>
      </c>
      <c r="F9" s="248">
        <v>1532.1244639904819</v>
      </c>
      <c r="G9" s="245">
        <f t="shared" si="0"/>
        <v>6266.1678172335223</v>
      </c>
    </row>
    <row r="10" spans="1:7" ht="12.75" customHeight="1" x14ac:dyDescent="0.2">
      <c r="B10" s="120">
        <v>1993</v>
      </c>
      <c r="C10" s="246">
        <v>2725.3155609483097</v>
      </c>
      <c r="D10" s="247">
        <v>1657.0922835723966</v>
      </c>
      <c r="E10" s="247">
        <v>496.87519070400003</v>
      </c>
      <c r="F10" s="248">
        <v>1542.7931295855244</v>
      </c>
      <c r="G10" s="245">
        <f t="shared" si="0"/>
        <v>6422.0761648102298</v>
      </c>
    </row>
    <row r="11" spans="1:7" ht="12.75" customHeight="1" x14ac:dyDescent="0.2">
      <c r="B11" s="120">
        <v>1994</v>
      </c>
      <c r="C11" s="246">
        <v>2901.3579100518955</v>
      </c>
      <c r="D11" s="247">
        <v>1782.7320733424262</v>
      </c>
      <c r="E11" s="247">
        <v>519.78653129999998</v>
      </c>
      <c r="F11" s="248">
        <v>1538.8899592458747</v>
      </c>
      <c r="G11" s="245">
        <f t="shared" si="0"/>
        <v>6742.7664739401971</v>
      </c>
    </row>
    <row r="12" spans="1:7" ht="12.75" customHeight="1" x14ac:dyDescent="0.2">
      <c r="B12" s="122">
        <v>1995</v>
      </c>
      <c r="C12" s="249">
        <v>3036.798702652311</v>
      </c>
      <c r="D12" s="250">
        <v>1922.7970776334619</v>
      </c>
      <c r="E12" s="250">
        <v>534.39793107599996</v>
      </c>
      <c r="F12" s="251">
        <v>1564.1304607756094</v>
      </c>
      <c r="G12" s="245">
        <f t="shared" si="0"/>
        <v>7058.1241721373817</v>
      </c>
    </row>
    <row r="13" spans="1:7" ht="12.75" customHeight="1" x14ac:dyDescent="0.2">
      <c r="B13" s="72">
        <v>1996</v>
      </c>
      <c r="C13" s="246">
        <v>3118.7688475825144</v>
      </c>
      <c r="D13" s="252">
        <v>2010.52014134</v>
      </c>
      <c r="E13" s="252">
        <v>518.47401647200002</v>
      </c>
      <c r="F13" s="253">
        <v>1611.2287162073821</v>
      </c>
      <c r="G13" s="245">
        <f t="shared" si="0"/>
        <v>7258.9917216018966</v>
      </c>
    </row>
    <row r="14" spans="1:7" ht="12.75" customHeight="1" x14ac:dyDescent="0.2">
      <c r="B14" s="72">
        <v>1997</v>
      </c>
      <c r="C14" s="246">
        <v>3261.5049660365648</v>
      </c>
      <c r="D14" s="252">
        <v>2030.951296327268</v>
      </c>
      <c r="E14" s="252">
        <v>520.02596670800006</v>
      </c>
      <c r="F14" s="253">
        <v>1604.2030095960126</v>
      </c>
      <c r="G14" s="245">
        <f t="shared" si="0"/>
        <v>7416.6852386678456</v>
      </c>
    </row>
    <row r="15" spans="1:7" ht="12.75" customHeight="1" x14ac:dyDescent="0.2">
      <c r="B15" s="72">
        <v>1998</v>
      </c>
      <c r="C15" s="246">
        <v>3319.3745569602715</v>
      </c>
      <c r="D15" s="252">
        <v>2114.5540410103404</v>
      </c>
      <c r="E15" s="252">
        <v>520.55301659999998</v>
      </c>
      <c r="F15" s="253">
        <v>1540.4647512589331</v>
      </c>
      <c r="G15" s="245">
        <f t="shared" si="0"/>
        <v>7494.9463658295444</v>
      </c>
    </row>
    <row r="16" spans="1:7" ht="12.75" customHeight="1" x14ac:dyDescent="0.2">
      <c r="B16" s="72">
        <v>1999</v>
      </c>
      <c r="C16" s="246">
        <v>3354.0990464646884</v>
      </c>
      <c r="D16" s="252">
        <v>2195.3087894400282</v>
      </c>
      <c r="E16" s="252">
        <v>528.1726104679999</v>
      </c>
      <c r="F16" s="253">
        <v>1476.7264929218534</v>
      </c>
      <c r="G16" s="245">
        <f t="shared" si="0"/>
        <v>7554.3069392945699</v>
      </c>
    </row>
    <row r="17" spans="2:7" ht="12.75" customHeight="1" x14ac:dyDescent="0.2">
      <c r="B17" s="72">
        <v>2000</v>
      </c>
      <c r="C17" s="246">
        <v>3396.6603805558161</v>
      </c>
      <c r="D17" s="252">
        <v>2257.5824257835588</v>
      </c>
      <c r="E17" s="252">
        <v>526.22792776400001</v>
      </c>
      <c r="F17" s="253">
        <v>1412.9882345847741</v>
      </c>
      <c r="G17" s="245">
        <f t="shared" si="0"/>
        <v>7593.4589686881482</v>
      </c>
    </row>
    <row r="18" spans="2:7" ht="12.75" customHeight="1" x14ac:dyDescent="0.2">
      <c r="B18" s="72">
        <v>2001</v>
      </c>
      <c r="C18" s="246">
        <v>3448.5460726942761</v>
      </c>
      <c r="D18" s="252">
        <v>2334.9796739655867</v>
      </c>
      <c r="E18" s="252">
        <v>504.73421997999998</v>
      </c>
      <c r="F18" s="253">
        <v>1349.2499762476946</v>
      </c>
      <c r="G18" s="245">
        <f t="shared" si="0"/>
        <v>7637.5099428875574</v>
      </c>
    </row>
    <row r="19" spans="2:7" ht="12.75" customHeight="1" x14ac:dyDescent="0.2">
      <c r="B19" s="72">
        <v>2002</v>
      </c>
      <c r="C19" s="246">
        <v>3544.3641237427332</v>
      </c>
      <c r="D19" s="252">
        <v>2344.0318531355579</v>
      </c>
      <c r="E19" s="252">
        <v>506.70226223600002</v>
      </c>
      <c r="F19" s="253">
        <v>1285.5117179106153</v>
      </c>
      <c r="G19" s="245">
        <f t="shared" si="0"/>
        <v>7680.6099570249071</v>
      </c>
    </row>
    <row r="20" spans="2:7" ht="12.75" customHeight="1" x14ac:dyDescent="0.2">
      <c r="B20" s="72">
        <v>2003</v>
      </c>
      <c r="C20" s="246">
        <v>3618.8904709996455</v>
      </c>
      <c r="D20" s="252">
        <v>2341.158540208</v>
      </c>
      <c r="E20" s="252">
        <v>475.79173505200004</v>
      </c>
      <c r="F20" s="253">
        <v>1278.3071785976238</v>
      </c>
      <c r="G20" s="245">
        <f t="shared" si="0"/>
        <v>7714.1479248572696</v>
      </c>
    </row>
    <row r="21" spans="2:7" ht="12.75" customHeight="1" x14ac:dyDescent="0.2">
      <c r="B21" s="72">
        <v>2004</v>
      </c>
      <c r="C21" s="246">
        <v>3543.6004902082673</v>
      </c>
      <c r="D21" s="252">
        <v>2459.1870566040002</v>
      </c>
      <c r="E21" s="252">
        <v>496.14082478800003</v>
      </c>
      <c r="F21" s="253">
        <v>1271.1026392846322</v>
      </c>
      <c r="G21" s="245">
        <f t="shared" si="0"/>
        <v>7770.0310108848998</v>
      </c>
    </row>
    <row r="22" spans="2:7" ht="12.75" customHeight="1" x14ac:dyDescent="0.2">
      <c r="B22" s="72">
        <v>2005</v>
      </c>
      <c r="C22" s="246">
        <v>3581.8174589495325</v>
      </c>
      <c r="D22" s="252">
        <v>2530.6118067880002</v>
      </c>
      <c r="E22" s="252">
        <v>476.37572385200002</v>
      </c>
      <c r="F22" s="253">
        <v>1263.8980999716409</v>
      </c>
      <c r="G22" s="245">
        <f t="shared" si="0"/>
        <v>7852.7030895611733</v>
      </c>
    </row>
    <row r="23" spans="2:7" ht="12.75" customHeight="1" x14ac:dyDescent="0.2">
      <c r="B23" s="72">
        <v>2006</v>
      </c>
      <c r="C23" s="246">
        <v>3512.4160051253334</v>
      </c>
      <c r="D23" s="252">
        <v>2709.5649547439998</v>
      </c>
      <c r="E23" s="252">
        <v>485.99956728159998</v>
      </c>
      <c r="F23" s="253">
        <v>1256.6935606586492</v>
      </c>
      <c r="G23" s="245">
        <f t="shared" si="0"/>
        <v>7964.6740878095834</v>
      </c>
    </row>
    <row r="24" spans="2:7" ht="12.75" customHeight="1" x14ac:dyDescent="0.2">
      <c r="B24" s="72">
        <v>2007</v>
      </c>
      <c r="C24" s="246">
        <v>3643.7769872887943</v>
      </c>
      <c r="D24" s="252">
        <v>2656.6132302760002</v>
      </c>
      <c r="E24" s="252">
        <v>472.30050400839991</v>
      </c>
      <c r="F24" s="253">
        <v>1249.4890213456574</v>
      </c>
      <c r="G24" s="245">
        <f t="shared" si="0"/>
        <v>8022.1797429188518</v>
      </c>
    </row>
    <row r="25" spans="2:7" ht="12.75" customHeight="1" x14ac:dyDescent="0.2">
      <c r="B25" s="72">
        <v>2008</v>
      </c>
      <c r="C25" s="254">
        <v>4018.8038839926635</v>
      </c>
      <c r="D25" s="252">
        <v>2525.3675873640004</v>
      </c>
      <c r="E25" s="252">
        <v>454.33686252320007</v>
      </c>
      <c r="F25" s="253">
        <v>1432.703863520592</v>
      </c>
      <c r="G25" s="245">
        <f t="shared" si="0"/>
        <v>8431.2121974004549</v>
      </c>
    </row>
    <row r="26" spans="2:7" ht="12.75" customHeight="1" x14ac:dyDescent="0.2">
      <c r="B26" s="72">
        <v>2009</v>
      </c>
      <c r="C26" s="255">
        <v>3576.2139376398177</v>
      </c>
      <c r="D26" s="252">
        <v>2309.8114813960001</v>
      </c>
      <c r="E26" s="252">
        <v>406.608041888</v>
      </c>
      <c r="F26" s="253">
        <v>1382.9612871541058</v>
      </c>
      <c r="G26" s="245">
        <f t="shared" si="0"/>
        <v>7675.5947480779232</v>
      </c>
    </row>
    <row r="27" spans="2:7" ht="12.75" customHeight="1" thickBot="1" x14ac:dyDescent="0.25">
      <c r="B27" s="72">
        <v>2010</v>
      </c>
      <c r="C27" s="254">
        <v>3668.0760074637005</v>
      </c>
      <c r="D27" s="256">
        <v>2491.4499999999998</v>
      </c>
      <c r="E27" s="252">
        <v>450.529</v>
      </c>
      <c r="F27" s="257">
        <v>1395.7128591127205</v>
      </c>
      <c r="G27" s="468">
        <f t="shared" si="0"/>
        <v>8005.7678665764215</v>
      </c>
    </row>
    <row r="28" spans="2:7" ht="12.75" customHeight="1" thickTop="1" thickBot="1" x14ac:dyDescent="0.25">
      <c r="B28" s="72">
        <v>2011</v>
      </c>
      <c r="C28" s="256">
        <v>3859.5349999999999</v>
      </c>
      <c r="D28" s="256">
        <v>2524.6669999999999</v>
      </c>
      <c r="E28" s="262">
        <v>464.66699999999997</v>
      </c>
      <c r="F28" s="261">
        <v>1486.2514960000001</v>
      </c>
      <c r="G28" s="245">
        <f t="shared" si="0"/>
        <v>8335.1204959999995</v>
      </c>
    </row>
    <row r="29" spans="2:7" ht="12.75" customHeight="1" thickTop="1" x14ac:dyDescent="0.2">
      <c r="B29" s="72">
        <v>2012</v>
      </c>
      <c r="C29" s="282">
        <v>2660.2945199999999</v>
      </c>
      <c r="D29" s="256">
        <v>2500.3000000000002</v>
      </c>
      <c r="E29" s="262">
        <v>461.92700000000002</v>
      </c>
      <c r="F29" s="262">
        <v>1251.0103977596402</v>
      </c>
      <c r="G29" s="469">
        <f t="shared" si="0"/>
        <v>6873.5319177596402</v>
      </c>
    </row>
    <row r="30" spans="2:7" ht="12.75" customHeight="1" x14ac:dyDescent="0.2">
      <c r="B30" s="72">
        <v>2013</v>
      </c>
      <c r="C30" s="256">
        <v>2926.45</v>
      </c>
      <c r="D30" s="256">
        <v>2541.355</v>
      </c>
      <c r="E30" s="262">
        <v>438.25299999999999</v>
      </c>
      <c r="F30" s="262">
        <v>1195.479</v>
      </c>
      <c r="G30" s="245">
        <f t="shared" si="0"/>
        <v>7101.5370000000003</v>
      </c>
    </row>
    <row r="31" spans="2:7" ht="12.75" customHeight="1" x14ac:dyDescent="0.2">
      <c r="B31" s="310">
        <v>2014</v>
      </c>
      <c r="C31" s="254">
        <v>2856.88</v>
      </c>
      <c r="D31" s="256">
        <v>2702.7429999999999</v>
      </c>
      <c r="E31" s="262">
        <v>482.97699999999998</v>
      </c>
      <c r="F31" s="326">
        <v>1247.73</v>
      </c>
      <c r="G31" s="245">
        <f t="shared" si="0"/>
        <v>7290.33</v>
      </c>
    </row>
    <row r="32" spans="2:7" ht="12.75" customHeight="1" x14ac:dyDescent="0.2">
      <c r="B32" s="310">
        <v>2015</v>
      </c>
      <c r="C32" s="328">
        <v>2899.252</v>
      </c>
      <c r="D32" s="256">
        <v>2537.8000000000002</v>
      </c>
      <c r="E32" s="262">
        <v>458.26155925360007</v>
      </c>
      <c r="F32" s="262">
        <v>1288.57</v>
      </c>
      <c r="G32" s="245">
        <f t="shared" si="0"/>
        <v>7183.8835592535997</v>
      </c>
    </row>
    <row r="33" spans="2:11" ht="14.25" customHeight="1" x14ac:dyDescent="0.2">
      <c r="B33" s="310">
        <v>2016</v>
      </c>
      <c r="C33" s="254">
        <v>3008.681</v>
      </c>
      <c r="D33" s="256">
        <v>2314.6999999999998</v>
      </c>
      <c r="E33" s="256">
        <v>445.27978022399998</v>
      </c>
      <c r="F33" s="262">
        <v>1269.77</v>
      </c>
      <c r="G33" s="245">
        <f>SUM(C33:F33)</f>
        <v>7038.430780224</v>
      </c>
    </row>
    <row r="34" spans="2:11" ht="14.25" customHeight="1" x14ac:dyDescent="0.2">
      <c r="B34" s="310">
        <v>2017</v>
      </c>
      <c r="C34" s="254">
        <v>2955.442</v>
      </c>
      <c r="D34" s="256">
        <v>2445.1379999999999</v>
      </c>
      <c r="E34" s="256">
        <v>454.92700000000002</v>
      </c>
      <c r="F34" s="257">
        <v>1304.73</v>
      </c>
      <c r="G34" s="245">
        <f>SUM(C34:F34)</f>
        <v>7160.2369999999992</v>
      </c>
      <c r="K34" s="1"/>
    </row>
    <row r="35" spans="2:11" ht="14.25" customHeight="1" x14ac:dyDescent="0.2">
      <c r="B35" s="281">
        <v>2018</v>
      </c>
      <c r="C35" s="329">
        <v>2969.46</v>
      </c>
      <c r="D35" s="466">
        <v>2525.2199999999998</v>
      </c>
      <c r="E35" s="466">
        <v>462.95699999999999</v>
      </c>
      <c r="F35" s="467">
        <f>1429.813</f>
        <v>1429.8130000000001</v>
      </c>
      <c r="G35" s="327">
        <f>SUM(C35:F35)</f>
        <v>7387.4500000000007</v>
      </c>
    </row>
    <row r="36" spans="2:11" ht="17.25" customHeight="1" x14ac:dyDescent="0.2">
      <c r="B36" s="207" t="s">
        <v>103</v>
      </c>
      <c r="C36" s="73"/>
      <c r="D36" s="73"/>
      <c r="E36" s="73"/>
      <c r="F36" s="73"/>
      <c r="G36" s="73"/>
    </row>
    <row r="37" spans="2:11" ht="39" customHeight="1" x14ac:dyDescent="0.2">
      <c r="B37" s="602" t="s">
        <v>155</v>
      </c>
      <c r="C37" s="603"/>
      <c r="D37" s="603"/>
      <c r="E37" s="603"/>
      <c r="F37" s="603"/>
      <c r="G37" s="603"/>
    </row>
    <row r="38" spans="2:11" ht="12" customHeight="1" x14ac:dyDescent="0.2">
      <c r="B38" s="594" t="s">
        <v>59</v>
      </c>
      <c r="C38" s="594"/>
      <c r="D38" s="594"/>
      <c r="E38" s="594"/>
      <c r="F38" s="594"/>
      <c r="G38" s="594"/>
    </row>
    <row r="39" spans="2:11" x14ac:dyDescent="0.2">
      <c r="B39" s="555" t="s">
        <v>60</v>
      </c>
      <c r="C39" s="555"/>
      <c r="D39" s="555"/>
      <c r="E39" s="555"/>
      <c r="F39" s="555"/>
      <c r="G39" s="555"/>
    </row>
    <row r="40" spans="2:11" ht="23.25" customHeight="1" x14ac:dyDescent="0.2">
      <c r="B40" s="35"/>
      <c r="C40" s="74" t="s">
        <v>40</v>
      </c>
      <c r="D40" s="68" t="s">
        <v>41</v>
      </c>
      <c r="E40" s="598" t="s">
        <v>46</v>
      </c>
      <c r="F40" s="605" t="s">
        <v>44</v>
      </c>
      <c r="G40" s="74" t="s">
        <v>43</v>
      </c>
    </row>
    <row r="41" spans="2:11" ht="12.75" customHeight="1" x14ac:dyDescent="0.2">
      <c r="B41" s="35"/>
      <c r="C41" s="123"/>
      <c r="D41" s="124" t="s">
        <v>34</v>
      </c>
      <c r="E41" s="604"/>
      <c r="F41" s="606"/>
      <c r="G41" s="101"/>
    </row>
    <row r="42" spans="2:11" ht="12.75" customHeight="1" x14ac:dyDescent="0.2">
      <c r="B42" s="71">
        <v>2001</v>
      </c>
      <c r="C42" s="95">
        <f t="shared" ref="C42:G55" si="1">(C18/C17-1)*100</f>
        <v>1.5275501912254574</v>
      </c>
      <c r="D42" s="95">
        <f t="shared" si="1"/>
        <v>3.4283243569795729</v>
      </c>
      <c r="E42" s="95">
        <f t="shared" si="1"/>
        <v>-4.0844863318693747</v>
      </c>
      <c r="F42" s="95">
        <f t="shared" si="1"/>
        <v>-4.5108838684569719</v>
      </c>
      <c r="G42" s="125">
        <f t="shared" si="1"/>
        <v>0.58011736655263491</v>
      </c>
    </row>
    <row r="43" spans="2:11" ht="12.75" customHeight="1" x14ac:dyDescent="0.2">
      <c r="B43" s="72">
        <v>2002</v>
      </c>
      <c r="C43" s="61">
        <f t="shared" si="1"/>
        <v>2.7785057536898972</v>
      </c>
      <c r="D43" s="61">
        <f t="shared" si="1"/>
        <v>0.3876770008279129</v>
      </c>
      <c r="E43" s="61">
        <f t="shared" si="1"/>
        <v>0.38991654975919499</v>
      </c>
      <c r="F43" s="61">
        <f t="shared" si="1"/>
        <v>-4.7239769841862289</v>
      </c>
      <c r="G43" s="76">
        <f t="shared" si="1"/>
        <v>0.56432023604089387</v>
      </c>
    </row>
    <row r="44" spans="2:11" ht="12.75" customHeight="1" x14ac:dyDescent="0.2">
      <c r="B44" s="72">
        <v>2003</v>
      </c>
      <c r="C44" s="61">
        <f t="shared" si="1"/>
        <v>2.1026718659541865</v>
      </c>
      <c r="D44" s="61">
        <f t="shared" si="1"/>
        <v>-0.12257994377142811</v>
      </c>
      <c r="E44" s="61">
        <f t="shared" si="1"/>
        <v>-6.1003333688696255</v>
      </c>
      <c r="F44" s="61">
        <f t="shared" si="1"/>
        <v>-0.56044135674634399</v>
      </c>
      <c r="G44" s="76">
        <f t="shared" si="1"/>
        <v>0.43665760948696786</v>
      </c>
    </row>
    <row r="45" spans="2:11" ht="12.75" customHeight="1" x14ac:dyDescent="0.2">
      <c r="B45" s="72">
        <v>2004</v>
      </c>
      <c r="C45" s="61">
        <f t="shared" si="1"/>
        <v>-2.0804713874244651</v>
      </c>
      <c r="D45" s="61">
        <f t="shared" si="1"/>
        <v>5.0414576530777744</v>
      </c>
      <c r="E45" s="61">
        <f t="shared" si="1"/>
        <v>4.2768901258396275</v>
      </c>
      <c r="F45" s="61">
        <f t="shared" si="1"/>
        <v>-0.56360000425682566</v>
      </c>
      <c r="G45" s="76">
        <f t="shared" si="1"/>
        <v>0.72442331378632652</v>
      </c>
    </row>
    <row r="46" spans="2:11" ht="12.75" customHeight="1" x14ac:dyDescent="0.2">
      <c r="B46" s="72">
        <v>2005</v>
      </c>
      <c r="C46" s="61">
        <f t="shared" si="1"/>
        <v>1.0784784810496273</v>
      </c>
      <c r="D46" s="61">
        <f t="shared" si="1"/>
        <v>2.9044049330120281</v>
      </c>
      <c r="E46" s="61">
        <f t="shared" si="1"/>
        <v>-3.9837683070014673</v>
      </c>
      <c r="F46" s="61">
        <f t="shared" si="1"/>
        <v>-0.56679445784535432</v>
      </c>
      <c r="G46" s="76">
        <f t="shared" si="1"/>
        <v>1.0639864700727752</v>
      </c>
    </row>
    <row r="47" spans="2:11" ht="12.75" customHeight="1" x14ac:dyDescent="0.2">
      <c r="B47" s="72">
        <v>2006</v>
      </c>
      <c r="C47" s="61">
        <f t="shared" si="1"/>
        <v>-1.9376044318169416</v>
      </c>
      <c r="D47" s="61">
        <f t="shared" si="1"/>
        <v>7.0715369096114866</v>
      </c>
      <c r="E47" s="61">
        <f t="shared" si="1"/>
        <v>2.0202212135792763</v>
      </c>
      <c r="F47" s="61">
        <f t="shared" si="1"/>
        <v>-0.5700253298231428</v>
      </c>
      <c r="G47" s="76">
        <f t="shared" si="1"/>
        <v>1.4258911481991099</v>
      </c>
    </row>
    <row r="48" spans="2:11" ht="12.75" customHeight="1" x14ac:dyDescent="0.2">
      <c r="B48" s="72">
        <v>2007</v>
      </c>
      <c r="C48" s="61">
        <f t="shared" si="1"/>
        <v>3.7399038716307675</v>
      </c>
      <c r="D48" s="61">
        <f t="shared" si="1"/>
        <v>-1.9542518947659793</v>
      </c>
      <c r="E48" s="61">
        <f t="shared" si="1"/>
        <v>-2.81873980872549</v>
      </c>
      <c r="F48" s="61">
        <f t="shared" si="1"/>
        <v>-0.57329324654259439</v>
      </c>
      <c r="G48" s="179">
        <f t="shared" si="1"/>
        <v>0.72200889170448423</v>
      </c>
    </row>
    <row r="49" spans="2:11" ht="12.75" customHeight="1" x14ac:dyDescent="0.2">
      <c r="B49" s="72">
        <v>2008</v>
      </c>
      <c r="C49" s="61">
        <f t="shared" si="1"/>
        <v>10.292257128033345</v>
      </c>
      <c r="D49" s="61">
        <f t="shared" si="1"/>
        <v>-4.9403368701271049</v>
      </c>
      <c r="E49" s="61">
        <f t="shared" si="1"/>
        <v>-3.8034347481620268</v>
      </c>
      <c r="F49" s="61">
        <f t="shared" si="1"/>
        <v>14.663181432168049</v>
      </c>
      <c r="G49" s="179">
        <f t="shared" si="1"/>
        <v>5.0987695064131922</v>
      </c>
    </row>
    <row r="50" spans="2:11" ht="12.75" customHeight="1" x14ac:dyDescent="0.2">
      <c r="B50" s="72">
        <v>2009</v>
      </c>
      <c r="C50" s="61">
        <f t="shared" si="1"/>
        <v>-11.012976973465417</v>
      </c>
      <c r="D50" s="61">
        <f t="shared" si="1"/>
        <v>-8.5356328736680869</v>
      </c>
      <c r="E50" s="61">
        <f t="shared" si="1"/>
        <v>-10.50516138402986</v>
      </c>
      <c r="F50" s="61">
        <f t="shared" si="1"/>
        <v>-3.4719370578266906</v>
      </c>
      <c r="G50" s="179">
        <f t="shared" si="1"/>
        <v>-8.9621448450260424</v>
      </c>
    </row>
    <row r="51" spans="2:11" ht="12.75" customHeight="1" thickBot="1" x14ac:dyDescent="0.25">
      <c r="B51" s="72">
        <v>2010</v>
      </c>
      <c r="C51" s="238">
        <f t="shared" si="1"/>
        <v>2.5686961525715812</v>
      </c>
      <c r="D51" s="238">
        <f t="shared" si="1"/>
        <v>7.8637810949931497</v>
      </c>
      <c r="E51" s="238">
        <f t="shared" si="1"/>
        <v>10.801792780108865</v>
      </c>
      <c r="F51" s="238">
        <f t="shared" si="1"/>
        <v>0.92204836657829858</v>
      </c>
      <c r="G51" s="179">
        <f t="shared" si="1"/>
        <v>4.3015965450909022</v>
      </c>
    </row>
    <row r="52" spans="2:11" ht="12.75" customHeight="1" thickTop="1" thickBot="1" x14ac:dyDescent="0.25">
      <c r="B52" s="72">
        <v>2011</v>
      </c>
      <c r="C52" s="239">
        <f t="shared" si="1"/>
        <v>5.2196026512734139</v>
      </c>
      <c r="D52" s="238">
        <f t="shared" si="1"/>
        <v>1.3332396797046009</v>
      </c>
      <c r="E52" s="238">
        <f t="shared" si="1"/>
        <v>3.1380887800785295</v>
      </c>
      <c r="F52" s="283">
        <f t="shared" si="1"/>
        <v>6.486909989841072</v>
      </c>
      <c r="G52" s="285">
        <f t="shared" si="1"/>
        <v>4.1139417843802928</v>
      </c>
    </row>
    <row r="53" spans="2:11" ht="12.75" customHeight="1" thickTop="1" x14ac:dyDescent="0.2">
      <c r="B53" s="72">
        <v>2012</v>
      </c>
      <c r="C53" s="263">
        <f t="shared" si="1"/>
        <v>-31.07214936514373</v>
      </c>
      <c r="D53" s="238">
        <f t="shared" si="1"/>
        <v>-0.96515698902072122</v>
      </c>
      <c r="E53" s="238">
        <f t="shared" si="1"/>
        <v>-0.58966959134174601</v>
      </c>
      <c r="F53" s="238">
        <f t="shared" si="1"/>
        <v>-15.827812377210204</v>
      </c>
      <c r="G53" s="179">
        <f t="shared" si="1"/>
        <v>-17.535302326364345</v>
      </c>
    </row>
    <row r="54" spans="2:11" ht="12.75" customHeight="1" x14ac:dyDescent="0.2">
      <c r="B54" s="72">
        <v>2013</v>
      </c>
      <c r="C54" s="239">
        <f t="shared" si="1"/>
        <v>10.004737370206662</v>
      </c>
      <c r="D54" s="238">
        <f t="shared" si="1"/>
        <v>1.6420029596448282</v>
      </c>
      <c r="E54" s="238">
        <f t="shared" si="1"/>
        <v>-5.1250522268670213</v>
      </c>
      <c r="F54" s="238">
        <f t="shared" si="1"/>
        <v>-4.4389237578750791</v>
      </c>
      <c r="G54" s="179">
        <f t="shared" si="1"/>
        <v>3.3171459006576587</v>
      </c>
    </row>
    <row r="55" spans="2:11" ht="12.75" customHeight="1" x14ac:dyDescent="0.2">
      <c r="B55" s="72">
        <v>2014</v>
      </c>
      <c r="C55" s="311">
        <f t="shared" si="1"/>
        <v>-2.3772830562627023</v>
      </c>
      <c r="D55" s="238">
        <f t="shared" si="1"/>
        <v>6.3504705167125364</v>
      </c>
      <c r="E55" s="238">
        <f t="shared" si="1"/>
        <v>10.205064198077363</v>
      </c>
      <c r="F55" s="238">
        <f t="shared" si="1"/>
        <v>4.3707166750733384</v>
      </c>
      <c r="G55" s="312">
        <f t="shared" si="1"/>
        <v>2.65848083309288</v>
      </c>
    </row>
    <row r="56" spans="2:11" ht="16.5" customHeight="1" x14ac:dyDescent="0.2">
      <c r="B56" s="72">
        <v>2015</v>
      </c>
      <c r="C56" s="238">
        <f t="shared" ref="C56:G57" si="2">(C31/C30-1)*100</f>
        <v>-2.3772830562627023</v>
      </c>
      <c r="D56" s="238">
        <f t="shared" si="2"/>
        <v>6.3504705167125364</v>
      </c>
      <c r="E56" s="238">
        <f t="shared" si="2"/>
        <v>10.205064198077363</v>
      </c>
      <c r="F56" s="238">
        <f t="shared" si="2"/>
        <v>4.3707166750733384</v>
      </c>
      <c r="G56" s="179">
        <f t="shared" si="2"/>
        <v>2.65848083309288</v>
      </c>
    </row>
    <row r="57" spans="2:11" ht="15" customHeight="1" x14ac:dyDescent="0.2">
      <c r="B57" s="72">
        <v>2016</v>
      </c>
      <c r="C57" s="239">
        <f t="shared" si="2"/>
        <v>1.4831564503934302</v>
      </c>
      <c r="D57" s="238">
        <f t="shared" si="2"/>
        <v>-6.1028000072518847</v>
      </c>
      <c r="E57" s="238">
        <f t="shared" si="2"/>
        <v>-5.117312159046894</v>
      </c>
      <c r="F57" s="337">
        <f t="shared" si="2"/>
        <v>3.273144029557673</v>
      </c>
      <c r="G57" s="179">
        <f t="shared" si="2"/>
        <v>-1.4601045596893458</v>
      </c>
    </row>
    <row r="58" spans="2:11" ht="20.100000000000001" customHeight="1" x14ac:dyDescent="0.2">
      <c r="B58" s="77" t="s">
        <v>62</v>
      </c>
      <c r="C58" s="338">
        <f>100*(POWER((C12/C7), 1/5) -1)</f>
        <v>4.0276031663377676</v>
      </c>
      <c r="D58" s="61">
        <f>100*(POWER((D12/D7), 1/5) -1)</f>
        <v>4.3508984899033543</v>
      </c>
      <c r="E58" s="61">
        <f>100*(POWER((E12/E7), 1/5) -1)</f>
        <v>0.70932065662396848</v>
      </c>
      <c r="F58" s="61">
        <f>100*(POWER((F12/F7), 1/5) -1)</f>
        <v>0.57543146284888547</v>
      </c>
      <c r="G58" s="76">
        <f>100*(POWER((G12/G7), 1/5) -1)</f>
        <v>3.0201131408499338</v>
      </c>
    </row>
    <row r="59" spans="2:11" ht="20.100000000000001" customHeight="1" x14ac:dyDescent="0.2">
      <c r="B59" s="77" t="s">
        <v>61</v>
      </c>
      <c r="C59" s="61">
        <f>100*(POWER((C17/C12), 1/5) -1)</f>
        <v>2.2650474194636727</v>
      </c>
      <c r="D59" s="61">
        <f>100*(POWER((D17/D12), 1/5) -1)</f>
        <v>3.2623566909095736</v>
      </c>
      <c r="E59" s="61">
        <f>100*(POWER((E17/E12), 1/5) -1)</f>
        <v>-0.30765196046482757</v>
      </c>
      <c r="F59" s="61">
        <f>100*(POWER((F17/F12), 1/5) -1)</f>
        <v>-2.0119501705767706</v>
      </c>
      <c r="G59" s="76">
        <f>100*(POWER((G17/G12), 1/5) -1)</f>
        <v>1.4728997491606277</v>
      </c>
    </row>
    <row r="60" spans="2:11" ht="21" customHeight="1" x14ac:dyDescent="0.2">
      <c r="B60" s="77" t="s">
        <v>114</v>
      </c>
      <c r="C60" s="238">
        <f>100*(POWER((C27/C17), 1/10) -1)</f>
        <v>0.77170811652416127</v>
      </c>
      <c r="D60" s="238">
        <f>100*(POWER((D27/D17), 1/10) -1)</f>
        <v>0.99057758552560937</v>
      </c>
      <c r="E60" s="238">
        <f>100*(POWER((E27/E17), 1/10) -1)</f>
        <v>-1.5411212280335596</v>
      </c>
      <c r="F60" s="238">
        <f>100*(POWER((F27/F17), 1/10) -1)</f>
        <v>-0.12293919027238642</v>
      </c>
      <c r="G60" s="179">
        <f>100*(POWER((G27/G17), 1/10) -1)</f>
        <v>0.5301508577487013</v>
      </c>
      <c r="K60" s="1"/>
    </row>
    <row r="61" spans="2:11" ht="19.5" customHeight="1" x14ac:dyDescent="0.2">
      <c r="B61" s="78" t="s">
        <v>131</v>
      </c>
      <c r="C61" s="284">
        <f>100*(POWER((C35/C28), 1/7) -1)</f>
        <v>-3.6759704483760758</v>
      </c>
      <c r="D61" s="284">
        <f>100*(POWER((D35/D28), 1/7) -1)</f>
        <v>3.1288318411037963E-3</v>
      </c>
      <c r="E61" s="284">
        <f>100*(POWER((E35/E28), 1/7) -1)</f>
        <v>-5.2655315207772446E-2</v>
      </c>
      <c r="F61" s="339">
        <f>100*(POWER((F35/F28), 1/7) -1)</f>
        <v>-0.55152362307412384</v>
      </c>
      <c r="G61" s="486">
        <f>100*(POWER((G35/G28), 1/7) -1)</f>
        <v>-1.7094398063470573</v>
      </c>
    </row>
    <row r="62" spans="2:11" ht="18.75" customHeight="1" x14ac:dyDescent="0.2"/>
    <row r="63" spans="2:11" ht="15.75" customHeight="1" x14ac:dyDescent="0.2">
      <c r="B63" s="594" t="s">
        <v>48</v>
      </c>
      <c r="C63" s="594"/>
      <c r="D63" s="594"/>
      <c r="E63" s="594"/>
      <c r="F63" s="594"/>
      <c r="G63" s="594"/>
    </row>
    <row r="64" spans="2:11" ht="18.75" customHeight="1" x14ac:dyDescent="0.2">
      <c r="B64" s="607" t="s">
        <v>63</v>
      </c>
      <c r="C64" s="607"/>
      <c r="D64" s="607"/>
      <c r="E64" s="607"/>
      <c r="F64" s="607"/>
      <c r="G64" s="607"/>
    </row>
    <row r="65" spans="2:7" ht="12.75" customHeight="1" x14ac:dyDescent="0.2">
      <c r="B65" s="35"/>
      <c r="C65" s="74" t="s">
        <v>40</v>
      </c>
      <c r="D65" s="79" t="s">
        <v>41</v>
      </c>
      <c r="E65" s="598" t="s">
        <v>46</v>
      </c>
      <c r="F65" s="600" t="s">
        <v>44</v>
      </c>
      <c r="G65" s="34"/>
    </row>
    <row r="66" spans="2:7" ht="12.75" hidden="1" customHeight="1" x14ac:dyDescent="0.2">
      <c r="B66" s="35"/>
      <c r="C66" s="69"/>
      <c r="D66" s="75" t="s">
        <v>34</v>
      </c>
      <c r="E66" s="599"/>
      <c r="F66" s="601"/>
      <c r="G66" s="34"/>
    </row>
    <row r="67" spans="2:7" ht="12.75" hidden="1" customHeight="1" x14ac:dyDescent="0.2">
      <c r="B67" s="126">
        <v>1990</v>
      </c>
      <c r="C67" s="232">
        <f t="shared" ref="C67:F95" si="3">100*C7/$G7</f>
        <v>40.982067253842743</v>
      </c>
      <c r="D67" s="237">
        <f t="shared" si="3"/>
        <v>25.548964761519649</v>
      </c>
      <c r="E67" s="237">
        <f t="shared" si="3"/>
        <v>8.4808084465314266</v>
      </c>
      <c r="F67" s="236">
        <f t="shared" si="3"/>
        <v>24.988159538106181</v>
      </c>
      <c r="G67" s="34"/>
    </row>
    <row r="68" spans="2:7" ht="12.75" hidden="1" customHeight="1" x14ac:dyDescent="0.2">
      <c r="B68" s="72">
        <v>1991</v>
      </c>
      <c r="C68" s="235">
        <f t="shared" si="3"/>
        <v>41.926700956198715</v>
      </c>
      <c r="D68" s="234">
        <f t="shared" si="3"/>
        <v>25.021091499180521</v>
      </c>
      <c r="E68" s="234">
        <f t="shared" si="3"/>
        <v>8.2920567517905219</v>
      </c>
      <c r="F68" s="233">
        <f t="shared" si="3"/>
        <v>24.760150792830252</v>
      </c>
      <c r="G68" s="34"/>
    </row>
    <row r="69" spans="2:7" ht="12.75" hidden="1" customHeight="1" x14ac:dyDescent="0.2">
      <c r="B69" s="72">
        <v>1992</v>
      </c>
      <c r="C69" s="336">
        <f t="shared" si="3"/>
        <v>41.723330055554079</v>
      </c>
      <c r="D69" s="260">
        <f t="shared" si="3"/>
        <v>25.591450717765351</v>
      </c>
      <c r="E69" s="260">
        <f t="shared" si="3"/>
        <v>8.2344782207222309</v>
      </c>
      <c r="F69" s="314">
        <f t="shared" si="3"/>
        <v>24.450741005958349</v>
      </c>
      <c r="G69" s="34"/>
    </row>
    <row r="70" spans="2:7" ht="12.75" customHeight="1" x14ac:dyDescent="0.2">
      <c r="B70" s="72">
        <v>1993</v>
      </c>
      <c r="C70" s="235">
        <f t="shared" si="3"/>
        <v>42.436674542754226</v>
      </c>
      <c r="D70" s="234">
        <f t="shared" si="3"/>
        <v>25.80306182994893</v>
      </c>
      <c r="E70" s="234">
        <f t="shared" si="3"/>
        <v>7.7369868863690527</v>
      </c>
      <c r="F70" s="233">
        <f t="shared" si="3"/>
        <v>24.023276740927805</v>
      </c>
      <c r="G70" s="34"/>
    </row>
    <row r="71" spans="2:7" ht="12.75" customHeight="1" x14ac:dyDescent="0.2">
      <c r="B71" s="72">
        <v>1994</v>
      </c>
      <c r="C71" s="235">
        <f t="shared" si="3"/>
        <v>43.029191671774754</v>
      </c>
      <c r="D71" s="234">
        <f t="shared" si="3"/>
        <v>26.439178640286951</v>
      </c>
      <c r="E71" s="234">
        <f t="shared" si="3"/>
        <v>7.7088022150685278</v>
      </c>
      <c r="F71" s="233">
        <f t="shared" si="3"/>
        <v>22.822827472869758</v>
      </c>
    </row>
    <row r="72" spans="2:7" ht="12.75" customHeight="1" x14ac:dyDescent="0.2">
      <c r="B72" s="72">
        <v>1995</v>
      </c>
      <c r="C72" s="235">
        <f t="shared" si="3"/>
        <v>43.02557773976779</v>
      </c>
      <c r="D72" s="234">
        <f t="shared" si="3"/>
        <v>27.242324316478967</v>
      </c>
      <c r="E72" s="234">
        <f t="shared" si="3"/>
        <v>7.5713874967740971</v>
      </c>
      <c r="F72" s="233">
        <f t="shared" si="3"/>
        <v>22.160710446979152</v>
      </c>
      <c r="G72" s="60"/>
    </row>
    <row r="73" spans="2:7" ht="12.75" customHeight="1" x14ac:dyDescent="0.2">
      <c r="B73" s="72">
        <v>1996</v>
      </c>
      <c r="C73" s="235">
        <f t="shared" si="3"/>
        <v>42.964215516342705</v>
      </c>
      <c r="D73" s="234">
        <f t="shared" si="3"/>
        <v>27.696961485118255</v>
      </c>
      <c r="E73" s="234">
        <f t="shared" si="3"/>
        <v>7.1425073392642524</v>
      </c>
      <c r="F73" s="233">
        <f t="shared" si="3"/>
        <v>22.196315659274784</v>
      </c>
      <c r="G73" s="60"/>
    </row>
    <row r="74" spans="2:7" ht="12.75" customHeight="1" x14ac:dyDescent="0.2">
      <c r="B74" s="72">
        <v>1997</v>
      </c>
      <c r="C74" s="235">
        <f t="shared" si="3"/>
        <v>43.975237738717667</v>
      </c>
      <c r="D74" s="234">
        <f t="shared" si="3"/>
        <v>27.383544413326877</v>
      </c>
      <c r="E74" s="234">
        <f t="shared" si="3"/>
        <v>7.0115685103741168</v>
      </c>
      <c r="F74" s="233">
        <f t="shared" si="3"/>
        <v>21.629649337581341</v>
      </c>
      <c r="G74" s="80"/>
    </row>
    <row r="75" spans="2:7" ht="12.75" customHeight="1" x14ac:dyDescent="0.2">
      <c r="B75" s="72">
        <v>1998</v>
      </c>
      <c r="C75" s="235">
        <f t="shared" si="3"/>
        <v>44.288169587093257</v>
      </c>
      <c r="D75" s="234">
        <f t="shared" si="3"/>
        <v>28.213064347609919</v>
      </c>
      <c r="E75" s="234">
        <f t="shared" si="3"/>
        <v>6.9453868138839567</v>
      </c>
      <c r="F75" s="233">
        <f t="shared" si="3"/>
        <v>20.553379251412878</v>
      </c>
      <c r="G75" s="80"/>
    </row>
    <row r="76" spans="2:7" ht="12.75" customHeight="1" x14ac:dyDescent="0.2">
      <c r="B76" s="72">
        <v>1999</v>
      </c>
      <c r="C76" s="235">
        <f t="shared" si="3"/>
        <v>44.399824807461393</v>
      </c>
      <c r="D76" s="234">
        <f t="shared" si="3"/>
        <v>29.060359965265441</v>
      </c>
      <c r="E76" s="234">
        <f t="shared" si="3"/>
        <v>6.9916752749435052</v>
      </c>
      <c r="F76" s="233">
        <f t="shared" si="3"/>
        <v>19.548139952329656</v>
      </c>
      <c r="G76" s="80"/>
    </row>
    <row r="77" spans="2:7" ht="12.75" customHeight="1" x14ac:dyDescent="0.2">
      <c r="B77" s="72">
        <v>2000</v>
      </c>
      <c r="C77" s="235">
        <f t="shared" si="3"/>
        <v>44.731398359588766</v>
      </c>
      <c r="D77" s="234">
        <f t="shared" si="3"/>
        <v>29.730619933455447</v>
      </c>
      <c r="E77" s="234">
        <f t="shared" si="3"/>
        <v>6.9300160827090318</v>
      </c>
      <c r="F77" s="233">
        <f t="shared" si="3"/>
        <v>18.607965624246773</v>
      </c>
      <c r="G77" s="80"/>
    </row>
    <row r="78" spans="2:7" ht="12.75" customHeight="1" x14ac:dyDescent="0.2">
      <c r="B78" s="72">
        <v>2001</v>
      </c>
      <c r="C78" s="235">
        <f t="shared" si="3"/>
        <v>45.152753953606826</v>
      </c>
      <c r="D78" s="234">
        <f t="shared" si="3"/>
        <v>30.572525488363389</v>
      </c>
      <c r="E78" s="234">
        <f t="shared" si="3"/>
        <v>6.6086227547243261</v>
      </c>
      <c r="F78" s="233">
        <f t="shared" si="3"/>
        <v>17.666097803305455</v>
      </c>
      <c r="G78" s="80"/>
    </row>
    <row r="79" spans="2:7" ht="12.75" customHeight="1" x14ac:dyDescent="0.2">
      <c r="B79" s="72">
        <v>2002</v>
      </c>
      <c r="C79" s="235">
        <f t="shared" si="3"/>
        <v>46.146909471700958</v>
      </c>
      <c r="D79" s="234">
        <f t="shared" si="3"/>
        <v>30.518824237281297</v>
      </c>
      <c r="E79" s="234">
        <f t="shared" si="3"/>
        <v>6.5971617497976904</v>
      </c>
      <c r="F79" s="233">
        <f t="shared" si="3"/>
        <v>16.737104541220052</v>
      </c>
      <c r="G79" s="80"/>
    </row>
    <row r="80" spans="2:7" ht="12.75" customHeight="1" x14ac:dyDescent="0.2">
      <c r="B80" s="72">
        <v>2003</v>
      </c>
      <c r="C80" s="235">
        <f t="shared" si="3"/>
        <v>46.912381072425489</v>
      </c>
      <c r="D80" s="234">
        <f t="shared" si="3"/>
        <v>30.348893526712054</v>
      </c>
      <c r="E80" s="234">
        <f t="shared" si="3"/>
        <v>6.1677808059508177</v>
      </c>
      <c r="F80" s="233">
        <f t="shared" si="3"/>
        <v>16.570944594911634</v>
      </c>
      <c r="G80" s="80"/>
    </row>
    <row r="81" spans="1:9" ht="12.75" customHeight="1" x14ac:dyDescent="0.2">
      <c r="B81" s="72">
        <v>2004</v>
      </c>
      <c r="C81" s="235">
        <f t="shared" si="3"/>
        <v>45.606001896827685</v>
      </c>
      <c r="D81" s="234">
        <f t="shared" si="3"/>
        <v>31.649642751218988</v>
      </c>
      <c r="E81" s="234">
        <f t="shared" si="3"/>
        <v>6.3853133159052398</v>
      </c>
      <c r="F81" s="233">
        <f t="shared" si="3"/>
        <v>16.359042036048077</v>
      </c>
      <c r="G81" s="80"/>
    </row>
    <row r="82" spans="1:9" ht="12.75" customHeight="1" x14ac:dyDescent="0.2">
      <c r="B82" s="72">
        <v>2005</v>
      </c>
      <c r="C82" s="235">
        <f t="shared" si="3"/>
        <v>45.612541542681612</v>
      </c>
      <c r="D82" s="234">
        <f t="shared" si="3"/>
        <v>32.225996296129111</v>
      </c>
      <c r="E82" s="234">
        <f t="shared" si="3"/>
        <v>6.0663916414369483</v>
      </c>
      <c r="F82" s="233">
        <f t="shared" si="3"/>
        <v>16.09507051975233</v>
      </c>
      <c r="G82" s="80"/>
    </row>
    <row r="83" spans="1:9" ht="12.75" customHeight="1" x14ac:dyDescent="0.2">
      <c r="B83" s="72">
        <v>2006</v>
      </c>
      <c r="C83" s="235">
        <f t="shared" si="3"/>
        <v>44.099933862972485</v>
      </c>
      <c r="D83" s="234">
        <f t="shared" si="3"/>
        <v>34.019784423962221</v>
      </c>
      <c r="E83" s="234">
        <f t="shared" si="3"/>
        <v>6.1019391618980592</v>
      </c>
      <c r="F83" s="233">
        <f t="shared" si="3"/>
        <v>15.778342551167221</v>
      </c>
      <c r="G83" s="80"/>
    </row>
    <row r="84" spans="1:9" ht="12.75" customHeight="1" x14ac:dyDescent="0.2">
      <c r="B84" s="72">
        <v>2007</v>
      </c>
      <c r="C84" s="235">
        <f t="shared" si="3"/>
        <v>45.421283292800098</v>
      </c>
      <c r="D84" s="234">
        <f t="shared" si="3"/>
        <v>33.115852740908515</v>
      </c>
      <c r="E84" s="234">
        <f t="shared" si="3"/>
        <v>5.8874335796988069</v>
      </c>
      <c r="F84" s="233">
        <f t="shared" si="3"/>
        <v>15.575430386592581</v>
      </c>
      <c r="G84" s="80"/>
    </row>
    <row r="85" spans="1:9" ht="12.75" customHeight="1" x14ac:dyDescent="0.2">
      <c r="B85" s="72">
        <v>2008</v>
      </c>
      <c r="C85" s="235">
        <f t="shared" si="3"/>
        <v>47.665789804599598</v>
      </c>
      <c r="D85" s="234">
        <f t="shared" si="3"/>
        <v>29.952603827746525</v>
      </c>
      <c r="E85" s="234">
        <f t="shared" si="3"/>
        <v>5.3887489946378411</v>
      </c>
      <c r="F85" s="233">
        <f t="shared" si="3"/>
        <v>16.992857373016054</v>
      </c>
      <c r="G85" s="80"/>
    </row>
    <row r="86" spans="1:9" ht="12.75" customHeight="1" x14ac:dyDescent="0.2">
      <c r="B86" s="72">
        <v>2009</v>
      </c>
      <c r="C86" s="235">
        <f t="shared" si="3"/>
        <v>46.592010847567892</v>
      </c>
      <c r="D86" s="234">
        <f t="shared" si="3"/>
        <v>30.092931651640537</v>
      </c>
      <c r="E86" s="234">
        <f t="shared" si="3"/>
        <v>5.2974141448754883</v>
      </c>
      <c r="F86" s="233">
        <f t="shared" si="3"/>
        <v>18.017643355916082</v>
      </c>
      <c r="G86" s="80"/>
    </row>
    <row r="87" spans="1:9" ht="12.75" customHeight="1" thickBot="1" x14ac:dyDescent="0.25">
      <c r="B87" s="72">
        <v>2010</v>
      </c>
      <c r="C87" s="235">
        <f t="shared" si="3"/>
        <v>45.817916139908171</v>
      </c>
      <c r="D87" s="234">
        <f t="shared" si="3"/>
        <v>31.120687503339276</v>
      </c>
      <c r="E87" s="234">
        <f t="shared" si="3"/>
        <v>5.6275551266097823</v>
      </c>
      <c r="F87" s="286">
        <f t="shared" si="3"/>
        <v>17.433841230142757</v>
      </c>
      <c r="G87" s="80"/>
    </row>
    <row r="88" spans="1:9" ht="12.75" customHeight="1" thickTop="1" thickBot="1" x14ac:dyDescent="0.25">
      <c r="B88" s="72">
        <v>2011</v>
      </c>
      <c r="C88" s="287">
        <f t="shared" si="3"/>
        <v>46.304489561394824</v>
      </c>
      <c r="D88" s="234">
        <f t="shared" si="3"/>
        <v>30.289508126626128</v>
      </c>
      <c r="E88" s="234">
        <f t="shared" si="3"/>
        <v>5.5748084292601687</v>
      </c>
      <c r="F88" s="233">
        <f t="shared" si="3"/>
        <v>17.831193882718885</v>
      </c>
      <c r="G88" s="180"/>
    </row>
    <row r="89" spans="1:9" ht="12.75" customHeight="1" thickTop="1" x14ac:dyDescent="0.2">
      <c r="B89" s="72">
        <v>2012</v>
      </c>
      <c r="C89" s="235">
        <f t="shared" si="3"/>
        <v>38.703457724934758</v>
      </c>
      <c r="D89" s="234">
        <f t="shared" si="3"/>
        <v>36.375767653595886</v>
      </c>
      <c r="E89" s="234">
        <f t="shared" si="3"/>
        <v>6.720373245179613</v>
      </c>
      <c r="F89" s="233">
        <f t="shared" si="3"/>
        <v>18.20040137628974</v>
      </c>
      <c r="G89" s="180"/>
    </row>
    <row r="90" spans="1:9" ht="12.75" customHeight="1" x14ac:dyDescent="0.2">
      <c r="B90" s="72">
        <v>2013</v>
      </c>
      <c r="C90" s="235">
        <f t="shared" si="3"/>
        <v>41.208684824144406</v>
      </c>
      <c r="D90" s="234">
        <f t="shared" si="3"/>
        <v>35.785985484550736</v>
      </c>
      <c r="E90" s="234">
        <f t="shared" si="3"/>
        <v>6.171241521377695</v>
      </c>
      <c r="F90" s="233">
        <f t="shared" si="3"/>
        <v>16.83408816992716</v>
      </c>
      <c r="G90" s="180"/>
    </row>
    <row r="91" spans="1:9" ht="13.5" customHeight="1" x14ac:dyDescent="0.2">
      <c r="B91" s="310">
        <v>2014</v>
      </c>
      <c r="C91" s="313">
        <f t="shared" si="3"/>
        <v>39.187252154566394</v>
      </c>
      <c r="D91" s="234">
        <f t="shared" si="3"/>
        <v>37.072985722182672</v>
      </c>
      <c r="E91" s="234">
        <f t="shared" si="3"/>
        <v>6.6248990100585292</v>
      </c>
      <c r="F91" s="233">
        <f t="shared" si="3"/>
        <v>17.114863113192406</v>
      </c>
      <c r="G91" s="180"/>
    </row>
    <row r="92" spans="1:9" x14ac:dyDescent="0.2">
      <c r="B92" s="310">
        <v>2015</v>
      </c>
      <c r="C92" s="313">
        <f t="shared" si="3"/>
        <v>40.357725401401552</v>
      </c>
      <c r="D92" s="234">
        <f t="shared" si="3"/>
        <v>35.326296411514718</v>
      </c>
      <c r="E92" s="234">
        <f t="shared" si="3"/>
        <v>6.3790226480398733</v>
      </c>
      <c r="F92" s="233">
        <f t="shared" si="3"/>
        <v>17.936955539043865</v>
      </c>
      <c r="G92" s="180"/>
    </row>
    <row r="93" spans="1:9" x14ac:dyDescent="0.2">
      <c r="A93" s="335"/>
      <c r="B93" s="391">
        <v>2016</v>
      </c>
      <c r="C93" s="313">
        <f t="shared" si="3"/>
        <v>42.746474234761855</v>
      </c>
      <c r="D93" s="234">
        <f t="shared" si="3"/>
        <v>32.886591802588327</v>
      </c>
      <c r="E93" s="234">
        <f t="shared" si="3"/>
        <v>6.3264070377037767</v>
      </c>
      <c r="F93" s="233">
        <f t="shared" si="3"/>
        <v>18.040526924946036</v>
      </c>
      <c r="G93" s="180"/>
    </row>
    <row r="94" spans="1:9" x14ac:dyDescent="0.2">
      <c r="A94" s="335"/>
      <c r="B94" s="72">
        <v>2017</v>
      </c>
      <c r="C94" s="313">
        <f t="shared" si="3"/>
        <v>41.275756654423596</v>
      </c>
      <c r="D94" s="234">
        <f t="shared" si="3"/>
        <v>34.14884172130057</v>
      </c>
      <c r="E94" s="234">
        <f t="shared" si="3"/>
        <v>6.3535187452594108</v>
      </c>
      <c r="F94" s="233">
        <f t="shared" si="3"/>
        <v>18.221882879016437</v>
      </c>
      <c r="G94" s="180"/>
      <c r="I94" s="1"/>
    </row>
    <row r="95" spans="1:9" x14ac:dyDescent="0.2">
      <c r="A95" s="335"/>
      <c r="B95" s="334">
        <v>2018</v>
      </c>
      <c r="C95" s="331">
        <f t="shared" si="3"/>
        <v>40.196008094809436</v>
      </c>
      <c r="D95" s="260">
        <f t="shared" si="3"/>
        <v>34.182566379467872</v>
      </c>
      <c r="E95" s="260">
        <f t="shared" si="3"/>
        <v>6.266803836235777</v>
      </c>
      <c r="F95" s="314">
        <f t="shared" si="3"/>
        <v>19.354621689486901</v>
      </c>
      <c r="G95" s="470"/>
    </row>
    <row r="96" spans="1:9" x14ac:dyDescent="0.2">
      <c r="B96" s="207"/>
    </row>
  </sheetData>
  <mergeCells count="15">
    <mergeCell ref="E65:E66"/>
    <mergeCell ref="F65:F66"/>
    <mergeCell ref="B39:G39"/>
    <mergeCell ref="E40:E41"/>
    <mergeCell ref="F40:F41"/>
    <mergeCell ref="B63:G63"/>
    <mergeCell ref="B64:G64"/>
    <mergeCell ref="B38:G38"/>
    <mergeCell ref="B2:G2"/>
    <mergeCell ref="B3:G3"/>
    <mergeCell ref="D5:D6"/>
    <mergeCell ref="E5:E6"/>
    <mergeCell ref="B4:G4"/>
    <mergeCell ref="F5:F6"/>
    <mergeCell ref="B37:G37"/>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AG49"/>
  <sheetViews>
    <sheetView zoomScaleNormal="100" workbookViewId="0">
      <selection activeCell="P22" sqref="P22"/>
    </sheetView>
  </sheetViews>
  <sheetFormatPr defaultRowHeight="12.75" x14ac:dyDescent="0.2"/>
  <cols>
    <col min="1" max="1" width="20.28515625" customWidth="1"/>
    <col min="2" max="2" width="9.7109375" customWidth="1"/>
    <col min="3" max="17" width="6.7109375" customWidth="1"/>
    <col min="22" max="22" width="9.85546875" customWidth="1"/>
    <col min="27" max="27" width="8.42578125" customWidth="1"/>
    <col min="28" max="28" width="6.42578125" customWidth="1"/>
  </cols>
  <sheetData>
    <row r="1" spans="2:32" ht="14.25" customHeight="1" x14ac:dyDescent="0.2">
      <c r="B1" s="542"/>
      <c r="C1" s="542"/>
      <c r="F1" s="19"/>
      <c r="N1" s="19" t="s">
        <v>75</v>
      </c>
    </row>
    <row r="2" spans="2:32" ht="12.75" customHeight="1" x14ac:dyDescent="0.2"/>
    <row r="3" spans="2:32" ht="12.75" customHeight="1" x14ac:dyDescent="0.2">
      <c r="V3" s="4"/>
      <c r="W3" s="539" t="s">
        <v>40</v>
      </c>
      <c r="X3" s="539" t="s">
        <v>41</v>
      </c>
      <c r="Y3" s="539" t="s">
        <v>46</v>
      </c>
      <c r="Z3" s="543" t="s">
        <v>44</v>
      </c>
      <c r="AA3" s="112"/>
      <c r="AB3" s="112"/>
      <c r="AC3" s="539" t="s">
        <v>43</v>
      </c>
      <c r="AE3" s="25"/>
    </row>
    <row r="4" spans="2:32" ht="12.75" customHeight="1" x14ac:dyDescent="0.2">
      <c r="V4" s="4"/>
      <c r="W4" s="540"/>
      <c r="X4" s="540"/>
      <c r="Y4" s="540"/>
      <c r="Z4" s="540"/>
      <c r="AA4" s="269" t="s">
        <v>107</v>
      </c>
      <c r="AB4" s="114" t="s">
        <v>42</v>
      </c>
      <c r="AC4" s="540"/>
      <c r="AE4" s="25"/>
    </row>
    <row r="5" spans="2:32" ht="12.75" customHeight="1" x14ac:dyDescent="0.2">
      <c r="T5" s="317"/>
      <c r="V5" s="32"/>
      <c r="W5" s="541"/>
      <c r="X5" s="541"/>
      <c r="Y5" s="541"/>
      <c r="Z5" s="541"/>
      <c r="AA5" s="113"/>
      <c r="AB5" s="113"/>
      <c r="AC5" s="541"/>
      <c r="AE5" s="472"/>
    </row>
    <row r="6" spans="2:32" ht="12.75" customHeight="1" x14ac:dyDescent="0.2">
      <c r="V6" s="115">
        <v>1995</v>
      </c>
      <c r="W6" s="175">
        <v>1127.1600000000001</v>
      </c>
      <c r="X6" s="175">
        <v>374.81806800000004</v>
      </c>
      <c r="Y6" s="175">
        <v>121.91820799999999</v>
      </c>
      <c r="Z6" s="175">
        <v>103.81029999999998</v>
      </c>
      <c r="AA6" s="425">
        <v>671.36542019370927</v>
      </c>
      <c r="AB6" s="425">
        <v>1.4182255053453219</v>
      </c>
      <c r="AC6" s="409">
        <f t="shared" ref="AC6:AC29" si="0">SUM(W6:AB6)</f>
        <v>2400.4902216990545</v>
      </c>
      <c r="AE6" s="473"/>
    </row>
    <row r="7" spans="2:32" ht="12.75" customHeight="1" x14ac:dyDescent="0.2">
      <c r="V7" s="116">
        <v>1996</v>
      </c>
      <c r="W7" s="175">
        <v>1136.3789999999997</v>
      </c>
      <c r="X7" s="175">
        <v>378.76300000000009</v>
      </c>
      <c r="Y7" s="175">
        <v>119.59849199999999</v>
      </c>
      <c r="Z7" s="175">
        <v>107.7071</v>
      </c>
      <c r="AA7" s="425">
        <v>679.5670919936324</v>
      </c>
      <c r="AB7" s="425">
        <v>1.4607722705056818</v>
      </c>
      <c r="AC7" s="409">
        <f t="shared" si="0"/>
        <v>2423.4754562641378</v>
      </c>
      <c r="AE7" s="473"/>
      <c r="AF7" s="1"/>
    </row>
    <row r="8" spans="2:32" ht="12.75" customHeight="1" x14ac:dyDescent="0.2">
      <c r="V8" s="116">
        <v>1997</v>
      </c>
      <c r="W8" s="175">
        <v>1182.4780000000001</v>
      </c>
      <c r="X8" s="175">
        <v>394.35199999999992</v>
      </c>
      <c r="Y8" s="175">
        <v>127.72012699999998</v>
      </c>
      <c r="Z8" s="175">
        <v>107.66900000000001</v>
      </c>
      <c r="AA8" s="425">
        <v>698.89960409345122</v>
      </c>
      <c r="AB8" s="425">
        <v>1.5458658008264012</v>
      </c>
      <c r="AC8" s="409">
        <f t="shared" si="0"/>
        <v>2512.6645968942776</v>
      </c>
      <c r="AE8" s="473"/>
    </row>
    <row r="9" spans="2:32" ht="12.75" customHeight="1" x14ac:dyDescent="0.2">
      <c r="V9" s="116">
        <v>1998</v>
      </c>
      <c r="W9" s="175">
        <v>1242.2039999999997</v>
      </c>
      <c r="X9" s="175">
        <v>377.03752500000002</v>
      </c>
      <c r="Y9" s="175">
        <v>130.914354551</v>
      </c>
      <c r="Z9" s="175">
        <v>114.67399999999999</v>
      </c>
      <c r="AA9" s="425">
        <v>721.7471183932372</v>
      </c>
      <c r="AB9" s="425">
        <v>1.5955036935134874</v>
      </c>
      <c r="AC9" s="409">
        <f t="shared" si="0"/>
        <v>2588.1725016377504</v>
      </c>
      <c r="AE9" s="473"/>
    </row>
    <row r="10" spans="2:32" ht="12.75" customHeight="1" x14ac:dyDescent="0.2">
      <c r="V10" s="116">
        <v>1999</v>
      </c>
      <c r="W10" s="175">
        <v>1294.3619999999999</v>
      </c>
      <c r="X10" s="175">
        <v>367.11001500293986</v>
      </c>
      <c r="Y10" s="175">
        <v>128.618899</v>
      </c>
      <c r="Z10" s="175">
        <v>113.21399999999998</v>
      </c>
      <c r="AA10" s="425">
        <v>742.83713159303954</v>
      </c>
      <c r="AB10" s="425">
        <v>1.6309593311471202</v>
      </c>
      <c r="AC10" s="409">
        <f t="shared" si="0"/>
        <v>2647.7730049271263</v>
      </c>
      <c r="AE10" s="473"/>
    </row>
    <row r="11" spans="2:32" ht="12.75" customHeight="1" x14ac:dyDescent="0.2">
      <c r="V11" s="116">
        <v>2000</v>
      </c>
      <c r="W11" s="426">
        <v>1343.867</v>
      </c>
      <c r="X11" s="175">
        <v>387.9207546422241</v>
      </c>
      <c r="Y11" s="175">
        <v>133.7148856</v>
      </c>
      <c r="Z11" s="175">
        <v>115.68269999999998</v>
      </c>
      <c r="AA11" s="425">
        <v>769.78548179278698</v>
      </c>
      <c r="AB11" s="425">
        <v>1.7373262440480199</v>
      </c>
      <c r="AC11" s="409">
        <f t="shared" si="0"/>
        <v>2752.7081482790591</v>
      </c>
      <c r="AE11" s="473"/>
    </row>
    <row r="12" spans="2:32" ht="12.75" customHeight="1" x14ac:dyDescent="0.2">
      <c r="V12" s="116">
        <v>2001</v>
      </c>
      <c r="W12" s="426">
        <v>1389.2530000000002</v>
      </c>
      <c r="X12" s="175">
        <v>369.25330225225701</v>
      </c>
      <c r="Y12" s="175">
        <v>132.4162436</v>
      </c>
      <c r="Z12" s="175">
        <v>122.3753</v>
      </c>
      <c r="AA12" s="425">
        <v>781.50215579267717</v>
      </c>
      <c r="AB12" s="425">
        <v>1.7444173715747466</v>
      </c>
      <c r="AC12" s="409">
        <f t="shared" si="0"/>
        <v>2796.544419016509</v>
      </c>
      <c r="AE12" s="473"/>
    </row>
    <row r="13" spans="2:32" ht="12.75" customHeight="1" x14ac:dyDescent="0.2">
      <c r="V13" s="116">
        <v>2002</v>
      </c>
      <c r="W13" s="175">
        <v>1438.8</v>
      </c>
      <c r="X13" s="175">
        <v>368.16119255303101</v>
      </c>
      <c r="Y13" s="175">
        <v>132.41402299999999</v>
      </c>
      <c r="Z13" s="175">
        <v>118.79659999999998</v>
      </c>
      <c r="AA13" s="425">
        <v>793.80466349256187</v>
      </c>
      <c r="AB13" s="425">
        <v>1.7018706064143865</v>
      </c>
      <c r="AC13" s="409">
        <f t="shared" si="0"/>
        <v>2853.6783496520075</v>
      </c>
      <c r="AE13" s="473"/>
    </row>
    <row r="14" spans="2:32" ht="12.75" customHeight="1" x14ac:dyDescent="0.2">
      <c r="V14" s="116">
        <v>2003</v>
      </c>
      <c r="W14" s="175">
        <v>1440.54</v>
      </c>
      <c r="X14" s="175">
        <v>376.30926875462399</v>
      </c>
      <c r="Y14" s="175">
        <v>123.43508519999999</v>
      </c>
      <c r="Z14" s="175">
        <v>121.20380000000002</v>
      </c>
      <c r="AA14" s="425">
        <v>807.27883859243559</v>
      </c>
      <c r="AB14" s="425">
        <v>1.7160528614678396</v>
      </c>
      <c r="AC14" s="409">
        <f t="shared" si="0"/>
        <v>2870.4830454085272</v>
      </c>
      <c r="AE14" s="473"/>
    </row>
    <row r="15" spans="2:32" ht="12.75" customHeight="1" thickBot="1" x14ac:dyDescent="0.25">
      <c r="V15" s="116">
        <v>2004</v>
      </c>
      <c r="W15" s="427">
        <v>1588.2660000000001</v>
      </c>
      <c r="X15" s="175">
        <v>390.03499999999997</v>
      </c>
      <c r="Y15" s="175">
        <v>136.76315100000005</v>
      </c>
      <c r="Z15" s="175">
        <v>122.60236060000001</v>
      </c>
      <c r="AA15" s="425">
        <v>835.98468989216678</v>
      </c>
      <c r="AB15" s="425">
        <v>1.7798730092083788</v>
      </c>
      <c r="AC15" s="409">
        <f t="shared" si="0"/>
        <v>3075.4310745013754</v>
      </c>
      <c r="AE15" s="473"/>
    </row>
    <row r="16" spans="2:32" ht="12.75" customHeight="1" thickTop="1" x14ac:dyDescent="0.2">
      <c r="V16" s="116">
        <v>2005</v>
      </c>
      <c r="W16" s="175">
        <v>1588.1540655743293</v>
      </c>
      <c r="X16" s="175">
        <v>394.59700000000004</v>
      </c>
      <c r="Y16" s="175">
        <v>138.61097439999998</v>
      </c>
      <c r="Z16" s="474">
        <v>126.80850379999998</v>
      </c>
      <c r="AA16" s="425">
        <v>838.02772881663202</v>
      </c>
      <c r="AB16" s="425">
        <v>1.8295109018954654</v>
      </c>
      <c r="AC16" s="409">
        <f t="shared" si="0"/>
        <v>3088.0277834928565</v>
      </c>
      <c r="AE16" s="473"/>
    </row>
    <row r="17" spans="2:33" ht="12.75" customHeight="1" x14ac:dyDescent="0.2">
      <c r="V17" s="116">
        <v>2006</v>
      </c>
      <c r="W17" s="175">
        <v>1638.7945822386714</v>
      </c>
      <c r="X17" s="175">
        <v>416.24600000000004</v>
      </c>
      <c r="Y17" s="175">
        <v>138.41696909999999</v>
      </c>
      <c r="Z17" s="474">
        <v>125.78924979999998</v>
      </c>
      <c r="AA17" s="425">
        <v>835.61345853614534</v>
      </c>
      <c r="AB17" s="425">
        <v>1.8862399221092783</v>
      </c>
      <c r="AC17" s="409">
        <f t="shared" si="0"/>
        <v>3156.7464995969262</v>
      </c>
      <c r="AE17" s="473"/>
    </row>
    <row r="18" spans="2:33" ht="12.75" customHeight="1" x14ac:dyDescent="0.2">
      <c r="V18" s="116">
        <v>2007</v>
      </c>
      <c r="W18" s="175">
        <v>1697.6440389755346</v>
      </c>
      <c r="X18" s="175">
        <v>430.72400000000005</v>
      </c>
      <c r="Y18" s="175">
        <v>145.40199999999999</v>
      </c>
      <c r="Z18" s="474">
        <v>118.22248842182226</v>
      </c>
      <c r="AA18" s="425">
        <v>832.21753821891821</v>
      </c>
      <c r="AB18" s="425">
        <v>1.9500600698498178</v>
      </c>
      <c r="AC18" s="409">
        <f t="shared" si="0"/>
        <v>3226.1601256861245</v>
      </c>
      <c r="AE18" s="473"/>
    </row>
    <row r="19" spans="2:33" ht="12.75" customHeight="1" x14ac:dyDescent="0.2">
      <c r="V19" s="116">
        <v>2008</v>
      </c>
      <c r="W19" s="175">
        <v>1676.4616408826396</v>
      </c>
      <c r="X19" s="175">
        <v>421.68599999999992</v>
      </c>
      <c r="Y19" s="175">
        <v>146.90300000000002</v>
      </c>
      <c r="Z19" s="474">
        <v>114.76496585313126</v>
      </c>
      <c r="AA19" s="425">
        <v>825.93152804980105</v>
      </c>
      <c r="AB19" s="425">
        <v>1.9129519385787745</v>
      </c>
      <c r="AC19" s="409">
        <f t="shared" si="0"/>
        <v>3187.6600867241505</v>
      </c>
      <c r="AE19" s="473"/>
    </row>
    <row r="20" spans="2:33" ht="12.75" customHeight="1" x14ac:dyDescent="0.2">
      <c r="V20" s="116">
        <v>2009</v>
      </c>
      <c r="W20" s="175">
        <v>1515.3165860635595</v>
      </c>
      <c r="X20" s="175">
        <v>344.36900000000003</v>
      </c>
      <c r="Y20" s="175">
        <v>132.60600000000002</v>
      </c>
      <c r="Z20" s="474">
        <v>111.63421473696151</v>
      </c>
      <c r="AA20" s="425">
        <v>759.60198724236477</v>
      </c>
      <c r="AB20" s="425">
        <v>1.8096093205950181</v>
      </c>
      <c r="AC20" s="409">
        <f t="shared" si="0"/>
        <v>2865.3373973634812</v>
      </c>
      <c r="AE20" s="473"/>
      <c r="AG20" s="1"/>
    </row>
    <row r="21" spans="2:33" ht="12.75" customHeight="1" x14ac:dyDescent="0.2">
      <c r="V21" s="116">
        <v>2010</v>
      </c>
      <c r="W21" s="175">
        <v>1558.2925344262567</v>
      </c>
      <c r="X21" s="175">
        <v>374.95499999999998</v>
      </c>
      <c r="Y21" s="175">
        <v>155.36499999999998</v>
      </c>
      <c r="Z21" s="474">
        <v>110.96844560300448</v>
      </c>
      <c r="AA21" s="425">
        <v>824.18667562548956</v>
      </c>
      <c r="AB21" s="425">
        <v>1.8397722345524581</v>
      </c>
      <c r="AC21" s="409">
        <f t="shared" si="0"/>
        <v>3025.6074278893029</v>
      </c>
      <c r="AE21" s="473"/>
    </row>
    <row r="22" spans="2:33" ht="12.75" customHeight="1" x14ac:dyDescent="0.2">
      <c r="V22" s="116">
        <v>2011</v>
      </c>
      <c r="W22" s="175">
        <v>1541.6311993737638</v>
      </c>
      <c r="X22" s="175">
        <v>401.12199999999984</v>
      </c>
      <c r="Y22" s="175">
        <v>141.82500000000002</v>
      </c>
      <c r="Z22" s="474">
        <v>108.27031897026802</v>
      </c>
      <c r="AA22" s="425">
        <v>839.89187606450753</v>
      </c>
      <c r="AB22" s="425">
        <v>1.8547253589011186</v>
      </c>
      <c r="AC22" s="409">
        <f t="shared" si="0"/>
        <v>3034.5951197674403</v>
      </c>
      <c r="AE22" s="473"/>
    </row>
    <row r="23" spans="2:33" ht="12.75" customHeight="1" x14ac:dyDescent="0.2">
      <c r="V23" s="116">
        <v>2012</v>
      </c>
      <c r="W23" s="175">
        <v>1481.6904120467425</v>
      </c>
      <c r="X23" s="175">
        <v>385.18899999999996</v>
      </c>
      <c r="Y23" s="175">
        <v>149.822</v>
      </c>
      <c r="Z23" s="474">
        <v>104.98250906969668</v>
      </c>
      <c r="AA23" s="425">
        <v>828.54095246328245</v>
      </c>
      <c r="AB23" s="425">
        <v>1.825412420546995</v>
      </c>
      <c r="AC23" s="409">
        <f t="shared" si="0"/>
        <v>2952.0502860002684</v>
      </c>
      <c r="AE23" s="473"/>
    </row>
    <row r="24" spans="2:33" ht="12.75" customHeight="1" x14ac:dyDescent="0.2">
      <c r="V24" s="116">
        <v>2013</v>
      </c>
      <c r="W24" s="175">
        <v>1518.4204925816148</v>
      </c>
      <c r="X24" s="175">
        <v>384.31900000000007</v>
      </c>
      <c r="Y24" s="175">
        <v>152.58400000000003</v>
      </c>
      <c r="Z24" s="474">
        <v>102.0834831637049</v>
      </c>
      <c r="AA24" s="425">
        <v>847.1232231415313</v>
      </c>
      <c r="AB24" s="425">
        <v>1.8374486208601757</v>
      </c>
      <c r="AC24" s="409">
        <f t="shared" si="0"/>
        <v>3006.3676475077104</v>
      </c>
      <c r="AE24" s="473"/>
    </row>
    <row r="25" spans="2:33" ht="12.75" customHeight="1" x14ac:dyDescent="0.2">
      <c r="V25" s="116">
        <v>2014</v>
      </c>
      <c r="W25" s="175">
        <v>1527.4375903839079</v>
      </c>
      <c r="X25" s="175">
        <v>388.67999999999995</v>
      </c>
      <c r="Y25" s="175">
        <v>150.70699999999997</v>
      </c>
      <c r="Z25" s="474">
        <v>101.08568894404827</v>
      </c>
      <c r="AA25" s="425">
        <v>871.71809690844339</v>
      </c>
      <c r="AB25" s="425">
        <v>2.116369827169057</v>
      </c>
      <c r="AC25" s="409">
        <f t="shared" si="0"/>
        <v>3041.7447460635685</v>
      </c>
      <c r="AE25" s="268"/>
    </row>
    <row r="26" spans="2:33" ht="12.75" customHeight="1" x14ac:dyDescent="0.2">
      <c r="V26" s="116">
        <v>2015</v>
      </c>
      <c r="W26" s="175">
        <v>1560.8886870320523</v>
      </c>
      <c r="X26" s="175">
        <v>395.89300000000014</v>
      </c>
      <c r="Y26" s="175">
        <v>147.35100000000003</v>
      </c>
      <c r="Z26" s="474">
        <v>104.14976966869865</v>
      </c>
      <c r="AA26" s="425">
        <v>861.78037394866124</v>
      </c>
      <c r="AB26" s="425">
        <v>2.1416673740029104</v>
      </c>
      <c r="AC26" s="409">
        <f t="shared" si="0"/>
        <v>3072.2044980234155</v>
      </c>
      <c r="AE26" s="268"/>
    </row>
    <row r="27" spans="2:33" ht="12.75" customHeight="1" x14ac:dyDescent="0.2">
      <c r="V27" s="116">
        <v>2016</v>
      </c>
      <c r="W27" s="175">
        <v>1620.5798557363767</v>
      </c>
      <c r="X27" s="175">
        <v>411.05700000000007</v>
      </c>
      <c r="Y27" s="175">
        <v>147.20899999999997</v>
      </c>
      <c r="Z27" s="474">
        <v>104.6967429921506</v>
      </c>
      <c r="AA27" s="425">
        <v>906.6503928731837</v>
      </c>
      <c r="AB27" s="425">
        <v>2.3996201418886942</v>
      </c>
      <c r="AC27" s="409">
        <f t="shared" si="0"/>
        <v>3192.5926117435993</v>
      </c>
      <c r="AE27" s="268"/>
    </row>
    <row r="28" spans="2:33" ht="12.75" customHeight="1" x14ac:dyDescent="0.2">
      <c r="V28" s="116">
        <v>2017</v>
      </c>
      <c r="W28" s="175">
        <v>1707.3076916016871</v>
      </c>
      <c r="X28" s="175">
        <v>414.81500000000005</v>
      </c>
      <c r="Y28" s="175">
        <v>147.22333333333333</v>
      </c>
      <c r="Z28" s="474">
        <v>103.95069553496583</v>
      </c>
      <c r="AA28" s="425">
        <v>918.99537953183517</v>
      </c>
      <c r="AB28" s="425">
        <v>2.173191624794542</v>
      </c>
      <c r="AC28" s="409">
        <f t="shared" si="0"/>
        <v>3294.4652916266159</v>
      </c>
      <c r="AD28" s="343"/>
      <c r="AE28" s="26"/>
    </row>
    <row r="29" spans="2:33" ht="12.75" customHeight="1" x14ac:dyDescent="0.2">
      <c r="V29" s="410">
        <v>2018</v>
      </c>
      <c r="W29" s="342">
        <v>1708.9087123274903</v>
      </c>
      <c r="X29" s="342">
        <v>423.32500000000005</v>
      </c>
      <c r="Y29" s="342">
        <v>134.98377777777776</v>
      </c>
      <c r="Z29" s="342">
        <v>104.04549608860503</v>
      </c>
      <c r="AA29" s="487">
        <v>979.16523132838608</v>
      </c>
      <c r="AB29" s="488">
        <v>2.2156403045035571</v>
      </c>
      <c r="AC29" s="411">
        <f t="shared" si="0"/>
        <v>3352.643857826763</v>
      </c>
    </row>
    <row r="30" spans="2:33" ht="12.75" customHeight="1" x14ac:dyDescent="0.2"/>
    <row r="31" spans="2:33" ht="12.75" customHeight="1" x14ac:dyDescent="0.2"/>
    <row r="32" spans="2:33" ht="15" customHeight="1" x14ac:dyDescent="0.2">
      <c r="B32" s="11" t="s">
        <v>92</v>
      </c>
    </row>
    <row r="34" spans="2:29" x14ac:dyDescent="0.2">
      <c r="AC34" s="1"/>
    </row>
    <row r="35" spans="2:29" x14ac:dyDescent="0.2">
      <c r="C35" s="317" t="s">
        <v>120</v>
      </c>
      <c r="AC35" s="1"/>
    </row>
    <row r="36" spans="2:29" x14ac:dyDescent="0.2">
      <c r="Y36" s="489"/>
      <c r="Z36" s="489"/>
    </row>
    <row r="37" spans="2:29" x14ac:dyDescent="0.2">
      <c r="C37" s="496">
        <v>1995</v>
      </c>
      <c r="D37" s="498">
        <v>1996</v>
      </c>
      <c r="E37" s="498">
        <v>1997</v>
      </c>
      <c r="F37" s="498">
        <v>1998</v>
      </c>
      <c r="G37" s="498">
        <v>1999</v>
      </c>
      <c r="H37" s="498">
        <v>2000</v>
      </c>
      <c r="I37" s="498">
        <v>2001</v>
      </c>
      <c r="J37" s="498">
        <v>2002</v>
      </c>
      <c r="K37" s="498">
        <v>2003</v>
      </c>
      <c r="L37" s="498">
        <v>2004</v>
      </c>
      <c r="M37" s="498">
        <v>2005</v>
      </c>
      <c r="N37" s="498">
        <v>2006</v>
      </c>
      <c r="O37" s="498">
        <v>2007</v>
      </c>
      <c r="P37" s="498">
        <v>2008</v>
      </c>
      <c r="Q37" s="498">
        <v>2009</v>
      </c>
      <c r="R37" s="498">
        <v>2010</v>
      </c>
      <c r="S37" s="498">
        <v>2011</v>
      </c>
      <c r="T37" s="498">
        <v>2012</v>
      </c>
      <c r="U37" s="498">
        <v>2013</v>
      </c>
      <c r="V37" s="498">
        <v>2014</v>
      </c>
      <c r="W37" s="498">
        <v>2015</v>
      </c>
      <c r="X37" s="498">
        <v>2016</v>
      </c>
      <c r="Y37" s="63">
        <v>2017</v>
      </c>
      <c r="Z37" s="501">
        <v>2018</v>
      </c>
    </row>
    <row r="38" spans="2:29" x14ac:dyDescent="0.2">
      <c r="B38" s="483" t="s">
        <v>40</v>
      </c>
      <c r="C38" s="499">
        <v>1127.1600000000001</v>
      </c>
      <c r="D38" s="500">
        <v>1136.3789999999997</v>
      </c>
      <c r="E38" s="500">
        <v>1182.4780000000001</v>
      </c>
      <c r="F38" s="500">
        <v>1242.2039999999997</v>
      </c>
      <c r="G38" s="500">
        <v>1294.3619999999999</v>
      </c>
      <c r="H38" s="500">
        <v>1343.867</v>
      </c>
      <c r="I38" s="500">
        <v>1389.2530000000002</v>
      </c>
      <c r="J38" s="500">
        <v>1438.8</v>
      </c>
      <c r="K38" s="500">
        <v>1440.54</v>
      </c>
      <c r="L38" s="500">
        <v>1588.2660000000001</v>
      </c>
      <c r="M38" s="500">
        <v>1588.1540655743293</v>
      </c>
      <c r="N38" s="500">
        <v>1638.7945822386714</v>
      </c>
      <c r="O38" s="500">
        <v>1697.6440389755346</v>
      </c>
      <c r="P38" s="500">
        <v>1676.4616408826396</v>
      </c>
      <c r="Q38" s="500">
        <v>1515.3165860635595</v>
      </c>
      <c r="R38" s="500">
        <v>1558.2925344262567</v>
      </c>
      <c r="S38" s="500">
        <v>1541.6311993737638</v>
      </c>
      <c r="T38" s="500">
        <v>1481.6904120467425</v>
      </c>
      <c r="U38" s="500">
        <v>1518.4204925816148</v>
      </c>
      <c r="V38" s="500">
        <v>1527.4375903839079</v>
      </c>
      <c r="W38" s="500">
        <v>1560.8886870320523</v>
      </c>
      <c r="X38" s="500">
        <v>1620.5798557363767</v>
      </c>
      <c r="Y38" s="500">
        <v>1707.3076916016871</v>
      </c>
      <c r="Z38" s="497">
        <v>1708.9087123274903</v>
      </c>
      <c r="AC38" s="1"/>
    </row>
    <row r="39" spans="2:29" x14ac:dyDescent="0.2">
      <c r="B39" s="490" t="s">
        <v>39</v>
      </c>
      <c r="C39" s="493">
        <v>671.36542019370927</v>
      </c>
      <c r="D39" s="493">
        <v>679.5670919936324</v>
      </c>
      <c r="E39" s="493">
        <v>698.89960409345122</v>
      </c>
      <c r="F39" s="493">
        <v>721.7471183932372</v>
      </c>
      <c r="G39" s="493">
        <v>742.83713159303954</v>
      </c>
      <c r="H39" s="493">
        <v>769.78548179278698</v>
      </c>
      <c r="I39" s="493">
        <v>781.50215579267717</v>
      </c>
      <c r="J39" s="493">
        <v>793.80466349256187</v>
      </c>
      <c r="K39" s="493">
        <v>807.27883859243559</v>
      </c>
      <c r="L39" s="493">
        <v>835.98468989216678</v>
      </c>
      <c r="M39" s="493">
        <v>838.02772881663202</v>
      </c>
      <c r="N39" s="493">
        <v>835.61345853614534</v>
      </c>
      <c r="O39" s="493">
        <v>832.21753821891821</v>
      </c>
      <c r="P39" s="493">
        <v>825.93152804980105</v>
      </c>
      <c r="Q39" s="493">
        <v>759.60198724236477</v>
      </c>
      <c r="R39" s="493">
        <v>824.18667562548956</v>
      </c>
      <c r="S39" s="493">
        <v>839.89187606450753</v>
      </c>
      <c r="T39" s="493">
        <v>828.54095246328245</v>
      </c>
      <c r="U39" s="493">
        <v>847.1232231415313</v>
      </c>
      <c r="V39" s="493">
        <v>871.71809690844339</v>
      </c>
      <c r="W39" s="493">
        <v>861.78037394866124</v>
      </c>
      <c r="X39" s="493">
        <v>906.6503928731837</v>
      </c>
      <c r="Y39" s="493">
        <v>918.99537953183517</v>
      </c>
      <c r="Z39" s="494">
        <v>979.16523132838608</v>
      </c>
    </row>
    <row r="40" spans="2:29" x14ac:dyDescent="0.2">
      <c r="B40" s="490" t="s">
        <v>41</v>
      </c>
      <c r="C40" s="493">
        <v>374.81806800000004</v>
      </c>
      <c r="D40" s="493">
        <v>378.76300000000009</v>
      </c>
      <c r="E40" s="493">
        <v>394.35199999999992</v>
      </c>
      <c r="F40" s="493">
        <v>377.03752500000002</v>
      </c>
      <c r="G40" s="493">
        <v>367.11001500293986</v>
      </c>
      <c r="H40" s="493">
        <v>387.9207546422241</v>
      </c>
      <c r="I40" s="493">
        <v>369.25330225225701</v>
      </c>
      <c r="J40" s="493">
        <v>368.16119255303101</v>
      </c>
      <c r="K40" s="493">
        <v>376.30926875462399</v>
      </c>
      <c r="L40" s="493">
        <v>390.03499999999997</v>
      </c>
      <c r="M40" s="493">
        <v>394.59700000000004</v>
      </c>
      <c r="N40" s="493">
        <v>416.24600000000004</v>
      </c>
      <c r="O40" s="493">
        <v>430.72400000000005</v>
      </c>
      <c r="P40" s="493">
        <v>421.68599999999992</v>
      </c>
      <c r="Q40" s="493">
        <v>344.36900000000003</v>
      </c>
      <c r="R40" s="493">
        <v>374.95499999999998</v>
      </c>
      <c r="S40" s="493">
        <v>401.12199999999984</v>
      </c>
      <c r="T40" s="493">
        <v>385.18899999999996</v>
      </c>
      <c r="U40" s="493">
        <v>384.31900000000007</v>
      </c>
      <c r="V40" s="493">
        <v>388.67999999999995</v>
      </c>
      <c r="W40" s="493">
        <v>395.89300000000014</v>
      </c>
      <c r="X40" s="493">
        <v>411.05700000000007</v>
      </c>
      <c r="Y40" s="493">
        <v>414.81500000000005</v>
      </c>
      <c r="Z40" s="494">
        <v>423.32500000000005</v>
      </c>
    </row>
    <row r="41" spans="2:29" ht="22.5" x14ac:dyDescent="0.2">
      <c r="B41" s="490" t="s">
        <v>45</v>
      </c>
      <c r="C41" s="493">
        <v>121.91820799999999</v>
      </c>
      <c r="D41" s="493">
        <v>119.59849199999999</v>
      </c>
      <c r="E41" s="493">
        <v>127.72012699999998</v>
      </c>
      <c r="F41" s="493">
        <v>130.914354551</v>
      </c>
      <c r="G41" s="493">
        <v>128.618899</v>
      </c>
      <c r="H41" s="493">
        <v>133.7148856</v>
      </c>
      <c r="I41" s="493">
        <v>132.4162436</v>
      </c>
      <c r="J41" s="493">
        <v>132.41402299999999</v>
      </c>
      <c r="K41" s="493">
        <v>123.43508519999999</v>
      </c>
      <c r="L41" s="493">
        <v>136.76315100000005</v>
      </c>
      <c r="M41" s="493">
        <v>138.61097439999998</v>
      </c>
      <c r="N41" s="493">
        <v>138.41696909999999</v>
      </c>
      <c r="O41" s="493">
        <v>145.40199999999999</v>
      </c>
      <c r="P41" s="493">
        <v>146.90300000000002</v>
      </c>
      <c r="Q41" s="493">
        <v>132.60600000000002</v>
      </c>
      <c r="R41" s="493">
        <v>155.36499999999998</v>
      </c>
      <c r="S41" s="493">
        <v>141.82500000000002</v>
      </c>
      <c r="T41" s="493">
        <v>149.822</v>
      </c>
      <c r="U41" s="493">
        <v>152.58400000000003</v>
      </c>
      <c r="V41" s="493">
        <v>150.70699999999997</v>
      </c>
      <c r="W41" s="493">
        <v>147.35100000000003</v>
      </c>
      <c r="X41" s="493">
        <v>147.20899999999997</v>
      </c>
      <c r="Y41" s="493">
        <v>147.22333333333333</v>
      </c>
      <c r="Z41" s="494">
        <v>134.98377777777776</v>
      </c>
    </row>
    <row r="42" spans="2:29" x14ac:dyDescent="0.2">
      <c r="B42" s="490" t="s">
        <v>64</v>
      </c>
      <c r="C42" s="493">
        <v>103.81029999999998</v>
      </c>
      <c r="D42" s="493">
        <v>107.7071</v>
      </c>
      <c r="E42" s="493">
        <v>107.66900000000001</v>
      </c>
      <c r="F42" s="493">
        <v>114.67399999999999</v>
      </c>
      <c r="G42" s="493">
        <v>113.21399999999998</v>
      </c>
      <c r="H42" s="493">
        <v>115.68269999999998</v>
      </c>
      <c r="I42" s="493">
        <v>122.3753</v>
      </c>
      <c r="J42" s="493">
        <v>118.79659999999998</v>
      </c>
      <c r="K42" s="493">
        <v>121.20380000000002</v>
      </c>
      <c r="L42" s="493">
        <v>122.60236060000001</v>
      </c>
      <c r="M42" s="493">
        <v>126.80850379999998</v>
      </c>
      <c r="N42" s="493">
        <v>125.78924979999998</v>
      </c>
      <c r="O42" s="493">
        <v>118.22248842182226</v>
      </c>
      <c r="P42" s="493">
        <v>114.76496585313126</v>
      </c>
      <c r="Q42" s="493">
        <v>111.63421473696151</v>
      </c>
      <c r="R42" s="493">
        <v>110.96844560300448</v>
      </c>
      <c r="S42" s="493">
        <v>108.27031897026802</v>
      </c>
      <c r="T42" s="493">
        <v>104.98250906969668</v>
      </c>
      <c r="U42" s="493">
        <v>102.0834831637049</v>
      </c>
      <c r="V42" s="493">
        <v>101.08568894404827</v>
      </c>
      <c r="W42" s="493">
        <v>104.14976966869865</v>
      </c>
      <c r="X42" s="493">
        <v>104.6967429921506</v>
      </c>
      <c r="Y42" s="493">
        <v>103.95069553496583</v>
      </c>
      <c r="Z42" s="494">
        <v>104.04549608860503</v>
      </c>
    </row>
    <row r="43" spans="2:29" x14ac:dyDescent="0.2">
      <c r="B43" s="491" t="s">
        <v>42</v>
      </c>
      <c r="C43" s="503">
        <v>1.4182255053453219</v>
      </c>
      <c r="D43" s="503">
        <v>1.4607722705056818</v>
      </c>
      <c r="E43" s="503">
        <v>1.5458658008264012</v>
      </c>
      <c r="F43" s="503">
        <v>1.5955036935134874</v>
      </c>
      <c r="G43" s="503">
        <v>1.6309593311471202</v>
      </c>
      <c r="H43" s="503">
        <v>1.7373262440480199</v>
      </c>
      <c r="I43" s="503">
        <v>1.7444173715747466</v>
      </c>
      <c r="J43" s="503">
        <v>1.7018706064143865</v>
      </c>
      <c r="K43" s="503">
        <v>1.7160528614678396</v>
      </c>
      <c r="L43" s="503">
        <v>1.7798730092083788</v>
      </c>
      <c r="M43" s="503">
        <v>1.8295109018954654</v>
      </c>
      <c r="N43" s="503">
        <v>1.8862399221092783</v>
      </c>
      <c r="O43" s="503">
        <v>1.9500600698498178</v>
      </c>
      <c r="P43" s="495">
        <v>1.9129519385787745</v>
      </c>
      <c r="Q43" s="495">
        <v>1.8096093205950181</v>
      </c>
      <c r="R43" s="495">
        <v>1.8397722345524581</v>
      </c>
      <c r="S43" s="495">
        <v>1.8547253589011186</v>
      </c>
      <c r="T43" s="495">
        <v>1.825412420546995</v>
      </c>
      <c r="U43" s="495">
        <v>1.8374486208601757</v>
      </c>
      <c r="V43" s="495">
        <v>2.116369827169057</v>
      </c>
      <c r="W43" s="495">
        <v>2.1416673740029104</v>
      </c>
      <c r="X43" s="495">
        <v>2.3996201418886942</v>
      </c>
      <c r="Y43" s="495">
        <v>2.173191624794542</v>
      </c>
      <c r="Z43" s="475">
        <v>2.2156403045035571</v>
      </c>
    </row>
    <row r="44" spans="2:29" ht="12" customHeight="1" x14ac:dyDescent="0.2">
      <c r="B44" s="132" t="s">
        <v>43</v>
      </c>
      <c r="C44" s="502">
        <f>SUM(C38:C43)</f>
        <v>2400.4902216990545</v>
      </c>
      <c r="D44" s="504">
        <f t="shared" ref="D44:Z44" si="1">SUM(D38:D43)</f>
        <v>2423.4754562641378</v>
      </c>
      <c r="E44" s="504">
        <f t="shared" si="1"/>
        <v>2512.6645968942776</v>
      </c>
      <c r="F44" s="504">
        <f t="shared" si="1"/>
        <v>2588.1725016377504</v>
      </c>
      <c r="G44" s="504">
        <f t="shared" si="1"/>
        <v>2647.7730049271263</v>
      </c>
      <c r="H44" s="504">
        <f t="shared" si="1"/>
        <v>2752.7081482790586</v>
      </c>
      <c r="I44" s="504">
        <f t="shared" si="1"/>
        <v>2796.5444190165094</v>
      </c>
      <c r="J44" s="504">
        <f t="shared" si="1"/>
        <v>2853.6783496520075</v>
      </c>
      <c r="K44" s="504">
        <f t="shared" si="1"/>
        <v>2870.4830454085272</v>
      </c>
      <c r="L44" s="504">
        <f t="shared" si="1"/>
        <v>3075.4310745013754</v>
      </c>
      <c r="M44" s="504">
        <f t="shared" si="1"/>
        <v>3088.027783492857</v>
      </c>
      <c r="N44" s="504">
        <f t="shared" si="1"/>
        <v>3156.7464995969267</v>
      </c>
      <c r="O44" s="504">
        <f t="shared" si="1"/>
        <v>3226.160125686125</v>
      </c>
      <c r="P44" s="504">
        <f t="shared" si="1"/>
        <v>3187.6600867241509</v>
      </c>
      <c r="Q44" s="504">
        <f t="shared" si="1"/>
        <v>2865.3373973634812</v>
      </c>
      <c r="R44" s="504">
        <f t="shared" si="1"/>
        <v>3025.6074278893029</v>
      </c>
      <c r="S44" s="504">
        <f t="shared" si="1"/>
        <v>3034.5951197674403</v>
      </c>
      <c r="T44" s="504">
        <f t="shared" si="1"/>
        <v>2952.0502860002684</v>
      </c>
      <c r="U44" s="504">
        <f t="shared" si="1"/>
        <v>3006.3676475077109</v>
      </c>
      <c r="V44" s="504">
        <f t="shared" si="1"/>
        <v>3041.7447460635681</v>
      </c>
      <c r="W44" s="504">
        <f t="shared" si="1"/>
        <v>3072.2044980234155</v>
      </c>
      <c r="X44" s="504">
        <f t="shared" si="1"/>
        <v>3192.5926117435997</v>
      </c>
      <c r="Y44" s="504">
        <f t="shared" si="1"/>
        <v>3294.4652916266159</v>
      </c>
      <c r="Z44" s="492">
        <f t="shared" si="1"/>
        <v>3352.6438578267635</v>
      </c>
      <c r="AC44" s="241"/>
    </row>
    <row r="45" spans="2:29" hidden="1" x14ac:dyDescent="0.2"/>
    <row r="46" spans="2:29" x14ac:dyDescent="0.2">
      <c r="C46" s="175"/>
    </row>
    <row r="49" spans="24:24" x14ac:dyDescent="0.2">
      <c r="X49" s="1"/>
    </row>
  </sheetData>
  <mergeCells count="6">
    <mergeCell ref="AC3:AC5"/>
    <mergeCell ref="B1:C1"/>
    <mergeCell ref="W3:W5"/>
    <mergeCell ref="X3:X5"/>
    <mergeCell ref="Y3:Y5"/>
    <mergeCell ref="Z3:Z5"/>
  </mergeCells>
  <phoneticPr fontId="4" type="noConversion"/>
  <printOptions horizontalCentered="1"/>
  <pageMargins left="0.6692913385826772" right="0.27559055118110237" top="0.51181102362204722" bottom="0.27559055118110237" header="0" footer="0"/>
  <pageSetup paperSize="9" scale="7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L72"/>
  <sheetViews>
    <sheetView topLeftCell="A16" zoomScale="110" zoomScaleNormal="110" workbookViewId="0">
      <selection activeCell="C66" sqref="C66"/>
    </sheetView>
  </sheetViews>
  <sheetFormatPr defaultRowHeight="12.75" x14ac:dyDescent="0.2"/>
  <cols>
    <col min="2" max="2" width="7.85546875" customWidth="1"/>
    <col min="3" max="6" width="6.7109375" customWidth="1"/>
    <col min="7" max="7" width="6.42578125" customWidth="1"/>
    <col min="8" max="8" width="5.42578125" customWidth="1"/>
    <col min="9" max="9" width="6.7109375" customWidth="1"/>
  </cols>
  <sheetData>
    <row r="1" spans="1:12" ht="14.25" customHeight="1" x14ac:dyDescent="0.2">
      <c r="B1" s="31"/>
      <c r="C1" s="31"/>
      <c r="D1" s="31"/>
      <c r="E1" s="31"/>
      <c r="F1" s="31"/>
      <c r="G1" s="31"/>
      <c r="H1" s="31"/>
      <c r="I1" s="20" t="s">
        <v>76</v>
      </c>
    </row>
    <row r="2" spans="1:12" s="81" customFormat="1" ht="30" customHeight="1" x14ac:dyDescent="0.2">
      <c r="A2"/>
      <c r="B2" s="546" t="s">
        <v>138</v>
      </c>
      <c r="C2" s="546"/>
      <c r="D2" s="546"/>
      <c r="E2" s="546"/>
      <c r="F2" s="546"/>
      <c r="G2" s="546"/>
      <c r="H2" s="546"/>
      <c r="I2" s="546"/>
      <c r="J2"/>
    </row>
    <row r="3" spans="1:12" ht="15" customHeight="1" x14ac:dyDescent="0.2">
      <c r="B3" s="537" t="s">
        <v>139</v>
      </c>
      <c r="C3" s="537"/>
      <c r="D3" s="537"/>
      <c r="E3" s="537"/>
      <c r="F3" s="537"/>
      <c r="G3" s="537"/>
      <c r="H3" s="537"/>
      <c r="I3" s="537"/>
    </row>
    <row r="4" spans="1:12" ht="12" customHeight="1" x14ac:dyDescent="0.2">
      <c r="B4" s="554" t="s">
        <v>98</v>
      </c>
      <c r="C4" s="555"/>
      <c r="D4" s="555"/>
      <c r="E4" s="555"/>
      <c r="F4" s="555"/>
      <c r="G4" s="555"/>
      <c r="H4" s="555"/>
      <c r="I4" s="555"/>
    </row>
    <row r="5" spans="1:12" s="25" customFormat="1" ht="12" customHeight="1" x14ac:dyDescent="0.2">
      <c r="A5"/>
      <c r="B5" s="4"/>
      <c r="C5" s="548" t="s">
        <v>40</v>
      </c>
      <c r="D5" s="551" t="s">
        <v>41</v>
      </c>
      <c r="E5" s="551" t="s">
        <v>46</v>
      </c>
      <c r="F5" s="551" t="s">
        <v>69</v>
      </c>
      <c r="G5" s="416"/>
      <c r="H5" s="415"/>
      <c r="I5" s="556" t="s">
        <v>43</v>
      </c>
      <c r="J5"/>
      <c r="K5"/>
      <c r="L5"/>
    </row>
    <row r="6" spans="1:12" s="25" customFormat="1" ht="12" customHeight="1" x14ac:dyDescent="0.2">
      <c r="A6"/>
      <c r="B6" s="4"/>
      <c r="C6" s="549"/>
      <c r="D6" s="552"/>
      <c r="E6" s="552"/>
      <c r="F6" s="552"/>
      <c r="G6" s="407" t="s">
        <v>39</v>
      </c>
      <c r="H6" s="419" t="s">
        <v>42</v>
      </c>
      <c r="I6" s="557"/>
      <c r="J6"/>
      <c r="K6"/>
      <c r="L6"/>
    </row>
    <row r="7" spans="1:12" s="25" customFormat="1" ht="12" customHeight="1" x14ac:dyDescent="0.2">
      <c r="A7"/>
      <c r="B7" s="32"/>
      <c r="C7" s="550"/>
      <c r="D7" s="553"/>
      <c r="E7" s="553"/>
      <c r="F7" s="553"/>
      <c r="G7" s="418"/>
      <c r="H7" s="417"/>
      <c r="I7" s="552"/>
      <c r="J7" s="330"/>
      <c r="K7"/>
      <c r="L7"/>
    </row>
    <row r="8" spans="1:12" s="25" customFormat="1" ht="12" customHeight="1" x14ac:dyDescent="0.2">
      <c r="A8"/>
      <c r="B8" s="115">
        <v>1995</v>
      </c>
      <c r="C8" s="465">
        <v>1127.1600000000001</v>
      </c>
      <c r="D8" s="158">
        <v>374.81806800000004</v>
      </c>
      <c r="E8" s="190">
        <v>121.91820799999999</v>
      </c>
      <c r="F8" s="148">
        <v>103.81029999999998</v>
      </c>
      <c r="G8" s="148">
        <v>671.36542019370927</v>
      </c>
      <c r="H8" s="428">
        <v>1.4182255053453219</v>
      </c>
      <c r="I8" s="435">
        <f t="shared" ref="I8:I31" si="0">SUM(C8:H8)</f>
        <v>2400.4902216990545</v>
      </c>
      <c r="J8" s="330"/>
      <c r="K8"/>
      <c r="L8"/>
    </row>
    <row r="9" spans="1:12" s="25" customFormat="1" ht="12.75" customHeight="1" x14ac:dyDescent="0.2">
      <c r="A9"/>
      <c r="B9" s="116">
        <v>1996</v>
      </c>
      <c r="C9" s="157">
        <v>1136.3789999999997</v>
      </c>
      <c r="D9" s="158">
        <v>378.76300000000009</v>
      </c>
      <c r="E9" s="158">
        <v>119.59849199999999</v>
      </c>
      <c r="F9" s="145">
        <v>107.7071</v>
      </c>
      <c r="G9" s="145">
        <v>679.5670919936324</v>
      </c>
      <c r="H9" s="431">
        <v>1.4607722705056818</v>
      </c>
      <c r="I9" s="435">
        <f t="shared" si="0"/>
        <v>2423.4754562641378</v>
      </c>
      <c r="J9" s="330"/>
      <c r="K9"/>
      <c r="L9"/>
    </row>
    <row r="10" spans="1:12" s="25" customFormat="1" ht="12.75" customHeight="1" x14ac:dyDescent="0.2">
      <c r="A10"/>
      <c r="B10" s="116">
        <v>1997</v>
      </c>
      <c r="C10" s="157">
        <v>1182.4780000000001</v>
      </c>
      <c r="D10" s="158">
        <v>394.35199999999992</v>
      </c>
      <c r="E10" s="158">
        <v>127.72012699999998</v>
      </c>
      <c r="F10" s="145">
        <v>107.66900000000001</v>
      </c>
      <c r="G10" s="145">
        <v>698.89960409345122</v>
      </c>
      <c r="H10" s="431">
        <v>1.5458658008264012</v>
      </c>
      <c r="I10" s="435">
        <f t="shared" si="0"/>
        <v>2512.6645968942776</v>
      </c>
      <c r="J10" s="330"/>
      <c r="K10"/>
      <c r="L10"/>
    </row>
    <row r="11" spans="1:12" s="26" customFormat="1" ht="12.75" customHeight="1" x14ac:dyDescent="0.2">
      <c r="A11"/>
      <c r="B11" s="116">
        <v>1998</v>
      </c>
      <c r="C11" s="157">
        <v>1242.2039999999997</v>
      </c>
      <c r="D11" s="158">
        <v>377.03752500000002</v>
      </c>
      <c r="E11" s="158">
        <v>130.914354551</v>
      </c>
      <c r="F11" s="145">
        <v>114.67399999999999</v>
      </c>
      <c r="G11" s="145">
        <v>721.7471183932372</v>
      </c>
      <c r="H11" s="431">
        <v>1.5955036935134874</v>
      </c>
      <c r="I11" s="435">
        <f t="shared" si="0"/>
        <v>2588.1725016377504</v>
      </c>
      <c r="J11" s="330"/>
      <c r="K11"/>
      <c r="L11"/>
    </row>
    <row r="12" spans="1:12" s="26" customFormat="1" ht="12.75" customHeight="1" x14ac:dyDescent="0.2">
      <c r="A12"/>
      <c r="B12" s="116">
        <v>1999</v>
      </c>
      <c r="C12" s="157">
        <v>1294.3619999999999</v>
      </c>
      <c r="D12" s="158">
        <v>367.11001500293986</v>
      </c>
      <c r="E12" s="158">
        <v>128.618899</v>
      </c>
      <c r="F12" s="145">
        <v>113.21399999999998</v>
      </c>
      <c r="G12" s="145">
        <v>742.83713159303954</v>
      </c>
      <c r="H12" s="431">
        <v>1.6309593311471202</v>
      </c>
      <c r="I12" s="435">
        <f t="shared" si="0"/>
        <v>2647.7730049271263</v>
      </c>
      <c r="J12" s="330"/>
      <c r="K12"/>
      <c r="L12"/>
    </row>
    <row r="13" spans="1:12" s="26" customFormat="1" ht="12.75" customHeight="1" x14ac:dyDescent="0.2">
      <c r="A13"/>
      <c r="B13" s="116">
        <v>2000</v>
      </c>
      <c r="C13" s="157">
        <v>1343.867</v>
      </c>
      <c r="D13" s="158">
        <v>387.9207546422241</v>
      </c>
      <c r="E13" s="158">
        <v>133.7148856</v>
      </c>
      <c r="F13" s="145">
        <v>115.68269999999998</v>
      </c>
      <c r="G13" s="145">
        <v>769.78548179278698</v>
      </c>
      <c r="H13" s="431">
        <v>1.7373262440480199</v>
      </c>
      <c r="I13" s="435">
        <f t="shared" si="0"/>
        <v>2752.7081482790591</v>
      </c>
      <c r="J13" s="330"/>
      <c r="K13"/>
      <c r="L13"/>
    </row>
    <row r="14" spans="1:12" s="26" customFormat="1" ht="12.75" customHeight="1" x14ac:dyDescent="0.2">
      <c r="A14"/>
      <c r="B14" s="116">
        <v>2001</v>
      </c>
      <c r="C14" s="157">
        <v>1389.2530000000002</v>
      </c>
      <c r="D14" s="158">
        <v>369.25330225225701</v>
      </c>
      <c r="E14" s="158">
        <v>132.4162436</v>
      </c>
      <c r="F14" s="145">
        <v>122.3753</v>
      </c>
      <c r="G14" s="145">
        <v>781.50215579267717</v>
      </c>
      <c r="H14" s="431">
        <v>1.7444173715747466</v>
      </c>
      <c r="I14" s="435">
        <f t="shared" si="0"/>
        <v>2796.544419016509</v>
      </c>
      <c r="J14" s="330"/>
      <c r="K14"/>
      <c r="L14"/>
    </row>
    <row r="15" spans="1:12" s="26" customFormat="1" ht="12.75" customHeight="1" x14ac:dyDescent="0.2">
      <c r="A15"/>
      <c r="B15" s="116">
        <v>2002</v>
      </c>
      <c r="C15" s="157">
        <v>1438.8</v>
      </c>
      <c r="D15" s="158">
        <v>368.16119255303101</v>
      </c>
      <c r="E15" s="158">
        <v>132.41402299999999</v>
      </c>
      <c r="F15" s="145">
        <v>118.79659999999998</v>
      </c>
      <c r="G15" s="145">
        <v>793.80466349256187</v>
      </c>
      <c r="H15" s="431">
        <v>1.7018706064143865</v>
      </c>
      <c r="I15" s="435">
        <f t="shared" si="0"/>
        <v>2853.6783496520075</v>
      </c>
      <c r="J15" s="330"/>
      <c r="K15"/>
      <c r="L15"/>
    </row>
    <row r="16" spans="1:12" s="26" customFormat="1" ht="12.75" customHeight="1" x14ac:dyDescent="0.2">
      <c r="A16"/>
      <c r="B16" s="116">
        <v>2003</v>
      </c>
      <c r="C16" s="157">
        <v>1440.54</v>
      </c>
      <c r="D16" s="158">
        <v>376.30926875462399</v>
      </c>
      <c r="E16" s="158">
        <v>123.43508519999999</v>
      </c>
      <c r="F16" s="145">
        <v>121.20380000000002</v>
      </c>
      <c r="G16" s="145">
        <v>807.27883859243559</v>
      </c>
      <c r="H16" s="431">
        <v>1.7160528614678396</v>
      </c>
      <c r="I16" s="435">
        <f t="shared" si="0"/>
        <v>2870.4830454085272</v>
      </c>
      <c r="J16" s="330"/>
      <c r="K16"/>
      <c r="L16"/>
    </row>
    <row r="17" spans="1:12" s="26" customFormat="1" ht="12.75" customHeight="1" thickBot="1" x14ac:dyDescent="0.25">
      <c r="A17"/>
      <c r="B17" s="116">
        <v>2004</v>
      </c>
      <c r="C17" s="157">
        <v>1588.2660000000001</v>
      </c>
      <c r="D17" s="158">
        <v>390.03499999999997</v>
      </c>
      <c r="E17" s="158">
        <v>136.76315100000005</v>
      </c>
      <c r="F17" s="145">
        <v>122.60236060000001</v>
      </c>
      <c r="G17" s="145">
        <v>835.98468989216678</v>
      </c>
      <c r="H17" s="431">
        <v>1.7798730092083788</v>
      </c>
      <c r="I17" s="435">
        <f t="shared" si="0"/>
        <v>3075.4310745013754</v>
      </c>
      <c r="J17" s="330"/>
      <c r="K17"/>
      <c r="L17"/>
    </row>
    <row r="18" spans="1:12" s="26" customFormat="1" ht="12.75" customHeight="1" thickTop="1" x14ac:dyDescent="0.2">
      <c r="A18"/>
      <c r="B18" s="116">
        <v>2005</v>
      </c>
      <c r="C18" s="429">
        <v>1588.1540655743293</v>
      </c>
      <c r="D18" s="158">
        <v>394.59700000000004</v>
      </c>
      <c r="E18" s="158">
        <v>138.61097439999998</v>
      </c>
      <c r="F18" s="145">
        <v>126.80850379999998</v>
      </c>
      <c r="G18" s="158">
        <v>838.02772881663202</v>
      </c>
      <c r="H18" s="431">
        <v>1.8295109018954654</v>
      </c>
      <c r="I18" s="435">
        <f t="shared" si="0"/>
        <v>3088.0277834928565</v>
      </c>
      <c r="J18" s="330"/>
      <c r="K18"/>
      <c r="L18"/>
    </row>
    <row r="19" spans="1:12" s="26" customFormat="1" ht="12.75" customHeight="1" x14ac:dyDescent="0.2">
      <c r="A19"/>
      <c r="B19" s="116">
        <v>2006</v>
      </c>
      <c r="C19" s="157">
        <v>1638.7945822386714</v>
      </c>
      <c r="D19" s="158">
        <v>416.24600000000004</v>
      </c>
      <c r="E19" s="158">
        <v>138.41696909999999</v>
      </c>
      <c r="F19" s="145">
        <v>125.78924979999998</v>
      </c>
      <c r="G19" s="158">
        <v>835.61345853614534</v>
      </c>
      <c r="H19" s="431">
        <v>1.8862399221092783</v>
      </c>
      <c r="I19" s="435">
        <f t="shared" si="0"/>
        <v>3156.7464995969262</v>
      </c>
      <c r="J19" s="330"/>
      <c r="K19"/>
      <c r="L19"/>
    </row>
    <row r="20" spans="1:12" s="26" customFormat="1" ht="12.75" customHeight="1" x14ac:dyDescent="0.2">
      <c r="A20"/>
      <c r="B20" s="116">
        <v>2007</v>
      </c>
      <c r="C20" s="157">
        <v>1697.6440389755346</v>
      </c>
      <c r="D20" s="158">
        <v>430.72400000000005</v>
      </c>
      <c r="E20" s="158">
        <v>145.40199999999999</v>
      </c>
      <c r="F20" s="145">
        <v>118.22248842182226</v>
      </c>
      <c r="G20" s="158">
        <v>832.21753821891821</v>
      </c>
      <c r="H20" s="431">
        <v>1.9500600698498178</v>
      </c>
      <c r="I20" s="435">
        <f t="shared" si="0"/>
        <v>3226.1601256861245</v>
      </c>
      <c r="J20" s="330"/>
      <c r="K20"/>
      <c r="L20"/>
    </row>
    <row r="21" spans="1:12" s="26" customFormat="1" ht="12.75" customHeight="1" x14ac:dyDescent="0.2">
      <c r="A21"/>
      <c r="B21" s="116">
        <v>2008</v>
      </c>
      <c r="C21" s="157">
        <v>1676.4616408826396</v>
      </c>
      <c r="D21" s="158">
        <v>421.68599999999992</v>
      </c>
      <c r="E21" s="158">
        <v>146.90300000000002</v>
      </c>
      <c r="F21" s="145">
        <v>114.76496585313126</v>
      </c>
      <c r="G21" s="158">
        <v>825.93152804980105</v>
      </c>
      <c r="H21" s="431">
        <v>1.9129519385787745</v>
      </c>
      <c r="I21" s="435">
        <f t="shared" si="0"/>
        <v>3187.6600867241505</v>
      </c>
      <c r="J21" s="330"/>
      <c r="K21"/>
      <c r="L21"/>
    </row>
    <row r="22" spans="1:12" s="26" customFormat="1" ht="12.75" customHeight="1" x14ac:dyDescent="0.2">
      <c r="A22"/>
      <c r="B22" s="116">
        <v>2009</v>
      </c>
      <c r="C22" s="157">
        <v>1515.3165860635595</v>
      </c>
      <c r="D22" s="158">
        <v>344.36900000000003</v>
      </c>
      <c r="E22" s="158">
        <v>132.60600000000002</v>
      </c>
      <c r="F22" s="145">
        <v>111.63421473696151</v>
      </c>
      <c r="G22" s="158">
        <v>759.60198724236477</v>
      </c>
      <c r="H22" s="432">
        <v>1.8096093205950181</v>
      </c>
      <c r="I22" s="435">
        <f t="shared" si="0"/>
        <v>2865.3373973634812</v>
      </c>
      <c r="J22" s="330"/>
      <c r="K22" s="268"/>
    </row>
    <row r="23" spans="1:12" s="26" customFormat="1" ht="12.75" customHeight="1" x14ac:dyDescent="0.2">
      <c r="A23"/>
      <c r="B23" s="116">
        <v>2010</v>
      </c>
      <c r="C23" s="157">
        <v>1558.2925344262567</v>
      </c>
      <c r="D23" s="158">
        <v>374.95499999999998</v>
      </c>
      <c r="E23" s="158">
        <v>155.36499999999998</v>
      </c>
      <c r="F23" s="145">
        <v>110.96844560300448</v>
      </c>
      <c r="G23" s="158">
        <v>824.18667562548956</v>
      </c>
      <c r="H23" s="432">
        <v>1.8397722345524581</v>
      </c>
      <c r="I23" s="435">
        <f t="shared" si="0"/>
        <v>3025.6074278893029</v>
      </c>
      <c r="J23" s="330"/>
      <c r="K23" s="268"/>
    </row>
    <row r="24" spans="1:12" s="26" customFormat="1" ht="12.75" customHeight="1" x14ac:dyDescent="0.2">
      <c r="A24"/>
      <c r="B24" s="116">
        <v>2011</v>
      </c>
      <c r="C24" s="157">
        <v>1541.6311993737638</v>
      </c>
      <c r="D24" s="145">
        <v>401.12199999999984</v>
      </c>
      <c r="E24" s="158">
        <v>141.82500000000002</v>
      </c>
      <c r="F24" s="145">
        <v>108.27031897026802</v>
      </c>
      <c r="G24" s="158">
        <v>839.89187606450753</v>
      </c>
      <c r="H24" s="432">
        <v>1.8547253589011186</v>
      </c>
      <c r="I24" s="435">
        <f t="shared" si="0"/>
        <v>3034.5951197674403</v>
      </c>
      <c r="J24" s="330"/>
      <c r="K24" s="268"/>
    </row>
    <row r="25" spans="1:12" s="26" customFormat="1" ht="12.75" customHeight="1" x14ac:dyDescent="0.2">
      <c r="A25"/>
      <c r="B25" s="116">
        <v>2012</v>
      </c>
      <c r="C25" s="157">
        <v>1481.6904120467425</v>
      </c>
      <c r="D25" s="145">
        <v>385.18899999999996</v>
      </c>
      <c r="E25" s="158">
        <v>149.822</v>
      </c>
      <c r="F25" s="145">
        <v>104.98250906969668</v>
      </c>
      <c r="G25" s="158">
        <v>828.54095246328245</v>
      </c>
      <c r="H25" s="432">
        <v>1.825412420546995</v>
      </c>
      <c r="I25" s="435">
        <f t="shared" si="0"/>
        <v>2952.0502860002684</v>
      </c>
      <c r="J25" s="330"/>
      <c r="K25" s="268"/>
    </row>
    <row r="26" spans="1:12" s="26" customFormat="1" ht="12.75" customHeight="1" x14ac:dyDescent="0.2">
      <c r="A26"/>
      <c r="B26" s="116">
        <v>2013</v>
      </c>
      <c r="C26" s="157">
        <v>1518.4204925816148</v>
      </c>
      <c r="D26" s="145">
        <v>384.31900000000007</v>
      </c>
      <c r="E26" s="158">
        <v>152.58400000000003</v>
      </c>
      <c r="F26" s="145">
        <v>102.0834831637049</v>
      </c>
      <c r="G26" s="158">
        <v>847.1232231415313</v>
      </c>
      <c r="H26" s="432">
        <v>1.8374486208601757</v>
      </c>
      <c r="I26" s="435">
        <f t="shared" si="0"/>
        <v>3006.3676475077104</v>
      </c>
      <c r="J26" s="330"/>
      <c r="K26" s="268"/>
    </row>
    <row r="27" spans="1:12" s="26" customFormat="1" ht="12.75" customHeight="1" x14ac:dyDescent="0.2">
      <c r="A27"/>
      <c r="B27" s="116">
        <v>2014</v>
      </c>
      <c r="C27" s="157">
        <v>1527.4375903839079</v>
      </c>
      <c r="D27" s="145">
        <v>388.67999999999995</v>
      </c>
      <c r="E27" s="158">
        <v>150.70699999999997</v>
      </c>
      <c r="F27" s="145">
        <v>101.08568894404827</v>
      </c>
      <c r="G27" s="158">
        <v>871.71809690844339</v>
      </c>
      <c r="H27" s="432">
        <v>2.116369827169057</v>
      </c>
      <c r="I27" s="435">
        <f t="shared" si="0"/>
        <v>3041.7447460635685</v>
      </c>
      <c r="J27" s="330"/>
      <c r="K27" s="268"/>
    </row>
    <row r="28" spans="1:12" s="26" customFormat="1" ht="12.75" customHeight="1" x14ac:dyDescent="0.2">
      <c r="A28"/>
      <c r="B28" s="116">
        <v>2015</v>
      </c>
      <c r="C28" s="157">
        <v>1560.8886870320523</v>
      </c>
      <c r="D28" s="145">
        <v>395.89300000000014</v>
      </c>
      <c r="E28" s="158">
        <v>147.35100000000003</v>
      </c>
      <c r="F28" s="145">
        <v>104.14976966869865</v>
      </c>
      <c r="G28" s="158">
        <v>861.78037394866124</v>
      </c>
      <c r="H28" s="432">
        <v>2.1416673740029104</v>
      </c>
      <c r="I28" s="435">
        <f t="shared" si="0"/>
        <v>3072.2044980234155</v>
      </c>
      <c r="J28" s="330"/>
      <c r="K28" s="268"/>
    </row>
    <row r="29" spans="1:12" s="26" customFormat="1" ht="12.75" customHeight="1" x14ac:dyDescent="0.2">
      <c r="A29"/>
      <c r="B29" s="116">
        <v>2016</v>
      </c>
      <c r="C29" s="157">
        <v>1620.5798557363767</v>
      </c>
      <c r="D29" s="145">
        <v>411.05700000000007</v>
      </c>
      <c r="E29" s="158">
        <v>147.20899999999997</v>
      </c>
      <c r="F29" s="145">
        <v>104.6967429921506</v>
      </c>
      <c r="G29" s="158">
        <v>906.6503928731837</v>
      </c>
      <c r="H29" s="178">
        <v>2.3996201418886942</v>
      </c>
      <c r="I29" s="435">
        <f t="shared" si="0"/>
        <v>3192.5926117435993</v>
      </c>
      <c r="J29" s="330"/>
      <c r="K29" s="268"/>
    </row>
    <row r="30" spans="1:12" s="26" customFormat="1" ht="15.75" customHeight="1" x14ac:dyDescent="0.2">
      <c r="A30"/>
      <c r="B30" s="116">
        <v>2017</v>
      </c>
      <c r="C30" s="157">
        <v>1707.3076916016871</v>
      </c>
      <c r="D30" s="145">
        <v>414.81500000000005</v>
      </c>
      <c r="E30" s="158">
        <v>147.22333333333333</v>
      </c>
      <c r="F30" s="145">
        <v>103.95069553496583</v>
      </c>
      <c r="G30" s="158">
        <v>918.99537953183517</v>
      </c>
      <c r="H30" s="178">
        <v>2.173191624794542</v>
      </c>
      <c r="I30" s="435">
        <f t="shared" si="0"/>
        <v>3294.4652916266159</v>
      </c>
      <c r="J30" s="434"/>
      <c r="K30" s="344"/>
      <c r="L30" s="344"/>
    </row>
    <row r="31" spans="1:12" s="33" customFormat="1" ht="17.25" customHeight="1" x14ac:dyDescent="0.2">
      <c r="A31"/>
      <c r="B31" s="116">
        <v>2018</v>
      </c>
      <c r="C31" s="157">
        <v>1708.9087123274903</v>
      </c>
      <c r="D31" s="145">
        <v>423.32500000000005</v>
      </c>
      <c r="E31" s="158">
        <v>134.98377777777776</v>
      </c>
      <c r="F31" s="145">
        <v>104.04549608860503</v>
      </c>
      <c r="G31" s="226">
        <v>979.16523132838608</v>
      </c>
      <c r="H31" s="433">
        <v>2.2156403045035571</v>
      </c>
      <c r="I31" s="435">
        <f t="shared" si="0"/>
        <v>3352.643857826763</v>
      </c>
      <c r="J31" s="330"/>
    </row>
    <row r="32" spans="1:12" s="26" customFormat="1" ht="23.1" customHeight="1" x14ac:dyDescent="0.2">
      <c r="A32"/>
      <c r="B32" s="146" t="s">
        <v>121</v>
      </c>
      <c r="C32" s="111">
        <f t="shared" ref="C32:I32" si="1">C31/C8-1</f>
        <v>0.51611901799876692</v>
      </c>
      <c r="D32" s="414">
        <f t="shared" si="1"/>
        <v>0.12941460442083064</v>
      </c>
      <c r="E32" s="414">
        <f t="shared" si="1"/>
        <v>0.10716668159835296</v>
      </c>
      <c r="F32" s="414">
        <f t="shared" si="1"/>
        <v>2.2656334545323453E-3</v>
      </c>
      <c r="G32" s="414">
        <f t="shared" si="1"/>
        <v>0.45846837188288192</v>
      </c>
      <c r="H32" s="412">
        <f t="shared" si="1"/>
        <v>0.56226234555277843</v>
      </c>
      <c r="I32" s="111">
        <f t="shared" si="1"/>
        <v>0.39664966244010746</v>
      </c>
      <c r="J32" s="330"/>
    </row>
    <row r="33" spans="1:12" s="33" customFormat="1" ht="23.1" customHeight="1" x14ac:dyDescent="0.2">
      <c r="A33"/>
      <c r="B33" s="78" t="s">
        <v>47</v>
      </c>
      <c r="C33" s="110">
        <f>(POWER((C31/C8), 1/23) -1)</f>
        <v>1.825832482485068E-2</v>
      </c>
      <c r="D33" s="413">
        <f t="shared" ref="D33:I33" si="2">(POWER((D31/D8), 1/23) -1)</f>
        <v>5.3053039520021272E-3</v>
      </c>
      <c r="E33" s="413">
        <f t="shared" si="2"/>
        <v>4.4360805306684625E-3</v>
      </c>
      <c r="F33" s="413">
        <f t="shared" si="2"/>
        <v>9.8399222496992067E-5</v>
      </c>
      <c r="G33" s="413">
        <f t="shared" si="2"/>
        <v>1.6543475341212588E-2</v>
      </c>
      <c r="H33" s="413">
        <f t="shared" si="2"/>
        <v>1.9586521032866067E-2</v>
      </c>
      <c r="I33" s="341">
        <f t="shared" si="2"/>
        <v>1.4631056449084578E-2</v>
      </c>
      <c r="J33"/>
    </row>
    <row r="34" spans="1:12" s="33" customFormat="1" ht="23.1" customHeight="1" x14ac:dyDescent="0.2">
      <c r="A34"/>
      <c r="B34" s="146" t="s">
        <v>122</v>
      </c>
      <c r="C34" s="111">
        <f>C31/C13-1</f>
        <v>0.27163529748664894</v>
      </c>
      <c r="D34" s="414">
        <f t="shared" ref="D34:I34" si="3">D31/D13-1</f>
        <v>9.1266695411615695E-2</v>
      </c>
      <c r="E34" s="414">
        <f t="shared" si="3"/>
        <v>9.4895356794724162E-3</v>
      </c>
      <c r="F34" s="414">
        <f t="shared" si="3"/>
        <v>-0.10059588781550699</v>
      </c>
      <c r="G34" s="414">
        <f t="shared" si="3"/>
        <v>0.27199752981566427</v>
      </c>
      <c r="H34" s="414">
        <f t="shared" si="3"/>
        <v>0.27531620045124727</v>
      </c>
      <c r="I34" s="340">
        <f t="shared" si="3"/>
        <v>0.21794381286761988</v>
      </c>
      <c r="J34"/>
    </row>
    <row r="35" spans="1:12" s="33" customFormat="1" ht="23.1" customHeight="1" x14ac:dyDescent="0.2">
      <c r="A35"/>
      <c r="B35" s="78" t="s">
        <v>47</v>
      </c>
      <c r="C35" s="110">
        <f>(POWER((C31/C13), 1/18) -1)</f>
        <v>1.3439717890335823E-2</v>
      </c>
      <c r="D35" s="413">
        <f t="shared" ref="D35:I35" si="4">(POWER((D31/D13), 1/18) -1)</f>
        <v>4.863964602234816E-3</v>
      </c>
      <c r="E35" s="413">
        <f t="shared" si="4"/>
        <v>5.2484839986055576E-4</v>
      </c>
      <c r="F35" s="413">
        <f t="shared" si="4"/>
        <v>-5.8728443937292596E-3</v>
      </c>
      <c r="G35" s="413">
        <f t="shared" si="4"/>
        <v>1.3455753727488418E-2</v>
      </c>
      <c r="H35" s="413">
        <f t="shared" si="4"/>
        <v>1.3602469119714522E-2</v>
      </c>
      <c r="I35" s="341">
        <f t="shared" si="4"/>
        <v>1.101376749200611E-2</v>
      </c>
      <c r="J35"/>
    </row>
    <row r="36" spans="1:12" ht="22.5" customHeight="1" x14ac:dyDescent="0.2">
      <c r="B36" s="147" t="s">
        <v>123</v>
      </c>
      <c r="C36" s="110">
        <f>C31/C30-1</f>
        <v>9.3774586366524026E-4</v>
      </c>
      <c r="D36" s="413">
        <f t="shared" ref="D36:I36" si="5">D31/D30-1</f>
        <v>2.0515169412870682E-2</v>
      </c>
      <c r="E36" s="413">
        <f t="shared" si="5"/>
        <v>-8.3135976332254224E-2</v>
      </c>
      <c r="F36" s="413">
        <f t="shared" si="5"/>
        <v>9.1197613591065263E-4</v>
      </c>
      <c r="G36" s="413">
        <f t="shared" si="5"/>
        <v>6.5473508503604672E-2</v>
      </c>
      <c r="H36" s="413">
        <f t="shared" si="5"/>
        <v>1.9532874701294833E-2</v>
      </c>
      <c r="I36" s="341">
        <f t="shared" si="5"/>
        <v>1.7659486760421172E-2</v>
      </c>
    </row>
    <row r="37" spans="1:12" ht="15" customHeight="1" x14ac:dyDescent="0.2">
      <c r="C37" s="109"/>
      <c r="D37" s="109"/>
      <c r="E37" s="109"/>
      <c r="F37" s="109"/>
      <c r="G37" s="109"/>
      <c r="H37" s="109"/>
      <c r="I37" s="134"/>
    </row>
    <row r="38" spans="1:12" ht="11.25" customHeight="1" x14ac:dyDescent="0.2">
      <c r="B38" s="558" t="s">
        <v>48</v>
      </c>
      <c r="C38" s="558"/>
      <c r="D38" s="558"/>
      <c r="E38" s="558"/>
      <c r="F38" s="558"/>
      <c r="G38" s="558"/>
      <c r="H38" s="558"/>
      <c r="I38" s="558"/>
    </row>
    <row r="39" spans="1:12" ht="12.75" customHeight="1" x14ac:dyDescent="0.2">
      <c r="B39" s="547" t="s">
        <v>49</v>
      </c>
      <c r="C39" s="547"/>
      <c r="D39" s="547"/>
      <c r="E39" s="547"/>
      <c r="F39" s="547"/>
      <c r="G39" s="547"/>
      <c r="H39" s="547"/>
      <c r="I39" s="547"/>
    </row>
    <row r="40" spans="1:12" ht="15.75" customHeight="1" x14ac:dyDescent="0.2">
      <c r="B40" s="4"/>
      <c r="C40" s="539" t="s">
        <v>40</v>
      </c>
      <c r="D40" s="539" t="s">
        <v>41</v>
      </c>
      <c r="E40" s="539" t="s">
        <v>46</v>
      </c>
      <c r="F40" s="539" t="s">
        <v>69</v>
      </c>
      <c r="G40" s="543" t="s">
        <v>39</v>
      </c>
      <c r="H40" s="539" t="s">
        <v>42</v>
      </c>
      <c r="I40" s="34"/>
    </row>
    <row r="41" spans="1:12" x14ac:dyDescent="0.2">
      <c r="B41" s="4"/>
      <c r="C41" s="540"/>
      <c r="D41" s="540"/>
      <c r="E41" s="540"/>
      <c r="F41" s="540"/>
      <c r="G41" s="540"/>
      <c r="H41" s="540"/>
      <c r="I41" s="34"/>
      <c r="J41" s="1"/>
      <c r="K41" s="1"/>
      <c r="L41" s="1"/>
    </row>
    <row r="42" spans="1:12" ht="12.75" customHeight="1" x14ac:dyDescent="0.2">
      <c r="B42" s="4"/>
      <c r="C42" s="541"/>
      <c r="D42" s="541"/>
      <c r="E42" s="541"/>
      <c r="F42" s="541"/>
      <c r="G42" s="541"/>
      <c r="H42" s="541"/>
      <c r="I42" s="34"/>
      <c r="J42" s="1"/>
      <c r="K42" s="1"/>
      <c r="L42" s="1"/>
    </row>
    <row r="43" spans="1:12" ht="12.75" customHeight="1" x14ac:dyDescent="0.2">
      <c r="B43" s="117">
        <v>1995</v>
      </c>
      <c r="C43" s="145">
        <f t="shared" ref="C43:H43" si="6">C8/$I8*100</f>
        <v>46.955408933188743</v>
      </c>
      <c r="D43" s="145">
        <f t="shared" si="6"/>
        <v>15.614230152318878</v>
      </c>
      <c r="E43" s="145">
        <f t="shared" si="6"/>
        <v>5.0788879245551319</v>
      </c>
      <c r="F43" s="145">
        <f t="shared" si="6"/>
        <v>4.3245458390796356</v>
      </c>
      <c r="G43" s="145">
        <f t="shared" si="6"/>
        <v>27.967846489227533</v>
      </c>
      <c r="H43" s="106">
        <f t="shared" si="6"/>
        <v>5.9080661630086094E-2</v>
      </c>
      <c r="I43" s="34"/>
      <c r="J43" s="1"/>
      <c r="K43" s="1"/>
      <c r="L43" s="1"/>
    </row>
    <row r="44" spans="1:12" ht="12.75" customHeight="1" x14ac:dyDescent="0.2">
      <c r="B44" s="57">
        <v>1996</v>
      </c>
      <c r="C44" s="145">
        <f t="shared" ref="C44:H66" si="7">C9/$I9*100</f>
        <v>46.890468688788083</v>
      </c>
      <c r="D44" s="145">
        <f t="shared" si="7"/>
        <v>15.628918337958947</v>
      </c>
      <c r="E44" s="145">
        <f t="shared" si="7"/>
        <v>4.9349991018421431</v>
      </c>
      <c r="F44" s="145">
        <f t="shared" si="7"/>
        <v>4.4443239448372136</v>
      </c>
      <c r="G44" s="145">
        <f t="shared" si="7"/>
        <v>28.041014000661928</v>
      </c>
      <c r="H44" s="107">
        <f t="shared" si="7"/>
        <v>6.0275925911686658E-2</v>
      </c>
      <c r="I44" s="29"/>
      <c r="J44" s="1"/>
      <c r="K44" s="1"/>
      <c r="L44" s="1"/>
    </row>
    <row r="45" spans="1:12" ht="12.75" customHeight="1" x14ac:dyDescent="0.2">
      <c r="B45" s="57">
        <v>1997</v>
      </c>
      <c r="C45" s="145">
        <f t="shared" si="7"/>
        <v>47.060717990836316</v>
      </c>
      <c r="D45" s="145">
        <f t="shared" si="7"/>
        <v>15.694573819658613</v>
      </c>
      <c r="E45" s="145">
        <f t="shared" si="7"/>
        <v>5.0830551422527925</v>
      </c>
      <c r="F45" s="145">
        <f t="shared" si="7"/>
        <v>4.2850526143872063</v>
      </c>
      <c r="G45" s="145">
        <f t="shared" si="7"/>
        <v>27.815077466260728</v>
      </c>
      <c r="H45" s="107">
        <f t="shared" si="7"/>
        <v>6.1522966604342408E-2</v>
      </c>
      <c r="I45" s="29"/>
      <c r="J45" s="1"/>
      <c r="K45" s="1"/>
      <c r="L45" s="1"/>
    </row>
    <row r="46" spans="1:12" ht="12.75" customHeight="1" x14ac:dyDescent="0.2">
      <c r="B46" s="57">
        <v>1998</v>
      </c>
      <c r="C46" s="145">
        <f t="shared" si="7"/>
        <v>47.995409858266967</v>
      </c>
      <c r="D46" s="145">
        <f t="shared" si="7"/>
        <v>14.5677123438031</v>
      </c>
      <c r="E46" s="145">
        <f t="shared" si="7"/>
        <v>5.0581773227309883</v>
      </c>
      <c r="F46" s="145">
        <f t="shared" si="7"/>
        <v>4.4306938555075552</v>
      </c>
      <c r="G46" s="145">
        <f t="shared" si="7"/>
        <v>27.886360663229681</v>
      </c>
      <c r="H46" s="107">
        <f t="shared" si="7"/>
        <v>6.1645956461707271E-2</v>
      </c>
      <c r="I46" s="29"/>
      <c r="J46" s="1"/>
      <c r="K46" s="1"/>
      <c r="L46" s="1"/>
    </row>
    <row r="47" spans="1:12" ht="12.75" customHeight="1" x14ac:dyDescent="0.2">
      <c r="B47" s="57">
        <v>1999</v>
      </c>
      <c r="C47" s="145">
        <f t="shared" si="7"/>
        <v>48.884930754689982</v>
      </c>
      <c r="D47" s="145">
        <f t="shared" si="7"/>
        <v>13.864859801795722</v>
      </c>
      <c r="E47" s="145">
        <f t="shared" si="7"/>
        <v>4.8576255880190127</v>
      </c>
      <c r="F47" s="145">
        <f t="shared" si="7"/>
        <v>4.2758197092169512</v>
      </c>
      <c r="G47" s="145">
        <f t="shared" si="7"/>
        <v>28.05516674619486</v>
      </c>
      <c r="H47" s="107">
        <f t="shared" si="7"/>
        <v>6.1597400083471601E-2</v>
      </c>
      <c r="I47" s="29"/>
      <c r="J47" s="1"/>
      <c r="K47" s="1"/>
      <c r="L47" s="1"/>
    </row>
    <row r="48" spans="1:12" ht="12.75" customHeight="1" x14ac:dyDescent="0.2">
      <c r="B48" s="57">
        <v>2000</v>
      </c>
      <c r="C48" s="145">
        <f t="shared" si="7"/>
        <v>48.819814074374726</v>
      </c>
      <c r="D48" s="145">
        <f t="shared" si="7"/>
        <v>14.092331396800811</v>
      </c>
      <c r="E48" s="145">
        <f t="shared" si="7"/>
        <v>4.8575758270485743</v>
      </c>
      <c r="F48" s="145">
        <f t="shared" si="7"/>
        <v>4.2025050883916855</v>
      </c>
      <c r="G48" s="145">
        <f t="shared" si="7"/>
        <v>27.964660266437701</v>
      </c>
      <c r="H48" s="107">
        <f t="shared" si="7"/>
        <v>6.311334694650296E-2</v>
      </c>
      <c r="I48" s="29"/>
      <c r="J48" s="1"/>
      <c r="K48" s="1"/>
      <c r="L48" s="1"/>
    </row>
    <row r="49" spans="2:12" ht="12.75" customHeight="1" x14ac:dyDescent="0.2">
      <c r="B49" s="57">
        <v>2001</v>
      </c>
      <c r="C49" s="145">
        <f t="shared" si="7"/>
        <v>49.677487350212509</v>
      </c>
      <c r="D49" s="145">
        <f t="shared" si="7"/>
        <v>13.203913363268382</v>
      </c>
      <c r="E49" s="145">
        <f t="shared" si="7"/>
        <v>4.7349951854713703</v>
      </c>
      <c r="F49" s="145">
        <f t="shared" si="7"/>
        <v>4.3759469425140418</v>
      </c>
      <c r="G49" s="145">
        <f t="shared" si="7"/>
        <v>27.945279555670943</v>
      </c>
      <c r="H49" s="107">
        <f t="shared" si="7"/>
        <v>6.2377602862758202E-2</v>
      </c>
      <c r="I49" s="80"/>
      <c r="J49" s="1"/>
      <c r="K49" s="1"/>
      <c r="L49" s="1"/>
    </row>
    <row r="50" spans="2:12" ht="12.75" customHeight="1" x14ac:dyDescent="0.2">
      <c r="B50" s="57">
        <v>2002</v>
      </c>
      <c r="C50" s="145">
        <f t="shared" si="7"/>
        <v>50.419137117378867</v>
      </c>
      <c r="D50" s="145">
        <f t="shared" si="7"/>
        <v>12.901285549505834</v>
      </c>
      <c r="E50" s="145">
        <f t="shared" si="7"/>
        <v>4.6401173074094793</v>
      </c>
      <c r="F50" s="145">
        <f t="shared" si="7"/>
        <v>4.1629288743942245</v>
      </c>
      <c r="G50" s="145">
        <f t="shared" si="7"/>
        <v>27.816893364641555</v>
      </c>
      <c r="H50" s="107">
        <f t="shared" si="7"/>
        <v>5.9637786670033131E-2</v>
      </c>
      <c r="I50" s="80"/>
      <c r="J50" s="1"/>
      <c r="K50" s="1"/>
      <c r="L50" s="1"/>
    </row>
    <row r="51" spans="2:12" ht="12.75" customHeight="1" x14ac:dyDescent="0.2">
      <c r="B51" s="57">
        <v>2003</v>
      </c>
      <c r="C51" s="145">
        <f t="shared" si="7"/>
        <v>50.184584866446492</v>
      </c>
      <c r="D51" s="145">
        <f t="shared" si="7"/>
        <v>13.109614751306347</v>
      </c>
      <c r="E51" s="145">
        <f t="shared" si="7"/>
        <v>4.3001502969139711</v>
      </c>
      <c r="F51" s="145">
        <f t="shared" si="7"/>
        <v>4.2224182509585342</v>
      </c>
      <c r="G51" s="145">
        <f t="shared" si="7"/>
        <v>28.123449113685449</v>
      </c>
      <c r="H51" s="107">
        <f t="shared" si="7"/>
        <v>5.9782720689214558E-2</v>
      </c>
      <c r="I51" s="80"/>
      <c r="J51" s="1"/>
      <c r="K51" s="1"/>
      <c r="L51" s="1"/>
    </row>
    <row r="52" spans="2:12" ht="12.75" customHeight="1" x14ac:dyDescent="0.2">
      <c r="B52" s="57">
        <v>2004</v>
      </c>
      <c r="C52" s="145">
        <f t="shared" si="7"/>
        <v>51.643687064503894</v>
      </c>
      <c r="D52" s="145">
        <f t="shared" si="7"/>
        <v>12.682287151021161</v>
      </c>
      <c r="E52" s="145">
        <f t="shared" si="7"/>
        <v>4.4469587412936464</v>
      </c>
      <c r="F52" s="145">
        <f t="shared" si="7"/>
        <v>3.9865097812305135</v>
      </c>
      <c r="G52" s="145">
        <f t="shared" si="7"/>
        <v>27.182683326034429</v>
      </c>
      <c r="H52" s="107">
        <f t="shared" si="7"/>
        <v>5.7873935916347999E-2</v>
      </c>
      <c r="I52" s="80"/>
      <c r="J52" s="1"/>
      <c r="K52" s="1"/>
      <c r="L52" s="1"/>
    </row>
    <row r="53" spans="2:12" ht="12.75" customHeight="1" x14ac:dyDescent="0.2">
      <c r="B53" s="57">
        <v>2005</v>
      </c>
      <c r="C53" s="145">
        <f t="shared" si="7"/>
        <v>51.429396913585222</v>
      </c>
      <c r="D53" s="145">
        <f t="shared" si="7"/>
        <v>12.778285289702701</v>
      </c>
      <c r="E53" s="145">
        <f t="shared" si="7"/>
        <v>4.4886569719660239</v>
      </c>
      <c r="F53" s="145">
        <f t="shared" si="7"/>
        <v>4.1064560519130877</v>
      </c>
      <c r="G53" s="145">
        <f t="shared" si="7"/>
        <v>27.137959486515435</v>
      </c>
      <c r="H53" s="107">
        <f t="shared" si="7"/>
        <v>5.9245286317538004E-2</v>
      </c>
      <c r="I53" s="80"/>
      <c r="J53" s="1"/>
      <c r="K53" s="1"/>
      <c r="L53" s="1"/>
    </row>
    <row r="54" spans="2:12" ht="12.75" customHeight="1" x14ac:dyDescent="0.2">
      <c r="B54" s="57">
        <v>2006</v>
      </c>
      <c r="C54" s="145">
        <f t="shared" si="7"/>
        <v>51.914038154407493</v>
      </c>
      <c r="D54" s="145">
        <f t="shared" si="7"/>
        <v>13.18591784462734</v>
      </c>
      <c r="E54" s="145">
        <f t="shared" si="7"/>
        <v>4.3847983712874621</v>
      </c>
      <c r="F54" s="145">
        <f t="shared" si="7"/>
        <v>3.9847751416232362</v>
      </c>
      <c r="G54" s="145">
        <f t="shared" si="7"/>
        <v>26.470717830615854</v>
      </c>
      <c r="H54" s="107">
        <f t="shared" si="7"/>
        <v>5.9752657438604133E-2</v>
      </c>
      <c r="I54" s="36"/>
      <c r="J54" s="1"/>
      <c r="K54" s="1"/>
      <c r="L54" s="1"/>
    </row>
    <row r="55" spans="2:12" ht="12.75" customHeight="1" x14ac:dyDescent="0.2">
      <c r="B55" s="57">
        <v>2007</v>
      </c>
      <c r="C55" s="145">
        <f t="shared" si="7"/>
        <v>52.621195874909887</v>
      </c>
      <c r="D55" s="145">
        <f t="shared" si="7"/>
        <v>13.350980212378508</v>
      </c>
      <c r="E55" s="145">
        <f t="shared" si="7"/>
        <v>4.5069678607188344</v>
      </c>
      <c r="F55" s="145">
        <f t="shared" si="7"/>
        <v>3.664495369605353</v>
      </c>
      <c r="G55" s="145">
        <f t="shared" si="7"/>
        <v>25.795915447374952</v>
      </c>
      <c r="H55" s="107">
        <f t="shared" si="7"/>
        <v>6.0445235012477512E-2</v>
      </c>
      <c r="I55" s="36"/>
      <c r="J55" s="1"/>
      <c r="K55" s="1"/>
      <c r="L55" s="1"/>
    </row>
    <row r="56" spans="2:12" ht="12.75" customHeight="1" x14ac:dyDescent="0.2">
      <c r="B56" s="57">
        <v>2008</v>
      </c>
      <c r="C56" s="145">
        <f t="shared" si="7"/>
        <v>52.592233653290243</v>
      </c>
      <c r="D56" s="145">
        <f t="shared" si="7"/>
        <v>13.228700317082811</v>
      </c>
      <c r="E56" s="145">
        <f t="shared" si="7"/>
        <v>4.6084901151103352</v>
      </c>
      <c r="F56" s="145">
        <f t="shared" si="7"/>
        <v>3.600288698631958</v>
      </c>
      <c r="G56" s="145">
        <f t="shared" si="7"/>
        <v>25.910276051377316</v>
      </c>
      <c r="H56" s="107">
        <f t="shared" si="7"/>
        <v>6.0011164507337726E-2</v>
      </c>
      <c r="I56" s="36"/>
      <c r="J56" s="1"/>
      <c r="K56" s="1"/>
      <c r="L56" s="1"/>
    </row>
    <row r="57" spans="2:12" ht="12.75" customHeight="1" x14ac:dyDescent="0.2">
      <c r="B57" s="57">
        <v>2009</v>
      </c>
      <c r="C57" s="145">
        <f t="shared" si="7"/>
        <v>52.884403332670935</v>
      </c>
      <c r="D57" s="145">
        <f t="shared" si="7"/>
        <v>12.018445029086926</v>
      </c>
      <c r="E57" s="145">
        <f t="shared" si="7"/>
        <v>4.6279366653999086</v>
      </c>
      <c r="F57" s="145">
        <f t="shared" si="7"/>
        <v>3.8960233737109253</v>
      </c>
      <c r="G57" s="145">
        <f t="shared" si="7"/>
        <v>26.510036407625392</v>
      </c>
      <c r="H57" s="107">
        <f t="shared" si="7"/>
        <v>6.3155191505897934E-2</v>
      </c>
      <c r="I57" s="36"/>
      <c r="J57" s="1"/>
      <c r="K57" s="1"/>
      <c r="L57" s="1"/>
    </row>
    <row r="58" spans="2:12" ht="12.75" customHeight="1" x14ac:dyDescent="0.2">
      <c r="B58" s="57">
        <v>2010</v>
      </c>
      <c r="C58" s="145">
        <f t="shared" si="7"/>
        <v>51.503460761706911</v>
      </c>
      <c r="D58" s="145">
        <f t="shared" si="7"/>
        <v>12.39271812145083</v>
      </c>
      <c r="E58" s="145">
        <f t="shared" si="7"/>
        <v>5.1350019360702168</v>
      </c>
      <c r="F58" s="145">
        <f t="shared" si="7"/>
        <v>3.6676418949836234</v>
      </c>
      <c r="G58" s="145">
        <f t="shared" si="7"/>
        <v>27.240370579089014</v>
      </c>
      <c r="H58" s="107">
        <f t="shared" si="7"/>
        <v>6.0806706699418157E-2</v>
      </c>
      <c r="I58" s="36"/>
      <c r="J58" s="1"/>
      <c r="K58" s="1"/>
      <c r="L58" s="1"/>
    </row>
    <row r="59" spans="2:12" ht="14.25" customHeight="1" x14ac:dyDescent="0.2">
      <c r="B59" s="57">
        <v>2011</v>
      </c>
      <c r="C59" s="145">
        <f t="shared" si="7"/>
        <v>50.801874336761884</v>
      </c>
      <c r="D59" s="145">
        <f t="shared" si="7"/>
        <v>13.218303733077258</v>
      </c>
      <c r="E59" s="145">
        <f t="shared" si="7"/>
        <v>4.6736053543402827</v>
      </c>
      <c r="F59" s="145">
        <f t="shared" si="7"/>
        <v>3.5678670365279386</v>
      </c>
      <c r="G59" s="145">
        <f t="shared" si="7"/>
        <v>27.677230171281419</v>
      </c>
      <c r="H59" s="107">
        <f t="shared" si="7"/>
        <v>6.1119368011217839E-2</v>
      </c>
      <c r="I59" s="36"/>
      <c r="J59" s="1"/>
      <c r="K59" s="1"/>
      <c r="L59" s="1"/>
    </row>
    <row r="60" spans="2:12" ht="14.25" customHeight="1" x14ac:dyDescent="0.2">
      <c r="B60" s="57">
        <v>2012</v>
      </c>
      <c r="C60" s="145">
        <f t="shared" si="7"/>
        <v>50.191909638988029</v>
      </c>
      <c r="D60" s="145">
        <f t="shared" si="7"/>
        <v>13.048185589070449</v>
      </c>
      <c r="E60" s="145">
        <f t="shared" si="7"/>
        <v>5.075184549210161</v>
      </c>
      <c r="F60" s="145">
        <f t="shared" si="7"/>
        <v>3.5562574786602781</v>
      </c>
      <c r="G60" s="145">
        <f t="shared" si="7"/>
        <v>28.066627333298992</v>
      </c>
      <c r="H60" s="107">
        <f t="shared" si="7"/>
        <v>6.1835410772092418E-2</v>
      </c>
      <c r="J60" s="1"/>
      <c r="K60" s="1"/>
      <c r="L60" s="1"/>
    </row>
    <row r="61" spans="2:12" ht="14.25" customHeight="1" x14ac:dyDescent="0.2">
      <c r="B61" s="57">
        <v>2013</v>
      </c>
      <c r="C61" s="145">
        <f t="shared" si="7"/>
        <v>50.506813224935776</v>
      </c>
      <c r="D61" s="145">
        <f t="shared" si="7"/>
        <v>12.783499726608682</v>
      </c>
      <c r="E61" s="145">
        <f t="shared" si="7"/>
        <v>5.0753606308427619</v>
      </c>
      <c r="F61" s="145">
        <f t="shared" si="7"/>
        <v>3.3955754961750095</v>
      </c>
      <c r="G61" s="145">
        <f t="shared" si="7"/>
        <v>28.177632361224997</v>
      </c>
      <c r="H61" s="107">
        <f t="shared" si="7"/>
        <v>6.1118560212801223E-2</v>
      </c>
      <c r="J61" s="1"/>
      <c r="K61" s="1"/>
      <c r="L61" s="1"/>
    </row>
    <row r="62" spans="2:12" ht="14.25" customHeight="1" x14ac:dyDescent="0.2">
      <c r="B62" s="57">
        <v>2014</v>
      </c>
      <c r="C62" s="145">
        <f t="shared" si="7"/>
        <v>50.215837221733352</v>
      </c>
      <c r="D62" s="145">
        <f t="shared" si="7"/>
        <v>12.778192532526104</v>
      </c>
      <c r="E62" s="145">
        <f t="shared" si="7"/>
        <v>4.9546235000499408</v>
      </c>
      <c r="F62" s="145">
        <f t="shared" si="7"/>
        <v>3.3232798075797416</v>
      </c>
      <c r="G62" s="145">
        <f t="shared" si="7"/>
        <v>28.65848944217181</v>
      </c>
      <c r="H62" s="107">
        <f t="shared" si="7"/>
        <v>6.9577495939063511E-2</v>
      </c>
      <c r="J62" s="1"/>
      <c r="K62" s="1"/>
      <c r="L62" s="1"/>
    </row>
    <row r="63" spans="2:12" ht="15" customHeight="1" x14ac:dyDescent="0.2">
      <c r="B63" s="57">
        <v>2015</v>
      </c>
      <c r="C63" s="145">
        <f t="shared" si="7"/>
        <v>50.80679648884999</v>
      </c>
      <c r="D63" s="145">
        <f t="shared" si="7"/>
        <v>12.886284108193594</v>
      </c>
      <c r="E63" s="145">
        <f t="shared" si="7"/>
        <v>4.7962627518709198</v>
      </c>
      <c r="F63" s="145">
        <f t="shared" si="7"/>
        <v>3.3900663102246669</v>
      </c>
      <c r="G63" s="145">
        <f t="shared" si="7"/>
        <v>28.050879246583705</v>
      </c>
      <c r="H63" s="107">
        <f t="shared" si="7"/>
        <v>6.9711094277116289E-2</v>
      </c>
      <c r="J63" s="1"/>
      <c r="K63" s="1"/>
      <c r="L63" s="1"/>
    </row>
    <row r="64" spans="2:12" ht="12.75" customHeight="1" x14ac:dyDescent="0.2">
      <c r="B64" s="57">
        <v>2016</v>
      </c>
      <c r="C64" s="145">
        <f t="shared" si="7"/>
        <v>50.760621626926429</v>
      </c>
      <c r="D64" s="145">
        <f t="shared" si="7"/>
        <v>12.875335189587684</v>
      </c>
      <c r="E64" s="145">
        <f t="shared" si="7"/>
        <v>4.6109547287213513</v>
      </c>
      <c r="F64" s="145">
        <f t="shared" si="7"/>
        <v>3.2793643199898166</v>
      </c>
      <c r="G64" s="145">
        <f t="shared" si="7"/>
        <v>28.398562019412388</v>
      </c>
      <c r="H64" s="107">
        <f t="shared" si="7"/>
        <v>7.5162115362353371E-2</v>
      </c>
    </row>
    <row r="65" spans="2:10" ht="18.75" customHeight="1" x14ac:dyDescent="0.2">
      <c r="B65" s="57">
        <v>2017</v>
      </c>
      <c r="C65" s="145">
        <f t="shared" si="7"/>
        <v>51.82351430264174</v>
      </c>
      <c r="D65" s="145">
        <f t="shared" si="7"/>
        <v>12.591269395197921</v>
      </c>
      <c r="E65" s="145">
        <f t="shared" si="7"/>
        <v>4.4688081464243616</v>
      </c>
      <c r="F65" s="145">
        <f t="shared" si="7"/>
        <v>3.1553131186166179</v>
      </c>
      <c r="G65" s="145">
        <f t="shared" si="7"/>
        <v>27.895130110115335</v>
      </c>
      <c r="H65" s="107">
        <f t="shared" si="7"/>
        <v>6.5964927004028201E-2</v>
      </c>
      <c r="I65" s="36"/>
      <c r="J65" s="315"/>
    </row>
    <row r="66" spans="2:10" ht="15" customHeight="1" x14ac:dyDescent="0.2">
      <c r="B66" s="333">
        <v>2018</v>
      </c>
      <c r="C66" s="430">
        <f t="shared" si="7"/>
        <v>50.971972711567169</v>
      </c>
      <c r="D66" s="150">
        <f t="shared" si="7"/>
        <v>12.626602107221913</v>
      </c>
      <c r="E66" s="150">
        <f t="shared" si="7"/>
        <v>4.0261889870186325</v>
      </c>
      <c r="F66" s="150">
        <f t="shared" si="7"/>
        <v>3.1033864764881103</v>
      </c>
      <c r="G66" s="150">
        <f t="shared" si="7"/>
        <v>29.205763357253716</v>
      </c>
      <c r="H66" s="108">
        <f t="shared" si="7"/>
        <v>6.6086360450458653E-2</v>
      </c>
      <c r="I66" s="36"/>
      <c r="J66" s="471"/>
    </row>
    <row r="67" spans="2:10" ht="19.5" customHeight="1" x14ac:dyDescent="0.2">
      <c r="B67" s="133" t="s">
        <v>124</v>
      </c>
      <c r="E67" s="145"/>
      <c r="G67" s="36"/>
      <c r="H67" s="36"/>
      <c r="I67" s="27"/>
      <c r="J67" s="315"/>
    </row>
    <row r="68" spans="2:10" ht="12.75" customHeight="1" x14ac:dyDescent="0.2">
      <c r="B68" s="133" t="s">
        <v>151</v>
      </c>
      <c r="C68" s="12"/>
      <c r="D68" s="12"/>
      <c r="E68" s="12"/>
      <c r="F68" s="12"/>
      <c r="G68" s="27"/>
      <c r="H68" s="27"/>
      <c r="I68" s="315"/>
    </row>
    <row r="69" spans="2:10" ht="60.75" customHeight="1" x14ac:dyDescent="0.2">
      <c r="B69" s="544" t="s">
        <v>126</v>
      </c>
      <c r="C69" s="544"/>
      <c r="D69" s="544"/>
      <c r="E69" s="544"/>
      <c r="F69" s="544"/>
      <c r="G69" s="544"/>
      <c r="H69" s="544"/>
      <c r="I69" s="544"/>
    </row>
    <row r="70" spans="2:10" ht="35.25" customHeight="1" x14ac:dyDescent="0.2">
      <c r="B70" s="544" t="s">
        <v>125</v>
      </c>
      <c r="C70" s="544"/>
      <c r="D70" s="544"/>
      <c r="E70" s="544"/>
      <c r="F70" s="544"/>
      <c r="G70" s="544"/>
      <c r="H70" s="544"/>
      <c r="I70" s="544"/>
    </row>
    <row r="71" spans="2:10" ht="15" customHeight="1" x14ac:dyDescent="0.2">
      <c r="B71" s="545"/>
      <c r="C71" s="545"/>
      <c r="D71" s="545"/>
      <c r="E71" s="545"/>
      <c r="F71" s="545"/>
      <c r="G71" s="545"/>
      <c r="H71" s="545"/>
      <c r="I71" s="545"/>
    </row>
    <row r="72" spans="2:10" x14ac:dyDescent="0.2">
      <c r="C72" s="12"/>
      <c r="D72" s="12"/>
      <c r="E72" s="12"/>
      <c r="F72" s="12"/>
      <c r="G72" s="12"/>
      <c r="H72" s="12"/>
    </row>
  </sheetData>
  <mergeCells count="19">
    <mergeCell ref="B2:I2"/>
    <mergeCell ref="B3:I3"/>
    <mergeCell ref="B39:I39"/>
    <mergeCell ref="C5:C7"/>
    <mergeCell ref="D5:D7"/>
    <mergeCell ref="E5:E7"/>
    <mergeCell ref="F5:F7"/>
    <mergeCell ref="B4:I4"/>
    <mergeCell ref="I5:I7"/>
    <mergeCell ref="B38:I38"/>
    <mergeCell ref="B69:I69"/>
    <mergeCell ref="B70:I70"/>
    <mergeCell ref="B71:I71"/>
    <mergeCell ref="C40:C42"/>
    <mergeCell ref="H40:H42"/>
    <mergeCell ref="D40:D42"/>
    <mergeCell ref="E40:E42"/>
    <mergeCell ref="F40:F42"/>
    <mergeCell ref="G40:G42"/>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pageSetUpPr fitToPage="1"/>
  </sheetPr>
  <dimension ref="A1:S63"/>
  <sheetViews>
    <sheetView topLeftCell="A16" workbookViewId="0">
      <selection activeCell="U32" sqref="U32"/>
    </sheetView>
  </sheetViews>
  <sheetFormatPr defaultRowHeight="12.75" x14ac:dyDescent="0.2"/>
  <cols>
    <col min="1" max="1" width="7.7109375" customWidth="1"/>
    <col min="3" max="4" width="9.140625" style="361"/>
    <col min="5" max="6" width="7.42578125" style="361" customWidth="1"/>
    <col min="14" max="14" width="7.85546875" customWidth="1"/>
  </cols>
  <sheetData>
    <row r="1" spans="2:17" ht="14.25" customHeight="1" x14ac:dyDescent="0.2">
      <c r="B1" s="270"/>
      <c r="C1" s="360"/>
      <c r="D1" s="360"/>
      <c r="E1" s="360"/>
      <c r="G1" s="19" t="s">
        <v>77</v>
      </c>
    </row>
    <row r="2" spans="2:17" ht="12.75" customHeight="1" x14ac:dyDescent="0.2">
      <c r="B2" s="559" t="s">
        <v>134</v>
      </c>
      <c r="C2" s="559"/>
      <c r="D2" s="559"/>
      <c r="E2" s="559"/>
      <c r="F2" s="559"/>
      <c r="G2" s="559"/>
    </row>
    <row r="3" spans="2:17" ht="20.25" customHeight="1" x14ac:dyDescent="0.2">
      <c r="B3" s="559"/>
      <c r="C3" s="559"/>
      <c r="D3" s="559"/>
      <c r="E3" s="559"/>
      <c r="F3" s="559"/>
      <c r="G3" s="559"/>
    </row>
    <row r="4" spans="2:17" ht="12.75" customHeight="1" x14ac:dyDescent="0.2">
      <c r="B4" s="560">
        <v>2018</v>
      </c>
      <c r="C4" s="560"/>
      <c r="D4" s="560"/>
      <c r="E4" s="560"/>
      <c r="F4" s="560"/>
      <c r="G4" s="560"/>
      <c r="K4" s="562">
        <v>2018</v>
      </c>
      <c r="L4" s="563"/>
      <c r="M4" s="563"/>
      <c r="N4" s="564"/>
      <c r="O4" s="365"/>
    </row>
    <row r="5" spans="2:17" ht="12.75" customHeight="1" x14ac:dyDescent="0.2">
      <c r="B5" s="561" t="s">
        <v>109</v>
      </c>
      <c r="C5" s="561"/>
      <c r="D5" s="561"/>
      <c r="E5" s="561"/>
      <c r="F5" s="561"/>
      <c r="G5" s="561"/>
      <c r="K5" s="366"/>
      <c r="L5" s="367"/>
      <c r="M5" s="367"/>
      <c r="N5" s="368"/>
      <c r="O5" s="332"/>
      <c r="P5" s="1"/>
    </row>
    <row r="6" spans="2:17" ht="33.75" x14ac:dyDescent="0.2">
      <c r="B6" s="60"/>
      <c r="C6" s="271" t="s">
        <v>40</v>
      </c>
      <c r="D6" s="272" t="s">
        <v>41</v>
      </c>
      <c r="E6" s="272" t="s">
        <v>46</v>
      </c>
      <c r="F6" s="273" t="s">
        <v>69</v>
      </c>
      <c r="G6" s="274"/>
      <c r="H6" s="1"/>
      <c r="K6" s="366" t="s">
        <v>40</v>
      </c>
      <c r="L6" s="272" t="s">
        <v>41</v>
      </c>
      <c r="M6" s="272" t="s">
        <v>46</v>
      </c>
      <c r="N6" s="273" t="s">
        <v>69</v>
      </c>
      <c r="O6" s="273" t="s">
        <v>118</v>
      </c>
    </row>
    <row r="7" spans="2:17" x14ac:dyDescent="0.2">
      <c r="B7" s="289" t="s">
        <v>115</v>
      </c>
      <c r="C7" s="298">
        <f>K7/O7*100</f>
        <v>72.067447696742775</v>
      </c>
      <c r="D7" s="298">
        <f>L7/O7*100</f>
        <v>17.852300755534557</v>
      </c>
      <c r="E7" s="298">
        <f>M7/O7*100</f>
        <v>5.6924844930186733</v>
      </c>
      <c r="F7" s="298">
        <f>N7/O7*100</f>
        <v>4.3877670547040006</v>
      </c>
      <c r="G7" s="289" t="s">
        <v>115</v>
      </c>
      <c r="J7" s="289" t="s">
        <v>115</v>
      </c>
      <c r="K7" s="300">
        <f>road_ter!P7</f>
        <v>1708.9087123274903</v>
      </c>
      <c r="L7" s="298">
        <f>rail_tkm!AG7</f>
        <v>423.32500000000005</v>
      </c>
      <c r="M7" s="421">
        <f>iww!AG6</f>
        <v>134.98377777777776</v>
      </c>
      <c r="N7" s="320">
        <f>pipeline!AG6</f>
        <v>104.04549608860503</v>
      </c>
      <c r="O7" s="292">
        <f>SUM(K7:N7)</f>
        <v>2371.2629861938731</v>
      </c>
      <c r="Q7" s="1"/>
    </row>
    <row r="8" spans="2:17" x14ac:dyDescent="0.2">
      <c r="B8" s="289" t="s">
        <v>99</v>
      </c>
      <c r="C8" s="298">
        <f t="shared" ref="C8:C44" si="0">K8/O8*100</f>
        <v>73.102040890011139</v>
      </c>
      <c r="D8" s="298">
        <f t="shared" ref="D8:D44" si="1">L8/O8*100</f>
        <v>17.182504169279984</v>
      </c>
      <c r="E8" s="298">
        <f t="shared" ref="E8:E44" si="2">M8/O8*100</f>
        <v>5.2685447728753969</v>
      </c>
      <c r="F8" s="298">
        <f t="shared" ref="F8:F44" si="3">N8/O8*100</f>
        <v>4.4469101678334848</v>
      </c>
      <c r="G8" s="289" t="s">
        <v>99</v>
      </c>
      <c r="J8" s="289" t="s">
        <v>99</v>
      </c>
      <c r="K8" s="300">
        <f>road_ter!P8</f>
        <v>1874.2154727885027</v>
      </c>
      <c r="L8" s="298">
        <f>rail_tkm!AG8</f>
        <v>440.53100000000006</v>
      </c>
      <c r="M8" s="421">
        <f>iww!AG7</f>
        <v>135.07677777777775</v>
      </c>
      <c r="N8" s="320">
        <f>pipeline!AG7</f>
        <v>114.01142486834289</v>
      </c>
      <c r="O8" s="292">
        <f t="shared" ref="O8:O44" si="4">SUM(K8:N8)</f>
        <v>2563.8346754346235</v>
      </c>
      <c r="Q8" s="1"/>
    </row>
    <row r="9" spans="2:17" x14ac:dyDescent="0.2">
      <c r="B9" s="17" t="s">
        <v>22</v>
      </c>
      <c r="C9" s="152">
        <f t="shared" si="0"/>
        <v>71.484431699504441</v>
      </c>
      <c r="D9" s="152">
        <f t="shared" si="1"/>
        <v>10.244767351281824</v>
      </c>
      <c r="E9" s="152">
        <f t="shared" si="2"/>
        <v>15.982118517652152</v>
      </c>
      <c r="F9" s="188">
        <f t="shared" si="3"/>
        <v>2.2886824315615613</v>
      </c>
      <c r="G9" s="17" t="s">
        <v>22</v>
      </c>
      <c r="J9" s="17" t="s">
        <v>22</v>
      </c>
      <c r="K9" s="152">
        <f>road_ter!P9</f>
        <v>50.797313880171139</v>
      </c>
      <c r="L9" s="152">
        <f>rail_tkm!AG9</f>
        <v>7.28</v>
      </c>
      <c r="M9" s="152">
        <f>iww!AG8</f>
        <v>11.356999999999999</v>
      </c>
      <c r="N9" s="152">
        <f>pipeline!AG8</f>
        <v>1.626352998605036</v>
      </c>
      <c r="O9" s="179">
        <f t="shared" si="4"/>
        <v>71.060666878776189</v>
      </c>
    </row>
    <row r="10" spans="2:17" x14ac:dyDescent="0.2">
      <c r="B10" s="89" t="s">
        <v>5</v>
      </c>
      <c r="C10" s="155">
        <f t="shared" si="0"/>
        <v>54.367767656927235</v>
      </c>
      <c r="D10" s="155">
        <f t="shared" si="1"/>
        <v>18.657263758437075</v>
      </c>
      <c r="E10" s="155">
        <f t="shared" si="2"/>
        <v>23.7021410403994</v>
      </c>
      <c r="F10" s="156">
        <f t="shared" si="3"/>
        <v>3.2728275442362946</v>
      </c>
      <c r="G10" s="89" t="s">
        <v>5</v>
      </c>
      <c r="J10" s="89" t="s">
        <v>5</v>
      </c>
      <c r="K10" s="155">
        <f>road_ter!P10</f>
        <v>11.143238698443838</v>
      </c>
      <c r="L10" s="155">
        <f>rail_tkm!AG10</f>
        <v>3.8239999999999998</v>
      </c>
      <c r="M10" s="155">
        <f>iww!AG9</f>
        <v>4.8579999999999997</v>
      </c>
      <c r="N10" s="155">
        <f>pipeline!AG9</f>
        <v>0.67079999999999995</v>
      </c>
      <c r="O10" s="376">
        <f t="shared" si="4"/>
        <v>20.496038698443837</v>
      </c>
    </row>
    <row r="11" spans="2:17" x14ac:dyDescent="0.2">
      <c r="B11" s="17" t="s">
        <v>7</v>
      </c>
      <c r="C11" s="152">
        <f t="shared" si="0"/>
        <v>69.919085491137679</v>
      </c>
      <c r="D11" s="152">
        <f t="shared" si="1"/>
        <v>26.653486034278135</v>
      </c>
      <c r="E11" s="152">
        <f t="shared" si="2"/>
        <v>3.7009791040110908E-2</v>
      </c>
      <c r="F11" s="188">
        <f t="shared" si="3"/>
        <v>3.3904186835440733</v>
      </c>
      <c r="G11" s="17" t="s">
        <v>7</v>
      </c>
      <c r="J11" s="17" t="s">
        <v>7</v>
      </c>
      <c r="K11" s="152">
        <f>road_ter!P11</f>
        <v>43.451716994383425</v>
      </c>
      <c r="L11" s="152">
        <f>rail_tkm!AG11</f>
        <v>16.564</v>
      </c>
      <c r="M11" s="152">
        <f>iww!AG10</f>
        <v>2.3E-2</v>
      </c>
      <c r="N11" s="152">
        <f>pipeline!AG10</f>
        <v>2.1070000000000002</v>
      </c>
      <c r="O11" s="179">
        <f t="shared" si="4"/>
        <v>62.145716994383427</v>
      </c>
    </row>
    <row r="12" spans="2:17" x14ac:dyDescent="0.2">
      <c r="B12" s="89" t="s">
        <v>18</v>
      </c>
      <c r="C12" s="155">
        <f t="shared" si="0"/>
        <v>80.776510933256105</v>
      </c>
      <c r="D12" s="155">
        <f t="shared" si="1"/>
        <v>10.854534314134444</v>
      </c>
      <c r="E12" s="155" t="s">
        <v>35</v>
      </c>
      <c r="F12" s="156">
        <f t="shared" si="3"/>
        <v>8.3689547526094401</v>
      </c>
      <c r="G12" s="89" t="s">
        <v>18</v>
      </c>
      <c r="J12" s="89" t="s">
        <v>18</v>
      </c>
      <c r="K12" s="155">
        <f>road_ter!P12</f>
        <v>19.303846972782353</v>
      </c>
      <c r="L12" s="155">
        <f>rail_tkm!AG12</f>
        <v>2.5939999999999999</v>
      </c>
      <c r="M12" s="155" t="str">
        <f>iww!AG11</f>
        <v>-</v>
      </c>
      <c r="N12" s="155">
        <f>pipeline!AG11</f>
        <v>2</v>
      </c>
      <c r="O12" s="376">
        <f t="shared" si="4"/>
        <v>23.897846972782354</v>
      </c>
    </row>
    <row r="13" spans="2:17" x14ac:dyDescent="0.2">
      <c r="B13" s="17" t="s">
        <v>23</v>
      </c>
      <c r="C13" s="152">
        <f t="shared" si="0"/>
        <v>70.839808792262843</v>
      </c>
      <c r="D13" s="152">
        <f t="shared" si="1"/>
        <v>19.25216830445925</v>
      </c>
      <c r="E13" s="152">
        <f t="shared" si="2"/>
        <v>7.2455941714607865</v>
      </c>
      <c r="F13" s="188">
        <f t="shared" si="3"/>
        <v>2.6624287318171298</v>
      </c>
      <c r="G13" s="17" t="s">
        <v>23</v>
      </c>
      <c r="J13" s="17" t="s">
        <v>23</v>
      </c>
      <c r="K13" s="152">
        <f>road_ter!P13</f>
        <v>458.5487116091237</v>
      </c>
      <c r="L13" s="152">
        <f>rail_tkm!AG13</f>
        <v>124.62</v>
      </c>
      <c r="M13" s="152">
        <f>iww!AG12</f>
        <v>46.901000000000003</v>
      </c>
      <c r="N13" s="152">
        <f>pipeline!AG12</f>
        <v>17.234000000000002</v>
      </c>
      <c r="O13" s="179">
        <f t="shared" si="4"/>
        <v>647.30371160912364</v>
      </c>
    </row>
    <row r="14" spans="2:17" x14ac:dyDescent="0.2">
      <c r="B14" s="89" t="s">
        <v>8</v>
      </c>
      <c r="C14" s="155">
        <f t="shared" si="0"/>
        <v>53.802968330732291</v>
      </c>
      <c r="D14" s="155">
        <f t="shared" si="1"/>
        <v>46.197031669267702</v>
      </c>
      <c r="E14" s="155" t="s">
        <v>35</v>
      </c>
      <c r="F14" s="156" t="s">
        <v>35</v>
      </c>
      <c r="G14" s="89" t="s">
        <v>8</v>
      </c>
      <c r="J14" s="89" t="s">
        <v>8</v>
      </c>
      <c r="K14" s="155">
        <f>road_ter!P14</f>
        <v>3.0140915337762952</v>
      </c>
      <c r="L14" s="155">
        <f>rail_tkm!AG14</f>
        <v>2.5880000000000001</v>
      </c>
      <c r="M14" s="155" t="str">
        <f>iww!AG13</f>
        <v>-</v>
      </c>
      <c r="N14" s="155" t="str">
        <f>pipeline!AG13</f>
        <v>-</v>
      </c>
      <c r="O14" s="376">
        <f t="shared" si="4"/>
        <v>5.6020915337762958</v>
      </c>
    </row>
    <row r="15" spans="2:17" x14ac:dyDescent="0.2">
      <c r="B15" s="17" t="s">
        <v>26</v>
      </c>
      <c r="C15" s="152">
        <f t="shared" si="0"/>
        <v>99.184413459896803</v>
      </c>
      <c r="D15" s="152">
        <f t="shared" si="1"/>
        <v>0.81558654010318921</v>
      </c>
      <c r="E15" s="152" t="s">
        <v>35</v>
      </c>
      <c r="F15" s="188" t="s">
        <v>35</v>
      </c>
      <c r="G15" s="17" t="s">
        <v>26</v>
      </c>
      <c r="J15" s="17" t="s">
        <v>26</v>
      </c>
      <c r="K15" s="152">
        <f>road_ter!P15</f>
        <v>10.823391956436602</v>
      </c>
      <c r="L15" s="152">
        <f>rail_tkm!AG15</f>
        <v>8.8999999999999996E-2</v>
      </c>
      <c r="M15" s="152" t="str">
        <f>iww!AG14</f>
        <v>-</v>
      </c>
      <c r="N15" s="152" t="str">
        <f>pipeline!AG14</f>
        <v>-</v>
      </c>
      <c r="O15" s="179">
        <f t="shared" si="4"/>
        <v>10.912391956436602</v>
      </c>
    </row>
    <row r="16" spans="2:17" x14ac:dyDescent="0.2">
      <c r="B16" s="89" t="s">
        <v>19</v>
      </c>
      <c r="C16" s="155">
        <f t="shared" si="0"/>
        <v>97.806409615587995</v>
      </c>
      <c r="D16" s="155">
        <f t="shared" si="1"/>
        <v>2.0591686143166794</v>
      </c>
      <c r="E16" s="155" t="s">
        <v>35</v>
      </c>
      <c r="F16" s="156">
        <f t="shared" si="3"/>
        <v>0.13442177009530815</v>
      </c>
      <c r="G16" s="89" t="s">
        <v>19</v>
      </c>
      <c r="J16" s="89" t="s">
        <v>19</v>
      </c>
      <c r="K16" s="155">
        <f>road_ter!P16</f>
        <v>19.379187719604062</v>
      </c>
      <c r="L16" s="155">
        <f>rail_tkm!AG16</f>
        <v>0.40799999999999997</v>
      </c>
      <c r="M16" s="155" t="str">
        <f>iww!AG15</f>
        <v>-</v>
      </c>
      <c r="N16" s="155">
        <f>pipeline!AG15</f>
        <v>2.6634089999999999E-2</v>
      </c>
      <c r="O16" s="376">
        <f t="shared" si="4"/>
        <v>19.813821809604065</v>
      </c>
    </row>
    <row r="17" spans="2:15" x14ac:dyDescent="0.2">
      <c r="B17" s="17" t="s">
        <v>24</v>
      </c>
      <c r="C17" s="152">
        <f t="shared" si="0"/>
        <v>90.813810658964528</v>
      </c>
      <c r="D17" s="152">
        <f t="shared" si="1"/>
        <v>4.7494012564701062</v>
      </c>
      <c r="E17" s="152" t="s">
        <v>35</v>
      </c>
      <c r="F17" s="188">
        <f t="shared" si="3"/>
        <v>4.43678808456536</v>
      </c>
      <c r="G17" s="17" t="s">
        <v>24</v>
      </c>
      <c r="J17" s="17" t="s">
        <v>24</v>
      </c>
      <c r="K17" s="152">
        <f>road_ter!P17</f>
        <v>203.63979190016872</v>
      </c>
      <c r="L17" s="152">
        <f>rail_tkm!AG17</f>
        <v>10.65</v>
      </c>
      <c r="M17" s="152" t="str">
        <f>iww!AG16</f>
        <v>-</v>
      </c>
      <c r="N17" s="152">
        <f>pipeline!AG16</f>
        <v>9.9489999999999998</v>
      </c>
      <c r="O17" s="179">
        <f t="shared" si="4"/>
        <v>224.23879190016874</v>
      </c>
    </row>
    <row r="18" spans="2:15" x14ac:dyDescent="0.2">
      <c r="B18" s="89" t="s">
        <v>25</v>
      </c>
      <c r="C18" s="155">
        <f t="shared" si="0"/>
        <v>84.558130576463114</v>
      </c>
      <c r="D18" s="155">
        <f t="shared" si="1"/>
        <v>9.5598634731159855</v>
      </c>
      <c r="E18" s="155">
        <f t="shared" si="2"/>
        <v>2.1674474318397743</v>
      </c>
      <c r="F18" s="156">
        <f t="shared" si="3"/>
        <v>3.7145585185811325</v>
      </c>
      <c r="G18" s="89" t="s">
        <v>25</v>
      </c>
      <c r="J18" s="89" t="s">
        <v>25</v>
      </c>
      <c r="K18" s="155">
        <f>road_ter!P18</f>
        <v>283.38876942729667</v>
      </c>
      <c r="L18" s="155">
        <f>rail_tkm!AG18</f>
        <v>32.039000000000001</v>
      </c>
      <c r="M18" s="155">
        <f>iww!AG17</f>
        <v>7.2640000000000002</v>
      </c>
      <c r="N18" s="155">
        <f>pipeline!AG17</f>
        <v>12.449</v>
      </c>
      <c r="O18" s="376">
        <f t="shared" si="4"/>
        <v>335.14076942729668</v>
      </c>
    </row>
    <row r="19" spans="2:15" x14ac:dyDescent="0.2">
      <c r="B19" s="17" t="s">
        <v>36</v>
      </c>
      <c r="C19" s="152">
        <f t="shared" si="0"/>
        <v>63.784671830447415</v>
      </c>
      <c r="D19" s="152">
        <f t="shared" si="1"/>
        <v>18.375628037196208</v>
      </c>
      <c r="E19" s="152">
        <f t="shared" si="2"/>
        <v>4.5419889935176929</v>
      </c>
      <c r="F19" s="188">
        <f t="shared" si="3"/>
        <v>13.297711138838672</v>
      </c>
      <c r="G19" s="17" t="s">
        <v>36</v>
      </c>
      <c r="J19" s="17" t="s">
        <v>36</v>
      </c>
      <c r="K19" s="152">
        <f>road_ter!P19</f>
        <v>9.5213809550758199</v>
      </c>
      <c r="L19" s="152">
        <f>rail_tkm!AG19</f>
        <v>2.7429999999999999</v>
      </c>
      <c r="M19" s="152">
        <f>iww!AG18</f>
        <v>0.67800000000000005</v>
      </c>
      <c r="N19" s="152">
        <f>pipeline!AG18</f>
        <v>1.9850000000000001</v>
      </c>
      <c r="O19" s="179">
        <f t="shared" si="4"/>
        <v>14.927380955075821</v>
      </c>
    </row>
    <row r="20" spans="2:15" x14ac:dyDescent="0.2">
      <c r="B20" s="197" t="s">
        <v>27</v>
      </c>
      <c r="C20" s="155">
        <f t="shared" si="0"/>
        <v>81.81266995011616</v>
      </c>
      <c r="D20" s="155">
        <f t="shared" si="1"/>
        <v>12.360865155696617</v>
      </c>
      <c r="E20" s="155">
        <f t="shared" si="2"/>
        <v>4.144558321348208E-2</v>
      </c>
      <c r="F20" s="156">
        <f t="shared" si="3"/>
        <v>5.7850193109737367</v>
      </c>
      <c r="G20" s="197" t="s">
        <v>27</v>
      </c>
      <c r="J20" s="89" t="s">
        <v>27</v>
      </c>
      <c r="K20" s="155">
        <f>road_ter!P20</f>
        <v>146.07437287404869</v>
      </c>
      <c r="L20" s="155">
        <f>rail_tkm!AG20</f>
        <v>22.07</v>
      </c>
      <c r="M20" s="155">
        <f>iww!AG19</f>
        <v>7.3999999999999996E-2</v>
      </c>
      <c r="N20" s="155">
        <f>pipeline!AG19</f>
        <v>10.329000000000001</v>
      </c>
      <c r="O20" s="376">
        <f t="shared" si="4"/>
        <v>178.5473728740487</v>
      </c>
    </row>
    <row r="21" spans="2:15" x14ac:dyDescent="0.2">
      <c r="B21" s="17" t="s">
        <v>6</v>
      </c>
      <c r="C21" s="152">
        <f t="shared" si="0"/>
        <v>100</v>
      </c>
      <c r="D21" s="152" t="s">
        <v>35</v>
      </c>
      <c r="E21" s="152" t="s">
        <v>35</v>
      </c>
      <c r="F21" s="188" t="s">
        <v>35</v>
      </c>
      <c r="G21" s="17" t="s">
        <v>6</v>
      </c>
      <c r="J21" s="17" t="s">
        <v>6</v>
      </c>
      <c r="K21" s="152">
        <f>road_ter!P21</f>
        <v>0.86499999999999999</v>
      </c>
      <c r="L21" s="152" t="str">
        <f>rail_tkm!AG21</f>
        <v>-</v>
      </c>
      <c r="M21" s="152" t="str">
        <f>iww!AG20</f>
        <v>-</v>
      </c>
      <c r="N21" s="152" t="str">
        <f>pipeline!AG20</f>
        <v>-</v>
      </c>
      <c r="O21" s="179">
        <f t="shared" si="4"/>
        <v>0.86499999999999999</v>
      </c>
    </row>
    <row r="22" spans="2:15" x14ac:dyDescent="0.2">
      <c r="B22" s="197" t="s">
        <v>10</v>
      </c>
      <c r="C22" s="155">
        <f t="shared" si="0"/>
        <v>23.067330934273862</v>
      </c>
      <c r="D22" s="155">
        <f t="shared" si="1"/>
        <v>72.434655042429512</v>
      </c>
      <c r="E22" s="155" t="s">
        <v>35</v>
      </c>
      <c r="F22" s="156">
        <f t="shared" si="3"/>
        <v>4.4980140232966193</v>
      </c>
      <c r="G22" s="197" t="s">
        <v>10</v>
      </c>
      <c r="J22" s="89" t="s">
        <v>10</v>
      </c>
      <c r="K22" s="155">
        <f>road_ter!P22</f>
        <v>5.6873255338054207</v>
      </c>
      <c r="L22" s="155">
        <f>rail_tkm!AG22</f>
        <v>17.859000000000002</v>
      </c>
      <c r="M22" s="155" t="str">
        <f>iww!AG21</f>
        <v>-</v>
      </c>
      <c r="N22" s="155">
        <f>pipeline!AG21</f>
        <v>1.109</v>
      </c>
      <c r="O22" s="376">
        <f t="shared" si="4"/>
        <v>24.655325533805424</v>
      </c>
    </row>
    <row r="23" spans="2:15" x14ac:dyDescent="0.2">
      <c r="B23" s="17" t="s">
        <v>11</v>
      </c>
      <c r="C23" s="152">
        <f t="shared" si="0"/>
        <v>31.671295112898683</v>
      </c>
      <c r="D23" s="152">
        <f t="shared" si="1"/>
        <v>67.032907376431069</v>
      </c>
      <c r="E23" s="152">
        <f t="shared" si="2"/>
        <v>0</v>
      </c>
      <c r="F23" s="188">
        <f t="shared" si="3"/>
        <v>1.2957975106702457</v>
      </c>
      <c r="G23" s="17" t="s">
        <v>11</v>
      </c>
      <c r="J23" s="17" t="s">
        <v>11</v>
      </c>
      <c r="K23" s="152">
        <f>road_ter!P23</f>
        <v>7.9777207779193029</v>
      </c>
      <c r="L23" s="152">
        <f>rail_tkm!AG23</f>
        <v>16.885000000000002</v>
      </c>
      <c r="M23" s="152">
        <f>iww!AG22</f>
        <v>0</v>
      </c>
      <c r="N23" s="152">
        <f>pipeline!AG22</f>
        <v>0.32639999999999997</v>
      </c>
      <c r="O23" s="179">
        <f t="shared" si="4"/>
        <v>25.189120777919303</v>
      </c>
    </row>
    <row r="24" spans="2:15" x14ac:dyDescent="0.2">
      <c r="B24" s="197" t="s">
        <v>28</v>
      </c>
      <c r="C24" s="155">
        <f t="shared" si="0"/>
        <v>84.334264833189238</v>
      </c>
      <c r="D24" s="155">
        <f t="shared" si="1"/>
        <v>8.1622872481280364</v>
      </c>
      <c r="E24" s="155">
        <f t="shared" si="2"/>
        <v>7.5034479186827223</v>
      </c>
      <c r="F24" s="156" t="s">
        <v>35</v>
      </c>
      <c r="G24" s="197" t="s">
        <v>28</v>
      </c>
      <c r="J24" s="89" t="s">
        <v>28</v>
      </c>
      <c r="K24" s="155">
        <f>road_ter!P24</f>
        <v>2.3040773359347715</v>
      </c>
      <c r="L24" s="155">
        <f>rail_tkm!AG24</f>
        <v>0.223</v>
      </c>
      <c r="M24" s="155">
        <f>iww!AG23</f>
        <v>0.20499999999999999</v>
      </c>
      <c r="N24" s="155" t="str">
        <f>pipeline!AG23</f>
        <v>-</v>
      </c>
      <c r="O24" s="376">
        <f t="shared" si="4"/>
        <v>2.7320773359347714</v>
      </c>
    </row>
    <row r="25" spans="2:15" x14ac:dyDescent="0.2">
      <c r="B25" s="17" t="s">
        <v>9</v>
      </c>
      <c r="C25" s="152">
        <f t="shared" si="0"/>
        <v>64.761630632341706</v>
      </c>
      <c r="D25" s="152">
        <f t="shared" si="1"/>
        <v>25.390677589190762</v>
      </c>
      <c r="E25" s="152">
        <f t="shared" si="2"/>
        <v>3.8575405861128829</v>
      </c>
      <c r="F25" s="188">
        <f t="shared" si="3"/>
        <v>5.990151192354654</v>
      </c>
      <c r="G25" s="17" t="s">
        <v>9</v>
      </c>
      <c r="J25" s="17" t="s">
        <v>9</v>
      </c>
      <c r="K25" s="152">
        <f>road_ter!P25</f>
        <v>26.99562058574233</v>
      </c>
      <c r="L25" s="152">
        <f>rail_tkm!AG25</f>
        <v>10.584</v>
      </c>
      <c r="M25" s="152">
        <f>iww!AG24</f>
        <v>1.6080000000000001</v>
      </c>
      <c r="N25" s="152">
        <f>pipeline!AG24</f>
        <v>2.4969699999999997</v>
      </c>
      <c r="O25" s="179">
        <f t="shared" si="4"/>
        <v>41.684590585742328</v>
      </c>
    </row>
    <row r="26" spans="2:15" x14ac:dyDescent="0.2">
      <c r="B26" s="197" t="s">
        <v>12</v>
      </c>
      <c r="C26" s="155">
        <v>100</v>
      </c>
      <c r="D26" s="155" t="s">
        <v>35</v>
      </c>
      <c r="E26" s="155" t="s">
        <v>35</v>
      </c>
      <c r="F26" s="156" t="s">
        <v>35</v>
      </c>
      <c r="G26" s="197" t="s">
        <v>12</v>
      </c>
      <c r="H26" s="330"/>
      <c r="I26" s="335"/>
      <c r="J26" s="57" t="s">
        <v>12</v>
      </c>
      <c r="K26" s="155">
        <f>road_ter!P26</f>
        <v>0</v>
      </c>
      <c r="L26" s="155" t="str">
        <f>rail_tkm!AG26</f>
        <v>-</v>
      </c>
      <c r="M26" s="155" t="str">
        <f>iww!AG25</f>
        <v>-</v>
      </c>
      <c r="N26" s="155" t="str">
        <f>pipeline!AG25</f>
        <v>-</v>
      </c>
      <c r="O26" s="376">
        <f t="shared" si="4"/>
        <v>0</v>
      </c>
    </row>
    <row r="27" spans="2:15" x14ac:dyDescent="0.2">
      <c r="B27" s="17" t="s">
        <v>20</v>
      </c>
      <c r="C27" s="152">
        <f t="shared" si="0"/>
        <v>47.960808869626632</v>
      </c>
      <c r="D27" s="152">
        <f t="shared" si="1"/>
        <v>6.1117635925718607</v>
      </c>
      <c r="E27" s="152">
        <f t="shared" si="2"/>
        <v>41.110595488123977</v>
      </c>
      <c r="F27" s="188">
        <f t="shared" si="3"/>
        <v>4.8168320496775241</v>
      </c>
      <c r="G27" s="17" t="s">
        <v>20</v>
      </c>
      <c r="H27" s="330"/>
      <c r="J27" s="17" t="s">
        <v>20</v>
      </c>
      <c r="K27" s="152">
        <f>road_ter!P27</f>
        <v>55.111549324447708</v>
      </c>
      <c r="L27" s="152">
        <f>rail_tkm!AG27</f>
        <v>7.0229999999999997</v>
      </c>
      <c r="M27" s="152">
        <f>iww!AG26</f>
        <v>47.24</v>
      </c>
      <c r="N27" s="152">
        <f>pipeline!AG26</f>
        <v>5.5350000000000001</v>
      </c>
      <c r="O27" s="179">
        <f t="shared" si="4"/>
        <v>114.90954932444771</v>
      </c>
    </row>
    <row r="28" spans="2:15" x14ac:dyDescent="0.2">
      <c r="B28" s="197" t="s">
        <v>29</v>
      </c>
      <c r="C28" s="155">
        <f t="shared" si="0"/>
        <v>59.067243352798748</v>
      </c>
      <c r="D28" s="155">
        <f t="shared" si="1"/>
        <v>28.08174521900813</v>
      </c>
      <c r="E28" s="155">
        <f t="shared" si="2"/>
        <v>1.9009692049055789</v>
      </c>
      <c r="F28" s="156">
        <f t="shared" si="3"/>
        <v>10.950042223287539</v>
      </c>
      <c r="G28" s="197" t="s">
        <v>29</v>
      </c>
      <c r="J28" s="89" t="s">
        <v>29</v>
      </c>
      <c r="K28" s="155">
        <f>road_ter!P28</f>
        <v>46.266465088100084</v>
      </c>
      <c r="L28" s="155">
        <f>rail_tkm!AG28</f>
        <v>21.995999999999999</v>
      </c>
      <c r="M28" s="155">
        <f>iww!AG27</f>
        <v>1.4890000000000001</v>
      </c>
      <c r="N28" s="155">
        <f>pipeline!AG27</f>
        <v>8.577</v>
      </c>
      <c r="O28" s="376">
        <f t="shared" si="4"/>
        <v>78.328465088100089</v>
      </c>
    </row>
    <row r="29" spans="2:15" x14ac:dyDescent="0.2">
      <c r="B29" s="17" t="s">
        <v>13</v>
      </c>
      <c r="C29" s="152">
        <f t="shared" si="0"/>
        <v>66.703448371104585</v>
      </c>
      <c r="D29" s="152">
        <f t="shared" si="1"/>
        <v>24.464790331657007</v>
      </c>
      <c r="E29" s="152">
        <f t="shared" si="2"/>
        <v>5.149354737416862E-2</v>
      </c>
      <c r="F29" s="188">
        <f t="shared" si="3"/>
        <v>8.7802677498642403</v>
      </c>
      <c r="G29" s="17" t="s">
        <v>13</v>
      </c>
      <c r="H29" s="330"/>
      <c r="I29" s="335"/>
      <c r="J29" s="17" t="s">
        <v>13</v>
      </c>
      <c r="K29" s="152">
        <f>road_ter!P29</f>
        <v>161.92186150629695</v>
      </c>
      <c r="L29" s="152">
        <f>rail_tkm!AG29</f>
        <v>59.387999999999998</v>
      </c>
      <c r="M29" s="152">
        <f>iww!AG28</f>
        <v>0.125</v>
      </c>
      <c r="N29" s="152">
        <f>pipeline!AG28</f>
        <v>21.314</v>
      </c>
      <c r="O29" s="179">
        <f t="shared" si="4"/>
        <v>242.74886150629695</v>
      </c>
    </row>
    <row r="30" spans="2:15" x14ac:dyDescent="0.2">
      <c r="B30" s="197" t="s">
        <v>30</v>
      </c>
      <c r="C30" s="155">
        <f t="shared" si="0"/>
        <v>83.869525948562838</v>
      </c>
      <c r="D30" s="155">
        <f t="shared" si="1"/>
        <v>13.914522224396148</v>
      </c>
      <c r="E30" s="155" t="s">
        <v>35</v>
      </c>
      <c r="F30" s="156">
        <f t="shared" si="3"/>
        <v>2.2159518270410032</v>
      </c>
      <c r="G30" s="197" t="s">
        <v>30</v>
      </c>
      <c r="J30" s="89" t="s">
        <v>30</v>
      </c>
      <c r="K30" s="155">
        <f>road_ter!P30</f>
        <v>16.665986478586408</v>
      </c>
      <c r="L30" s="155">
        <f>rail_tkm!AG30</f>
        <v>2.7650000000000001</v>
      </c>
      <c r="M30" s="155" t="str">
        <f>iww!AG29</f>
        <v>-</v>
      </c>
      <c r="N30" s="155">
        <f>pipeline!AG29</f>
        <v>0.44033899999999998</v>
      </c>
      <c r="O30" s="376">
        <f t="shared" si="4"/>
        <v>19.87132547858641</v>
      </c>
    </row>
    <row r="31" spans="2:15" x14ac:dyDescent="0.2">
      <c r="B31" s="17" t="s">
        <v>14</v>
      </c>
      <c r="C31" s="152">
        <f t="shared" si="0"/>
        <v>43.024134574026832</v>
      </c>
      <c r="D31" s="152">
        <f t="shared" si="1"/>
        <v>28.202158318886529</v>
      </c>
      <c r="E31" s="152">
        <f t="shared" si="2"/>
        <v>26.444376196686115</v>
      </c>
      <c r="F31" s="188">
        <f t="shared" si="3"/>
        <v>2.3293309104005391</v>
      </c>
      <c r="G31" s="17" t="s">
        <v>14</v>
      </c>
      <c r="J31" s="17" t="s">
        <v>14</v>
      </c>
      <c r="K31" s="152">
        <f>road_ter!P31</f>
        <v>19.948245709734273</v>
      </c>
      <c r="L31" s="152">
        <f>rail_tkm!AG31</f>
        <v>13.076000000000001</v>
      </c>
      <c r="M31" s="152">
        <f>iww!AG30</f>
        <v>12.260999999999999</v>
      </c>
      <c r="N31" s="152">
        <f>pipeline!AG30</f>
        <v>1.08</v>
      </c>
      <c r="O31" s="179">
        <f t="shared" si="4"/>
        <v>46.365245709734268</v>
      </c>
    </row>
    <row r="32" spans="2:15" x14ac:dyDescent="0.2">
      <c r="B32" s="197" t="s">
        <v>16</v>
      </c>
      <c r="C32" s="155">
        <f t="shared" si="0"/>
        <v>64.746382413195832</v>
      </c>
      <c r="D32" s="155">
        <f t="shared" si="1"/>
        <v>35.253617586804161</v>
      </c>
      <c r="E32" s="155" t="s">
        <v>35</v>
      </c>
      <c r="F32" s="156" t="s">
        <v>35</v>
      </c>
      <c r="G32" s="197" t="s">
        <v>16</v>
      </c>
      <c r="J32" s="89" t="s">
        <v>16</v>
      </c>
      <c r="K32" s="155">
        <f>road_ter!P32</f>
        <v>9.4602664531996261</v>
      </c>
      <c r="L32" s="155">
        <f>rail_tkm!AG32</f>
        <v>5.1509999999999998</v>
      </c>
      <c r="M32" s="155" t="str">
        <f>iww!AG31</f>
        <v>-</v>
      </c>
      <c r="N32" s="155" t="str">
        <f>pipeline!AG31</f>
        <v>-</v>
      </c>
      <c r="O32" s="376">
        <f t="shared" si="4"/>
        <v>14.611266453199626</v>
      </c>
    </row>
    <row r="33" spans="1:15" x14ac:dyDescent="0.2">
      <c r="B33" s="17" t="s">
        <v>15</v>
      </c>
      <c r="C33" s="152">
        <f t="shared" si="0"/>
        <v>54.232697322670418</v>
      </c>
      <c r="D33" s="152">
        <f t="shared" si="1"/>
        <v>27.487958203664054</v>
      </c>
      <c r="E33" s="152">
        <f t="shared" si="2"/>
        <v>2.554118175379271</v>
      </c>
      <c r="F33" s="188">
        <f t="shared" si="3"/>
        <v>15.725226298286257</v>
      </c>
      <c r="G33" s="17" t="s">
        <v>15</v>
      </c>
      <c r="J33" s="17" t="s">
        <v>15</v>
      </c>
      <c r="K33" s="152">
        <f>road_ter!P33</f>
        <v>16.519610926292469</v>
      </c>
      <c r="L33" s="152">
        <f>rail_tkm!AG33</f>
        <v>8.3729999999999993</v>
      </c>
      <c r="M33" s="152">
        <f>iww!AG32</f>
        <v>0.77800000000000002</v>
      </c>
      <c r="N33" s="152">
        <f>pipeline!AG32</f>
        <v>4.79</v>
      </c>
      <c r="O33" s="179">
        <f t="shared" si="4"/>
        <v>30.460610926292468</v>
      </c>
    </row>
    <row r="34" spans="1:15" x14ac:dyDescent="0.2">
      <c r="B34" s="197" t="s">
        <v>31</v>
      </c>
      <c r="C34" s="155">
        <f t="shared" si="0"/>
        <v>70.705285572684247</v>
      </c>
      <c r="D34" s="155">
        <f t="shared" si="1"/>
        <v>28.9891858466796</v>
      </c>
      <c r="E34" s="155">
        <f t="shared" si="2"/>
        <v>0.30552858063614585</v>
      </c>
      <c r="F34" s="156" t="s">
        <v>35</v>
      </c>
      <c r="G34" s="197" t="s">
        <v>31</v>
      </c>
      <c r="J34" s="89" t="s">
        <v>31</v>
      </c>
      <c r="K34" s="155">
        <f>road_ter!P34</f>
        <v>27.256079920755958</v>
      </c>
      <c r="L34" s="155">
        <f>rail_tkm!AG34</f>
        <v>11.175000000000001</v>
      </c>
      <c r="M34" s="155">
        <f>iww!AG33</f>
        <v>0.11777777777777777</v>
      </c>
      <c r="N34" s="155" t="str">
        <f>pipeline!AG33</f>
        <v>-</v>
      </c>
      <c r="O34" s="376">
        <f t="shared" si="4"/>
        <v>38.548857698533737</v>
      </c>
    </row>
    <row r="35" spans="1:15" x14ac:dyDescent="0.2">
      <c r="B35" s="18" t="s">
        <v>32</v>
      </c>
      <c r="C35" s="422">
        <f t="shared" si="0"/>
        <v>69.342344473445124</v>
      </c>
      <c r="D35" s="363">
        <f t="shared" si="1"/>
        <v>30.651094370982694</v>
      </c>
      <c r="E35" s="363">
        <f t="shared" si="2"/>
        <v>6.5611555721771329E-3</v>
      </c>
      <c r="F35" s="362" t="s">
        <v>35</v>
      </c>
      <c r="G35" s="17" t="s">
        <v>32</v>
      </c>
      <c r="J35" s="18" t="s">
        <v>32</v>
      </c>
      <c r="K35" s="422">
        <f>road_ter!P35</f>
        <v>52.843088165364023</v>
      </c>
      <c r="L35" s="363">
        <f>rail_tkm!AG35</f>
        <v>23.358000000000001</v>
      </c>
      <c r="M35" s="363">
        <f>iww!AG34</f>
        <v>5.0000000000000001E-3</v>
      </c>
      <c r="N35" s="363" t="str">
        <f>pipeline!AG34</f>
        <v>-</v>
      </c>
      <c r="O35" s="386">
        <f t="shared" si="4"/>
        <v>76.206088165364022</v>
      </c>
    </row>
    <row r="36" spans="1:15" x14ac:dyDescent="0.2">
      <c r="A36" s="335"/>
      <c r="B36" s="423" t="s">
        <v>21</v>
      </c>
      <c r="C36" s="373">
        <f t="shared" si="0"/>
        <v>85.84167335954993</v>
      </c>
      <c r="D36" s="373">
        <f t="shared" si="1"/>
        <v>8.9348543744087596</v>
      </c>
      <c r="E36" s="373">
        <f t="shared" si="2"/>
        <v>4.8293703174474872E-2</v>
      </c>
      <c r="F36" s="424">
        <f t="shared" si="3"/>
        <v>5.1751785628668419</v>
      </c>
      <c r="G36" s="423" t="s">
        <v>21</v>
      </c>
      <c r="J36" s="90" t="s">
        <v>21</v>
      </c>
      <c r="K36" s="372">
        <f>road_ter!P36</f>
        <v>165.30676046101223</v>
      </c>
      <c r="L36" s="373">
        <f>rail_tkm!AG36</f>
        <v>17.206</v>
      </c>
      <c r="M36" s="373">
        <f>iww!AG35</f>
        <v>9.2999999999999999E-2</v>
      </c>
      <c r="N36" s="424">
        <f>pipeline!AG35</f>
        <v>9.9659287797378493</v>
      </c>
      <c r="O36" s="294">
        <f t="shared" si="4"/>
        <v>192.57168924075006</v>
      </c>
    </row>
    <row r="37" spans="1:15" x14ac:dyDescent="0.2">
      <c r="B37" s="17" t="s">
        <v>96</v>
      </c>
      <c r="C37" s="152"/>
      <c r="D37" s="152"/>
      <c r="E37" s="152"/>
      <c r="F37" s="188"/>
      <c r="G37" s="17" t="s">
        <v>96</v>
      </c>
      <c r="J37" s="17" t="s">
        <v>96</v>
      </c>
      <c r="K37" s="152"/>
      <c r="L37" s="152"/>
      <c r="M37" s="152"/>
      <c r="N37" s="152"/>
      <c r="O37" s="179"/>
    </row>
    <row r="38" spans="1:15" x14ac:dyDescent="0.2">
      <c r="B38" s="197" t="s">
        <v>2</v>
      </c>
      <c r="C38" s="155"/>
      <c r="D38" s="155"/>
      <c r="E38" s="155"/>
      <c r="F38" s="156"/>
      <c r="G38" s="197" t="s">
        <v>2</v>
      </c>
      <c r="J38" s="197" t="s">
        <v>2</v>
      </c>
      <c r="K38" s="155"/>
      <c r="L38" s="155"/>
      <c r="M38" s="155"/>
      <c r="N38" s="155"/>
      <c r="O38" s="376"/>
    </row>
    <row r="39" spans="1:15" x14ac:dyDescent="0.2">
      <c r="B39" s="17" t="s">
        <v>100</v>
      </c>
      <c r="C39" s="152"/>
      <c r="D39" s="152"/>
      <c r="E39" s="152"/>
      <c r="F39" s="188"/>
      <c r="G39" s="17" t="s">
        <v>100</v>
      </c>
      <c r="J39" s="17" t="s">
        <v>100</v>
      </c>
      <c r="K39" s="152"/>
      <c r="L39" s="152"/>
      <c r="M39" s="152"/>
      <c r="N39" s="152"/>
      <c r="O39" s="179"/>
    </row>
    <row r="40" spans="1:15" x14ac:dyDescent="0.2">
      <c r="B40" s="197" t="s">
        <v>97</v>
      </c>
      <c r="C40" s="155"/>
      <c r="D40" s="155"/>
      <c r="E40" s="155"/>
      <c r="F40" s="156"/>
      <c r="G40" s="197" t="s">
        <v>97</v>
      </c>
      <c r="J40" s="197" t="s">
        <v>97</v>
      </c>
      <c r="K40" s="155"/>
      <c r="L40" s="155"/>
      <c r="M40" s="155"/>
      <c r="N40" s="155"/>
      <c r="O40" s="376"/>
    </row>
    <row r="41" spans="1:15" x14ac:dyDescent="0.2">
      <c r="B41" s="18" t="s">
        <v>17</v>
      </c>
      <c r="C41" s="422"/>
      <c r="D41" s="363"/>
      <c r="E41" s="363"/>
      <c r="F41" s="362"/>
      <c r="G41" s="18" t="s">
        <v>17</v>
      </c>
      <c r="J41" s="18" t="s">
        <v>17</v>
      </c>
      <c r="K41" s="422"/>
      <c r="L41" s="363"/>
      <c r="M41" s="363"/>
      <c r="N41" s="363"/>
      <c r="O41" s="386"/>
    </row>
    <row r="42" spans="1:15" x14ac:dyDescent="0.2">
      <c r="B42" s="211" t="s">
        <v>3</v>
      </c>
      <c r="C42" s="155"/>
      <c r="D42" s="155"/>
      <c r="E42" s="155"/>
      <c r="F42" s="156"/>
      <c r="G42" s="211" t="s">
        <v>3</v>
      </c>
      <c r="J42" s="211" t="s">
        <v>3</v>
      </c>
      <c r="K42" s="155">
        <f>road_ter!P42</f>
        <v>0</v>
      </c>
      <c r="L42" s="155" t="str">
        <f>rail_tkm!AG42</f>
        <v>-</v>
      </c>
      <c r="M42" s="155" t="str">
        <f>iww!AG41</f>
        <v>-</v>
      </c>
      <c r="N42" s="155" t="str">
        <f>pipeline!AG41</f>
        <v>-</v>
      </c>
      <c r="O42" s="376">
        <f t="shared" si="4"/>
        <v>0</v>
      </c>
    </row>
    <row r="43" spans="1:15" x14ac:dyDescent="0.2">
      <c r="B43" s="17" t="s">
        <v>33</v>
      </c>
      <c r="C43" s="152">
        <f t="shared" si="0"/>
        <v>75.236435042466098</v>
      </c>
      <c r="D43" s="152">
        <f t="shared" si="1"/>
        <v>13.278738401883249</v>
      </c>
      <c r="E43" s="152" t="s">
        <v>35</v>
      </c>
      <c r="F43" s="188">
        <f t="shared" si="3"/>
        <v>11.484826555650656</v>
      </c>
      <c r="G43" s="17" t="s">
        <v>33</v>
      </c>
      <c r="J43" s="17" t="s">
        <v>33</v>
      </c>
      <c r="K43" s="152">
        <f>road_ter!P43</f>
        <v>22.493751897110126</v>
      </c>
      <c r="L43" s="152">
        <f>rail_tkm!AG43</f>
        <v>3.97</v>
      </c>
      <c r="M43" s="152" t="str">
        <f>iww!AG42</f>
        <v>-</v>
      </c>
      <c r="N43" s="152">
        <f>pipeline!AG42</f>
        <v>3.433666666666666</v>
      </c>
      <c r="O43" s="179">
        <f t="shared" si="4"/>
        <v>29.897418563776792</v>
      </c>
    </row>
    <row r="44" spans="1:15" x14ac:dyDescent="0.2">
      <c r="B44" s="220" t="s">
        <v>4</v>
      </c>
      <c r="C44" s="168">
        <f t="shared" si="0"/>
        <v>64.935202778172524</v>
      </c>
      <c r="D44" s="169">
        <f t="shared" si="1"/>
        <v>34.614769939412056</v>
      </c>
      <c r="E44" s="169">
        <f t="shared" si="2"/>
        <v>0.12081072049166403</v>
      </c>
      <c r="F44" s="222">
        <f t="shared" si="3"/>
        <v>0.32921656192375598</v>
      </c>
      <c r="G44" s="220" t="s">
        <v>4</v>
      </c>
      <c r="J44" s="220" t="s">
        <v>4</v>
      </c>
      <c r="K44" s="168">
        <f>road_ter!P44</f>
        <v>22.091059661936551</v>
      </c>
      <c r="L44" s="169">
        <f>rail_tkm!AG44</f>
        <v>11.776</v>
      </c>
      <c r="M44" s="169">
        <f>iww!AG43</f>
        <v>4.1100000000000005E-2</v>
      </c>
      <c r="N44" s="169">
        <f>pipeline!AG43</f>
        <v>0.112</v>
      </c>
      <c r="O44" s="378">
        <f t="shared" si="4"/>
        <v>34.020159661936553</v>
      </c>
    </row>
    <row r="45" spans="1:15" x14ac:dyDescent="0.2">
      <c r="E45" s="364"/>
    </row>
    <row r="46" spans="1:15" x14ac:dyDescent="0.2">
      <c r="B46" s="276" t="s">
        <v>108</v>
      </c>
    </row>
    <row r="48" spans="1:15" x14ac:dyDescent="0.2">
      <c r="B48" s="369"/>
      <c r="C48" s="370"/>
      <c r="D48" s="370"/>
      <c r="E48" s="370"/>
      <c r="F48" s="370"/>
      <c r="G48" s="369"/>
      <c r="H48" s="369"/>
      <c r="I48" s="369"/>
    </row>
    <row r="49" spans="2:19" x14ac:dyDescent="0.2">
      <c r="B49" s="369"/>
      <c r="C49" s="370"/>
      <c r="D49" s="370"/>
      <c r="E49" s="370"/>
      <c r="F49" s="370"/>
      <c r="G49" s="369"/>
      <c r="H49" s="369"/>
      <c r="I49" s="369"/>
    </row>
    <row r="53" spans="2:19" x14ac:dyDescent="0.2">
      <c r="M53" s="317"/>
      <c r="Q53" s="317"/>
    </row>
    <row r="54" spans="2:19" x14ac:dyDescent="0.2">
      <c r="E54" s="408"/>
      <c r="I54" s="317"/>
    </row>
    <row r="63" spans="2:19" x14ac:dyDescent="0.2">
      <c r="S63" s="317"/>
    </row>
  </sheetData>
  <mergeCells count="4">
    <mergeCell ref="B2:G3"/>
    <mergeCell ref="B4:G4"/>
    <mergeCell ref="B5:G5"/>
    <mergeCell ref="K4:N4"/>
  </mergeCells>
  <phoneticPr fontId="4" type="noConversion"/>
  <printOptions horizontalCentered="1"/>
  <pageMargins left="0.6692913385826772" right="0.27559055118110237" top="0.51181102362204722" bottom="0.27559055118110237" header="0" footer="0"/>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AF84"/>
  <sheetViews>
    <sheetView topLeftCell="A13" zoomScaleNormal="100" workbookViewId="0">
      <selection activeCell="Y37" sqref="Y37"/>
    </sheetView>
  </sheetViews>
  <sheetFormatPr defaultRowHeight="12.75" x14ac:dyDescent="0.2"/>
  <cols>
    <col min="1" max="1" width="3.7109375" customWidth="1"/>
    <col min="2" max="2" width="5.5703125" customWidth="1"/>
    <col min="3" max="3" width="7.7109375" customWidth="1"/>
    <col min="4" max="7" width="6.7109375" customWidth="1"/>
    <col min="8" max="13" width="7.7109375" customWidth="1"/>
    <col min="14" max="26" width="8.28515625" customWidth="1"/>
    <col min="27" max="27" width="6.42578125" customWidth="1"/>
    <col min="28" max="28" width="7.140625" style="388" customWidth="1"/>
    <col min="29" max="29" width="6" customWidth="1"/>
  </cols>
  <sheetData>
    <row r="1" spans="1:32" ht="14.25" customHeight="1" x14ac:dyDescent="0.2">
      <c r="B1" s="37"/>
      <c r="C1" s="38"/>
      <c r="D1" s="38"/>
      <c r="E1" s="38"/>
      <c r="F1" s="38"/>
      <c r="G1" s="38"/>
      <c r="H1" s="38"/>
      <c r="I1" s="38"/>
      <c r="J1" s="38"/>
      <c r="AA1" s="39" t="s">
        <v>78</v>
      </c>
    </row>
    <row r="2" spans="1:32" s="81" customFormat="1" ht="33" customHeight="1" x14ac:dyDescent="0.2">
      <c r="B2" s="546" t="s">
        <v>150</v>
      </c>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8" t="s">
        <v>90</v>
      </c>
      <c r="AC2" s="139"/>
    </row>
    <row r="3" spans="1:32" ht="27.75" customHeight="1" x14ac:dyDescent="0.2">
      <c r="B3" s="566" t="s">
        <v>140</v>
      </c>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9"/>
      <c r="AC3" s="140"/>
    </row>
    <row r="4" spans="1:32" ht="10.5" customHeight="1" x14ac:dyDescent="0.2">
      <c r="B4" s="4"/>
      <c r="D4" s="55"/>
      <c r="E4" s="55"/>
      <c r="F4" s="55"/>
      <c r="G4" s="55"/>
      <c r="H4" s="55"/>
      <c r="Q4" s="182"/>
      <c r="R4" s="21"/>
      <c r="S4" s="21"/>
      <c r="T4" s="21"/>
      <c r="U4" s="21"/>
      <c r="V4" s="21"/>
      <c r="W4" s="21"/>
      <c r="Y4" s="22"/>
      <c r="Z4" s="21" t="s">
        <v>95</v>
      </c>
      <c r="AA4" s="318"/>
      <c r="AB4" s="569"/>
      <c r="AC4" s="6"/>
    </row>
    <row r="5" spans="1:32" ht="20.100000000000001" customHeight="1" x14ac:dyDescent="0.2">
      <c r="B5" s="4"/>
      <c r="C5" s="85">
        <v>1995</v>
      </c>
      <c r="D5" s="86">
        <v>1996</v>
      </c>
      <c r="E5" s="86">
        <v>1997</v>
      </c>
      <c r="F5" s="86">
        <v>1998</v>
      </c>
      <c r="G5" s="86">
        <v>1999</v>
      </c>
      <c r="H5" s="86">
        <v>2000</v>
      </c>
      <c r="I5" s="86">
        <v>2001</v>
      </c>
      <c r="J5" s="86">
        <v>2002</v>
      </c>
      <c r="K5" s="86">
        <v>2003</v>
      </c>
      <c r="L5" s="86">
        <v>2004</v>
      </c>
      <c r="M5" s="86">
        <v>2005</v>
      </c>
      <c r="N5" s="86">
        <v>2006</v>
      </c>
      <c r="O5" s="86">
        <v>2007</v>
      </c>
      <c r="P5" s="86">
        <v>2008</v>
      </c>
      <c r="Q5" s="86">
        <v>2009</v>
      </c>
      <c r="R5" s="86">
        <v>2010</v>
      </c>
      <c r="S5" s="86">
        <v>2011</v>
      </c>
      <c r="T5" s="86">
        <v>2012</v>
      </c>
      <c r="U5" s="86">
        <v>2013</v>
      </c>
      <c r="V5" s="86">
        <v>2014</v>
      </c>
      <c r="W5" s="86">
        <v>2015</v>
      </c>
      <c r="X5" s="86">
        <v>2016</v>
      </c>
      <c r="Y5" s="316">
        <v>2017</v>
      </c>
      <c r="Z5" s="316">
        <v>2018</v>
      </c>
      <c r="AA5" s="375"/>
      <c r="AB5" s="570"/>
      <c r="AC5" s="100" t="s">
        <v>116</v>
      </c>
      <c r="AF5" s="60"/>
    </row>
    <row r="6" spans="1:32" ht="9.75" customHeight="1" x14ac:dyDescent="0.2">
      <c r="B6" s="4"/>
      <c r="C6" s="87"/>
      <c r="D6" s="83"/>
      <c r="E6" s="83"/>
      <c r="F6" s="83"/>
      <c r="G6" s="83"/>
      <c r="H6" s="83"/>
      <c r="I6" s="83"/>
      <c r="J6" s="83"/>
      <c r="K6" s="83"/>
      <c r="L6" s="83"/>
      <c r="M6" s="83"/>
      <c r="N6" s="83"/>
      <c r="O6" s="83"/>
      <c r="P6" s="83"/>
      <c r="Q6" s="83"/>
      <c r="R6" s="83"/>
      <c r="S6" s="83"/>
      <c r="T6" s="83"/>
      <c r="U6" s="84"/>
      <c r="V6" s="83"/>
      <c r="W6" s="83"/>
      <c r="X6" s="83"/>
      <c r="Y6" s="84"/>
      <c r="Z6" s="83"/>
      <c r="AA6" s="375"/>
      <c r="AB6" s="387">
        <v>2017</v>
      </c>
      <c r="AC6" s="101" t="s">
        <v>63</v>
      </c>
    </row>
    <row r="7" spans="1:32" ht="9.75" customHeight="1" x14ac:dyDescent="0.2">
      <c r="B7" s="289" t="s">
        <v>115</v>
      </c>
      <c r="C7" s="290"/>
      <c r="D7" s="291"/>
      <c r="E7" s="291"/>
      <c r="F7" s="291"/>
      <c r="G7" s="291"/>
      <c r="H7" s="291">
        <f>SUM(H9:H35)</f>
        <v>936.07299999999998</v>
      </c>
      <c r="I7" s="291">
        <f t="shared" ref="I7:Z7" si="0">SUM(I9:I35)</f>
        <v>953.8069999999999</v>
      </c>
      <c r="J7" s="291">
        <f t="shared" si="0"/>
        <v>978.56900000000019</v>
      </c>
      <c r="K7" s="291">
        <f t="shared" si="0"/>
        <v>973.49199999999973</v>
      </c>
      <c r="L7" s="291">
        <f t="shared" si="0"/>
        <v>1048.453</v>
      </c>
      <c r="M7" s="291">
        <f t="shared" si="0"/>
        <v>1074.6080000000002</v>
      </c>
      <c r="N7" s="291">
        <f t="shared" si="0"/>
        <v>1097.1959999999997</v>
      </c>
      <c r="O7" s="291">
        <f t="shared" si="0"/>
        <v>1137.0639999999999</v>
      </c>
      <c r="P7" s="291">
        <f t="shared" si="0"/>
        <v>1124.6369999999999</v>
      </c>
      <c r="Q7" s="291">
        <f t="shared" si="0"/>
        <v>1027.075</v>
      </c>
      <c r="R7" s="291">
        <f t="shared" si="0"/>
        <v>1035.4199999999998</v>
      </c>
      <c r="S7" s="291">
        <f t="shared" si="0"/>
        <v>1025.319</v>
      </c>
      <c r="T7" s="291">
        <f t="shared" si="0"/>
        <v>968.17500000000007</v>
      </c>
      <c r="U7" s="291">
        <f t="shared" si="0"/>
        <v>974.07</v>
      </c>
      <c r="V7" s="291">
        <f t="shared" si="0"/>
        <v>978.16400000000021</v>
      </c>
      <c r="W7" s="291">
        <f t="shared" si="0"/>
        <v>1002.5509999999999</v>
      </c>
      <c r="X7" s="291">
        <f t="shared" si="0"/>
        <v>1028.7930000000001</v>
      </c>
      <c r="Y7" s="291">
        <f t="shared" si="0"/>
        <v>1071.29</v>
      </c>
      <c r="Z7" s="291">
        <f t="shared" si="0"/>
        <v>1090.912</v>
      </c>
      <c r="AA7" s="294" t="s">
        <v>115</v>
      </c>
      <c r="AB7" s="389">
        <f>Z7/road_by_tot!Z7</f>
        <v>0.61795056110018809</v>
      </c>
      <c r="AC7" s="389">
        <f>Z7/Y7*100-100</f>
        <v>1.8316235566466617</v>
      </c>
    </row>
    <row r="8" spans="1:32" ht="12.75" customHeight="1" x14ac:dyDescent="0.2">
      <c r="B8" s="289" t="s">
        <v>99</v>
      </c>
      <c r="C8" s="290"/>
      <c r="D8" s="291"/>
      <c r="E8" s="291"/>
      <c r="F8" s="291"/>
      <c r="G8" s="291"/>
      <c r="H8" s="291">
        <f>SUM(H9:H36)</f>
        <v>1086.4099999999999</v>
      </c>
      <c r="I8" s="291">
        <f t="shared" ref="I8:Z8" si="1">SUM(I9:I36)</f>
        <v>1103.567</v>
      </c>
      <c r="J8" s="291">
        <f t="shared" si="1"/>
        <v>1129.4890000000003</v>
      </c>
      <c r="K8" s="291">
        <f t="shared" si="1"/>
        <v>1127.4249999999997</v>
      </c>
      <c r="L8" s="291">
        <f t="shared" si="1"/>
        <v>1199.6320000000001</v>
      </c>
      <c r="M8" s="291">
        <f t="shared" si="1"/>
        <v>1225.8260000000002</v>
      </c>
      <c r="N8" s="291">
        <f t="shared" si="1"/>
        <v>1251.9659999999997</v>
      </c>
      <c r="O8" s="291">
        <f t="shared" si="1"/>
        <v>1297.7719999999999</v>
      </c>
      <c r="P8" s="291">
        <f t="shared" si="1"/>
        <v>1275.7819999999999</v>
      </c>
      <c r="Q8" s="291">
        <f t="shared" si="1"/>
        <v>1158.691</v>
      </c>
      <c r="R8" s="291">
        <f t="shared" si="1"/>
        <v>1173.1729999999998</v>
      </c>
      <c r="S8" s="291">
        <f t="shared" si="1"/>
        <v>1165.2349999999999</v>
      </c>
      <c r="T8" s="291">
        <f t="shared" si="1"/>
        <v>1110.7270000000001</v>
      </c>
      <c r="U8" s="291">
        <f t="shared" si="1"/>
        <v>1105.404</v>
      </c>
      <c r="V8" s="291">
        <f t="shared" si="1"/>
        <v>1105.8360000000002</v>
      </c>
      <c r="W8" s="291">
        <f t="shared" si="1"/>
        <v>1145.4189999999999</v>
      </c>
      <c r="X8" s="291">
        <f t="shared" si="1"/>
        <v>1177.5140000000001</v>
      </c>
      <c r="Y8" s="291">
        <f t="shared" si="1"/>
        <v>1218.6389999999999</v>
      </c>
      <c r="Z8" s="291">
        <f t="shared" si="1"/>
        <v>1242.885</v>
      </c>
      <c r="AA8" s="294" t="s">
        <v>99</v>
      </c>
      <c r="AB8" s="389">
        <f>Z8/road_by_tot!Z8</f>
        <v>0.64581960688134321</v>
      </c>
      <c r="AC8" s="389">
        <f t="shared" ref="AC8:AC44" si="2">Z8/Y8*100-100</f>
        <v>1.9895965909510664</v>
      </c>
    </row>
    <row r="9" spans="1:32" ht="12.75" customHeight="1" x14ac:dyDescent="0.2">
      <c r="A9" s="15"/>
      <c r="B9" s="17" t="s">
        <v>22</v>
      </c>
      <c r="C9" s="164">
        <v>18.616</v>
      </c>
      <c r="D9" s="165">
        <v>16.614999999999998</v>
      </c>
      <c r="E9" s="165">
        <v>18.425999999999998</v>
      </c>
      <c r="F9" s="165">
        <v>16.693000000000001</v>
      </c>
      <c r="G9" s="165">
        <v>15.757999999999999</v>
      </c>
      <c r="H9" s="165">
        <v>19.754000000000001</v>
      </c>
      <c r="I9" s="165">
        <v>20.565000000000001</v>
      </c>
      <c r="J9" s="165">
        <v>20.391999999999999</v>
      </c>
      <c r="K9" s="165">
        <v>19.584</v>
      </c>
      <c r="L9" s="165">
        <v>19.416</v>
      </c>
      <c r="M9" s="165">
        <v>19.283000000000001</v>
      </c>
      <c r="N9" s="165">
        <v>19.614999999999998</v>
      </c>
      <c r="O9" s="165">
        <v>19.649999999999999</v>
      </c>
      <c r="P9" s="165">
        <v>18.207000000000001</v>
      </c>
      <c r="Q9" s="165">
        <v>17.603000000000002</v>
      </c>
      <c r="R9" s="165">
        <v>17.754999999999999</v>
      </c>
      <c r="S9" s="165">
        <v>17.75</v>
      </c>
      <c r="T9" s="165">
        <v>18.186</v>
      </c>
      <c r="U9" s="165">
        <v>18.98</v>
      </c>
      <c r="V9" s="481">
        <v>19.167000000000002</v>
      </c>
      <c r="W9" s="165">
        <v>21.277000000000001</v>
      </c>
      <c r="X9" s="165">
        <v>21.428000000000001</v>
      </c>
      <c r="Y9" s="165">
        <v>20.632000000000001</v>
      </c>
      <c r="Z9" s="171">
        <v>20.591000000000001</v>
      </c>
      <c r="AA9" s="179" t="s">
        <v>22</v>
      </c>
      <c r="AB9" s="179">
        <f>Z9/road_by_tot!Z9</f>
        <v>0.63000244768082247</v>
      </c>
      <c r="AC9" s="179">
        <f t="shared" si="2"/>
        <v>-0.19872043427685071</v>
      </c>
      <c r="AD9" s="330"/>
      <c r="AE9" s="1"/>
    </row>
    <row r="10" spans="1:32" ht="12.75" customHeight="1" x14ac:dyDescent="0.2">
      <c r="A10" s="15"/>
      <c r="B10" s="89" t="s">
        <v>5</v>
      </c>
      <c r="C10" s="154"/>
      <c r="D10" s="155"/>
      <c r="E10" s="155"/>
      <c r="F10" s="155"/>
      <c r="G10" s="155"/>
      <c r="H10" s="155">
        <v>3.0609999999999999</v>
      </c>
      <c r="I10" s="155">
        <v>3.31</v>
      </c>
      <c r="J10" s="155">
        <v>3.931</v>
      </c>
      <c r="K10" s="155">
        <v>4.5860000000000003</v>
      </c>
      <c r="L10" s="155">
        <v>4.6120000000000001</v>
      </c>
      <c r="M10" s="155">
        <v>5.0449999999999999</v>
      </c>
      <c r="N10" s="155">
        <v>5.806</v>
      </c>
      <c r="O10" s="155">
        <v>5.89</v>
      </c>
      <c r="P10" s="155">
        <v>7.1219999999999999</v>
      </c>
      <c r="Q10" s="155">
        <v>6.306</v>
      </c>
      <c r="R10" s="155">
        <v>6.12</v>
      </c>
      <c r="S10" s="155">
        <v>6.5179999999999998</v>
      </c>
      <c r="T10" s="155">
        <v>6.2859999999999996</v>
      </c>
      <c r="U10" s="155">
        <v>7.1920000000000002</v>
      </c>
      <c r="V10" s="155">
        <v>6.8259999999999996</v>
      </c>
      <c r="W10" s="155">
        <v>7.1719999999999997</v>
      </c>
      <c r="X10" s="155">
        <v>7.3239999999999998</v>
      </c>
      <c r="Y10" s="155">
        <v>8.3279999999999994</v>
      </c>
      <c r="Z10" s="155">
        <v>7.734</v>
      </c>
      <c r="AA10" s="376" t="s">
        <v>5</v>
      </c>
      <c r="AB10" s="376">
        <f>Z10/road_by_tot!Z10</f>
        <v>0.28697588126159557</v>
      </c>
      <c r="AC10" s="376">
        <f t="shared" si="2"/>
        <v>-7.1325648414985494</v>
      </c>
    </row>
    <row r="11" spans="1:32" ht="12.75" customHeight="1" x14ac:dyDescent="0.2">
      <c r="A11" s="15"/>
      <c r="B11" s="17" t="s">
        <v>7</v>
      </c>
      <c r="C11" s="118" t="s">
        <v>34</v>
      </c>
      <c r="D11" s="58" t="s">
        <v>34</v>
      </c>
      <c r="E11" s="58" t="s">
        <v>34</v>
      </c>
      <c r="F11" s="58" t="s">
        <v>34</v>
      </c>
      <c r="G11" s="58"/>
      <c r="H11" s="58">
        <v>14.214</v>
      </c>
      <c r="I11" s="58">
        <v>15.007</v>
      </c>
      <c r="J11" s="58">
        <v>16.318000000000001</v>
      </c>
      <c r="K11" s="58">
        <v>17.361999999999998</v>
      </c>
      <c r="L11" s="58">
        <v>16.045999999999999</v>
      </c>
      <c r="M11" s="58">
        <v>15.518000000000001</v>
      </c>
      <c r="N11" s="58">
        <v>16.082000000000001</v>
      </c>
      <c r="O11" s="58">
        <v>15.831</v>
      </c>
      <c r="P11" s="58">
        <v>15.747999999999999</v>
      </c>
      <c r="Q11" s="58">
        <v>13.48</v>
      </c>
      <c r="R11" s="58">
        <v>14.762</v>
      </c>
      <c r="S11" s="58">
        <v>14.984999999999999</v>
      </c>
      <c r="T11" s="58">
        <v>14.403</v>
      </c>
      <c r="U11" s="58">
        <v>15.391999999999999</v>
      </c>
      <c r="V11" s="58">
        <v>16.812999999999999</v>
      </c>
      <c r="W11" s="58">
        <v>21.184000000000001</v>
      </c>
      <c r="X11" s="58">
        <v>22.303999999999998</v>
      </c>
      <c r="Y11" s="58">
        <v>21.899000000000001</v>
      </c>
      <c r="Z11" s="58">
        <v>23.542999999999999</v>
      </c>
      <c r="AA11" s="179" t="s">
        <v>7</v>
      </c>
      <c r="AB11" s="179">
        <f>Z11/road_by_tot!Z11</f>
        <v>0.57319893847539749</v>
      </c>
      <c r="AC11" s="179">
        <f t="shared" si="2"/>
        <v>7.5071921092287255</v>
      </c>
    </row>
    <row r="12" spans="1:32" ht="12.75" customHeight="1" x14ac:dyDescent="0.2">
      <c r="A12" s="15"/>
      <c r="B12" s="89" t="s">
        <v>18</v>
      </c>
      <c r="C12" s="154">
        <v>9.327</v>
      </c>
      <c r="D12" s="155">
        <v>9.4320000000000004</v>
      </c>
      <c r="E12" s="155">
        <v>9.7119999999999997</v>
      </c>
      <c r="F12" s="155">
        <v>10.108000000000001</v>
      </c>
      <c r="G12" s="155">
        <v>10.420999999999999</v>
      </c>
      <c r="H12" s="155">
        <v>11</v>
      </c>
      <c r="I12" s="155">
        <v>10.887</v>
      </c>
      <c r="J12" s="155">
        <v>11.057</v>
      </c>
      <c r="K12" s="155">
        <v>11.012</v>
      </c>
      <c r="L12" s="155">
        <v>10.538</v>
      </c>
      <c r="M12" s="155">
        <v>11.058</v>
      </c>
      <c r="N12" s="155">
        <v>11.494999999999999</v>
      </c>
      <c r="O12" s="155">
        <v>11.8</v>
      </c>
      <c r="P12" s="155">
        <v>10.718</v>
      </c>
      <c r="Q12" s="155">
        <v>10.002000000000001</v>
      </c>
      <c r="R12" s="155">
        <v>10.573</v>
      </c>
      <c r="S12" s="155">
        <v>12.025</v>
      </c>
      <c r="T12" s="155">
        <v>12.292</v>
      </c>
      <c r="U12" s="155">
        <v>12.217000000000001</v>
      </c>
      <c r="V12" s="155">
        <v>12.943</v>
      </c>
      <c r="W12" s="155">
        <v>12.532</v>
      </c>
      <c r="X12" s="155">
        <v>13.037000000000001</v>
      </c>
      <c r="Y12" s="155">
        <v>12.577</v>
      </c>
      <c r="Z12" s="155">
        <v>12.074999999999999</v>
      </c>
      <c r="AA12" s="376" t="s">
        <v>18</v>
      </c>
      <c r="AB12" s="376">
        <f>Z12/road_by_tot!Z12</f>
        <v>0.80510734764635283</v>
      </c>
      <c r="AC12" s="376">
        <f t="shared" si="2"/>
        <v>-3.9914128965572075</v>
      </c>
    </row>
    <row r="13" spans="1:32" ht="12.75" customHeight="1" x14ac:dyDescent="0.2">
      <c r="A13" s="15"/>
      <c r="B13" s="17" t="s">
        <v>23</v>
      </c>
      <c r="C13" s="118">
        <v>201.29900000000001</v>
      </c>
      <c r="D13" s="58">
        <v>199.19499999999999</v>
      </c>
      <c r="E13" s="58">
        <v>203.119</v>
      </c>
      <c r="F13" s="58">
        <v>210.40199999999999</v>
      </c>
      <c r="G13" s="58">
        <v>226.887</v>
      </c>
      <c r="H13" s="58">
        <v>226.529</v>
      </c>
      <c r="I13" s="58">
        <v>230.01599999999999</v>
      </c>
      <c r="J13" s="58">
        <v>225.47399999999999</v>
      </c>
      <c r="K13" s="58">
        <v>227.20500000000001</v>
      </c>
      <c r="L13" s="58">
        <v>232.303</v>
      </c>
      <c r="M13" s="58">
        <v>237.61699999999999</v>
      </c>
      <c r="N13" s="58">
        <v>251.37899999999999</v>
      </c>
      <c r="O13" s="58">
        <v>261.44</v>
      </c>
      <c r="P13" s="58">
        <v>264.54500000000002</v>
      </c>
      <c r="Q13" s="58">
        <v>245.56800000000001</v>
      </c>
      <c r="R13" s="58">
        <v>252.46199999999999</v>
      </c>
      <c r="S13" s="58">
        <v>265.02499999999998</v>
      </c>
      <c r="T13" s="58">
        <v>254.499</v>
      </c>
      <c r="U13" s="58">
        <v>256.721</v>
      </c>
      <c r="V13" s="58">
        <v>263.03199999999998</v>
      </c>
      <c r="W13" s="58">
        <v>269.64999999999998</v>
      </c>
      <c r="X13" s="58">
        <v>271.67899999999997</v>
      </c>
      <c r="Y13" s="58">
        <v>271.666</v>
      </c>
      <c r="Z13" s="58">
        <v>276.15100000000001</v>
      </c>
      <c r="AA13" s="179" t="s">
        <v>23</v>
      </c>
      <c r="AB13" s="179">
        <f>Z13/road_by_tot!Z13</f>
        <v>0.87176581263495512</v>
      </c>
      <c r="AC13" s="179">
        <f t="shared" si="2"/>
        <v>1.6509242967467372</v>
      </c>
    </row>
    <row r="14" spans="1:32" ht="12.75" customHeight="1" x14ac:dyDescent="0.2">
      <c r="A14" s="15"/>
      <c r="B14" s="89" t="s">
        <v>8</v>
      </c>
      <c r="C14" s="154">
        <v>0.44900000000000001</v>
      </c>
      <c r="D14" s="155">
        <v>0.442</v>
      </c>
      <c r="E14" s="155">
        <v>0.51</v>
      </c>
      <c r="F14" s="155">
        <v>0.53800000000000003</v>
      </c>
      <c r="G14" s="155">
        <v>0.73399999999999999</v>
      </c>
      <c r="H14" s="155">
        <v>0.71499999999999997</v>
      </c>
      <c r="I14" s="155">
        <v>0.54800000000000004</v>
      </c>
      <c r="J14" s="161">
        <v>0.76200000000000001</v>
      </c>
      <c r="K14" s="155">
        <v>1.5680000000000001</v>
      </c>
      <c r="L14" s="155">
        <v>1.478</v>
      </c>
      <c r="M14" s="155">
        <v>1.847</v>
      </c>
      <c r="N14" s="155">
        <v>1.9790000000000001</v>
      </c>
      <c r="O14" s="155">
        <v>1.9419999999999999</v>
      </c>
      <c r="P14" s="155">
        <v>1.8320000000000001</v>
      </c>
      <c r="Q14" s="155">
        <v>1.3260000000000001</v>
      </c>
      <c r="R14" s="155">
        <v>1.3879999999999999</v>
      </c>
      <c r="S14" s="155">
        <v>1.5609999999999999</v>
      </c>
      <c r="T14" s="155">
        <v>1.599</v>
      </c>
      <c r="U14" s="155">
        <v>1.593</v>
      </c>
      <c r="V14" s="155">
        <v>1.5409999999999999</v>
      </c>
      <c r="W14" s="155">
        <v>1.524</v>
      </c>
      <c r="X14" s="155">
        <v>1.792</v>
      </c>
      <c r="Y14" s="155">
        <v>1.631</v>
      </c>
      <c r="Z14" s="155">
        <v>1.6859999999999999</v>
      </c>
      <c r="AA14" s="376" t="s">
        <v>8</v>
      </c>
      <c r="AB14" s="376">
        <f>Z14/road_by_tot!Z14</f>
        <v>0.2919480519480519</v>
      </c>
      <c r="AC14" s="376">
        <f t="shared" si="2"/>
        <v>3.3721643163703305</v>
      </c>
    </row>
    <row r="15" spans="1:32" ht="12.75" customHeight="1" x14ac:dyDescent="0.2">
      <c r="A15" s="15"/>
      <c r="B15" s="17" t="s">
        <v>26</v>
      </c>
      <c r="C15" s="164">
        <v>4.7</v>
      </c>
      <c r="D15" s="165">
        <v>4.7</v>
      </c>
      <c r="E15" s="165">
        <v>4.7</v>
      </c>
      <c r="F15" s="165">
        <v>4.7</v>
      </c>
      <c r="G15" s="165">
        <v>7.7370000000000001</v>
      </c>
      <c r="H15" s="165">
        <v>8.3369999999999997</v>
      </c>
      <c r="I15" s="165">
        <v>9.1219999999999999</v>
      </c>
      <c r="J15" s="165">
        <v>10.731</v>
      </c>
      <c r="K15" s="165">
        <v>11.935</v>
      </c>
      <c r="L15" s="165">
        <v>13.215999999999999</v>
      </c>
      <c r="M15" s="165">
        <v>13.983000000000001</v>
      </c>
      <c r="N15" s="165">
        <v>13.832000000000001</v>
      </c>
      <c r="O15" s="165">
        <v>14.428000000000001</v>
      </c>
      <c r="P15" s="165">
        <v>13.265000000000001</v>
      </c>
      <c r="Q15" s="165">
        <v>8.4689999999999994</v>
      </c>
      <c r="R15" s="165">
        <v>8.2210000000000001</v>
      </c>
      <c r="S15" s="165">
        <v>7.47</v>
      </c>
      <c r="T15" s="165">
        <v>7.4189999999999996</v>
      </c>
      <c r="U15" s="165">
        <v>7.2160000000000002</v>
      </c>
      <c r="V15" s="165">
        <v>7.7039999999999997</v>
      </c>
      <c r="W15" s="165">
        <v>7.76</v>
      </c>
      <c r="X15" s="165">
        <v>9.2810000000000006</v>
      </c>
      <c r="Y15" s="165">
        <v>9.3260000000000005</v>
      </c>
      <c r="Z15" s="165">
        <v>9.4009999999999998</v>
      </c>
      <c r="AA15" s="179" t="s">
        <v>26</v>
      </c>
      <c r="AB15" s="179">
        <f>Z15/road_by_tot!Z15</f>
        <v>0.81043103448275866</v>
      </c>
      <c r="AC15" s="179">
        <f t="shared" si="2"/>
        <v>0.80420330259489958</v>
      </c>
    </row>
    <row r="16" spans="1:32" ht="12.75" customHeight="1" x14ac:dyDescent="0.2">
      <c r="A16" s="15"/>
      <c r="B16" s="89" t="s">
        <v>19</v>
      </c>
      <c r="C16" s="162">
        <v>20</v>
      </c>
      <c r="D16" s="163">
        <v>21</v>
      </c>
      <c r="E16" s="163">
        <v>21.5</v>
      </c>
      <c r="F16" s="163">
        <v>22</v>
      </c>
      <c r="G16" s="163">
        <v>22.5</v>
      </c>
      <c r="H16" s="163">
        <v>23</v>
      </c>
      <c r="I16" s="163">
        <v>23.5</v>
      </c>
      <c r="J16" s="163">
        <v>24</v>
      </c>
      <c r="K16" s="208">
        <v>15.276</v>
      </c>
      <c r="L16" s="155">
        <v>31.745000000000001</v>
      </c>
      <c r="M16" s="160">
        <v>19.61</v>
      </c>
      <c r="N16" s="155">
        <v>26.137</v>
      </c>
      <c r="O16" s="155">
        <v>21.728999999999999</v>
      </c>
      <c r="P16" s="155">
        <v>24.346</v>
      </c>
      <c r="Q16" s="155">
        <v>24.228000000000002</v>
      </c>
      <c r="R16" s="155">
        <v>25.256</v>
      </c>
      <c r="S16" s="155">
        <v>16.809000000000001</v>
      </c>
      <c r="T16" s="155">
        <v>16.486000000000001</v>
      </c>
      <c r="U16" s="155">
        <v>12.718999999999999</v>
      </c>
      <c r="V16" s="155">
        <v>15.119</v>
      </c>
      <c r="W16" s="155">
        <v>15.023</v>
      </c>
      <c r="X16" s="155">
        <v>16.652000000000001</v>
      </c>
      <c r="Y16" s="155">
        <v>15.471</v>
      </c>
      <c r="Z16" s="155">
        <v>15.391999999999999</v>
      </c>
      <c r="AA16" s="376" t="s">
        <v>19</v>
      </c>
      <c r="AB16" s="376">
        <f>Z16/road_by_tot!Z16</f>
        <v>0.52570101437890637</v>
      </c>
      <c r="AC16" s="376">
        <f t="shared" si="2"/>
        <v>-0.51063279684571228</v>
      </c>
    </row>
    <row r="17" spans="1:29" ht="12.75" customHeight="1" x14ac:dyDescent="0.2">
      <c r="A17" s="15"/>
      <c r="B17" s="17" t="s">
        <v>24</v>
      </c>
      <c r="C17" s="164">
        <v>78.744</v>
      </c>
      <c r="D17" s="165">
        <v>76.257000000000005</v>
      </c>
      <c r="E17" s="165">
        <v>80.634</v>
      </c>
      <c r="F17" s="165">
        <v>91.328999999999994</v>
      </c>
      <c r="G17" s="165">
        <v>98.134</v>
      </c>
      <c r="H17" s="165">
        <v>106.93600000000001</v>
      </c>
      <c r="I17" s="165">
        <v>114.004</v>
      </c>
      <c r="J17" s="165">
        <v>129.51</v>
      </c>
      <c r="K17" s="165">
        <v>138.41300000000001</v>
      </c>
      <c r="L17" s="165">
        <v>155.01400000000001</v>
      </c>
      <c r="M17" s="165">
        <v>166.386</v>
      </c>
      <c r="N17" s="165">
        <v>174.58799999999999</v>
      </c>
      <c r="O17" s="165">
        <v>190.61099999999999</v>
      </c>
      <c r="P17" s="165">
        <v>175.184</v>
      </c>
      <c r="Q17" s="165">
        <v>151.06</v>
      </c>
      <c r="R17" s="165">
        <v>146.19399999999999</v>
      </c>
      <c r="S17" s="165">
        <v>142.32300000000001</v>
      </c>
      <c r="T17" s="165">
        <v>133.36799999999999</v>
      </c>
      <c r="U17" s="165">
        <v>126.997</v>
      </c>
      <c r="V17" s="165">
        <v>128.15700000000001</v>
      </c>
      <c r="W17" s="165">
        <v>137.23599999999999</v>
      </c>
      <c r="X17" s="165">
        <v>144.98400000000001</v>
      </c>
      <c r="Y17" s="165">
        <v>154.666</v>
      </c>
      <c r="Z17" s="165">
        <v>158.476</v>
      </c>
      <c r="AA17" s="179" t="s">
        <v>24</v>
      </c>
      <c r="AB17" s="179">
        <f>Z17/road_by_tot!Z17</f>
        <v>0.66309614467308797</v>
      </c>
      <c r="AC17" s="179">
        <f t="shared" si="2"/>
        <v>2.4633726869512458</v>
      </c>
    </row>
    <row r="18" spans="1:29" ht="12.75" customHeight="1" x14ac:dyDescent="0.2">
      <c r="A18" s="15"/>
      <c r="B18" s="89" t="s">
        <v>25</v>
      </c>
      <c r="C18" s="154">
        <v>135.30000000000001</v>
      </c>
      <c r="D18" s="155">
        <v>136.50200000000001</v>
      </c>
      <c r="E18" s="155">
        <v>138.96</v>
      </c>
      <c r="F18" s="155">
        <v>145.459</v>
      </c>
      <c r="G18" s="155">
        <v>159.02600000000001</v>
      </c>
      <c r="H18" s="155">
        <v>163.16300000000001</v>
      </c>
      <c r="I18" s="155">
        <v>168.572</v>
      </c>
      <c r="J18" s="155">
        <v>169.74199999999999</v>
      </c>
      <c r="K18" s="155">
        <v>170.89599999999999</v>
      </c>
      <c r="L18" s="155">
        <v>179.18299999999999</v>
      </c>
      <c r="M18" s="155">
        <v>177.33099999999999</v>
      </c>
      <c r="N18" s="155">
        <v>182.75299999999999</v>
      </c>
      <c r="O18" s="155">
        <v>191.38800000000001</v>
      </c>
      <c r="P18" s="155">
        <v>181.87899999999999</v>
      </c>
      <c r="Q18" s="155">
        <v>156.02099999999999</v>
      </c>
      <c r="R18" s="155">
        <v>164.32499999999999</v>
      </c>
      <c r="S18" s="155">
        <v>168.24199999999999</v>
      </c>
      <c r="T18" s="155">
        <v>156.44900000000001</v>
      </c>
      <c r="U18" s="155">
        <v>155.71199999999999</v>
      </c>
      <c r="V18" s="155">
        <v>151.11199999999999</v>
      </c>
      <c r="W18" s="155">
        <v>141.24199999999999</v>
      </c>
      <c r="X18" s="155">
        <v>144.20500000000001</v>
      </c>
      <c r="Y18" s="155">
        <v>155.876</v>
      </c>
      <c r="Z18" s="155">
        <v>161.941</v>
      </c>
      <c r="AA18" s="376" t="s">
        <v>25</v>
      </c>
      <c r="AB18" s="376">
        <f>Z18/road_by_tot!Z18</f>
        <v>0.93420134181727976</v>
      </c>
      <c r="AC18" s="376">
        <f t="shared" si="2"/>
        <v>3.8909132900510741</v>
      </c>
    </row>
    <row r="19" spans="1:29" ht="12.75" customHeight="1" x14ac:dyDescent="0.2">
      <c r="A19" s="15"/>
      <c r="B19" s="17" t="s">
        <v>36</v>
      </c>
      <c r="C19" s="118" t="s">
        <v>34</v>
      </c>
      <c r="D19" s="58"/>
      <c r="E19" s="58"/>
      <c r="F19" s="145"/>
      <c r="G19" s="58">
        <v>1.6060000000000001</v>
      </c>
      <c r="H19" s="58">
        <v>1.9059999999999999</v>
      </c>
      <c r="I19" s="58">
        <v>3.2130000000000001</v>
      </c>
      <c r="J19" s="58">
        <v>3.6629999999999998</v>
      </c>
      <c r="K19" s="58">
        <v>4.1239999999999997</v>
      </c>
      <c r="L19" s="58">
        <v>4.3730000000000002</v>
      </c>
      <c r="M19" s="58">
        <v>4.3869999999999996</v>
      </c>
      <c r="N19" s="58">
        <v>5.2910000000000004</v>
      </c>
      <c r="O19" s="58">
        <v>5.1219999999999999</v>
      </c>
      <c r="P19" s="58">
        <v>6.4450000000000003</v>
      </c>
      <c r="Q19" s="58">
        <v>5.125</v>
      </c>
      <c r="R19" s="58">
        <v>4.5469999999999997</v>
      </c>
      <c r="S19" s="58">
        <v>4.375</v>
      </c>
      <c r="T19" s="58">
        <v>4.1449999999999996</v>
      </c>
      <c r="U19" s="58">
        <v>4.2839999999999998</v>
      </c>
      <c r="V19" s="58">
        <v>3.931</v>
      </c>
      <c r="W19" s="58">
        <v>4.0549999999999997</v>
      </c>
      <c r="X19" s="58">
        <v>3.9860000000000002</v>
      </c>
      <c r="Y19" s="58">
        <v>4.1989999999999998</v>
      </c>
      <c r="Z19" s="58">
        <v>4.2350000000000003</v>
      </c>
      <c r="AA19" s="179" t="s">
        <v>36</v>
      </c>
      <c r="AB19" s="179">
        <f>Z19/road_by_tot!Z19</f>
        <v>0.33518005540166207</v>
      </c>
      <c r="AC19" s="179">
        <f t="shared" si="2"/>
        <v>0.85734698737796577</v>
      </c>
    </row>
    <row r="20" spans="1:29" ht="12.75" customHeight="1" x14ac:dyDescent="0.2">
      <c r="A20" s="15"/>
      <c r="B20" s="89" t="s">
        <v>27</v>
      </c>
      <c r="C20" s="162">
        <v>150.30099999999999</v>
      </c>
      <c r="D20" s="163">
        <v>151.02500000000001</v>
      </c>
      <c r="E20" s="163">
        <v>153.6</v>
      </c>
      <c r="F20" s="163">
        <v>154.15100000000001</v>
      </c>
      <c r="G20" s="160">
        <v>151.96700000000001</v>
      </c>
      <c r="H20" s="160">
        <v>158.25</v>
      </c>
      <c r="I20" s="160">
        <v>154.749</v>
      </c>
      <c r="J20" s="155">
        <v>160.08199999999999</v>
      </c>
      <c r="K20" s="155">
        <v>143.184</v>
      </c>
      <c r="L20" s="155">
        <v>158.172</v>
      </c>
      <c r="M20" s="155">
        <v>171.58699999999999</v>
      </c>
      <c r="N20" s="155">
        <v>155.42500000000001</v>
      </c>
      <c r="O20" s="155">
        <v>152.40600000000001</v>
      </c>
      <c r="P20" s="155">
        <v>151.82300000000001</v>
      </c>
      <c r="Q20" s="155">
        <v>145.61000000000001</v>
      </c>
      <c r="R20" s="155">
        <v>149.24799999999999</v>
      </c>
      <c r="S20" s="155">
        <v>127.681</v>
      </c>
      <c r="T20" s="155">
        <v>111.785</v>
      </c>
      <c r="U20" s="155">
        <v>111.97499999999999</v>
      </c>
      <c r="V20" s="155">
        <v>102.351</v>
      </c>
      <c r="W20" s="155">
        <v>104.104</v>
      </c>
      <c r="X20" s="155">
        <v>100.282</v>
      </c>
      <c r="Y20" s="155">
        <v>106.711</v>
      </c>
      <c r="Z20" s="155">
        <v>111.741</v>
      </c>
      <c r="AA20" s="376" t="s">
        <v>27</v>
      </c>
      <c r="AB20" s="376">
        <f>Z20/road_by_tot!Z20</f>
        <v>0.89453628467357793</v>
      </c>
      <c r="AC20" s="376">
        <f t="shared" si="2"/>
        <v>4.7136658826175477</v>
      </c>
    </row>
    <row r="21" spans="1:29" ht="12.75" customHeight="1" x14ac:dyDescent="0.2">
      <c r="A21" s="15"/>
      <c r="B21" s="17" t="s">
        <v>6</v>
      </c>
      <c r="C21" s="118"/>
      <c r="D21" s="58"/>
      <c r="E21" s="58"/>
      <c r="F21" s="58"/>
      <c r="G21" s="58"/>
      <c r="H21" s="58">
        <v>1.28</v>
      </c>
      <c r="I21" s="58">
        <v>1.29</v>
      </c>
      <c r="J21" s="58">
        <v>1.286</v>
      </c>
      <c r="K21" s="58">
        <v>1.37</v>
      </c>
      <c r="L21" s="58">
        <v>1.1020000000000001</v>
      </c>
      <c r="M21" s="58">
        <v>1.3740000000000001</v>
      </c>
      <c r="N21" s="58">
        <v>1.145</v>
      </c>
      <c r="O21" s="58">
        <v>1.1839999999999999</v>
      </c>
      <c r="P21" s="58">
        <v>1.296</v>
      </c>
      <c r="Q21" s="58">
        <v>0.94399999999999995</v>
      </c>
      <c r="R21" s="58">
        <v>1.0660000000000001</v>
      </c>
      <c r="S21" s="58">
        <v>0.92300000000000004</v>
      </c>
      <c r="T21" s="58">
        <v>0.88</v>
      </c>
      <c r="U21" s="58">
        <v>0.61799999999999999</v>
      </c>
      <c r="V21" s="58">
        <v>0.52600000000000002</v>
      </c>
      <c r="W21" s="58">
        <v>0.54800000000000004</v>
      </c>
      <c r="X21" s="58">
        <v>0.68400000000000005</v>
      </c>
      <c r="Y21" s="58">
        <v>0.80200000000000005</v>
      </c>
      <c r="Z21" s="58">
        <v>0.86499999999999999</v>
      </c>
      <c r="AA21" s="179" t="s">
        <v>6</v>
      </c>
      <c r="AB21" s="179">
        <f>Z21/road_by_tot!Z21</f>
        <v>0.96973094170403584</v>
      </c>
      <c r="AC21" s="179">
        <f t="shared" si="2"/>
        <v>7.8553615960099705</v>
      </c>
    </row>
    <row r="22" spans="1:29" ht="12.75" customHeight="1" x14ac:dyDescent="0.2">
      <c r="A22" s="15"/>
      <c r="B22" s="89" t="s">
        <v>10</v>
      </c>
      <c r="C22" s="154" t="s">
        <v>34</v>
      </c>
      <c r="D22" s="155"/>
      <c r="E22" s="155"/>
      <c r="F22" s="155"/>
      <c r="G22" s="155"/>
      <c r="H22" s="155">
        <v>1.484</v>
      </c>
      <c r="I22" s="155">
        <v>1.645</v>
      </c>
      <c r="J22" s="155">
        <v>1.9670000000000001</v>
      </c>
      <c r="K22" s="155">
        <v>2.3650000000000002</v>
      </c>
      <c r="L22" s="155">
        <v>2.38</v>
      </c>
      <c r="M22" s="155">
        <v>2.734</v>
      </c>
      <c r="N22" s="155">
        <v>2.718</v>
      </c>
      <c r="O22" s="155">
        <v>3.0059999999999998</v>
      </c>
      <c r="P22" s="155">
        <v>2.536</v>
      </c>
      <c r="Q22" s="155">
        <v>2.149</v>
      </c>
      <c r="R22" s="155">
        <v>2.5609999999999999</v>
      </c>
      <c r="S22" s="155">
        <v>2.6459999999999999</v>
      </c>
      <c r="T22" s="155">
        <v>2.6160000000000001</v>
      </c>
      <c r="U22" s="155">
        <v>2.8029999999999999</v>
      </c>
      <c r="V22" s="155">
        <v>2.74</v>
      </c>
      <c r="W22" s="155">
        <v>2.7530000000000001</v>
      </c>
      <c r="X22" s="155">
        <v>2.8069999999999999</v>
      </c>
      <c r="Y22" s="155">
        <v>3.24</v>
      </c>
      <c r="Z22" s="155">
        <v>3.4590000000000001</v>
      </c>
      <c r="AA22" s="376" t="s">
        <v>10</v>
      </c>
      <c r="AB22" s="376">
        <f>Z22/road_by_tot!Z22</f>
        <v>0.23064612922584518</v>
      </c>
      <c r="AC22" s="376">
        <f t="shared" si="2"/>
        <v>6.7592592592592666</v>
      </c>
    </row>
    <row r="23" spans="1:29" ht="12.75" customHeight="1" x14ac:dyDescent="0.2">
      <c r="A23" s="15"/>
      <c r="B23" s="17" t="s">
        <v>11</v>
      </c>
      <c r="C23" s="118" t="s">
        <v>34</v>
      </c>
      <c r="D23" s="58"/>
      <c r="E23" s="58"/>
      <c r="F23" s="58"/>
      <c r="G23" s="58"/>
      <c r="H23" s="58">
        <v>1.534</v>
      </c>
      <c r="I23" s="58">
        <v>1.518</v>
      </c>
      <c r="J23" s="58">
        <v>1.518</v>
      </c>
      <c r="K23" s="58">
        <v>1.958</v>
      </c>
      <c r="L23" s="58">
        <v>2.2130000000000001</v>
      </c>
      <c r="M23" s="58">
        <v>2.137</v>
      </c>
      <c r="N23" s="58">
        <v>2.2320000000000002</v>
      </c>
      <c r="O23" s="58">
        <v>2.7040000000000002</v>
      </c>
      <c r="P23" s="58">
        <v>2.56</v>
      </c>
      <c r="Q23" s="58">
        <v>2.633</v>
      </c>
      <c r="R23" s="58">
        <v>2.2919999999999998</v>
      </c>
      <c r="S23" s="58">
        <v>2.3199999999999998</v>
      </c>
      <c r="T23" s="58">
        <v>2.4380000000000002</v>
      </c>
      <c r="U23" s="58">
        <v>2.54</v>
      </c>
      <c r="V23" s="58">
        <v>2.7679999999999998</v>
      </c>
      <c r="W23" s="58">
        <v>2.9129999999999998</v>
      </c>
      <c r="X23" s="58">
        <v>2.97</v>
      </c>
      <c r="Y23" s="58">
        <v>3.1840000000000002</v>
      </c>
      <c r="Z23" s="58">
        <v>3.6419999999999999</v>
      </c>
      <c r="AA23" s="179" t="s">
        <v>11</v>
      </c>
      <c r="AB23" s="179">
        <f>Z23/road_by_tot!Z23</f>
        <v>8.3551273227804534E-2</v>
      </c>
      <c r="AC23" s="179">
        <f t="shared" si="2"/>
        <v>14.384422110552748</v>
      </c>
    </row>
    <row r="24" spans="1:29" ht="12.75" customHeight="1" x14ac:dyDescent="0.2">
      <c r="A24" s="15"/>
      <c r="B24" s="89" t="s">
        <v>28</v>
      </c>
      <c r="C24" s="154">
        <v>0.53100000000000003</v>
      </c>
      <c r="D24" s="155">
        <v>0.39200000000000002</v>
      </c>
      <c r="E24" s="155">
        <v>0.39400000000000002</v>
      </c>
      <c r="F24" s="155">
        <v>0.39500000000000002</v>
      </c>
      <c r="G24" s="155">
        <v>0.377</v>
      </c>
      <c r="H24" s="155">
        <v>0.41499999999999998</v>
      </c>
      <c r="I24" s="155">
        <v>0.48699999999999999</v>
      </c>
      <c r="J24" s="155">
        <v>0.58299999999999996</v>
      </c>
      <c r="K24" s="155">
        <v>0.56499999999999995</v>
      </c>
      <c r="L24" s="155">
        <v>0.54900000000000004</v>
      </c>
      <c r="M24" s="155">
        <v>0.49399999999999999</v>
      </c>
      <c r="N24" s="155">
        <v>0.54400000000000004</v>
      </c>
      <c r="O24" s="155">
        <v>0.54800000000000004</v>
      </c>
      <c r="P24" s="155">
        <v>0.55500000000000005</v>
      </c>
      <c r="Q24" s="155">
        <v>0.53</v>
      </c>
      <c r="R24" s="155">
        <v>0.57399999999999995</v>
      </c>
      <c r="S24" s="155">
        <v>0.65</v>
      </c>
      <c r="T24" s="155">
        <v>1.044</v>
      </c>
      <c r="U24" s="155">
        <v>0.77700000000000002</v>
      </c>
      <c r="V24" s="155">
        <v>1.1279999999999999</v>
      </c>
      <c r="W24" s="155">
        <v>0.97799999999999998</v>
      </c>
      <c r="X24" s="155">
        <v>1.0669999999999999</v>
      </c>
      <c r="Y24" s="155">
        <v>1.0169999999999999</v>
      </c>
      <c r="Z24" s="155">
        <v>0.64700000000000002</v>
      </c>
      <c r="AA24" s="376" t="s">
        <v>28</v>
      </c>
      <c r="AB24" s="376">
        <f>Z24/road_by_tot!Z24</f>
        <v>9.5147058823529418E-2</v>
      </c>
      <c r="AC24" s="376">
        <f t="shared" si="2"/>
        <v>-36.381514257620438</v>
      </c>
    </row>
    <row r="25" spans="1:29" ht="12.75" customHeight="1" x14ac:dyDescent="0.2">
      <c r="A25" s="15"/>
      <c r="B25" s="17" t="s">
        <v>9</v>
      </c>
      <c r="C25" s="157" t="s">
        <v>34</v>
      </c>
      <c r="D25" s="158"/>
      <c r="E25" s="158"/>
      <c r="F25" s="158"/>
      <c r="G25" s="158"/>
      <c r="H25" s="158">
        <v>12.145</v>
      </c>
      <c r="I25" s="158">
        <v>11.835000000000001</v>
      </c>
      <c r="J25" s="158">
        <v>11.166</v>
      </c>
      <c r="K25" s="158">
        <v>10.67</v>
      </c>
      <c r="L25" s="158">
        <v>10.977</v>
      </c>
      <c r="M25" s="158">
        <v>11.394</v>
      </c>
      <c r="N25" s="158">
        <v>12.425000000000001</v>
      </c>
      <c r="O25" s="158">
        <v>13.186</v>
      </c>
      <c r="P25" s="158">
        <v>13.042999999999999</v>
      </c>
      <c r="Q25" s="158">
        <v>12.170999999999999</v>
      </c>
      <c r="R25" s="158">
        <v>11.329000000000001</v>
      </c>
      <c r="S25" s="158">
        <v>10.534000000000001</v>
      </c>
      <c r="T25" s="158">
        <v>9.1809999999999992</v>
      </c>
      <c r="U25" s="158">
        <v>9.2460000000000004</v>
      </c>
      <c r="V25" s="158">
        <v>9.6300000000000008</v>
      </c>
      <c r="W25" s="158">
        <v>10.356</v>
      </c>
      <c r="X25" s="158">
        <v>11.72</v>
      </c>
      <c r="Y25" s="158">
        <v>11.94</v>
      </c>
      <c r="Z25" s="158">
        <v>12.978999999999999</v>
      </c>
      <c r="AA25" s="179" t="s">
        <v>9</v>
      </c>
      <c r="AB25" s="179">
        <f>Z25/road_by_tot!Z25</f>
        <v>0.34202065985032148</v>
      </c>
      <c r="AC25" s="179">
        <f t="shared" si="2"/>
        <v>8.7018425460636593</v>
      </c>
    </row>
    <row r="26" spans="1:29" ht="12.75" customHeight="1" x14ac:dyDescent="0.2">
      <c r="A26" s="15"/>
      <c r="B26" s="57" t="s">
        <v>12</v>
      </c>
      <c r="C26" s="162" t="s">
        <v>34</v>
      </c>
      <c r="D26" s="163"/>
      <c r="E26" s="163"/>
      <c r="F26" s="163"/>
      <c r="G26" s="163"/>
      <c r="H26" s="163">
        <v>0.2</v>
      </c>
      <c r="I26" s="163">
        <v>0.2</v>
      </c>
      <c r="J26" s="163">
        <v>0.2</v>
      </c>
      <c r="K26" s="163">
        <v>0.2</v>
      </c>
      <c r="L26" s="163">
        <v>0.2</v>
      </c>
      <c r="M26" s="163">
        <v>0.2</v>
      </c>
      <c r="N26" s="163">
        <v>0.2</v>
      </c>
      <c r="O26" s="163">
        <v>0.2</v>
      </c>
      <c r="P26" s="163">
        <v>0.2</v>
      </c>
      <c r="Q26" s="163">
        <v>0.2</v>
      </c>
      <c r="R26" s="163">
        <v>0.2</v>
      </c>
      <c r="S26" s="163">
        <v>0.2</v>
      </c>
      <c r="T26" s="163">
        <v>0.2</v>
      </c>
      <c r="U26" s="163">
        <v>0.2</v>
      </c>
      <c r="V26" s="163">
        <v>0.2</v>
      </c>
      <c r="W26" s="163">
        <v>0.2</v>
      </c>
      <c r="X26" s="163">
        <v>0.2</v>
      </c>
      <c r="Y26" s="163">
        <v>0.2</v>
      </c>
      <c r="Z26" s="163">
        <v>0.2</v>
      </c>
      <c r="AA26" s="278" t="s">
        <v>12</v>
      </c>
      <c r="AB26" s="376">
        <f>Z26/road_by_tot!Z26</f>
        <v>0.8</v>
      </c>
      <c r="AC26" s="376">
        <f t="shared" si="2"/>
        <v>0</v>
      </c>
    </row>
    <row r="27" spans="1:29" ht="12.75" customHeight="1" x14ac:dyDescent="0.2">
      <c r="A27" s="15"/>
      <c r="B27" s="17" t="s">
        <v>20</v>
      </c>
      <c r="C27" s="118">
        <v>26.683</v>
      </c>
      <c r="D27" s="58">
        <v>27.303000000000001</v>
      </c>
      <c r="E27" s="58">
        <v>27.384</v>
      </c>
      <c r="F27" s="58">
        <v>28.24</v>
      </c>
      <c r="G27" s="58">
        <v>32.682000000000002</v>
      </c>
      <c r="H27" s="58">
        <v>31.536999999999999</v>
      </c>
      <c r="I27" s="58">
        <v>30.998999999999999</v>
      </c>
      <c r="J27" s="58">
        <v>30.256</v>
      </c>
      <c r="K27" s="58">
        <v>31.785</v>
      </c>
      <c r="L27" s="58">
        <v>33.938000000000002</v>
      </c>
      <c r="M27" s="58">
        <v>31.827000000000002</v>
      </c>
      <c r="N27" s="58">
        <v>31.009</v>
      </c>
      <c r="O27" s="58">
        <v>30.686</v>
      </c>
      <c r="P27" s="58">
        <v>32.009</v>
      </c>
      <c r="Q27" s="58">
        <v>31.337</v>
      </c>
      <c r="R27" s="58">
        <v>30.064</v>
      </c>
      <c r="S27" s="58">
        <v>30.324999999999999</v>
      </c>
      <c r="T27" s="58">
        <v>28.695</v>
      </c>
      <c r="U27" s="58">
        <v>32.298999999999999</v>
      </c>
      <c r="V27" s="58">
        <v>32.253</v>
      </c>
      <c r="W27" s="58">
        <v>32.17</v>
      </c>
      <c r="X27" s="58">
        <v>34.052999999999997</v>
      </c>
      <c r="Y27" s="58">
        <v>33.161999999999999</v>
      </c>
      <c r="Z27" s="58">
        <v>34.295000000000002</v>
      </c>
      <c r="AA27" s="179" t="s">
        <v>20</v>
      </c>
      <c r="AB27" s="179">
        <f>Z27/road_by_tot!Z27</f>
        <v>0.49792380509901851</v>
      </c>
      <c r="AC27" s="179">
        <f t="shared" si="2"/>
        <v>3.4165611241782727</v>
      </c>
    </row>
    <row r="28" spans="1:29" ht="12.75" customHeight="1" x14ac:dyDescent="0.2">
      <c r="A28" s="15"/>
      <c r="B28" s="89" t="s">
        <v>29</v>
      </c>
      <c r="C28" s="154">
        <v>11.069000000000001</v>
      </c>
      <c r="D28" s="155">
        <v>11.444000000000001</v>
      </c>
      <c r="E28" s="155">
        <v>11.558999999999999</v>
      </c>
      <c r="F28" s="155">
        <v>11.715</v>
      </c>
      <c r="G28" s="155">
        <v>12.28</v>
      </c>
      <c r="H28" s="160">
        <v>12.388999999999999</v>
      </c>
      <c r="I28" s="160">
        <v>12.454000000000001</v>
      </c>
      <c r="J28" s="160">
        <v>12.663</v>
      </c>
      <c r="K28" s="160">
        <v>13.036</v>
      </c>
      <c r="L28" s="155">
        <v>12.375999999999999</v>
      </c>
      <c r="M28" s="155">
        <v>12.513999999999999</v>
      </c>
      <c r="N28" s="155">
        <v>14.436999999999999</v>
      </c>
      <c r="O28" s="155">
        <v>14.744</v>
      </c>
      <c r="P28" s="155">
        <v>14.581</v>
      </c>
      <c r="Q28" s="155">
        <v>13.491</v>
      </c>
      <c r="R28" s="155">
        <v>13.914</v>
      </c>
      <c r="S28" s="155">
        <v>14.475</v>
      </c>
      <c r="T28" s="155">
        <v>14.118</v>
      </c>
      <c r="U28" s="155">
        <v>13.853</v>
      </c>
      <c r="V28" s="155">
        <v>14.721</v>
      </c>
      <c r="W28" s="155">
        <v>15.481999999999999</v>
      </c>
      <c r="X28" s="155">
        <v>16.504999999999999</v>
      </c>
      <c r="Y28" s="155">
        <v>16.803000000000001</v>
      </c>
      <c r="Z28" s="155">
        <v>16.914000000000001</v>
      </c>
      <c r="AA28" s="376" t="s">
        <v>29</v>
      </c>
      <c r="AB28" s="376">
        <f>Z28/road_by_tot!Z28</f>
        <v>0.65652292046733685</v>
      </c>
      <c r="AC28" s="376">
        <f t="shared" si="2"/>
        <v>0.6605963220853539</v>
      </c>
    </row>
    <row r="29" spans="1:29" ht="12.75" customHeight="1" x14ac:dyDescent="0.2">
      <c r="A29" s="15"/>
      <c r="B29" s="17" t="s">
        <v>13</v>
      </c>
      <c r="C29" s="149" t="s">
        <v>34</v>
      </c>
      <c r="D29" s="145" t="s">
        <v>34</v>
      </c>
      <c r="E29" s="145" t="s">
        <v>34</v>
      </c>
      <c r="F29" s="145" t="s">
        <v>34</v>
      </c>
      <c r="G29" s="145"/>
      <c r="H29" s="145">
        <v>48</v>
      </c>
      <c r="I29" s="145">
        <v>49</v>
      </c>
      <c r="J29" s="145">
        <v>50.5</v>
      </c>
      <c r="K29" s="145">
        <v>53</v>
      </c>
      <c r="L29" s="58">
        <v>58.825000000000003</v>
      </c>
      <c r="M29" s="58">
        <v>60.94</v>
      </c>
      <c r="N29" s="58">
        <v>59.42</v>
      </c>
      <c r="O29" s="58">
        <v>65.769000000000005</v>
      </c>
      <c r="P29" s="58">
        <v>71.917000000000002</v>
      </c>
      <c r="Q29" s="58">
        <v>79.206999999999994</v>
      </c>
      <c r="R29" s="58">
        <v>82.218000000000004</v>
      </c>
      <c r="S29" s="58">
        <v>89.733999999999995</v>
      </c>
      <c r="T29" s="58">
        <v>89.013000000000005</v>
      </c>
      <c r="U29" s="58">
        <v>100.32</v>
      </c>
      <c r="V29" s="58">
        <v>96.626999999999995</v>
      </c>
      <c r="W29" s="58">
        <v>104.679</v>
      </c>
      <c r="X29" s="58">
        <v>106.634</v>
      </c>
      <c r="Y29" s="58">
        <v>120.036</v>
      </c>
      <c r="Z29" s="58">
        <v>114.69199999999999</v>
      </c>
      <c r="AA29" s="179" t="s">
        <v>13</v>
      </c>
      <c r="AB29" s="179">
        <f>Z29/road_by_tot!Z29</f>
        <v>0.36309414513381916</v>
      </c>
      <c r="AC29" s="179">
        <f t="shared" si="2"/>
        <v>-4.4519977340131334</v>
      </c>
    </row>
    <row r="30" spans="1:29" ht="12.75" customHeight="1" x14ac:dyDescent="0.2">
      <c r="A30" s="15"/>
      <c r="B30" s="89" t="s">
        <v>30</v>
      </c>
      <c r="C30" s="154">
        <v>16.5</v>
      </c>
      <c r="D30" s="155">
        <v>16.79</v>
      </c>
      <c r="E30" s="155">
        <v>17.329999999999998</v>
      </c>
      <c r="F30" s="155">
        <v>17.63</v>
      </c>
      <c r="G30" s="203">
        <v>14.308999999999999</v>
      </c>
      <c r="H30" s="155">
        <v>14.22</v>
      </c>
      <c r="I30" s="155">
        <v>16.350999999999999</v>
      </c>
      <c r="J30" s="155">
        <v>14.916</v>
      </c>
      <c r="K30" s="161">
        <v>14.199</v>
      </c>
      <c r="L30" s="155">
        <v>17.434999999999999</v>
      </c>
      <c r="M30" s="155">
        <v>17.445</v>
      </c>
      <c r="N30" s="155">
        <v>17.54</v>
      </c>
      <c r="O30" s="155">
        <v>18.318999999999999</v>
      </c>
      <c r="P30" s="155">
        <v>17.114000000000001</v>
      </c>
      <c r="Q30" s="155">
        <v>14.423999999999999</v>
      </c>
      <c r="R30" s="155">
        <v>12.881</v>
      </c>
      <c r="S30" s="155">
        <v>12.673</v>
      </c>
      <c r="T30" s="155">
        <v>11.18</v>
      </c>
      <c r="U30" s="155">
        <v>9.7729999999999997</v>
      </c>
      <c r="V30" s="155">
        <v>10.468999999999999</v>
      </c>
      <c r="W30" s="155">
        <v>10.791</v>
      </c>
      <c r="X30" s="155">
        <v>10.382</v>
      </c>
      <c r="Y30" s="155">
        <v>10.853999999999999</v>
      </c>
      <c r="Z30" s="155">
        <v>10.53</v>
      </c>
      <c r="AA30" s="376" t="s">
        <v>30</v>
      </c>
      <c r="AB30" s="376">
        <f>Z30/road_by_tot!Z30</f>
        <v>0.31944907927069743</v>
      </c>
      <c r="AC30" s="376">
        <f t="shared" si="2"/>
        <v>-2.9850746268656678</v>
      </c>
    </row>
    <row r="31" spans="1:29" ht="12.75" customHeight="1" x14ac:dyDescent="0.2">
      <c r="A31" s="15"/>
      <c r="B31" s="17" t="s">
        <v>14</v>
      </c>
      <c r="C31" s="164" t="s">
        <v>34</v>
      </c>
      <c r="D31" s="165"/>
      <c r="E31" s="165"/>
      <c r="F31" s="165"/>
      <c r="G31" s="165">
        <v>9.7270000000000003</v>
      </c>
      <c r="H31" s="171">
        <v>9.8800000000000008</v>
      </c>
      <c r="I31" s="165">
        <v>10.645</v>
      </c>
      <c r="J31" s="165">
        <v>10.98</v>
      </c>
      <c r="K31" s="165">
        <v>13.637</v>
      </c>
      <c r="L31" s="165">
        <v>14.651</v>
      </c>
      <c r="M31" s="165">
        <v>19.399000000000001</v>
      </c>
      <c r="N31" s="165">
        <v>22.722999999999999</v>
      </c>
      <c r="O31" s="165">
        <v>23.931999999999999</v>
      </c>
      <c r="P31" s="165">
        <v>23.19</v>
      </c>
      <c r="Q31" s="165">
        <v>20.879000000000001</v>
      </c>
      <c r="R31" s="165">
        <v>12.096</v>
      </c>
      <c r="S31" s="165">
        <v>11.858000000000001</v>
      </c>
      <c r="T31" s="165">
        <v>12.673</v>
      </c>
      <c r="U31" s="165">
        <v>12.505000000000001</v>
      </c>
      <c r="V31" s="165">
        <v>12.135999999999999</v>
      </c>
      <c r="W31" s="165">
        <v>12.068</v>
      </c>
      <c r="X31" s="165">
        <v>13.14</v>
      </c>
      <c r="Y31" s="165">
        <v>13.548</v>
      </c>
      <c r="Z31" s="165">
        <v>14.358000000000001</v>
      </c>
      <c r="AA31" s="179" t="s">
        <v>14</v>
      </c>
      <c r="AB31" s="179">
        <f>Z31/road_by_tot!Z31</f>
        <v>0.24434158129403358</v>
      </c>
      <c r="AC31" s="179">
        <f t="shared" si="2"/>
        <v>5.9787422497785627</v>
      </c>
    </row>
    <row r="32" spans="1:29" ht="12.75" customHeight="1" x14ac:dyDescent="0.2">
      <c r="A32" s="15"/>
      <c r="B32" s="89" t="s">
        <v>16</v>
      </c>
      <c r="C32" s="154" t="s">
        <v>34</v>
      </c>
      <c r="D32" s="155" t="s">
        <v>34</v>
      </c>
      <c r="E32" s="155" t="s">
        <v>34</v>
      </c>
      <c r="F32" s="155" t="s">
        <v>34</v>
      </c>
      <c r="G32" s="155"/>
      <c r="H32" s="155">
        <v>1.9</v>
      </c>
      <c r="I32" s="155">
        <v>1.927</v>
      </c>
      <c r="J32" s="155">
        <v>1.9450000000000001</v>
      </c>
      <c r="K32" s="155">
        <v>1.9950000000000001</v>
      </c>
      <c r="L32" s="155">
        <v>2.2669999999999999</v>
      </c>
      <c r="M32" s="155">
        <v>2.3610000000000002</v>
      </c>
      <c r="N32" s="155">
        <v>2.2789999999999999</v>
      </c>
      <c r="O32" s="155">
        <v>2.573</v>
      </c>
      <c r="P32" s="155">
        <v>2.6360000000000001</v>
      </c>
      <c r="Q32" s="155">
        <v>2.2759999999999998</v>
      </c>
      <c r="R32" s="155">
        <v>2.2879999999999998</v>
      </c>
      <c r="S32" s="155">
        <v>2.177</v>
      </c>
      <c r="T32" s="155">
        <v>1.849</v>
      </c>
      <c r="U32" s="155">
        <v>1.889</v>
      </c>
      <c r="V32" s="155">
        <v>2.0619999999999998</v>
      </c>
      <c r="W32" s="155">
        <v>2.069</v>
      </c>
      <c r="X32" s="155">
        <v>2.1339999999999999</v>
      </c>
      <c r="Y32" s="155">
        <v>2.31</v>
      </c>
      <c r="Z32" s="155">
        <v>2.2559999999999998</v>
      </c>
      <c r="AA32" s="376" t="s">
        <v>16</v>
      </c>
      <c r="AB32" s="376">
        <f>Z32/road_by_tot!Z32</f>
        <v>0.10150731158605172</v>
      </c>
      <c r="AC32" s="376">
        <f t="shared" si="2"/>
        <v>-2.3376623376623513</v>
      </c>
    </row>
    <row r="33" spans="1:31" ht="12.75" customHeight="1" x14ac:dyDescent="0.2">
      <c r="A33" s="15"/>
      <c r="B33" s="17" t="s">
        <v>15</v>
      </c>
      <c r="C33" s="164" t="s">
        <v>34</v>
      </c>
      <c r="D33" s="165"/>
      <c r="E33" s="165"/>
      <c r="F33" s="165"/>
      <c r="G33" s="165"/>
      <c r="H33" s="165">
        <v>5.056</v>
      </c>
      <c r="I33" s="165">
        <v>5.3179999999999996</v>
      </c>
      <c r="J33" s="165">
        <v>5.0199999999999996</v>
      </c>
      <c r="K33" s="165">
        <v>5.2039999999999997</v>
      </c>
      <c r="L33" s="165">
        <v>5.4219999999999997</v>
      </c>
      <c r="M33" s="165">
        <v>5.6210000000000004</v>
      </c>
      <c r="N33" s="165">
        <v>5.2030000000000003</v>
      </c>
      <c r="O33" s="165">
        <v>5.617</v>
      </c>
      <c r="P33" s="165">
        <v>6.319</v>
      </c>
      <c r="Q33" s="165">
        <v>5.5190000000000001</v>
      </c>
      <c r="R33" s="165">
        <v>5.1980000000000004</v>
      </c>
      <c r="S33" s="165">
        <v>4.9059999999999997</v>
      </c>
      <c r="T33" s="165">
        <v>5.0730000000000004</v>
      </c>
      <c r="U33" s="165">
        <v>4.5659999999999998</v>
      </c>
      <c r="V33" s="165">
        <v>5.0940000000000003</v>
      </c>
      <c r="W33" s="165">
        <v>5.2450000000000001</v>
      </c>
      <c r="X33" s="165">
        <v>5.6970000000000001</v>
      </c>
      <c r="Y33" s="165">
        <v>6.3259999999999996</v>
      </c>
      <c r="Z33" s="165">
        <v>6.4770000000000003</v>
      </c>
      <c r="AA33" s="179" t="s">
        <v>15</v>
      </c>
      <c r="AB33" s="179">
        <f>Z33/road_by_tot!Z33</f>
        <v>0.18200977912662283</v>
      </c>
      <c r="AC33" s="179">
        <f t="shared" si="2"/>
        <v>2.3869743914005852</v>
      </c>
    </row>
    <row r="34" spans="1:31" ht="12.75" customHeight="1" x14ac:dyDescent="0.2">
      <c r="A34" s="15"/>
      <c r="B34" s="89" t="s">
        <v>31</v>
      </c>
      <c r="C34" s="154">
        <v>21.803999999999998</v>
      </c>
      <c r="D34" s="155">
        <v>22.184999999999999</v>
      </c>
      <c r="E34" s="155">
        <v>23.507999999999999</v>
      </c>
      <c r="F34" s="155">
        <v>25.611000000000001</v>
      </c>
      <c r="G34" s="155">
        <v>25.806000000000001</v>
      </c>
      <c r="H34" s="155">
        <v>27.716999999999999</v>
      </c>
      <c r="I34" s="155">
        <v>26.678000000000001</v>
      </c>
      <c r="J34" s="155">
        <v>28.071000000000002</v>
      </c>
      <c r="K34" s="155">
        <v>26.896000000000001</v>
      </c>
      <c r="L34" s="155">
        <v>27.331</v>
      </c>
      <c r="M34" s="155">
        <v>27.815000000000001</v>
      </c>
      <c r="N34" s="155">
        <v>25.465</v>
      </c>
      <c r="O34" s="155">
        <v>25.963999999999999</v>
      </c>
      <c r="P34" s="155">
        <v>27.614999999999998</v>
      </c>
      <c r="Q34" s="155">
        <v>24.393999999999998</v>
      </c>
      <c r="R34" s="155">
        <v>25.155999999999999</v>
      </c>
      <c r="S34" s="155">
        <v>23.731999999999999</v>
      </c>
      <c r="T34" s="155">
        <v>21.928000000000001</v>
      </c>
      <c r="U34" s="155">
        <v>20.968</v>
      </c>
      <c r="V34" s="155">
        <v>20.297999999999998</v>
      </c>
      <c r="W34" s="155">
        <v>21.434000000000001</v>
      </c>
      <c r="X34" s="155">
        <v>24.585999999999999</v>
      </c>
      <c r="Y34" s="155">
        <v>26.33</v>
      </c>
      <c r="Z34" s="155">
        <v>25.97</v>
      </c>
      <c r="AA34" s="376" t="s">
        <v>31</v>
      </c>
      <c r="AB34" s="376">
        <f>Z34/road_by_tot!Z34</f>
        <v>0.91621097195272538</v>
      </c>
      <c r="AC34" s="376">
        <f t="shared" si="2"/>
        <v>-1.3672616786934952</v>
      </c>
    </row>
    <row r="35" spans="1:31" ht="12.75" customHeight="1" x14ac:dyDescent="0.2">
      <c r="A35" s="15"/>
      <c r="B35" s="17" t="s">
        <v>32</v>
      </c>
      <c r="C35" s="164">
        <v>28.356999999999999</v>
      </c>
      <c r="D35" s="165">
        <v>30.288</v>
      </c>
      <c r="E35" s="165">
        <v>32.176000000000002</v>
      </c>
      <c r="F35" s="165">
        <v>30.369</v>
      </c>
      <c r="G35" s="165">
        <v>30.422000000000001</v>
      </c>
      <c r="H35" s="165">
        <v>31.451000000000001</v>
      </c>
      <c r="I35" s="165">
        <v>29.966999999999999</v>
      </c>
      <c r="J35" s="165">
        <v>31.835999999999999</v>
      </c>
      <c r="K35" s="165">
        <v>31.466999999999999</v>
      </c>
      <c r="L35" s="165">
        <v>32.691000000000003</v>
      </c>
      <c r="M35" s="165">
        <v>34.701000000000001</v>
      </c>
      <c r="N35" s="165">
        <v>35.473999999999997</v>
      </c>
      <c r="O35" s="165">
        <v>36.395000000000003</v>
      </c>
      <c r="P35" s="165">
        <v>37.951999999999998</v>
      </c>
      <c r="Q35" s="165">
        <v>32.122999999999998</v>
      </c>
      <c r="R35" s="165">
        <v>32.731999999999999</v>
      </c>
      <c r="S35" s="165">
        <v>33.402000000000001</v>
      </c>
      <c r="T35" s="165">
        <v>30.37</v>
      </c>
      <c r="U35" s="165">
        <v>30.715</v>
      </c>
      <c r="V35" s="277">
        <v>38.816000000000003</v>
      </c>
      <c r="W35" s="165">
        <v>38.106000000000002</v>
      </c>
      <c r="X35" s="165">
        <v>39.26</v>
      </c>
      <c r="Y35" s="165">
        <v>38.555999999999997</v>
      </c>
      <c r="Z35" s="165">
        <v>40.661999999999999</v>
      </c>
      <c r="AA35" s="179" t="s">
        <v>32</v>
      </c>
      <c r="AB35" s="386">
        <f>Z35/road_by_tot!Z35</f>
        <v>0.93523161138966826</v>
      </c>
      <c r="AC35" s="386">
        <f t="shared" si="2"/>
        <v>5.4621848739495817</v>
      </c>
    </row>
    <row r="36" spans="1:31" ht="12.75" customHeight="1" x14ac:dyDescent="0.2">
      <c r="A36" s="15"/>
      <c r="B36" s="289" t="s">
        <v>21</v>
      </c>
      <c r="C36" s="372">
        <v>146.714</v>
      </c>
      <c r="D36" s="373">
        <v>150.19499999999999</v>
      </c>
      <c r="E36" s="373">
        <v>152.50200000000001</v>
      </c>
      <c r="F36" s="373">
        <v>155.43100000000001</v>
      </c>
      <c r="G36" s="373">
        <v>149.01900000000001</v>
      </c>
      <c r="H36" s="373">
        <v>150.33699999999999</v>
      </c>
      <c r="I36" s="373">
        <v>149.76</v>
      </c>
      <c r="J36" s="373">
        <v>150.91999999999999</v>
      </c>
      <c r="K36" s="373">
        <v>153.93299999999999</v>
      </c>
      <c r="L36" s="373">
        <v>151.179</v>
      </c>
      <c r="M36" s="373">
        <v>151.21799999999999</v>
      </c>
      <c r="N36" s="373">
        <v>154.77000000000001</v>
      </c>
      <c r="O36" s="373">
        <v>160.708</v>
      </c>
      <c r="P36" s="373">
        <v>151.14500000000001</v>
      </c>
      <c r="Q36" s="373">
        <v>131.61600000000001</v>
      </c>
      <c r="R36" s="373">
        <v>137.75299999999999</v>
      </c>
      <c r="S36" s="374">
        <v>139.916</v>
      </c>
      <c r="T36" s="374">
        <v>142.55199999999999</v>
      </c>
      <c r="U36" s="374">
        <v>131.334</v>
      </c>
      <c r="V36" s="374">
        <v>127.672</v>
      </c>
      <c r="W36" s="374">
        <v>142.86799999999999</v>
      </c>
      <c r="X36" s="374">
        <v>148.721</v>
      </c>
      <c r="Y36" s="374">
        <v>147.34899999999999</v>
      </c>
      <c r="Z36" s="374">
        <v>151.97300000000001</v>
      </c>
      <c r="AA36" s="294" t="s">
        <v>21</v>
      </c>
      <c r="AB36" s="294">
        <f>Z36/road_by_tot!Z36</f>
        <v>0.95498218516121336</v>
      </c>
      <c r="AC36" s="294">
        <f t="shared" si="2"/>
        <v>3.1381278461340258</v>
      </c>
    </row>
    <row r="37" spans="1:31" ht="12.75" customHeight="1" x14ac:dyDescent="0.2">
      <c r="A37" s="15"/>
      <c r="B37" s="17" t="s">
        <v>96</v>
      </c>
      <c r="C37" s="118"/>
      <c r="D37" s="58"/>
      <c r="E37" s="58"/>
      <c r="F37" s="58"/>
      <c r="G37" s="58"/>
      <c r="H37" s="58"/>
      <c r="I37" s="58"/>
      <c r="J37" s="58"/>
      <c r="K37" s="58"/>
      <c r="L37" s="58"/>
      <c r="M37" s="58"/>
      <c r="N37" s="58"/>
      <c r="O37" s="58"/>
      <c r="P37" s="58"/>
      <c r="Q37" s="58"/>
      <c r="R37" s="58"/>
      <c r="S37" s="58"/>
      <c r="T37" s="58"/>
      <c r="U37" s="58"/>
      <c r="V37" s="58"/>
      <c r="W37" s="58"/>
      <c r="X37" s="58">
        <v>6.9000000000000006E-2</v>
      </c>
      <c r="Y37" s="58">
        <v>6.0999999999999999E-2</v>
      </c>
      <c r="Z37" s="58">
        <v>4.9000000000000002E-2</v>
      </c>
      <c r="AA37" s="17" t="s">
        <v>96</v>
      </c>
      <c r="AB37" s="179">
        <f>Z37/road_by_tot!Z37</f>
        <v>0.62820512820512819</v>
      </c>
      <c r="AC37" s="179">
        <f t="shared" si="2"/>
        <v>-19.672131147540981</v>
      </c>
    </row>
    <row r="38" spans="1:31" ht="12.75" customHeight="1" x14ac:dyDescent="0.2">
      <c r="A38" s="15"/>
      <c r="B38" s="197" t="s">
        <v>2</v>
      </c>
      <c r="C38" s="209" t="s">
        <v>34</v>
      </c>
      <c r="D38" s="199"/>
      <c r="E38" s="199"/>
      <c r="F38" s="199"/>
      <c r="G38" s="199"/>
      <c r="H38" s="199"/>
      <c r="I38" s="199"/>
      <c r="J38" s="199"/>
      <c r="K38" s="199"/>
      <c r="L38" s="199"/>
      <c r="M38" s="199">
        <v>1.405</v>
      </c>
      <c r="N38" s="199">
        <v>1.542</v>
      </c>
      <c r="O38" s="199">
        <v>1.28</v>
      </c>
      <c r="P38" s="199">
        <v>0.92600000000000005</v>
      </c>
      <c r="Q38" s="199">
        <v>1.2649999999999999</v>
      </c>
      <c r="R38" s="199">
        <v>1.246</v>
      </c>
      <c r="S38" s="199">
        <v>0.94599999999999995</v>
      </c>
      <c r="T38" s="199">
        <v>0.94499999999999995</v>
      </c>
      <c r="U38" s="199">
        <v>0.86099999999999999</v>
      </c>
      <c r="V38" s="199">
        <v>1.1279999999999999</v>
      </c>
      <c r="W38" s="199">
        <v>1.0740000000000001</v>
      </c>
      <c r="X38" s="199">
        <v>1.1739999999999999</v>
      </c>
      <c r="Y38" s="199">
        <v>1.3520000000000001</v>
      </c>
      <c r="Z38" s="199">
        <v>1.403</v>
      </c>
      <c r="AA38" s="197" t="s">
        <v>2</v>
      </c>
      <c r="AB38" s="518">
        <f>Z38/road_by_tot!Z38</f>
        <v>0.13189809156717119</v>
      </c>
      <c r="AC38" s="518">
        <f t="shared" si="2"/>
        <v>3.7721893491124376</v>
      </c>
    </row>
    <row r="39" spans="1:31" ht="12.75" customHeight="1" x14ac:dyDescent="0.2">
      <c r="A39" s="15"/>
      <c r="B39" s="17" t="s">
        <v>100</v>
      </c>
      <c r="C39" s="118"/>
      <c r="D39" s="58"/>
      <c r="E39" s="58"/>
      <c r="F39" s="58"/>
      <c r="G39" s="58"/>
      <c r="H39" s="58"/>
      <c r="I39" s="58"/>
      <c r="J39" s="58"/>
      <c r="K39" s="58"/>
      <c r="L39" s="58"/>
      <c r="M39" s="58"/>
      <c r="N39" s="58"/>
      <c r="O39" s="58"/>
      <c r="P39" s="58"/>
      <c r="Q39" s="58"/>
      <c r="R39" s="58"/>
      <c r="S39" s="158"/>
      <c r="T39" s="158"/>
      <c r="U39" s="158"/>
      <c r="V39" s="158"/>
      <c r="W39" s="158"/>
      <c r="X39" s="158"/>
      <c r="Y39" s="158"/>
      <c r="Z39" s="158"/>
      <c r="AA39" s="179" t="s">
        <v>100</v>
      </c>
      <c r="AB39" s="519"/>
      <c r="AC39" s="519"/>
      <c r="AE39" s="1"/>
    </row>
    <row r="40" spans="1:31" ht="12.75" customHeight="1" x14ac:dyDescent="0.2">
      <c r="A40" s="15"/>
      <c r="B40" s="197" t="s">
        <v>97</v>
      </c>
      <c r="C40" s="20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7" t="s">
        <v>97</v>
      </c>
      <c r="AB40" s="376"/>
      <c r="AC40" s="173"/>
    </row>
    <row r="41" spans="1:31" ht="12.75" customHeight="1" x14ac:dyDescent="0.2">
      <c r="A41" s="15"/>
      <c r="B41" s="18" t="s">
        <v>17</v>
      </c>
      <c r="C41" s="119">
        <v>112.5</v>
      </c>
      <c r="D41" s="59">
        <v>135.80000000000001</v>
      </c>
      <c r="E41" s="59">
        <v>139.80000000000001</v>
      </c>
      <c r="F41" s="59">
        <v>152.21</v>
      </c>
      <c r="G41" s="59">
        <v>150.97399999999999</v>
      </c>
      <c r="H41" s="59">
        <v>161.55199999999999</v>
      </c>
      <c r="I41" s="59">
        <v>151.42099999999999</v>
      </c>
      <c r="J41" s="59">
        <v>150.91200000000001</v>
      </c>
      <c r="K41" s="59">
        <v>152.16300000000001</v>
      </c>
      <c r="L41" s="59">
        <v>156.85300000000001</v>
      </c>
      <c r="M41" s="59">
        <v>166.83099999999999</v>
      </c>
      <c r="N41" s="59">
        <v>177.399</v>
      </c>
      <c r="O41" s="59">
        <v>181.33</v>
      </c>
      <c r="P41" s="59">
        <v>181.935</v>
      </c>
      <c r="Q41" s="59">
        <v>176.45500000000001</v>
      </c>
      <c r="R41" s="59">
        <v>190.36500000000001</v>
      </c>
      <c r="S41" s="59">
        <v>203.072</v>
      </c>
      <c r="T41" s="59">
        <v>216.12299999999999</v>
      </c>
      <c r="U41" s="59">
        <v>224.048</v>
      </c>
      <c r="V41" s="59">
        <v>234.49199999999999</v>
      </c>
      <c r="W41" s="59">
        <f>244.329</f>
        <v>244.32900000000001</v>
      </c>
      <c r="X41" s="59">
        <v>253.13900000000001</v>
      </c>
      <c r="Y41" s="59">
        <v>262.8</v>
      </c>
      <c r="Z41" s="59">
        <v>266.50200000000001</v>
      </c>
      <c r="AA41" s="18" t="s">
        <v>17</v>
      </c>
      <c r="AB41" s="386">
        <f>Z41/road_by_tot!Z41</f>
        <v>1</v>
      </c>
      <c r="AC41" s="386">
        <f t="shared" si="2"/>
        <v>1.4086757990867653</v>
      </c>
    </row>
    <row r="42" spans="1:31" ht="12.75" customHeight="1" x14ac:dyDescent="0.2">
      <c r="A42" s="15"/>
      <c r="B42" s="211" t="s">
        <v>3</v>
      </c>
      <c r="C42" s="212">
        <v>0.5</v>
      </c>
      <c r="D42" s="213">
        <v>0.5</v>
      </c>
      <c r="E42" s="213">
        <v>0.5</v>
      </c>
      <c r="F42" s="213">
        <v>0.5</v>
      </c>
      <c r="G42" s="213">
        <v>0.6</v>
      </c>
      <c r="H42" s="213">
        <v>0.6</v>
      </c>
      <c r="I42" s="214">
        <v>0.64200000000000002</v>
      </c>
      <c r="J42" s="214">
        <v>0.66</v>
      </c>
      <c r="K42" s="214">
        <v>0.67900000000000005</v>
      </c>
      <c r="L42" s="214">
        <v>0.69899999999999995</v>
      </c>
      <c r="M42" s="214">
        <v>0.74099999999999999</v>
      </c>
      <c r="N42" s="214">
        <v>0.78600000000000003</v>
      </c>
      <c r="O42" s="214">
        <v>0.82499999999999996</v>
      </c>
      <c r="P42" s="214">
        <v>0.80500000000000005</v>
      </c>
      <c r="Q42" s="214">
        <v>0.81299999999999994</v>
      </c>
      <c r="R42" s="214">
        <v>0.80600000000000005</v>
      </c>
      <c r="S42" s="215">
        <v>0.77700000000000002</v>
      </c>
      <c r="T42" s="215">
        <v>0.78600000000000003</v>
      </c>
      <c r="U42" s="215">
        <v>0.80800000000000005</v>
      </c>
      <c r="V42" s="215">
        <f>0.85</f>
        <v>0.85</v>
      </c>
      <c r="W42" s="215">
        <f>0.907</f>
        <v>0.90700000000000003</v>
      </c>
      <c r="X42" s="215">
        <v>1.052</v>
      </c>
      <c r="Y42" s="215">
        <v>1.151</v>
      </c>
      <c r="Z42" s="213">
        <v>1.2741696545190446</v>
      </c>
      <c r="AA42" s="377" t="s">
        <v>3</v>
      </c>
      <c r="AB42" s="376">
        <f>Z42/road_by_tot!Z42</f>
        <v>1</v>
      </c>
      <c r="AC42" s="376">
        <v>10.701099436928303</v>
      </c>
    </row>
    <row r="43" spans="1:31" ht="12.75" customHeight="1" x14ac:dyDescent="0.2">
      <c r="A43" s="15"/>
      <c r="B43" s="17" t="s">
        <v>33</v>
      </c>
      <c r="C43" s="118" t="s">
        <v>34</v>
      </c>
      <c r="D43" s="58"/>
      <c r="E43" s="58"/>
      <c r="F43" s="58"/>
      <c r="G43" s="58">
        <v>11.742000000000001</v>
      </c>
      <c r="H43" s="58">
        <v>12.114000000000001</v>
      </c>
      <c r="I43" s="58">
        <v>12.391999999999999</v>
      </c>
      <c r="J43" s="58">
        <v>12.721</v>
      </c>
      <c r="K43" s="58">
        <v>13.522</v>
      </c>
      <c r="L43" s="58">
        <v>14.452999999999999</v>
      </c>
      <c r="M43" s="58">
        <v>15.352</v>
      </c>
      <c r="N43" s="58">
        <v>15.31</v>
      </c>
      <c r="O43" s="58">
        <v>15.427</v>
      </c>
      <c r="P43" s="58">
        <v>16.658000000000001</v>
      </c>
      <c r="Q43" s="58">
        <v>15.276999999999999</v>
      </c>
      <c r="R43" s="58">
        <v>16.344000000000001</v>
      </c>
      <c r="S43" s="58">
        <v>16.131</v>
      </c>
      <c r="T43" s="58">
        <v>16.983000000000001</v>
      </c>
      <c r="U43" s="58">
        <v>18.334</v>
      </c>
      <c r="V43" s="58">
        <v>19.033999999999999</v>
      </c>
      <c r="W43" s="58">
        <v>20.462</v>
      </c>
      <c r="X43" s="58">
        <v>18.507000000000001</v>
      </c>
      <c r="Y43" s="58">
        <v>18.741</v>
      </c>
      <c r="Z43" s="58">
        <v>18.923999999999999</v>
      </c>
      <c r="AA43" s="179" t="s">
        <v>33</v>
      </c>
      <c r="AB43" s="179">
        <f>Z43/road_by_tot!Z43</f>
        <v>0.88686849751616825</v>
      </c>
      <c r="AC43" s="179">
        <f t="shared" si="2"/>
        <v>0.97646870497838734</v>
      </c>
    </row>
    <row r="44" spans="1:31" ht="12.75" customHeight="1" x14ac:dyDescent="0.2">
      <c r="A44" s="15"/>
      <c r="B44" s="220" t="s">
        <v>4</v>
      </c>
      <c r="C44" s="229">
        <v>8.3645999999999994</v>
      </c>
      <c r="D44" s="202">
        <v>8.2977000000000007</v>
      </c>
      <c r="E44" s="202">
        <v>8.4506999999999994</v>
      </c>
      <c r="F44" s="202">
        <v>8.8454999999999995</v>
      </c>
      <c r="G44" s="202">
        <v>8.7812999999999999</v>
      </c>
      <c r="H44" s="202">
        <v>8.9329999999999998</v>
      </c>
      <c r="I44" s="202">
        <v>8.6975999999999996</v>
      </c>
      <c r="J44" s="202">
        <v>8.8774999999999995</v>
      </c>
      <c r="K44" s="202">
        <v>8.8863000000000003</v>
      </c>
      <c r="L44" s="202">
        <v>9.1085390263184873</v>
      </c>
      <c r="M44" s="202">
        <v>9.2063329043271853</v>
      </c>
      <c r="N44" s="202">
        <v>9.3537256701993439</v>
      </c>
      <c r="O44" s="453">
        <v>9.6461549614199349</v>
      </c>
      <c r="P44" s="202">
        <v>9.8130000000000006</v>
      </c>
      <c r="Q44" s="202">
        <v>9.6969999999999992</v>
      </c>
      <c r="R44" s="202">
        <v>9.5500000000000007</v>
      </c>
      <c r="S44" s="202">
        <v>9.9120000000000008</v>
      </c>
      <c r="T44" s="202">
        <v>9.9909999999999997</v>
      </c>
      <c r="U44" s="202">
        <v>10.157999999999999</v>
      </c>
      <c r="V44" s="202">
        <v>10.585000000000001</v>
      </c>
      <c r="W44" s="202">
        <v>10.362</v>
      </c>
      <c r="X44" s="202">
        <v>10.138</v>
      </c>
      <c r="Y44" s="202">
        <v>10.238</v>
      </c>
      <c r="Z44" s="202">
        <v>10.715999999999999</v>
      </c>
      <c r="AA44" s="378" t="s">
        <v>4</v>
      </c>
      <c r="AB44" s="378">
        <f>Z44/road_by_tot!Z44</f>
        <v>0.85727999999999993</v>
      </c>
      <c r="AC44" s="378">
        <f t="shared" si="2"/>
        <v>4.668880640750146</v>
      </c>
    </row>
    <row r="45" spans="1:31" ht="12.75" customHeight="1" x14ac:dyDescent="0.2">
      <c r="A45" s="15"/>
    </row>
    <row r="46" spans="1:31" ht="14.25" customHeight="1" x14ac:dyDescent="0.2">
      <c r="A46" s="15"/>
      <c r="B46" s="571" t="s">
        <v>149</v>
      </c>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390"/>
      <c r="AC46" s="135"/>
    </row>
    <row r="47" spans="1:31" ht="12.75" customHeight="1" x14ac:dyDescent="0.2">
      <c r="A47" s="15"/>
      <c r="B47" s="484" t="s">
        <v>152</v>
      </c>
      <c r="F47" s="135"/>
      <c r="U47" s="317"/>
      <c r="X47" s="317"/>
    </row>
    <row r="48" spans="1:31" x14ac:dyDescent="0.2">
      <c r="O48" s="1"/>
      <c r="AB48" s="390"/>
    </row>
    <row r="49" spans="2:25" x14ac:dyDescent="0.2">
      <c r="B49" s="1"/>
      <c r="S49" s="165"/>
      <c r="T49" s="165"/>
      <c r="U49" s="165"/>
      <c r="V49" s="165"/>
      <c r="W49" s="165"/>
      <c r="X49" s="437"/>
      <c r="Y49" s="1"/>
    </row>
    <row r="83" spans="10:12" ht="14.25" x14ac:dyDescent="0.2">
      <c r="J83" s="185"/>
      <c r="K83" s="184"/>
      <c r="L83" s="184"/>
    </row>
    <row r="84" spans="10:12" x14ac:dyDescent="0.2">
      <c r="J84" s="185"/>
      <c r="K84" s="185"/>
    </row>
  </sheetData>
  <mergeCells count="4">
    <mergeCell ref="B2:AA2"/>
    <mergeCell ref="B3:AA3"/>
    <mergeCell ref="AB2:AB5"/>
    <mergeCell ref="B46:AA46"/>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AP58"/>
  <sheetViews>
    <sheetView topLeftCell="A25" zoomScaleNormal="100" workbookViewId="0">
      <selection activeCell="AF34" sqref="AF34"/>
    </sheetView>
  </sheetViews>
  <sheetFormatPr defaultRowHeight="12.75" x14ac:dyDescent="0.2"/>
  <cols>
    <col min="1" max="1" width="3.7109375" customWidth="1"/>
    <col min="2" max="2" width="5.28515625" customWidth="1"/>
    <col min="3" max="3" width="7.7109375" customWidth="1"/>
    <col min="4" max="7" width="6.7109375" hidden="1" customWidth="1"/>
    <col min="8" max="8" width="7.7109375" customWidth="1"/>
    <col min="9" max="12" width="7.7109375" hidden="1" customWidth="1"/>
    <col min="13" max="13" width="7.7109375" customWidth="1"/>
    <col min="14" max="25" width="8.28515625" customWidth="1"/>
    <col min="26" max="26" width="7.140625" customWidth="1"/>
    <col min="27" max="27" width="5.42578125" customWidth="1"/>
    <col min="28" max="28" width="5.7109375" customWidth="1"/>
    <col min="29" max="29" width="6.42578125" style="440" customWidth="1"/>
  </cols>
  <sheetData>
    <row r="1" spans="1:30" ht="14.25" customHeight="1" x14ac:dyDescent="0.2">
      <c r="B1" s="40"/>
      <c r="C1" s="38"/>
      <c r="D1" s="38"/>
      <c r="E1" s="38"/>
      <c r="F1" s="38"/>
      <c r="G1" s="38"/>
      <c r="H1" s="38"/>
      <c r="I1" s="38"/>
      <c r="J1" s="41"/>
      <c r="AA1" s="39" t="s">
        <v>79</v>
      </c>
    </row>
    <row r="2" spans="1:30" s="81" customFormat="1" ht="21" customHeight="1" x14ac:dyDescent="0.2">
      <c r="B2" s="546" t="s">
        <v>142</v>
      </c>
      <c r="C2" s="565"/>
      <c r="D2" s="565"/>
      <c r="E2" s="565"/>
      <c r="F2" s="565"/>
      <c r="G2" s="565"/>
      <c r="H2" s="565"/>
      <c r="I2" s="565"/>
      <c r="J2" s="565"/>
      <c r="K2" s="565"/>
      <c r="L2" s="565"/>
      <c r="M2" s="565"/>
      <c r="N2" s="565"/>
      <c r="O2" s="565"/>
      <c r="P2" s="565"/>
      <c r="Q2" s="565"/>
      <c r="R2" s="62"/>
      <c r="S2" s="62"/>
      <c r="T2" s="62"/>
      <c r="U2" s="62"/>
      <c r="V2" s="62"/>
      <c r="W2" s="62"/>
      <c r="X2" s="62"/>
      <c r="Y2" s="62"/>
      <c r="Z2" s="62"/>
      <c r="AA2" s="139"/>
      <c r="AB2" s="574" t="s">
        <v>90</v>
      </c>
      <c r="AC2" s="441"/>
    </row>
    <row r="3" spans="1:30" ht="33.75" customHeight="1" x14ac:dyDescent="0.2">
      <c r="B3" s="566" t="s">
        <v>140</v>
      </c>
      <c r="C3" s="567"/>
      <c r="D3" s="567"/>
      <c r="E3" s="567"/>
      <c r="F3" s="567"/>
      <c r="G3" s="567"/>
      <c r="H3" s="567"/>
      <c r="I3" s="567"/>
      <c r="J3" s="567"/>
      <c r="K3" s="567"/>
      <c r="L3" s="567"/>
      <c r="M3" s="567"/>
      <c r="N3" s="567"/>
      <c r="O3" s="567"/>
      <c r="P3" s="567"/>
      <c r="Q3" s="567"/>
      <c r="R3" s="49"/>
      <c r="S3" s="49"/>
      <c r="T3" s="49"/>
      <c r="U3" s="49"/>
      <c r="V3" s="49"/>
      <c r="W3" s="49"/>
      <c r="X3" s="49"/>
      <c r="Y3" s="49"/>
      <c r="Z3" s="49"/>
      <c r="AA3" s="140"/>
      <c r="AB3" s="575"/>
      <c r="AC3" s="442"/>
    </row>
    <row r="4" spans="1:30" ht="11.25" customHeight="1" x14ac:dyDescent="0.2">
      <c r="B4" s="4"/>
      <c r="C4" s="55"/>
      <c r="D4" s="55"/>
      <c r="E4" s="55"/>
      <c r="F4" s="55"/>
      <c r="G4" s="55"/>
      <c r="H4" s="55"/>
      <c r="J4" s="21"/>
      <c r="K4" s="21"/>
      <c r="L4" s="21"/>
      <c r="Q4" s="182"/>
      <c r="R4" s="21"/>
      <c r="S4" s="21"/>
      <c r="T4" s="21"/>
      <c r="U4" s="21"/>
      <c r="V4" s="21"/>
      <c r="W4" s="21"/>
      <c r="Y4" s="182"/>
      <c r="Z4" s="438" t="s">
        <v>95</v>
      </c>
      <c r="AA4" s="335"/>
      <c r="AB4" s="575"/>
      <c r="AC4" s="443"/>
    </row>
    <row r="5" spans="1:30" ht="20.100000000000001" customHeight="1" x14ac:dyDescent="0.2">
      <c r="B5" s="4"/>
      <c r="C5" s="85">
        <v>1995</v>
      </c>
      <c r="D5" s="86">
        <v>1996</v>
      </c>
      <c r="E5" s="86">
        <v>1997</v>
      </c>
      <c r="F5" s="86">
        <v>1998</v>
      </c>
      <c r="G5" s="86">
        <v>1999</v>
      </c>
      <c r="H5" s="86">
        <v>2000</v>
      </c>
      <c r="I5" s="86">
        <v>2001</v>
      </c>
      <c r="J5" s="86">
        <v>2002</v>
      </c>
      <c r="K5" s="86">
        <v>2003</v>
      </c>
      <c r="L5" s="86">
        <v>2004</v>
      </c>
      <c r="M5" s="86">
        <v>2005</v>
      </c>
      <c r="N5" s="86">
        <v>2006</v>
      </c>
      <c r="O5" s="86">
        <v>2007</v>
      </c>
      <c r="P5" s="86">
        <v>2008</v>
      </c>
      <c r="Q5" s="86">
        <v>2009</v>
      </c>
      <c r="R5" s="86">
        <v>2010</v>
      </c>
      <c r="S5" s="86">
        <v>2011</v>
      </c>
      <c r="T5" s="86">
        <v>2012</v>
      </c>
      <c r="U5" s="86">
        <v>2013</v>
      </c>
      <c r="V5" s="86">
        <v>2014</v>
      </c>
      <c r="W5" s="86">
        <v>2015</v>
      </c>
      <c r="X5" s="86">
        <v>2016</v>
      </c>
      <c r="Y5" s="86">
        <v>2017</v>
      </c>
      <c r="Z5" s="316">
        <v>2018</v>
      </c>
      <c r="AA5" s="375"/>
      <c r="AB5" s="576"/>
      <c r="AC5" s="444" t="s">
        <v>116</v>
      </c>
    </row>
    <row r="6" spans="1:30" ht="9.9499999999999993" customHeight="1" x14ac:dyDescent="0.2">
      <c r="B6" s="4"/>
      <c r="C6" s="87"/>
      <c r="D6" s="84"/>
      <c r="E6" s="84"/>
      <c r="F6" s="84"/>
      <c r="G6" s="84"/>
      <c r="H6" s="84"/>
      <c r="I6" s="84"/>
      <c r="J6" s="84"/>
      <c r="K6" s="84"/>
      <c r="L6" s="84"/>
      <c r="M6" s="84"/>
      <c r="N6" s="84"/>
      <c r="O6" s="84"/>
      <c r="P6" s="84"/>
      <c r="Q6" s="84"/>
      <c r="R6" s="84"/>
      <c r="S6" s="84"/>
      <c r="T6" s="84"/>
      <c r="U6" s="84"/>
      <c r="V6" s="84"/>
      <c r="W6" s="84"/>
      <c r="X6" s="84"/>
      <c r="Y6" s="84"/>
      <c r="Z6" s="84"/>
      <c r="AA6" s="91"/>
      <c r="AB6" s="141">
        <v>2018</v>
      </c>
      <c r="AC6" s="445" t="s">
        <v>63</v>
      </c>
    </row>
    <row r="7" spans="1:30" ht="12.75" customHeight="1" x14ac:dyDescent="0.2">
      <c r="B7" s="289" t="s">
        <v>115</v>
      </c>
      <c r="C7" s="298"/>
      <c r="D7" s="298"/>
      <c r="E7" s="298"/>
      <c r="F7" s="298"/>
      <c r="G7" s="298"/>
      <c r="H7" s="298">
        <f>SUM(H9:H35)</f>
        <v>406.29499999999996</v>
      </c>
      <c r="I7" s="298">
        <f t="shared" ref="I7:Z7" si="0">SUM(I9:I35)</f>
        <v>433.54399999999998</v>
      </c>
      <c r="J7" s="298">
        <f t="shared" si="0"/>
        <v>457.93099999999987</v>
      </c>
      <c r="K7" s="298">
        <f t="shared" si="0"/>
        <v>467.04599999999994</v>
      </c>
      <c r="L7" s="298">
        <f t="shared" si="0"/>
        <v>539.81100000000015</v>
      </c>
      <c r="M7" s="298">
        <f t="shared" si="0"/>
        <v>558.70600000000013</v>
      </c>
      <c r="N7" s="298">
        <f t="shared" si="0"/>
        <v>595.07399999999973</v>
      </c>
      <c r="O7" s="298">
        <f t="shared" si="0"/>
        <v>616.899</v>
      </c>
      <c r="P7" s="298">
        <f t="shared" si="0"/>
        <v>606.1930000000001</v>
      </c>
      <c r="Q7" s="298">
        <f t="shared" si="0"/>
        <v>533.14699999999993</v>
      </c>
      <c r="R7" s="298">
        <f t="shared" si="0"/>
        <v>574.2589999999999</v>
      </c>
      <c r="S7" s="298">
        <f t="shared" si="0"/>
        <v>566.84799999999996</v>
      </c>
      <c r="T7" s="298">
        <f t="shared" si="0"/>
        <v>568.22500000000014</v>
      </c>
      <c r="U7" s="298">
        <f t="shared" si="0"/>
        <v>597.70100000000002</v>
      </c>
      <c r="V7" s="298">
        <f t="shared" si="0"/>
        <v>606.54899999999998</v>
      </c>
      <c r="W7" s="298">
        <f t="shared" si="0"/>
        <v>613.44699999999989</v>
      </c>
      <c r="X7" s="298">
        <f t="shared" si="0"/>
        <v>647.44500000000005</v>
      </c>
      <c r="Y7" s="298">
        <f t="shared" si="0"/>
        <v>695.43999999999983</v>
      </c>
      <c r="Z7" s="298">
        <f t="shared" si="0"/>
        <v>674.45700000000011</v>
      </c>
      <c r="AA7" s="289" t="s">
        <v>115</v>
      </c>
      <c r="AB7" s="389">
        <f>Z7/road_by_tot!Z7*100</f>
        <v>38.204830599347119</v>
      </c>
      <c r="AC7" s="293">
        <f>Z7/Y7*100-100</f>
        <v>-3.017226504083709</v>
      </c>
    </row>
    <row r="8" spans="1:30" ht="12.75" customHeight="1" x14ac:dyDescent="0.2">
      <c r="A8" s="15"/>
      <c r="B8" s="289" t="s">
        <v>99</v>
      </c>
      <c r="C8" s="297"/>
      <c r="D8" s="298"/>
      <c r="E8" s="298"/>
      <c r="F8" s="298"/>
      <c r="G8" s="298"/>
      <c r="H8" s="298">
        <f t="shared" ref="H8:S8" si="1">SUM(H9:H36)</f>
        <v>421.57899999999995</v>
      </c>
      <c r="I8" s="298">
        <f t="shared" si="1"/>
        <v>447.048</v>
      </c>
      <c r="J8" s="298">
        <f t="shared" si="1"/>
        <v>471.04599999999988</v>
      </c>
      <c r="K8" s="298">
        <f t="shared" si="1"/>
        <v>480.25599999999991</v>
      </c>
      <c r="L8" s="298">
        <f t="shared" si="1"/>
        <v>551.28600000000017</v>
      </c>
      <c r="M8" s="298">
        <f t="shared" si="1"/>
        <v>568.77300000000014</v>
      </c>
      <c r="N8" s="298">
        <f t="shared" si="1"/>
        <v>605.78299999999967</v>
      </c>
      <c r="O8" s="298">
        <f t="shared" si="1"/>
        <v>627.18200000000002</v>
      </c>
      <c r="P8" s="298">
        <f t="shared" si="1"/>
        <v>615.34400000000005</v>
      </c>
      <c r="Q8" s="298">
        <f t="shared" si="1"/>
        <v>541.06799999999998</v>
      </c>
      <c r="R8" s="298">
        <f t="shared" si="1"/>
        <v>583.19099999999992</v>
      </c>
      <c r="S8" s="298">
        <f t="shared" si="1"/>
        <v>575.66399999999999</v>
      </c>
      <c r="T8" s="298">
        <f t="shared" ref="T8:Z8" si="2">SUM(T9:T36)</f>
        <v>576.62200000000018</v>
      </c>
      <c r="U8" s="298">
        <f t="shared" si="2"/>
        <v>606.07000000000005</v>
      </c>
      <c r="V8" s="298">
        <f t="shared" si="2"/>
        <v>614.27</v>
      </c>
      <c r="W8" s="298">
        <f t="shared" si="2"/>
        <v>620.67999999999984</v>
      </c>
      <c r="X8" s="298">
        <f t="shared" si="2"/>
        <v>653.76600000000008</v>
      </c>
      <c r="Y8" s="298">
        <f t="shared" si="2"/>
        <v>702.02999999999986</v>
      </c>
      <c r="Z8" s="298">
        <f t="shared" si="2"/>
        <v>681.62100000000009</v>
      </c>
      <c r="AA8" s="289" t="s">
        <v>99</v>
      </c>
      <c r="AB8" s="389">
        <f>Z8/road_by_tot!Z8*100</f>
        <v>35.417935389200785</v>
      </c>
      <c r="AC8" s="293">
        <f>Z8/Y8*100-100</f>
        <v>-2.9071407204819906</v>
      </c>
    </row>
    <row r="9" spans="1:30" ht="12.75" customHeight="1" x14ac:dyDescent="0.2">
      <c r="A9" s="15"/>
      <c r="B9" s="17" t="s">
        <v>22</v>
      </c>
      <c r="C9" s="151">
        <v>26.984000000000002</v>
      </c>
      <c r="D9" s="152">
        <v>25.184999999999999</v>
      </c>
      <c r="E9" s="152">
        <v>25.274000000000004</v>
      </c>
      <c r="F9" s="152">
        <v>24.407</v>
      </c>
      <c r="G9" s="153">
        <v>21.526</v>
      </c>
      <c r="H9" s="152">
        <v>31.292999999999999</v>
      </c>
      <c r="I9" s="152">
        <v>32.616999999999997</v>
      </c>
      <c r="J9" s="152">
        <v>32.496000000000002</v>
      </c>
      <c r="K9" s="152">
        <v>30.959</v>
      </c>
      <c r="L9" s="152">
        <v>28.462</v>
      </c>
      <c r="M9" s="152">
        <v>24.565000000000001</v>
      </c>
      <c r="N9" s="152">
        <v>23.402000000000001</v>
      </c>
      <c r="O9" s="152">
        <v>22.434999999999999</v>
      </c>
      <c r="P9" s="152">
        <v>20.149000000000001</v>
      </c>
      <c r="Q9" s="152">
        <v>18.571999999999999</v>
      </c>
      <c r="R9" s="152">
        <v>17.245999999999999</v>
      </c>
      <c r="S9" s="152">
        <v>15.358000000000001</v>
      </c>
      <c r="T9" s="152">
        <v>13.919</v>
      </c>
      <c r="U9" s="152">
        <v>13.816000000000001</v>
      </c>
      <c r="V9" s="152">
        <v>12.641</v>
      </c>
      <c r="W9" s="482">
        <v>14.8</v>
      </c>
      <c r="X9" s="152">
        <v>13.763999999999999</v>
      </c>
      <c r="Y9" s="152">
        <v>13.587999999999999</v>
      </c>
      <c r="Z9" s="188">
        <v>12.092000000000001</v>
      </c>
      <c r="AA9" s="17" t="s">
        <v>22</v>
      </c>
      <c r="AB9" s="179">
        <f>Z9/road_by_tot!Z9*100</f>
        <v>36.996695630889739</v>
      </c>
      <c r="AC9" s="446">
        <f t="shared" ref="AC9:AC44" si="3">Z9/Y9*100-100</f>
        <v>-11.009714453929931</v>
      </c>
    </row>
    <row r="10" spans="1:30" ht="12.75" customHeight="1" x14ac:dyDescent="0.2">
      <c r="A10" s="15"/>
      <c r="B10" s="89" t="s">
        <v>5</v>
      </c>
      <c r="C10" s="154"/>
      <c r="D10" s="155"/>
      <c r="E10" s="155"/>
      <c r="F10" s="155"/>
      <c r="G10" s="155"/>
      <c r="H10" s="155">
        <v>3.343</v>
      </c>
      <c r="I10" s="155">
        <v>4.7370000000000001</v>
      </c>
      <c r="J10" s="155">
        <v>4.8730000000000002</v>
      </c>
      <c r="K10" s="155">
        <v>4.9109999999999996</v>
      </c>
      <c r="L10" s="155">
        <v>7.3490000000000002</v>
      </c>
      <c r="M10" s="155">
        <v>9.3260000000000005</v>
      </c>
      <c r="N10" s="155">
        <v>7.9589999999999996</v>
      </c>
      <c r="O10" s="155">
        <v>8.734</v>
      </c>
      <c r="P10" s="155">
        <v>8.1999999999999993</v>
      </c>
      <c r="Q10" s="155">
        <v>11.436</v>
      </c>
      <c r="R10" s="155">
        <v>13.313000000000001</v>
      </c>
      <c r="S10" s="155">
        <v>14.696</v>
      </c>
      <c r="T10" s="155">
        <v>18.085999999999999</v>
      </c>
      <c r="U10" s="155">
        <v>19.905000000000001</v>
      </c>
      <c r="V10" s="155">
        <v>21.027000000000001</v>
      </c>
      <c r="W10" s="155">
        <v>25.125</v>
      </c>
      <c r="X10" s="155">
        <v>28.085000000000001</v>
      </c>
      <c r="Y10" s="155">
        <v>26.821999999999999</v>
      </c>
      <c r="Z10" s="156">
        <v>19.216000000000001</v>
      </c>
      <c r="AA10" s="89" t="s">
        <v>5</v>
      </c>
      <c r="AB10" s="376">
        <f>Z10/road_by_tot!Z10*100</f>
        <v>71.302411873840455</v>
      </c>
      <c r="AC10" s="447">
        <f t="shared" si="3"/>
        <v>-28.357318619044065</v>
      </c>
      <c r="AD10" s="330"/>
    </row>
    <row r="11" spans="1:30" ht="12.75" customHeight="1" x14ac:dyDescent="0.2">
      <c r="A11" s="15"/>
      <c r="B11" s="17" t="s">
        <v>7</v>
      </c>
      <c r="C11" s="157"/>
      <c r="D11" s="158"/>
      <c r="E11" s="158"/>
      <c r="F11" s="158"/>
      <c r="G11" s="158"/>
      <c r="H11" s="158">
        <v>23.096</v>
      </c>
      <c r="I11" s="158">
        <v>24.06</v>
      </c>
      <c r="J11" s="158">
        <v>27.356000000000002</v>
      </c>
      <c r="K11" s="158">
        <v>29.172000000000001</v>
      </c>
      <c r="L11" s="158">
        <v>29.965</v>
      </c>
      <c r="M11" s="158">
        <v>27.928999999999998</v>
      </c>
      <c r="N11" s="158">
        <v>34.293999999999997</v>
      </c>
      <c r="O11" s="158">
        <v>32.31</v>
      </c>
      <c r="P11" s="158">
        <v>35.128999999999998</v>
      </c>
      <c r="Q11" s="158">
        <v>31.474</v>
      </c>
      <c r="R11" s="158">
        <v>37.07</v>
      </c>
      <c r="S11" s="158">
        <v>39.844999999999999</v>
      </c>
      <c r="T11" s="158">
        <v>36.825000000000003</v>
      </c>
      <c r="U11" s="158">
        <v>39.5</v>
      </c>
      <c r="V11" s="158">
        <v>37.279000000000003</v>
      </c>
      <c r="W11" s="158">
        <v>37.530999999999999</v>
      </c>
      <c r="X11" s="158">
        <v>28.01</v>
      </c>
      <c r="Y11" s="158">
        <v>22.373999999999999</v>
      </c>
      <c r="Z11" s="178">
        <v>17.53</v>
      </c>
      <c r="AA11" s="17" t="s">
        <v>7</v>
      </c>
      <c r="AB11" s="179">
        <f>Z11/road_by_tot!Z11*100</f>
        <v>42.680106152460255</v>
      </c>
      <c r="AC11" s="446">
        <f t="shared" si="3"/>
        <v>-21.65012961473137</v>
      </c>
    </row>
    <row r="12" spans="1:30" ht="12.75" customHeight="1" x14ac:dyDescent="0.2">
      <c r="A12" s="15"/>
      <c r="B12" s="89" t="s">
        <v>18</v>
      </c>
      <c r="C12" s="154">
        <v>13.072999999999999</v>
      </c>
      <c r="D12" s="155">
        <v>11.868</v>
      </c>
      <c r="E12" s="155">
        <v>11.788</v>
      </c>
      <c r="F12" s="155">
        <v>11.291999999999998</v>
      </c>
      <c r="G12" s="155">
        <v>12.814</v>
      </c>
      <c r="H12" s="155">
        <v>13.021000000000001</v>
      </c>
      <c r="I12" s="155">
        <v>11.269</v>
      </c>
      <c r="J12" s="155">
        <v>11.459</v>
      </c>
      <c r="K12" s="155">
        <v>11.997</v>
      </c>
      <c r="L12" s="155">
        <v>12.574999999999999</v>
      </c>
      <c r="M12" s="155">
        <v>12.241</v>
      </c>
      <c r="N12" s="155">
        <v>9.76</v>
      </c>
      <c r="O12" s="155">
        <v>9.16</v>
      </c>
      <c r="P12" s="155">
        <v>8.7620000000000005</v>
      </c>
      <c r="Q12" s="155">
        <v>6.8739999999999997</v>
      </c>
      <c r="R12" s="155">
        <v>4.4450000000000003</v>
      </c>
      <c r="S12" s="155">
        <v>4.0949999999999998</v>
      </c>
      <c r="T12" s="155">
        <v>4.3869999999999996</v>
      </c>
      <c r="U12" s="155">
        <v>3.855</v>
      </c>
      <c r="V12" s="155">
        <v>3.2410000000000001</v>
      </c>
      <c r="W12" s="155">
        <v>2.9689999999999999</v>
      </c>
      <c r="X12" s="155">
        <v>3.0569999999999999</v>
      </c>
      <c r="Y12" s="155">
        <v>2.9249999999999998</v>
      </c>
      <c r="Z12" s="156">
        <v>2.923</v>
      </c>
      <c r="AA12" s="89" t="s">
        <v>18</v>
      </c>
      <c r="AB12" s="376">
        <f>Z12/road_by_tot!Z12*100</f>
        <v>19.489265235364716</v>
      </c>
      <c r="AC12" s="447">
        <f t="shared" si="3"/>
        <v>-6.8376068376068133E-2</v>
      </c>
    </row>
    <row r="13" spans="1:30" ht="12.75" customHeight="1" x14ac:dyDescent="0.2">
      <c r="A13" s="15"/>
      <c r="B13" s="17" t="s">
        <v>23</v>
      </c>
      <c r="C13" s="157">
        <v>36.501000000000005</v>
      </c>
      <c r="D13" s="158">
        <v>37.405000000000001</v>
      </c>
      <c r="E13" s="158">
        <v>42.781000000000006</v>
      </c>
      <c r="F13" s="158">
        <v>46.99799999999999</v>
      </c>
      <c r="G13" s="158">
        <v>51.539000000000001</v>
      </c>
      <c r="H13" s="158">
        <v>54.179000000000002</v>
      </c>
      <c r="I13" s="158">
        <v>58.948</v>
      </c>
      <c r="J13" s="158">
        <v>59.74</v>
      </c>
      <c r="K13" s="158">
        <v>63.54</v>
      </c>
      <c r="L13" s="158">
        <v>71.448999999999998</v>
      </c>
      <c r="M13" s="158">
        <v>72.486999999999995</v>
      </c>
      <c r="N13" s="158">
        <v>78.637</v>
      </c>
      <c r="O13" s="158">
        <v>82.006</v>
      </c>
      <c r="P13" s="158">
        <v>76.986999999999995</v>
      </c>
      <c r="Q13" s="158">
        <v>61.978999999999999</v>
      </c>
      <c r="R13" s="158">
        <v>60.642000000000003</v>
      </c>
      <c r="S13" s="158">
        <v>58.807000000000002</v>
      </c>
      <c r="T13" s="158">
        <v>52.51</v>
      </c>
      <c r="U13" s="158">
        <v>49.021999999999998</v>
      </c>
      <c r="V13" s="158">
        <v>47.11</v>
      </c>
      <c r="W13" s="158">
        <v>45.165999999999997</v>
      </c>
      <c r="X13" s="158">
        <v>44.094999999999999</v>
      </c>
      <c r="Y13" s="158">
        <v>41.482999999999997</v>
      </c>
      <c r="Z13" s="178">
        <v>40.621000000000002</v>
      </c>
      <c r="AA13" s="17" t="s">
        <v>23</v>
      </c>
      <c r="AB13" s="179">
        <f>Z13/road_by_tot!Z13*100</f>
        <v>12.823418736504491</v>
      </c>
      <c r="AC13" s="446">
        <f t="shared" si="3"/>
        <v>-2.0779596461200924</v>
      </c>
      <c r="AD13" s="330"/>
    </row>
    <row r="14" spans="1:30" ht="12.75" customHeight="1" x14ac:dyDescent="0.2">
      <c r="A14" s="15"/>
      <c r="B14" s="89" t="s">
        <v>8</v>
      </c>
      <c r="C14" s="159">
        <v>1.1000000000000001</v>
      </c>
      <c r="D14" s="160">
        <v>1.4550000000000001</v>
      </c>
      <c r="E14" s="160">
        <v>2.2629999999999999</v>
      </c>
      <c r="F14" s="160">
        <v>3.2530000000000001</v>
      </c>
      <c r="G14" s="160">
        <v>3.2410000000000001</v>
      </c>
      <c r="H14" s="160">
        <v>3.2170000000000001</v>
      </c>
      <c r="I14" s="155">
        <v>4.1289999999999996</v>
      </c>
      <c r="J14" s="161">
        <v>3.625</v>
      </c>
      <c r="K14" s="155">
        <v>2.4060000000000001</v>
      </c>
      <c r="L14" s="160">
        <v>3.62</v>
      </c>
      <c r="M14" s="160">
        <v>3.9769999999999999</v>
      </c>
      <c r="N14" s="160">
        <v>3.569</v>
      </c>
      <c r="O14" s="160">
        <v>4.4749999999999996</v>
      </c>
      <c r="P14" s="160">
        <v>5.5220000000000002</v>
      </c>
      <c r="Q14" s="160">
        <v>4.0140000000000002</v>
      </c>
      <c r="R14" s="160">
        <v>4.226</v>
      </c>
      <c r="S14" s="160">
        <v>4.3520000000000003</v>
      </c>
      <c r="T14" s="160">
        <v>4.1920000000000002</v>
      </c>
      <c r="U14" s="160">
        <v>4.3940000000000001</v>
      </c>
      <c r="V14" s="160">
        <v>4.7690000000000001</v>
      </c>
      <c r="W14" s="160">
        <v>4.7389999999999999</v>
      </c>
      <c r="X14" s="160">
        <v>4.9240000000000004</v>
      </c>
      <c r="Y14" s="160">
        <v>4.5579999999999998</v>
      </c>
      <c r="Z14" s="187">
        <v>4.0890000000000004</v>
      </c>
      <c r="AA14" s="89" t="s">
        <v>8</v>
      </c>
      <c r="AB14" s="376">
        <f>Z14/road_by_tot!Z14*100</f>
        <v>70.805194805194802</v>
      </c>
      <c r="AC14" s="447">
        <f t="shared" si="3"/>
        <v>-10.289600702062302</v>
      </c>
    </row>
    <row r="15" spans="1:30" ht="12.75" customHeight="1" x14ac:dyDescent="0.2">
      <c r="A15" s="15"/>
      <c r="B15" s="17" t="s">
        <v>26</v>
      </c>
      <c r="C15" s="151">
        <v>0.8</v>
      </c>
      <c r="D15" s="152">
        <v>1.6</v>
      </c>
      <c r="E15" s="152">
        <v>2.2999999999999998</v>
      </c>
      <c r="F15" s="152">
        <v>3.5</v>
      </c>
      <c r="G15" s="152">
        <v>2.4689999999999994</v>
      </c>
      <c r="H15" s="152">
        <v>3.9380000000000002</v>
      </c>
      <c r="I15" s="152">
        <v>3.2029999999999998</v>
      </c>
      <c r="J15" s="152">
        <v>3.5449999999999999</v>
      </c>
      <c r="K15" s="152">
        <v>3.7149999999999999</v>
      </c>
      <c r="L15" s="152">
        <v>3.9279999999999999</v>
      </c>
      <c r="M15" s="152">
        <v>3.9260000000000002</v>
      </c>
      <c r="N15" s="152">
        <v>3.6219999999999999</v>
      </c>
      <c r="O15" s="152">
        <v>4.5919999999999996</v>
      </c>
      <c r="P15" s="152">
        <v>4.1369999999999996</v>
      </c>
      <c r="Q15" s="152">
        <v>3.218</v>
      </c>
      <c r="R15" s="152">
        <v>2.7170000000000001</v>
      </c>
      <c r="S15" s="152">
        <v>2.6379999999999999</v>
      </c>
      <c r="T15" s="152">
        <v>2.5569999999999999</v>
      </c>
      <c r="U15" s="152">
        <v>1.9990000000000001</v>
      </c>
      <c r="V15" s="152">
        <v>2.0470000000000002</v>
      </c>
      <c r="W15" s="152">
        <v>2.141</v>
      </c>
      <c r="X15" s="152">
        <v>2.335</v>
      </c>
      <c r="Y15" s="152">
        <v>2.5110000000000001</v>
      </c>
      <c r="Z15" s="188">
        <v>2.1989999999999998</v>
      </c>
      <c r="AA15" s="17" t="s">
        <v>26</v>
      </c>
      <c r="AB15" s="179">
        <f>Z15/road_by_tot!Z15*100</f>
        <v>18.956896551724135</v>
      </c>
      <c r="AC15" s="446">
        <f t="shared" si="3"/>
        <v>-12.425328554360831</v>
      </c>
    </row>
    <row r="16" spans="1:30" ht="12.75" customHeight="1" x14ac:dyDescent="0.2">
      <c r="A16" s="15"/>
      <c r="B16" s="89" t="s">
        <v>19</v>
      </c>
      <c r="C16" s="162">
        <v>4</v>
      </c>
      <c r="D16" s="163">
        <v>4.05</v>
      </c>
      <c r="E16" s="163">
        <v>4.12</v>
      </c>
      <c r="F16" s="163">
        <v>4.2</v>
      </c>
      <c r="G16" s="163">
        <v>4.3</v>
      </c>
      <c r="H16" s="163">
        <v>4.5</v>
      </c>
      <c r="I16" s="163">
        <v>4.5999999999999996</v>
      </c>
      <c r="J16" s="163">
        <v>4.7</v>
      </c>
      <c r="K16" s="160">
        <v>4.0640000000000001</v>
      </c>
      <c r="L16" s="160">
        <v>5.0279999999999996</v>
      </c>
      <c r="M16" s="160">
        <v>4.1509999999999998</v>
      </c>
      <c r="N16" s="163">
        <v>7.8650000000000002</v>
      </c>
      <c r="O16" s="155">
        <v>6.0620000000000003</v>
      </c>
      <c r="P16" s="155">
        <v>4.5039999999999996</v>
      </c>
      <c r="Q16" s="155">
        <v>4.3570000000000002</v>
      </c>
      <c r="R16" s="155">
        <v>4.5590000000000002</v>
      </c>
      <c r="S16" s="155">
        <v>3.7879999999999998</v>
      </c>
      <c r="T16" s="155">
        <v>4.3529999999999998</v>
      </c>
      <c r="U16" s="155">
        <v>3.8639999999999999</v>
      </c>
      <c r="V16" s="155">
        <v>4.1040000000000001</v>
      </c>
      <c r="W16" s="155">
        <v>4.7409999999999997</v>
      </c>
      <c r="X16" s="203">
        <v>4.2220000000000004</v>
      </c>
      <c r="Y16" s="163">
        <v>12.906000000000001</v>
      </c>
      <c r="Z16" s="183">
        <v>13.887</v>
      </c>
      <c r="AA16" s="89" t="s">
        <v>19</v>
      </c>
      <c r="AB16" s="376">
        <f>Z16/road_by_tot!Z16*100</f>
        <v>47.429898562109365</v>
      </c>
      <c r="AC16" s="447">
        <f t="shared" si="3"/>
        <v>7.6011157601115826</v>
      </c>
    </row>
    <row r="17" spans="1:42" ht="12.75" customHeight="1" x14ac:dyDescent="0.2">
      <c r="A17" s="15"/>
      <c r="B17" s="17" t="s">
        <v>24</v>
      </c>
      <c r="C17" s="164">
        <v>22.855999999999995</v>
      </c>
      <c r="D17" s="165">
        <v>25.742999999999995</v>
      </c>
      <c r="E17" s="165">
        <v>28.866</v>
      </c>
      <c r="F17" s="165">
        <v>33.671000000000006</v>
      </c>
      <c r="G17" s="165">
        <v>36.128</v>
      </c>
      <c r="H17" s="165">
        <v>41.781999999999996</v>
      </c>
      <c r="I17" s="165">
        <v>47.040999999999997</v>
      </c>
      <c r="J17" s="165">
        <v>55.039000000000001</v>
      </c>
      <c r="K17" s="165">
        <v>54.183</v>
      </c>
      <c r="L17" s="165">
        <v>65.807000000000002</v>
      </c>
      <c r="M17" s="165">
        <v>66.843999999999994</v>
      </c>
      <c r="N17" s="165">
        <v>67.2</v>
      </c>
      <c r="O17" s="165">
        <v>68.263999999999996</v>
      </c>
      <c r="P17" s="165">
        <v>67.799000000000007</v>
      </c>
      <c r="Q17" s="165">
        <v>60.835000000000001</v>
      </c>
      <c r="R17" s="165">
        <v>63.874000000000002</v>
      </c>
      <c r="S17" s="165">
        <v>64.52</v>
      </c>
      <c r="T17" s="165">
        <v>65.840999999999994</v>
      </c>
      <c r="U17" s="165">
        <v>65.599999999999994</v>
      </c>
      <c r="V17" s="165">
        <v>67.61</v>
      </c>
      <c r="W17" s="165">
        <v>72.153999999999996</v>
      </c>
      <c r="X17" s="165">
        <v>72.012</v>
      </c>
      <c r="Y17" s="165">
        <v>76.441999999999993</v>
      </c>
      <c r="Z17" s="166">
        <v>80.518000000000001</v>
      </c>
      <c r="AA17" s="17" t="s">
        <v>24</v>
      </c>
      <c r="AB17" s="179">
        <f>Z17/road_by_tot!Z17*100</f>
        <v>33.690385532691195</v>
      </c>
      <c r="AC17" s="446">
        <f t="shared" si="3"/>
        <v>5.3321472488945858</v>
      </c>
    </row>
    <row r="18" spans="1:42" ht="12.75" customHeight="1" x14ac:dyDescent="0.2">
      <c r="A18" s="15"/>
      <c r="B18" s="89" t="s">
        <v>25</v>
      </c>
      <c r="C18" s="159">
        <v>42.9</v>
      </c>
      <c r="D18" s="160">
        <v>43.49799999999999</v>
      </c>
      <c r="E18" s="160">
        <v>42.44</v>
      </c>
      <c r="F18" s="160">
        <v>43.640999999999991</v>
      </c>
      <c r="G18" s="160">
        <v>45.688000000000002</v>
      </c>
      <c r="H18" s="160">
        <v>40.835999999999999</v>
      </c>
      <c r="I18" s="160">
        <v>38.298000000000002</v>
      </c>
      <c r="J18" s="160">
        <v>34.616999999999997</v>
      </c>
      <c r="K18" s="160">
        <v>32.712000000000003</v>
      </c>
      <c r="L18" s="160">
        <v>33.018000000000001</v>
      </c>
      <c r="M18" s="160">
        <v>27.954000000000001</v>
      </c>
      <c r="N18" s="160">
        <v>28.692</v>
      </c>
      <c r="O18" s="160">
        <v>27.824000000000002</v>
      </c>
      <c r="P18" s="160">
        <v>24.425000000000001</v>
      </c>
      <c r="Q18" s="160">
        <v>17.600000000000001</v>
      </c>
      <c r="R18" s="160">
        <v>17.867999999999999</v>
      </c>
      <c r="S18" s="160">
        <v>17.443000000000001</v>
      </c>
      <c r="T18" s="160">
        <v>15.996</v>
      </c>
      <c r="U18" s="160">
        <v>15.76</v>
      </c>
      <c r="V18" s="160">
        <v>14.113</v>
      </c>
      <c r="W18" s="160">
        <v>12.339</v>
      </c>
      <c r="X18" s="160">
        <v>11.638</v>
      </c>
      <c r="Y18" s="160">
        <v>11.815</v>
      </c>
      <c r="Z18" s="187">
        <v>11.404999999999999</v>
      </c>
      <c r="AA18" s="89" t="s">
        <v>25</v>
      </c>
      <c r="AB18" s="376">
        <f>Z18/road_by_tot!Z18*100</f>
        <v>6.5792889406796773</v>
      </c>
      <c r="AC18" s="447">
        <f t="shared" si="3"/>
        <v>-3.4701650444350349</v>
      </c>
    </row>
    <row r="19" spans="1:42" ht="12.75" customHeight="1" x14ac:dyDescent="0.2">
      <c r="A19" s="15"/>
      <c r="B19" s="17" t="s">
        <v>36</v>
      </c>
      <c r="C19" s="118"/>
      <c r="D19" s="58"/>
      <c r="E19" s="58"/>
      <c r="F19" s="145"/>
      <c r="G19" s="58">
        <v>0.81799999999999984</v>
      </c>
      <c r="H19" s="58">
        <v>0.95</v>
      </c>
      <c r="I19" s="58">
        <v>3.57</v>
      </c>
      <c r="J19" s="58">
        <v>3.75</v>
      </c>
      <c r="K19" s="58">
        <v>4.117</v>
      </c>
      <c r="L19" s="58">
        <v>4.4459999999999988</v>
      </c>
      <c r="M19" s="58">
        <v>4.9409999999999998</v>
      </c>
      <c r="N19" s="58">
        <v>4.8840000000000003</v>
      </c>
      <c r="O19" s="58">
        <v>5.38</v>
      </c>
      <c r="P19" s="58">
        <v>4.5979999999999999</v>
      </c>
      <c r="Q19" s="58">
        <v>4.3010000000000002</v>
      </c>
      <c r="R19" s="58">
        <v>4.2329999999999997</v>
      </c>
      <c r="S19" s="58">
        <v>4.5519999999999996</v>
      </c>
      <c r="T19" s="58">
        <v>4.5039999999999996</v>
      </c>
      <c r="U19" s="58">
        <v>4.8490000000000002</v>
      </c>
      <c r="V19" s="58">
        <v>5.45</v>
      </c>
      <c r="W19" s="58">
        <v>6.3840000000000003</v>
      </c>
      <c r="X19" s="58">
        <v>7.351</v>
      </c>
      <c r="Y19" s="58">
        <v>7.6349999999999998</v>
      </c>
      <c r="Z19" s="167">
        <v>8.4</v>
      </c>
      <c r="AA19" s="174" t="s">
        <v>36</v>
      </c>
      <c r="AB19" s="179">
        <f>Z19/road_by_tot!Z19*100</f>
        <v>66.4819944598338</v>
      </c>
      <c r="AC19" s="446">
        <f t="shared" si="3"/>
        <v>10.019646365422403</v>
      </c>
      <c r="AP19" s="1"/>
    </row>
    <row r="20" spans="1:42" ht="12.75" customHeight="1" x14ac:dyDescent="0.2">
      <c r="A20" s="15"/>
      <c r="B20" s="89" t="s">
        <v>27</v>
      </c>
      <c r="C20" s="162">
        <v>24.13</v>
      </c>
      <c r="D20" s="163">
        <v>24.425000000000001</v>
      </c>
      <c r="E20" s="163">
        <v>24.753000000000014</v>
      </c>
      <c r="F20" s="163">
        <v>26.330999999999989</v>
      </c>
      <c r="G20" s="163">
        <v>25.323999999999984</v>
      </c>
      <c r="H20" s="163">
        <v>26.427</v>
      </c>
      <c r="I20" s="163">
        <v>31.763999999999999</v>
      </c>
      <c r="J20" s="155">
        <v>32.6</v>
      </c>
      <c r="K20" s="155">
        <v>30.904</v>
      </c>
      <c r="L20" s="155">
        <v>38.808</v>
      </c>
      <c r="M20" s="155">
        <v>40.216999999999999</v>
      </c>
      <c r="N20" s="155">
        <v>31.64</v>
      </c>
      <c r="O20" s="155">
        <v>27.004000000000001</v>
      </c>
      <c r="P20" s="155">
        <v>28.638000000000002</v>
      </c>
      <c r="Q20" s="155">
        <v>22.018000000000001</v>
      </c>
      <c r="R20" s="155">
        <v>26.527999999999999</v>
      </c>
      <c r="S20" s="155">
        <v>15.161</v>
      </c>
      <c r="T20" s="155">
        <v>12.23</v>
      </c>
      <c r="U20" s="155">
        <v>15.266</v>
      </c>
      <c r="V20" s="155">
        <v>15.462</v>
      </c>
      <c r="W20" s="155">
        <v>12.715999999999999</v>
      </c>
      <c r="X20" s="155">
        <v>12.355</v>
      </c>
      <c r="Y20" s="155">
        <v>12.976000000000001</v>
      </c>
      <c r="Z20" s="156">
        <v>13.173999999999999</v>
      </c>
      <c r="AA20" s="173" t="s">
        <v>27</v>
      </c>
      <c r="AB20" s="376">
        <f>Z20/road_by_tot!Z20*100</f>
        <v>10.546371532642196</v>
      </c>
      <c r="AC20" s="447">
        <f t="shared" si="3"/>
        <v>1.5258939580764235</v>
      </c>
      <c r="AL20" s="1"/>
    </row>
    <row r="21" spans="1:42" ht="12.75" customHeight="1" x14ac:dyDescent="0.2">
      <c r="A21" s="15"/>
      <c r="B21" s="17" t="s">
        <v>6</v>
      </c>
      <c r="C21" s="118"/>
      <c r="D21" s="58"/>
      <c r="E21" s="58"/>
      <c r="F21" s="58"/>
      <c r="G21" s="58"/>
      <c r="H21" s="58">
        <v>0.03</v>
      </c>
      <c r="I21" s="58">
        <v>0.03</v>
      </c>
      <c r="J21" s="58">
        <v>3.6999999999999998E-2</v>
      </c>
      <c r="K21" s="58">
        <v>3.1E-2</v>
      </c>
      <c r="L21" s="58">
        <v>1.7000000000000001E-2</v>
      </c>
      <c r="M21" s="58">
        <v>1.9E-2</v>
      </c>
      <c r="N21" s="58">
        <v>0.02</v>
      </c>
      <c r="O21" s="58">
        <v>1.7999999999999999E-2</v>
      </c>
      <c r="P21" s="58">
        <v>1.2E-2</v>
      </c>
      <c r="Q21" s="58">
        <v>1.7999999999999999E-2</v>
      </c>
      <c r="R21" s="58">
        <v>2.1000000000000001E-2</v>
      </c>
      <c r="S21" s="58">
        <v>1.7999999999999999E-2</v>
      </c>
      <c r="T21" s="58">
        <v>1.7000000000000001E-2</v>
      </c>
      <c r="U21" s="58">
        <v>1.6E-2</v>
      </c>
      <c r="V21" s="58">
        <v>1.2E-2</v>
      </c>
      <c r="W21" s="58">
        <v>1.4999999999999999E-2</v>
      </c>
      <c r="X21" s="58">
        <v>1.7999999999999999E-2</v>
      </c>
      <c r="Y21" s="58">
        <v>2.4E-2</v>
      </c>
      <c r="Z21" s="167">
        <v>2.5999999999999999E-2</v>
      </c>
      <c r="AA21" s="174" t="s">
        <v>6</v>
      </c>
      <c r="AB21" s="179">
        <f>Z21/road_by_tot!Z21*100</f>
        <v>2.9147982062780264</v>
      </c>
      <c r="AC21" s="446">
        <f t="shared" si="3"/>
        <v>8.3333333333333286</v>
      </c>
    </row>
    <row r="22" spans="1:42" ht="12.75" customHeight="1" x14ac:dyDescent="0.2">
      <c r="A22" s="15"/>
      <c r="B22" s="89" t="s">
        <v>10</v>
      </c>
      <c r="C22" s="154"/>
      <c r="D22" s="155"/>
      <c r="E22" s="155"/>
      <c r="F22" s="155"/>
      <c r="G22" s="155"/>
      <c r="H22" s="155">
        <v>3.3050000000000002</v>
      </c>
      <c r="I22" s="155">
        <v>3.7149999999999999</v>
      </c>
      <c r="J22" s="155">
        <v>4.2329999999999997</v>
      </c>
      <c r="K22" s="155">
        <v>4.4429999999999996</v>
      </c>
      <c r="L22" s="155">
        <v>5</v>
      </c>
      <c r="M22" s="155">
        <v>5.66</v>
      </c>
      <c r="N22" s="155">
        <v>8.0350000000000001</v>
      </c>
      <c r="O22" s="155">
        <v>10.196999999999999</v>
      </c>
      <c r="P22" s="155">
        <v>9.8070000000000004</v>
      </c>
      <c r="Q22" s="155">
        <v>5.9660000000000002</v>
      </c>
      <c r="R22" s="155">
        <v>8.0289999999999999</v>
      </c>
      <c r="S22" s="155">
        <v>9.4849999999999994</v>
      </c>
      <c r="T22" s="155">
        <v>9.5619999999999994</v>
      </c>
      <c r="U22" s="155">
        <v>10.013</v>
      </c>
      <c r="V22" s="155">
        <v>10.929</v>
      </c>
      <c r="W22" s="155">
        <v>11.936999999999999</v>
      </c>
      <c r="X22" s="155">
        <v>11.42</v>
      </c>
      <c r="Y22" s="155">
        <v>11.731999999999999</v>
      </c>
      <c r="Z22" s="156">
        <v>11.538</v>
      </c>
      <c r="AA22" s="173" t="s">
        <v>10</v>
      </c>
      <c r="AB22" s="376">
        <f>Z22/road_by_tot!Z22*100</f>
        <v>76.935387077415484</v>
      </c>
      <c r="AC22" s="447">
        <f t="shared" si="3"/>
        <v>-1.6535969996590438</v>
      </c>
    </row>
    <row r="23" spans="1:42" ht="12.75" customHeight="1" x14ac:dyDescent="0.2">
      <c r="A23" s="15"/>
      <c r="B23" s="17" t="s">
        <v>11</v>
      </c>
      <c r="C23" s="118"/>
      <c r="D23" s="58"/>
      <c r="E23" s="58"/>
      <c r="F23" s="58"/>
      <c r="G23" s="58"/>
      <c r="H23" s="58">
        <v>6.2350000000000003</v>
      </c>
      <c r="I23" s="58">
        <v>6.7560000000000002</v>
      </c>
      <c r="J23" s="58">
        <v>9.1910000000000007</v>
      </c>
      <c r="K23" s="58">
        <v>9.5039999999999996</v>
      </c>
      <c r="L23" s="58">
        <v>10.066000000000001</v>
      </c>
      <c r="M23" s="58">
        <v>13.77</v>
      </c>
      <c r="N23" s="58">
        <v>15.901999999999999</v>
      </c>
      <c r="O23" s="58">
        <v>17.574000000000002</v>
      </c>
      <c r="P23" s="58">
        <v>17.859000000000002</v>
      </c>
      <c r="Q23" s="58">
        <v>15.124000000000001</v>
      </c>
      <c r="R23" s="58">
        <v>17.106000000000002</v>
      </c>
      <c r="S23" s="58">
        <v>19.192</v>
      </c>
      <c r="T23" s="58">
        <v>21.010999999999999</v>
      </c>
      <c r="U23" s="58">
        <v>23.797999999999998</v>
      </c>
      <c r="V23" s="58">
        <v>25.298999999999999</v>
      </c>
      <c r="W23" s="58">
        <v>23.571999999999999</v>
      </c>
      <c r="X23" s="58">
        <v>28.004000000000001</v>
      </c>
      <c r="Y23" s="58">
        <v>35.914999999999999</v>
      </c>
      <c r="Z23" s="167">
        <v>39.948</v>
      </c>
      <c r="AA23" s="174" t="s">
        <v>11</v>
      </c>
      <c r="AB23" s="179">
        <f>Z23/road_by_tot!Z23*100</f>
        <v>91.644872677219539</v>
      </c>
      <c r="AC23" s="446">
        <f t="shared" si="3"/>
        <v>11.229291382430745</v>
      </c>
    </row>
    <row r="24" spans="1:42" ht="12.75" customHeight="1" x14ac:dyDescent="0.2">
      <c r="A24" s="15"/>
      <c r="B24" s="89" t="s">
        <v>28</v>
      </c>
      <c r="C24" s="154">
        <v>4.9690000000000003</v>
      </c>
      <c r="D24" s="155">
        <v>3.1080000000000001</v>
      </c>
      <c r="E24" s="155">
        <v>4.0060000000000002</v>
      </c>
      <c r="F24" s="155">
        <v>4.6050000000000004</v>
      </c>
      <c r="G24" s="155">
        <v>5.9359999999999999</v>
      </c>
      <c r="H24" s="155">
        <v>7.1950000000000003</v>
      </c>
      <c r="I24" s="155">
        <v>8.2119999999999997</v>
      </c>
      <c r="J24" s="155">
        <v>8.5960000000000001</v>
      </c>
      <c r="K24" s="155">
        <v>9.0790000000000006</v>
      </c>
      <c r="L24" s="155">
        <v>9.0259999999999998</v>
      </c>
      <c r="M24" s="155">
        <v>8.3089999999999993</v>
      </c>
      <c r="N24" s="155">
        <v>8.2629999999999999</v>
      </c>
      <c r="O24" s="155">
        <v>9.0139999999999993</v>
      </c>
      <c r="P24" s="155">
        <v>8.41</v>
      </c>
      <c r="Q24" s="155">
        <v>7.87</v>
      </c>
      <c r="R24" s="155">
        <v>8.1199999999999992</v>
      </c>
      <c r="S24" s="155">
        <v>8.1850000000000005</v>
      </c>
      <c r="T24" s="155">
        <v>6.9059999999999997</v>
      </c>
      <c r="U24" s="155">
        <v>7.8289999999999997</v>
      </c>
      <c r="V24" s="155">
        <v>8.4710000000000001</v>
      </c>
      <c r="W24" s="155">
        <v>7.7460000000000004</v>
      </c>
      <c r="X24" s="155">
        <v>8.1310000000000002</v>
      </c>
      <c r="Y24" s="155">
        <v>8.2029999999999994</v>
      </c>
      <c r="Z24" s="156">
        <v>6.1539999999999999</v>
      </c>
      <c r="AA24" s="173" t="s">
        <v>28</v>
      </c>
      <c r="AB24" s="376">
        <f>Z24/road_by_tot!Z24*100</f>
        <v>90.5</v>
      </c>
      <c r="AC24" s="447">
        <f t="shared" si="3"/>
        <v>-24.97866634158234</v>
      </c>
    </row>
    <row r="25" spans="1:42" ht="12.75" customHeight="1" x14ac:dyDescent="0.2">
      <c r="A25" s="15"/>
      <c r="B25" s="17" t="s">
        <v>9</v>
      </c>
      <c r="C25" s="157"/>
      <c r="D25" s="158"/>
      <c r="E25" s="158"/>
      <c r="F25" s="158"/>
      <c r="G25" s="158"/>
      <c r="H25" s="158">
        <v>6.9790000000000001</v>
      </c>
      <c r="I25" s="158">
        <v>6.6509999999999998</v>
      </c>
      <c r="J25" s="158">
        <v>6.7460000000000004</v>
      </c>
      <c r="K25" s="158">
        <v>7.5380000000000003</v>
      </c>
      <c r="L25" s="158">
        <v>9.6319999999999997</v>
      </c>
      <c r="M25" s="158">
        <v>13.757999999999999</v>
      </c>
      <c r="N25" s="158">
        <v>18.053999999999998</v>
      </c>
      <c r="O25" s="158">
        <v>22.619</v>
      </c>
      <c r="P25" s="158">
        <v>22.716000000000001</v>
      </c>
      <c r="Q25" s="158">
        <v>23.202999999999999</v>
      </c>
      <c r="R25" s="158">
        <v>22.391999999999999</v>
      </c>
      <c r="S25" s="158">
        <v>23.995000000000001</v>
      </c>
      <c r="T25" s="158">
        <v>24.555</v>
      </c>
      <c r="U25" s="158">
        <v>26.571999999999999</v>
      </c>
      <c r="V25" s="158">
        <v>27.887</v>
      </c>
      <c r="W25" s="158">
        <v>27.995999999999999</v>
      </c>
      <c r="X25" s="158">
        <v>28.280999999999999</v>
      </c>
      <c r="Y25" s="158">
        <v>27.744</v>
      </c>
      <c r="Z25" s="178">
        <v>24.969000000000001</v>
      </c>
      <c r="AA25" s="174" t="s">
        <v>9</v>
      </c>
      <c r="AB25" s="179">
        <f>Z25/road_by_tot!Z25*100</f>
        <v>65.797934014967851</v>
      </c>
      <c r="AC25" s="446">
        <f t="shared" si="3"/>
        <v>-10.002162629757777</v>
      </c>
    </row>
    <row r="26" spans="1:42" ht="12.75" customHeight="1" x14ac:dyDescent="0.2">
      <c r="A26" s="15"/>
      <c r="B26" s="57" t="s">
        <v>12</v>
      </c>
      <c r="C26" s="162"/>
      <c r="D26" s="163"/>
      <c r="E26" s="163"/>
      <c r="F26" s="163"/>
      <c r="G26" s="163"/>
      <c r="H26" s="163">
        <v>0.05</v>
      </c>
      <c r="I26" s="163">
        <v>0.05</v>
      </c>
      <c r="J26" s="163">
        <v>0.05</v>
      </c>
      <c r="K26" s="163">
        <v>0.05</v>
      </c>
      <c r="L26" s="163">
        <v>0.05</v>
      </c>
      <c r="M26" s="163">
        <v>0.05</v>
      </c>
      <c r="N26" s="163">
        <v>0.05</v>
      </c>
      <c r="O26" s="163">
        <v>0.05</v>
      </c>
      <c r="P26" s="163">
        <v>0.05</v>
      </c>
      <c r="Q26" s="163">
        <v>0.05</v>
      </c>
      <c r="R26" s="163">
        <v>0.05</v>
      </c>
      <c r="S26" s="163">
        <v>0.05</v>
      </c>
      <c r="T26" s="163">
        <v>0.05</v>
      </c>
      <c r="U26" s="163">
        <v>0.05</v>
      </c>
      <c r="V26" s="163">
        <v>0.05</v>
      </c>
      <c r="W26" s="163">
        <v>0.05</v>
      </c>
      <c r="X26" s="163">
        <v>0.05</v>
      </c>
      <c r="Y26" s="163">
        <v>0.05</v>
      </c>
      <c r="Z26" s="163">
        <v>0.05</v>
      </c>
      <c r="AA26" s="278" t="s">
        <v>12</v>
      </c>
      <c r="AB26" s="376">
        <f>Z26/road_by_tot!Z26*100</f>
        <v>20</v>
      </c>
      <c r="AC26" s="447">
        <f t="shared" si="3"/>
        <v>0</v>
      </c>
    </row>
    <row r="27" spans="1:42" ht="12.75" customHeight="1" x14ac:dyDescent="0.2">
      <c r="A27" s="15"/>
      <c r="B27" s="17" t="s">
        <v>20</v>
      </c>
      <c r="C27" s="118">
        <v>40.416999999999994</v>
      </c>
      <c r="D27" s="58">
        <v>42.097000000000008</v>
      </c>
      <c r="E27" s="58">
        <v>43.215999999999994</v>
      </c>
      <c r="F27" s="58">
        <v>50.26</v>
      </c>
      <c r="G27" s="58">
        <v>50.881999999999991</v>
      </c>
      <c r="H27" s="58">
        <v>48.027999999999999</v>
      </c>
      <c r="I27" s="58">
        <v>47.491999999999997</v>
      </c>
      <c r="J27" s="58">
        <v>47.161000000000001</v>
      </c>
      <c r="K27" s="58">
        <v>47.978999999999999</v>
      </c>
      <c r="L27" s="58">
        <v>55.756999999999998</v>
      </c>
      <c r="M27" s="58">
        <v>52.335999999999999</v>
      </c>
      <c r="N27" s="58">
        <v>52.183999999999997</v>
      </c>
      <c r="O27" s="58">
        <v>47.234999999999999</v>
      </c>
      <c r="P27" s="58">
        <v>46.15</v>
      </c>
      <c r="Q27" s="58">
        <v>41.338000000000001</v>
      </c>
      <c r="R27" s="58">
        <v>46.773000000000003</v>
      </c>
      <c r="S27" s="58">
        <v>45.218000000000004</v>
      </c>
      <c r="T27" s="58">
        <v>41.39</v>
      </c>
      <c r="U27" s="58">
        <v>39.781999999999996</v>
      </c>
      <c r="V27" s="58">
        <v>40.085000000000001</v>
      </c>
      <c r="W27" s="58">
        <v>36.731000000000002</v>
      </c>
      <c r="X27" s="58">
        <v>33.725999999999999</v>
      </c>
      <c r="Y27" s="58">
        <v>34.371000000000002</v>
      </c>
      <c r="Z27" s="167">
        <v>34.581000000000003</v>
      </c>
      <c r="AA27" s="174" t="s">
        <v>20</v>
      </c>
      <c r="AB27" s="179">
        <f>Z27/road_by_tot!Z27*100</f>
        <v>50.207619490098146</v>
      </c>
      <c r="AC27" s="446">
        <f t="shared" si="3"/>
        <v>0.61098018678538324</v>
      </c>
    </row>
    <row r="28" spans="1:42" ht="12.75" customHeight="1" x14ac:dyDescent="0.2">
      <c r="A28" s="15"/>
      <c r="B28" s="89" t="s">
        <v>29</v>
      </c>
      <c r="C28" s="154">
        <v>15.430999999999999</v>
      </c>
      <c r="D28" s="155">
        <v>16.356000000000002</v>
      </c>
      <c r="E28" s="155">
        <v>17.041000000000004</v>
      </c>
      <c r="F28" s="155">
        <v>18.585000000000001</v>
      </c>
      <c r="G28" s="155">
        <v>21.701999999999998</v>
      </c>
      <c r="H28" s="163">
        <v>22.733000000000001</v>
      </c>
      <c r="I28" s="163">
        <v>25.077999999999999</v>
      </c>
      <c r="J28" s="163">
        <v>25.835000000000001</v>
      </c>
      <c r="K28" s="163">
        <v>26.52</v>
      </c>
      <c r="L28" s="155">
        <v>26.81</v>
      </c>
      <c r="M28" s="155">
        <v>24.53</v>
      </c>
      <c r="N28" s="155">
        <v>24.75</v>
      </c>
      <c r="O28" s="155">
        <v>22.658000000000001</v>
      </c>
      <c r="P28" s="155">
        <v>19.731999999999999</v>
      </c>
      <c r="Q28" s="155">
        <v>15.584</v>
      </c>
      <c r="R28" s="155">
        <v>14.744999999999999</v>
      </c>
      <c r="S28" s="155">
        <v>14.067</v>
      </c>
      <c r="T28" s="155">
        <v>11.97</v>
      </c>
      <c r="U28" s="155">
        <v>10.36</v>
      </c>
      <c r="V28" s="155">
        <v>10.539</v>
      </c>
      <c r="W28" s="155">
        <v>9.9770000000000003</v>
      </c>
      <c r="X28" s="155">
        <v>9.6340000000000003</v>
      </c>
      <c r="Y28" s="155">
        <v>9.1750000000000007</v>
      </c>
      <c r="Z28" s="156">
        <v>8.8490000000000002</v>
      </c>
      <c r="AA28" s="173" t="s">
        <v>29</v>
      </c>
      <c r="AB28" s="376">
        <f>Z28/road_by_tot!Z28*100</f>
        <v>34.347707953266308</v>
      </c>
      <c r="AC28" s="447">
        <f t="shared" si="3"/>
        <v>-3.553133514986385</v>
      </c>
    </row>
    <row r="29" spans="1:42" ht="12.75" customHeight="1" x14ac:dyDescent="0.2">
      <c r="A29" s="15"/>
      <c r="B29" s="17" t="s">
        <v>13</v>
      </c>
      <c r="C29" s="149"/>
      <c r="D29" s="145"/>
      <c r="E29" s="145"/>
      <c r="F29" s="145"/>
      <c r="G29" s="145"/>
      <c r="H29" s="145">
        <v>27.023</v>
      </c>
      <c r="I29" s="145">
        <v>28.228000000000002</v>
      </c>
      <c r="J29" s="145">
        <v>29.818000000000001</v>
      </c>
      <c r="K29" s="145">
        <v>32.988999999999997</v>
      </c>
      <c r="L29" s="58">
        <v>43.981999999999999</v>
      </c>
      <c r="M29" s="58">
        <v>50.886000000000003</v>
      </c>
      <c r="N29" s="58">
        <v>68.894999999999996</v>
      </c>
      <c r="O29" s="58">
        <v>85.11</v>
      </c>
      <c r="P29" s="58">
        <v>93.013000000000005</v>
      </c>
      <c r="Q29" s="58">
        <v>101.53400000000001</v>
      </c>
      <c r="R29" s="58">
        <v>120.09</v>
      </c>
      <c r="S29" s="58">
        <v>117.917</v>
      </c>
      <c r="T29" s="58">
        <v>133.31899999999999</v>
      </c>
      <c r="U29" s="58">
        <v>147.274</v>
      </c>
      <c r="V29" s="58">
        <v>154.303</v>
      </c>
      <c r="W29" s="58">
        <v>156.03399999999999</v>
      </c>
      <c r="X29" s="58">
        <v>184.11500000000001</v>
      </c>
      <c r="Y29" s="58">
        <v>215.184</v>
      </c>
      <c r="Z29" s="167">
        <v>201.18199999999999</v>
      </c>
      <c r="AA29" s="174" t="s">
        <v>13</v>
      </c>
      <c r="AB29" s="179">
        <f>Z29/road_by_tot!Z29*100</f>
        <v>63.690585486618076</v>
      </c>
      <c r="AC29" s="446">
        <f t="shared" si="3"/>
        <v>-6.5069893672391999</v>
      </c>
    </row>
    <row r="30" spans="1:42" ht="12.75" customHeight="1" x14ac:dyDescent="0.2">
      <c r="A30" s="15"/>
      <c r="B30" s="89" t="s">
        <v>30</v>
      </c>
      <c r="C30" s="154">
        <v>15.5</v>
      </c>
      <c r="D30" s="155">
        <v>16.850000000000001</v>
      </c>
      <c r="E30" s="155">
        <v>18.63</v>
      </c>
      <c r="F30" s="155">
        <v>19.05</v>
      </c>
      <c r="G30" s="203">
        <v>11.778</v>
      </c>
      <c r="H30" s="155">
        <v>12.616</v>
      </c>
      <c r="I30" s="155">
        <v>13.616</v>
      </c>
      <c r="J30" s="155">
        <v>14.807</v>
      </c>
      <c r="K30" s="161">
        <v>13.227</v>
      </c>
      <c r="L30" s="155">
        <v>23.384</v>
      </c>
      <c r="M30" s="155">
        <v>25.163</v>
      </c>
      <c r="N30" s="155">
        <v>27.295000000000002</v>
      </c>
      <c r="O30" s="155">
        <v>27.884</v>
      </c>
      <c r="P30" s="155">
        <v>21.977</v>
      </c>
      <c r="Q30" s="155">
        <v>21.384</v>
      </c>
      <c r="R30" s="155">
        <v>22.486999999999998</v>
      </c>
      <c r="S30" s="155">
        <v>23.78</v>
      </c>
      <c r="T30" s="155">
        <v>21.754000000000001</v>
      </c>
      <c r="U30" s="155">
        <v>26.783000000000001</v>
      </c>
      <c r="V30" s="155">
        <v>24.393999999999998</v>
      </c>
      <c r="W30" s="155">
        <v>21.044</v>
      </c>
      <c r="X30" s="155">
        <v>24.495000000000001</v>
      </c>
      <c r="Y30" s="155">
        <v>23.331</v>
      </c>
      <c r="Z30" s="156">
        <v>22.433</v>
      </c>
      <c r="AA30" s="173" t="s">
        <v>30</v>
      </c>
      <c r="AB30" s="376">
        <f>Z30/road_by_tot!Z30*100</f>
        <v>68.05509207293025</v>
      </c>
      <c r="AC30" s="447">
        <f t="shared" si="3"/>
        <v>-3.84895632420384</v>
      </c>
    </row>
    <row r="31" spans="1:42" ht="12.75" customHeight="1" x14ac:dyDescent="0.2">
      <c r="A31" s="15"/>
      <c r="B31" s="17" t="s">
        <v>14</v>
      </c>
      <c r="C31" s="164"/>
      <c r="D31" s="165"/>
      <c r="E31" s="165"/>
      <c r="F31" s="165"/>
      <c r="G31" s="165">
        <v>3.7289999999999992</v>
      </c>
      <c r="H31" s="171">
        <v>4.4080000000000004</v>
      </c>
      <c r="I31" s="165">
        <v>7.899</v>
      </c>
      <c r="J31" s="165">
        <v>14.37</v>
      </c>
      <c r="K31" s="165">
        <v>17.216000000000001</v>
      </c>
      <c r="L31" s="165">
        <v>22.568999999999999</v>
      </c>
      <c r="M31" s="165">
        <v>32.133000000000003</v>
      </c>
      <c r="N31" s="165">
        <v>34.564999999999998</v>
      </c>
      <c r="O31" s="165">
        <v>35.591000000000001</v>
      </c>
      <c r="P31" s="165">
        <v>33.195999999999998</v>
      </c>
      <c r="Q31" s="165">
        <v>13.39</v>
      </c>
      <c r="R31" s="165">
        <v>13.792999999999999</v>
      </c>
      <c r="S31" s="165">
        <v>14.491</v>
      </c>
      <c r="T31" s="165">
        <v>16.989000000000001</v>
      </c>
      <c r="U31" s="165">
        <v>21.521999999999998</v>
      </c>
      <c r="V31" s="165">
        <v>23</v>
      </c>
      <c r="W31" s="165">
        <v>26.954999999999998</v>
      </c>
      <c r="X31" s="165">
        <v>35.036000000000001</v>
      </c>
      <c r="Y31" s="165">
        <v>41.155999999999999</v>
      </c>
      <c r="Z31" s="166">
        <v>44.404000000000003</v>
      </c>
      <c r="AA31" s="174" t="s">
        <v>14</v>
      </c>
      <c r="AB31" s="179">
        <f>Z31/road_by_tot!Z31*100</f>
        <v>75.565841870596657</v>
      </c>
      <c r="AC31" s="446">
        <f t="shared" si="3"/>
        <v>7.8919234133540783</v>
      </c>
    </row>
    <row r="32" spans="1:42" ht="12.75" customHeight="1" x14ac:dyDescent="0.2">
      <c r="A32" s="15"/>
      <c r="B32" s="89" t="s">
        <v>16</v>
      </c>
      <c r="C32" s="154"/>
      <c r="D32" s="155"/>
      <c r="E32" s="155"/>
      <c r="F32" s="155"/>
      <c r="G32" s="155"/>
      <c r="H32" s="155">
        <v>3.4</v>
      </c>
      <c r="I32" s="155">
        <v>5.1079999999999997</v>
      </c>
      <c r="J32" s="155">
        <v>4.6639999999999997</v>
      </c>
      <c r="K32" s="155">
        <v>5.0449999999999999</v>
      </c>
      <c r="L32" s="155">
        <v>6.74</v>
      </c>
      <c r="M32" s="155">
        <v>8.6720000000000006</v>
      </c>
      <c r="N32" s="155">
        <v>9.8339999999999996</v>
      </c>
      <c r="O32" s="155">
        <v>11.161</v>
      </c>
      <c r="P32" s="155">
        <v>13.625</v>
      </c>
      <c r="Q32" s="155">
        <v>12.486000000000001</v>
      </c>
      <c r="R32" s="155">
        <v>13.643000000000001</v>
      </c>
      <c r="S32" s="155">
        <v>14.262</v>
      </c>
      <c r="T32" s="155">
        <v>14.039</v>
      </c>
      <c r="U32" s="155">
        <v>14.016</v>
      </c>
      <c r="V32" s="155">
        <v>14.211</v>
      </c>
      <c r="W32" s="155">
        <v>15.84</v>
      </c>
      <c r="X32" s="155">
        <v>16.573</v>
      </c>
      <c r="Y32" s="155">
        <v>18.504000000000001</v>
      </c>
      <c r="Z32" s="156">
        <v>19.969000000000001</v>
      </c>
      <c r="AA32" s="173" t="s">
        <v>16</v>
      </c>
      <c r="AB32" s="376">
        <f>Z32/road_by_tot!Z32*100</f>
        <v>89.849268841394831</v>
      </c>
      <c r="AC32" s="447">
        <f t="shared" si="3"/>
        <v>7.9172070903588292</v>
      </c>
    </row>
    <row r="33" spans="1:29" ht="12.75" customHeight="1" x14ac:dyDescent="0.2">
      <c r="A33" s="15"/>
      <c r="B33" s="17" t="s">
        <v>15</v>
      </c>
      <c r="C33" s="164"/>
      <c r="D33" s="165"/>
      <c r="E33" s="165"/>
      <c r="F33" s="165"/>
      <c r="G33" s="165"/>
      <c r="H33" s="165">
        <v>9.2840000000000007</v>
      </c>
      <c r="I33" s="165">
        <v>8.4819999999999993</v>
      </c>
      <c r="J33" s="165">
        <v>9.91</v>
      </c>
      <c r="K33" s="165">
        <v>11.544</v>
      </c>
      <c r="L33" s="165">
        <v>13.105</v>
      </c>
      <c r="M33" s="165">
        <v>16.945</v>
      </c>
      <c r="N33" s="165">
        <v>17.009</v>
      </c>
      <c r="O33" s="165">
        <v>21.542000000000002</v>
      </c>
      <c r="P33" s="165">
        <v>22.957000000000001</v>
      </c>
      <c r="Q33" s="165">
        <v>22.187000000000001</v>
      </c>
      <c r="R33" s="165">
        <v>22.376999999999999</v>
      </c>
      <c r="S33" s="165">
        <v>24.271999999999998</v>
      </c>
      <c r="T33" s="165">
        <v>24.62</v>
      </c>
      <c r="U33" s="165">
        <v>25.581</v>
      </c>
      <c r="V33" s="165">
        <v>26.265000000000001</v>
      </c>
      <c r="W33" s="165">
        <v>28.295000000000002</v>
      </c>
      <c r="X33" s="165">
        <v>30.440999999999999</v>
      </c>
      <c r="Y33" s="165">
        <v>29.085000000000001</v>
      </c>
      <c r="Z33" s="166">
        <v>29.109000000000002</v>
      </c>
      <c r="AA33" s="174" t="s">
        <v>15</v>
      </c>
      <c r="AB33" s="179">
        <f>Z33/road_by_tot!Z33*100</f>
        <v>81.799022087337718</v>
      </c>
      <c r="AC33" s="446">
        <f t="shared" si="3"/>
        <v>8.2516761217135581E-2</v>
      </c>
    </row>
    <row r="34" spans="1:29" ht="12.75" customHeight="1" x14ac:dyDescent="0.2">
      <c r="A34" s="15"/>
      <c r="B34" s="89" t="s">
        <v>31</v>
      </c>
      <c r="C34" s="154">
        <v>2.6960000000000015</v>
      </c>
      <c r="D34" s="155">
        <v>2.8149999999999999</v>
      </c>
      <c r="E34" s="155">
        <v>2.1920000000000002</v>
      </c>
      <c r="F34" s="155">
        <v>2.4890000000000008</v>
      </c>
      <c r="G34" s="155">
        <v>3.85</v>
      </c>
      <c r="H34" s="155">
        <v>4.258</v>
      </c>
      <c r="I34" s="155">
        <v>3.8</v>
      </c>
      <c r="J34" s="155">
        <v>3.8969999999999998</v>
      </c>
      <c r="K34" s="155">
        <v>4.03</v>
      </c>
      <c r="L34" s="155">
        <v>4.96</v>
      </c>
      <c r="M34" s="155">
        <v>4.0430000000000001</v>
      </c>
      <c r="N34" s="155">
        <v>4.25</v>
      </c>
      <c r="O34" s="155">
        <v>3.855</v>
      </c>
      <c r="P34" s="155">
        <v>3.4209999999999998</v>
      </c>
      <c r="Q34" s="155">
        <v>3.411</v>
      </c>
      <c r="R34" s="155">
        <v>4.3760000000000003</v>
      </c>
      <c r="S34" s="155">
        <v>3.1309999999999998</v>
      </c>
      <c r="T34" s="155">
        <v>3.532</v>
      </c>
      <c r="U34" s="155">
        <v>3.4609999999999999</v>
      </c>
      <c r="V34" s="155">
        <v>3.1030000000000002</v>
      </c>
      <c r="W34" s="155">
        <v>3.0539999999999998</v>
      </c>
      <c r="X34" s="155">
        <v>2.2599999999999998</v>
      </c>
      <c r="Y34" s="163">
        <v>1.6359999999999999</v>
      </c>
      <c r="Z34" s="183">
        <v>2.375</v>
      </c>
      <c r="AA34" s="89" t="s">
        <v>31</v>
      </c>
      <c r="AB34" s="376">
        <f>Z34/road_by_tot!Z34*100</f>
        <v>8.3789028047274652</v>
      </c>
      <c r="AC34" s="447">
        <f t="shared" si="3"/>
        <v>45.171149144254287</v>
      </c>
    </row>
    <row r="35" spans="1:29" ht="12.75" customHeight="1" x14ac:dyDescent="0.2">
      <c r="A35" s="15"/>
      <c r="B35" s="17" t="s">
        <v>32</v>
      </c>
      <c r="C35" s="164">
        <v>3.2430000000000021</v>
      </c>
      <c r="D35" s="165">
        <v>3.0119999999999969</v>
      </c>
      <c r="E35" s="165">
        <v>2.9239999999999995</v>
      </c>
      <c r="F35" s="165">
        <v>2.9309999999999974</v>
      </c>
      <c r="G35" s="165">
        <v>2.7780000000000022</v>
      </c>
      <c r="H35" s="165">
        <v>4.1689999999999996</v>
      </c>
      <c r="I35" s="165">
        <v>4.1909999999999998</v>
      </c>
      <c r="J35" s="165">
        <v>4.8159999999999998</v>
      </c>
      <c r="K35" s="165">
        <v>5.1710000000000003</v>
      </c>
      <c r="L35" s="165">
        <v>4.258</v>
      </c>
      <c r="M35" s="165">
        <v>3.8740000000000001</v>
      </c>
      <c r="N35" s="165">
        <v>4.444</v>
      </c>
      <c r="O35" s="165">
        <v>4.1449999999999996</v>
      </c>
      <c r="P35" s="165">
        <v>4.4180000000000001</v>
      </c>
      <c r="Q35" s="165">
        <v>2.9239999999999999</v>
      </c>
      <c r="R35" s="165">
        <v>3.536</v>
      </c>
      <c r="S35" s="165">
        <v>3.53</v>
      </c>
      <c r="T35" s="165">
        <v>3.1110000000000002</v>
      </c>
      <c r="U35" s="165">
        <v>2.8140000000000001</v>
      </c>
      <c r="V35" s="165">
        <v>3.1480000000000001</v>
      </c>
      <c r="W35" s="165">
        <v>3.3959999999999999</v>
      </c>
      <c r="X35" s="165">
        <v>3.4129999999999998</v>
      </c>
      <c r="Y35" s="165">
        <v>3.2949999999999999</v>
      </c>
      <c r="Z35" s="166">
        <v>2.8159999999999998</v>
      </c>
      <c r="AA35" s="174" t="s">
        <v>32</v>
      </c>
      <c r="AB35" s="386">
        <f>Z35/road_by_tot!Z35*100</f>
        <v>6.4768388610331655</v>
      </c>
      <c r="AC35" s="451">
        <f t="shared" si="3"/>
        <v>-14.537177541729889</v>
      </c>
    </row>
    <row r="36" spans="1:29" ht="12.75" customHeight="1" x14ac:dyDescent="0.2">
      <c r="A36" s="15"/>
      <c r="B36" s="289" t="s">
        <v>21</v>
      </c>
      <c r="C36" s="372">
        <v>14.786000000000001</v>
      </c>
      <c r="D36" s="373">
        <v>16.004999999999999</v>
      </c>
      <c r="E36" s="373">
        <v>16.697999999999979</v>
      </c>
      <c r="F36" s="373">
        <v>16.568999999999988</v>
      </c>
      <c r="G36" s="373">
        <v>17.241</v>
      </c>
      <c r="H36" s="373">
        <v>15.284000000000001</v>
      </c>
      <c r="I36" s="373">
        <v>13.504</v>
      </c>
      <c r="J36" s="373">
        <v>13.115</v>
      </c>
      <c r="K36" s="373">
        <v>13.21</v>
      </c>
      <c r="L36" s="373">
        <v>11.475</v>
      </c>
      <c r="M36" s="373">
        <v>10.067</v>
      </c>
      <c r="N36" s="373">
        <v>10.709</v>
      </c>
      <c r="O36" s="373">
        <v>10.282999999999999</v>
      </c>
      <c r="P36" s="373">
        <v>9.1509999999999998</v>
      </c>
      <c r="Q36" s="373">
        <v>7.9210000000000003</v>
      </c>
      <c r="R36" s="373">
        <v>8.9320000000000004</v>
      </c>
      <c r="S36" s="374">
        <v>8.8160000000000007</v>
      </c>
      <c r="T36" s="374">
        <v>8.3970000000000002</v>
      </c>
      <c r="U36" s="374">
        <v>8.3689999999999998</v>
      </c>
      <c r="V36" s="374">
        <v>7.7210000000000001</v>
      </c>
      <c r="W36" s="374">
        <v>7.2329999999999997</v>
      </c>
      <c r="X36" s="374">
        <v>6.3209999999999997</v>
      </c>
      <c r="Y36" s="374">
        <v>6.59</v>
      </c>
      <c r="Z36" s="439">
        <v>7.1639999999999997</v>
      </c>
      <c r="AA36" s="294" t="s">
        <v>21</v>
      </c>
      <c r="AB36" s="294">
        <f>Z36/road_by_tot!Z36*100</f>
        <v>4.5017814838786707</v>
      </c>
      <c r="AC36" s="452">
        <f t="shared" si="3"/>
        <v>8.7101669195751157</v>
      </c>
    </row>
    <row r="37" spans="1:29" ht="12.75" customHeight="1" x14ac:dyDescent="0.2">
      <c r="A37" s="15"/>
      <c r="B37" s="17" t="s">
        <v>96</v>
      </c>
      <c r="C37" s="118"/>
      <c r="D37" s="58"/>
      <c r="E37" s="58"/>
      <c r="F37" s="58"/>
      <c r="G37" s="58"/>
      <c r="H37" s="58"/>
      <c r="I37" s="58"/>
      <c r="J37" s="58"/>
      <c r="K37" s="58"/>
      <c r="L37" s="58"/>
      <c r="M37" s="58"/>
      <c r="N37" s="58"/>
      <c r="O37" s="58"/>
      <c r="P37" s="58"/>
      <c r="Q37" s="58"/>
      <c r="R37" s="58"/>
      <c r="S37" s="58"/>
      <c r="T37" s="58"/>
      <c r="U37" s="58"/>
      <c r="V37" s="58"/>
      <c r="W37" s="58"/>
      <c r="X37" s="58"/>
      <c r="Y37" s="58"/>
      <c r="Z37" s="167"/>
      <c r="AA37" s="17" t="s">
        <v>96</v>
      </c>
      <c r="AB37" s="179"/>
      <c r="AC37" s="446"/>
    </row>
    <row r="38" spans="1:29" ht="12.75" customHeight="1" x14ac:dyDescent="0.2">
      <c r="A38" s="15"/>
      <c r="B38" s="197" t="s">
        <v>2</v>
      </c>
      <c r="C38" s="209"/>
      <c r="D38" s="199"/>
      <c r="E38" s="199"/>
      <c r="F38" s="199"/>
      <c r="G38" s="199"/>
      <c r="H38" s="199"/>
      <c r="I38" s="199"/>
      <c r="J38" s="199"/>
      <c r="K38" s="199"/>
      <c r="L38" s="199"/>
      <c r="M38" s="199"/>
      <c r="N38" s="199"/>
      <c r="O38" s="199"/>
      <c r="P38" s="199"/>
      <c r="Q38" s="199"/>
      <c r="R38" s="199"/>
      <c r="S38" s="199"/>
      <c r="T38" s="199"/>
      <c r="U38" s="199"/>
      <c r="V38" s="199">
        <v>9.4149999999999991</v>
      </c>
      <c r="W38" s="199">
        <v>9.1159999999999997</v>
      </c>
      <c r="X38" s="199">
        <v>9.4149999999999991</v>
      </c>
      <c r="Y38" s="199">
        <v>9.4969999999999999</v>
      </c>
      <c r="Z38" s="210">
        <v>9.2029999999999994</v>
      </c>
      <c r="AA38" s="197" t="s">
        <v>2</v>
      </c>
      <c r="AB38" s="518">
        <f>Z38/road_by_tot!Z38*100</f>
        <v>86.518755288145144</v>
      </c>
      <c r="AC38" s="520">
        <f t="shared" si="3"/>
        <v>-3.095714436137726</v>
      </c>
    </row>
    <row r="39" spans="1:29" ht="12.75" customHeight="1" x14ac:dyDescent="0.2">
      <c r="A39" s="15"/>
      <c r="B39" s="17" t="s">
        <v>100</v>
      </c>
      <c r="C39" s="118"/>
      <c r="D39" s="58"/>
      <c r="E39" s="58"/>
      <c r="F39" s="58"/>
      <c r="G39" s="58"/>
      <c r="H39" s="58"/>
      <c r="I39" s="58"/>
      <c r="J39" s="58"/>
      <c r="K39" s="58"/>
      <c r="L39" s="58"/>
      <c r="M39" s="58"/>
      <c r="N39" s="58"/>
      <c r="O39" s="58"/>
      <c r="P39" s="58"/>
      <c r="Q39" s="58"/>
      <c r="R39" s="58"/>
      <c r="S39" s="158"/>
      <c r="T39" s="158"/>
      <c r="U39" s="145"/>
      <c r="V39" s="145"/>
      <c r="W39" s="145"/>
      <c r="X39" s="145"/>
      <c r="Y39" s="145"/>
      <c r="Z39" s="107"/>
      <c r="AA39" s="174" t="s">
        <v>100</v>
      </c>
      <c r="AB39" s="179"/>
      <c r="AC39" s="446"/>
    </row>
    <row r="40" spans="1:29" ht="12.75" customHeight="1" x14ac:dyDescent="0.2">
      <c r="A40" s="15"/>
      <c r="B40" s="197" t="s">
        <v>97</v>
      </c>
      <c r="C40" s="209"/>
      <c r="D40" s="199"/>
      <c r="E40" s="199"/>
      <c r="F40" s="199"/>
      <c r="G40" s="199"/>
      <c r="H40" s="199"/>
      <c r="I40" s="199"/>
      <c r="J40" s="199"/>
      <c r="K40" s="199"/>
      <c r="L40" s="199"/>
      <c r="M40" s="199"/>
      <c r="N40" s="199"/>
      <c r="O40" s="199"/>
      <c r="P40" s="199"/>
      <c r="Q40" s="199"/>
      <c r="R40" s="199"/>
      <c r="S40" s="199"/>
      <c r="T40" s="199"/>
      <c r="U40" s="199"/>
      <c r="V40" s="199"/>
      <c r="W40" s="199"/>
      <c r="X40" s="199"/>
      <c r="Y40" s="199"/>
      <c r="Z40" s="210"/>
      <c r="AA40" s="197" t="s">
        <v>97</v>
      </c>
      <c r="AB40" s="376"/>
      <c r="AC40" s="447"/>
    </row>
    <row r="41" spans="1:29" ht="12.75" customHeight="1" x14ac:dyDescent="0.2">
      <c r="A41" s="15"/>
      <c r="B41" s="18" t="s">
        <v>17</v>
      </c>
      <c r="C41" s="119"/>
      <c r="D41" s="59"/>
      <c r="E41" s="59"/>
      <c r="F41" s="59"/>
      <c r="G41" s="59"/>
      <c r="H41" s="59"/>
      <c r="I41" s="59"/>
      <c r="J41" s="59"/>
      <c r="K41" s="59"/>
      <c r="L41" s="59"/>
      <c r="M41" s="59"/>
      <c r="N41" s="59"/>
      <c r="O41" s="59"/>
      <c r="P41" s="59"/>
      <c r="Q41" s="59"/>
      <c r="R41" s="59"/>
      <c r="S41" s="59"/>
      <c r="T41" s="59"/>
      <c r="U41" s="59"/>
      <c r="V41" s="59"/>
      <c r="W41" s="59"/>
      <c r="X41" s="59"/>
      <c r="Y41" s="59"/>
      <c r="Z41" s="170"/>
      <c r="AA41" s="18" t="s">
        <v>17</v>
      </c>
      <c r="AB41" s="386"/>
      <c r="AC41" s="451"/>
    </row>
    <row r="42" spans="1:29" ht="12.75" customHeight="1" x14ac:dyDescent="0.2">
      <c r="A42" s="15"/>
      <c r="B42" s="211" t="s">
        <v>3</v>
      </c>
      <c r="C42" s="212"/>
      <c r="D42" s="213"/>
      <c r="E42" s="213"/>
      <c r="F42" s="213"/>
      <c r="G42" s="213"/>
      <c r="H42" s="213"/>
      <c r="I42" s="214"/>
      <c r="J42" s="214"/>
      <c r="K42" s="214"/>
      <c r="L42" s="214"/>
      <c r="M42" s="214"/>
      <c r="N42" s="214"/>
      <c r="O42" s="214"/>
      <c r="P42" s="214"/>
      <c r="Q42" s="214"/>
      <c r="R42" s="214"/>
      <c r="S42" s="217"/>
      <c r="T42" s="217"/>
      <c r="U42" s="217"/>
      <c r="V42" s="213"/>
      <c r="W42" s="213"/>
      <c r="X42" s="213"/>
      <c r="Y42" s="213"/>
      <c r="Z42" s="231"/>
      <c r="AA42" s="216" t="s">
        <v>3</v>
      </c>
      <c r="AB42" s="376"/>
      <c r="AC42" s="447"/>
    </row>
    <row r="43" spans="1:29" ht="12.75" customHeight="1" x14ac:dyDescent="0.2">
      <c r="A43" s="15"/>
      <c r="B43" s="17" t="s">
        <v>33</v>
      </c>
      <c r="C43" s="118"/>
      <c r="D43" s="58"/>
      <c r="E43" s="58"/>
      <c r="F43" s="58"/>
      <c r="G43" s="58">
        <v>3.1739999999999999</v>
      </c>
      <c r="H43" s="58">
        <v>3.0179999999999998</v>
      </c>
      <c r="I43" s="58">
        <v>2.786</v>
      </c>
      <c r="J43" s="58">
        <v>2.7050000000000001</v>
      </c>
      <c r="K43" s="58">
        <v>3.0670000000000002</v>
      </c>
      <c r="L43" s="58">
        <v>3.0070000000000001</v>
      </c>
      <c r="M43" s="58">
        <v>2.895</v>
      </c>
      <c r="N43" s="58">
        <v>4.077</v>
      </c>
      <c r="O43" s="58">
        <v>3.948</v>
      </c>
      <c r="P43" s="58">
        <v>3.9380000000000002</v>
      </c>
      <c r="Q43" s="58">
        <v>3.17</v>
      </c>
      <c r="R43" s="58">
        <v>3.407</v>
      </c>
      <c r="S43" s="58">
        <v>3.0569999999999999</v>
      </c>
      <c r="T43" s="58">
        <v>3.1880000000000002</v>
      </c>
      <c r="U43" s="58">
        <v>2.9830000000000001</v>
      </c>
      <c r="V43" s="58">
        <v>2.56</v>
      </c>
      <c r="W43" s="58">
        <v>2.6739999999999999</v>
      </c>
      <c r="X43" s="58">
        <v>2.3969999999999998</v>
      </c>
      <c r="Y43" s="58">
        <v>2.645</v>
      </c>
      <c r="Z43" s="167">
        <v>2.4140000000000001</v>
      </c>
      <c r="AA43" s="174" t="s">
        <v>33</v>
      </c>
      <c r="AB43" s="179">
        <f>Z43/road_by_tot!Z43*100</f>
        <v>11.313150248383167</v>
      </c>
      <c r="AC43" s="446">
        <f t="shared" si="3"/>
        <v>-8.7334593572778658</v>
      </c>
    </row>
    <row r="44" spans="1:29" ht="12.75" customHeight="1" x14ac:dyDescent="0.2">
      <c r="A44" s="15"/>
      <c r="B44" s="220" t="s">
        <v>68</v>
      </c>
      <c r="C44" s="229">
        <v>0.74610000000000021</v>
      </c>
      <c r="D44" s="202">
        <v>0.69840000000000002</v>
      </c>
      <c r="E44" s="202">
        <v>0.68320000000000003</v>
      </c>
      <c r="F44" s="202">
        <v>0.70009999999999994</v>
      </c>
      <c r="G44" s="202">
        <v>0.78369999999999962</v>
      </c>
      <c r="H44" s="202">
        <v>0.85829999999999984</v>
      </c>
      <c r="I44" s="202">
        <v>0.8642000000000003</v>
      </c>
      <c r="J44" s="202">
        <v>0.9372000000000007</v>
      </c>
      <c r="K44" s="202">
        <v>1.0053000000000001</v>
      </c>
      <c r="L44" s="202">
        <v>1.017639457743915</v>
      </c>
      <c r="M44" s="202">
        <v>0.9917115952670702</v>
      </c>
      <c r="N44" s="202">
        <v>1.0790656375524159</v>
      </c>
      <c r="O44" s="200">
        <v>1.1479988834812849</v>
      </c>
      <c r="P44" s="202">
        <v>4.0979999999999999</v>
      </c>
      <c r="Q44" s="202">
        <v>3.4769999999999999</v>
      </c>
      <c r="R44" s="202">
        <v>3.6869999999999998</v>
      </c>
      <c r="S44" s="202">
        <v>3.6549999999999998</v>
      </c>
      <c r="T44" s="202">
        <v>2.9750000000000001</v>
      </c>
      <c r="U44" s="202">
        <v>2.6589999999999998</v>
      </c>
      <c r="V44" s="202">
        <v>2.4820000000000002</v>
      </c>
      <c r="W44" s="202">
        <v>2.0790000000000002</v>
      </c>
      <c r="X44" s="222">
        <v>1.9950000000000001</v>
      </c>
      <c r="Y44" s="202">
        <v>1.7090000000000001</v>
      </c>
      <c r="Z44" s="222">
        <v>1.784</v>
      </c>
      <c r="AA44" s="240" t="s">
        <v>68</v>
      </c>
      <c r="AB44" s="376">
        <f>Z44/road_by_tot!Z44*100</f>
        <v>14.272000000000002</v>
      </c>
      <c r="AC44" s="447">
        <f t="shared" si="3"/>
        <v>4.3885313048566417</v>
      </c>
    </row>
    <row r="45" spans="1:29" ht="12.75" customHeight="1" x14ac:dyDescent="0.2">
      <c r="A45" s="15"/>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448"/>
    </row>
    <row r="46" spans="1:29" ht="12.75" customHeight="1" x14ac:dyDescent="0.2">
      <c r="A46" s="15"/>
      <c r="B46" s="577" t="s">
        <v>127</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135"/>
      <c r="AC46" s="449"/>
    </row>
    <row r="47" spans="1:29" ht="20.25" customHeight="1" x14ac:dyDescent="0.2">
      <c r="B47" s="133" t="s">
        <v>153</v>
      </c>
    </row>
    <row r="48" spans="1:29" x14ac:dyDescent="0.2">
      <c r="B48" s="3" t="s">
        <v>71</v>
      </c>
    </row>
    <row r="49" spans="2:33" x14ac:dyDescent="0.2">
      <c r="B49" s="93" t="s">
        <v>72</v>
      </c>
    </row>
    <row r="50" spans="2:33" x14ac:dyDescent="0.2">
      <c r="B50" s="573" t="s">
        <v>91</v>
      </c>
      <c r="C50" s="573"/>
      <c r="D50" s="573"/>
      <c r="E50" s="573"/>
      <c r="F50" s="573"/>
      <c r="G50" s="573"/>
      <c r="H50" s="573"/>
      <c r="I50" s="573"/>
      <c r="J50" s="573"/>
      <c r="K50" s="573"/>
      <c r="L50" s="573"/>
      <c r="M50" s="573"/>
      <c r="N50" s="573"/>
      <c r="O50" s="573"/>
      <c r="P50" s="573"/>
      <c r="Q50" s="573"/>
      <c r="R50" s="142"/>
      <c r="S50" s="142"/>
      <c r="T50" s="142"/>
      <c r="U50" s="142"/>
      <c r="V50" s="142"/>
      <c r="W50" s="142"/>
      <c r="X50" s="142"/>
      <c r="Y50" s="142"/>
      <c r="Z50" s="142"/>
      <c r="AA50" s="137"/>
      <c r="AC50" s="450"/>
    </row>
    <row r="53" spans="2:33" x14ac:dyDescent="0.2">
      <c r="AG53" s="1"/>
    </row>
    <row r="58" spans="2:33" x14ac:dyDescent="0.2">
      <c r="U58" s="1"/>
    </row>
  </sheetData>
  <mergeCells count="5">
    <mergeCell ref="B50:Q50"/>
    <mergeCell ref="AB2:AB5"/>
    <mergeCell ref="B2:Q2"/>
    <mergeCell ref="B3:Q3"/>
    <mergeCell ref="B46:AA46"/>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AG51"/>
  <sheetViews>
    <sheetView topLeftCell="A19" workbookViewId="0">
      <selection activeCell="AD29" sqref="AD29"/>
    </sheetView>
  </sheetViews>
  <sheetFormatPr defaultRowHeight="12.75" x14ac:dyDescent="0.2"/>
  <cols>
    <col min="1" max="1" width="3.7109375" customWidth="1"/>
    <col min="2" max="2" width="4.5703125" customWidth="1"/>
    <col min="3" max="13" width="7.7109375" customWidth="1"/>
    <col min="14" max="26" width="8.28515625" customWidth="1"/>
    <col min="27" max="27" width="6" style="175" customWidth="1"/>
    <col min="28" max="28" width="6.28515625" customWidth="1"/>
    <col min="29" max="29" width="5.85546875" customWidth="1"/>
  </cols>
  <sheetData>
    <row r="1" spans="1:33" ht="14.25" customHeight="1" x14ac:dyDescent="0.2">
      <c r="B1" s="40"/>
      <c r="C1" s="38"/>
      <c r="D1" s="38"/>
      <c r="E1" s="38"/>
      <c r="F1" s="38"/>
      <c r="G1" s="38"/>
      <c r="H1" s="38"/>
      <c r="I1" s="38"/>
      <c r="J1" s="41"/>
      <c r="AA1" s="380" t="s">
        <v>80</v>
      </c>
    </row>
    <row r="2" spans="1:33" s="81" customFormat="1" ht="15" customHeight="1" x14ac:dyDescent="0.2">
      <c r="B2" s="546" t="s">
        <v>143</v>
      </c>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row>
    <row r="3" spans="1:33" ht="15" customHeight="1" x14ac:dyDescent="0.2">
      <c r="B3" s="566" t="s">
        <v>140</v>
      </c>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row>
    <row r="4" spans="1:33" ht="12" customHeight="1" x14ac:dyDescent="0.2">
      <c r="B4" s="4"/>
      <c r="C4" s="24"/>
      <c r="D4" s="24"/>
      <c r="E4" s="24"/>
      <c r="F4" s="24"/>
      <c r="G4" s="24"/>
      <c r="H4" s="24"/>
      <c r="J4" s="22"/>
      <c r="K4" s="22"/>
      <c r="L4" s="22"/>
      <c r="R4" s="21"/>
      <c r="S4" s="21"/>
      <c r="T4" s="21"/>
      <c r="U4" s="21"/>
      <c r="V4" s="21"/>
      <c r="W4" s="21"/>
      <c r="X4" s="182"/>
      <c r="Y4" s="182"/>
      <c r="Z4" s="182" t="s">
        <v>95</v>
      </c>
      <c r="AA4" s="165"/>
      <c r="AB4" s="6"/>
    </row>
    <row r="5" spans="1:33" ht="20.100000000000001" customHeight="1" x14ac:dyDescent="0.2">
      <c r="B5" s="4"/>
      <c r="C5" s="85">
        <v>1995</v>
      </c>
      <c r="D5" s="86">
        <v>1996</v>
      </c>
      <c r="E5" s="86">
        <v>1997</v>
      </c>
      <c r="F5" s="86">
        <v>1998</v>
      </c>
      <c r="G5" s="86">
        <v>1999</v>
      </c>
      <c r="H5" s="86">
        <v>2000</v>
      </c>
      <c r="I5" s="86">
        <v>2001</v>
      </c>
      <c r="J5" s="86">
        <v>2002</v>
      </c>
      <c r="K5" s="86">
        <v>2003</v>
      </c>
      <c r="L5" s="86">
        <v>2004</v>
      </c>
      <c r="M5" s="86">
        <v>2005</v>
      </c>
      <c r="N5" s="86">
        <v>2006</v>
      </c>
      <c r="O5" s="86">
        <v>2007</v>
      </c>
      <c r="P5" s="86">
        <v>2008</v>
      </c>
      <c r="Q5" s="86">
        <v>2009</v>
      </c>
      <c r="R5" s="86">
        <v>2010</v>
      </c>
      <c r="S5" s="86">
        <v>2011</v>
      </c>
      <c r="T5" s="86">
        <v>2012</v>
      </c>
      <c r="U5" s="86">
        <v>2013</v>
      </c>
      <c r="V5" s="86">
        <v>2014</v>
      </c>
      <c r="W5" s="86">
        <v>2015</v>
      </c>
      <c r="X5" s="86">
        <v>2016</v>
      </c>
      <c r="Y5" s="86">
        <v>2017</v>
      </c>
      <c r="Z5" s="86">
        <v>2018</v>
      </c>
      <c r="AA5" s="381" t="s">
        <v>116</v>
      </c>
      <c r="AB5" s="63"/>
      <c r="AC5" s="63"/>
      <c r="AD5" s="1"/>
    </row>
    <row r="6" spans="1:33" ht="9.9499999999999993" customHeight="1" x14ac:dyDescent="0.2">
      <c r="B6" s="4"/>
      <c r="C6" s="87"/>
      <c r="D6" s="84"/>
      <c r="E6" s="84"/>
      <c r="F6" s="84"/>
      <c r="G6" s="84"/>
      <c r="H6" s="84"/>
      <c r="I6" s="84"/>
      <c r="J6" s="84"/>
      <c r="K6" s="84"/>
      <c r="L6" s="84"/>
      <c r="M6" s="84"/>
      <c r="N6" s="84"/>
      <c r="O6" s="84"/>
      <c r="P6" s="84"/>
      <c r="Q6" s="84"/>
      <c r="R6" s="84"/>
      <c r="S6" s="84"/>
      <c r="T6" s="84"/>
      <c r="U6" s="84"/>
      <c r="V6" s="84"/>
      <c r="W6" s="84"/>
      <c r="X6" s="84"/>
      <c r="Y6" s="84"/>
      <c r="Z6" s="144"/>
      <c r="AA6" s="382" t="s">
        <v>63</v>
      </c>
      <c r="AB6" s="65"/>
      <c r="AC6" s="63"/>
      <c r="AD6" s="1"/>
    </row>
    <row r="7" spans="1:33" ht="12.75" customHeight="1" x14ac:dyDescent="0.2">
      <c r="B7" s="456" t="s">
        <v>115</v>
      </c>
      <c r="C7" s="291">
        <f>SUM(C9:C35)</f>
        <v>1127.1600000000001</v>
      </c>
      <c r="D7" s="291">
        <f t="shared" ref="D7:Z7" si="0">SUM(D9:D35)</f>
        <v>1136.3789999999997</v>
      </c>
      <c r="E7" s="291">
        <f t="shared" si="0"/>
        <v>1182.4780000000001</v>
      </c>
      <c r="F7" s="291">
        <f t="shared" si="0"/>
        <v>1242.2039999999997</v>
      </c>
      <c r="G7" s="291">
        <f t="shared" si="0"/>
        <v>1294.3619999999999</v>
      </c>
      <c r="H7" s="291">
        <f t="shared" si="0"/>
        <v>1343.867</v>
      </c>
      <c r="I7" s="291">
        <f t="shared" si="0"/>
        <v>1389.2530000000002</v>
      </c>
      <c r="J7" s="291">
        <f t="shared" si="0"/>
        <v>1438.8</v>
      </c>
      <c r="K7" s="291">
        <f t="shared" si="0"/>
        <v>1440.54</v>
      </c>
      <c r="L7" s="291">
        <f t="shared" si="0"/>
        <v>1588.2660000000001</v>
      </c>
      <c r="M7" s="291">
        <f t="shared" si="0"/>
        <v>1633.3100000000002</v>
      </c>
      <c r="N7" s="291">
        <f t="shared" si="0"/>
        <v>1692.2679999999998</v>
      </c>
      <c r="O7" s="291">
        <f t="shared" si="0"/>
        <v>1753.9669999999996</v>
      </c>
      <c r="P7" s="291">
        <f t="shared" si="0"/>
        <v>1730.8300000000002</v>
      </c>
      <c r="Q7" s="291">
        <f t="shared" si="0"/>
        <v>1560.2210000000002</v>
      </c>
      <c r="R7" s="291">
        <f t="shared" si="0"/>
        <v>1609.6789999999999</v>
      </c>
      <c r="S7" s="291">
        <f t="shared" si="0"/>
        <v>1592.1670000000001</v>
      </c>
      <c r="T7" s="291">
        <f t="shared" si="0"/>
        <v>1536.4010000000001</v>
      </c>
      <c r="U7" s="291">
        <f t="shared" si="0"/>
        <v>1571.77</v>
      </c>
      <c r="V7" s="291">
        <f t="shared" si="0"/>
        <v>1584.7149999999999</v>
      </c>
      <c r="W7" s="291">
        <f t="shared" si="0"/>
        <v>1615.1200000000001</v>
      </c>
      <c r="X7" s="291">
        <f t="shared" si="0"/>
        <v>1679.2119999999998</v>
      </c>
      <c r="Y7" s="291">
        <f t="shared" si="0"/>
        <v>1765.6039999999998</v>
      </c>
      <c r="Z7" s="457">
        <f t="shared" si="0"/>
        <v>1765.3709999999999</v>
      </c>
      <c r="AA7" s="292">
        <f>Z7/Y7*100-100</f>
        <v>-1.3196617134980215E-2</v>
      </c>
      <c r="AB7" s="289" t="s">
        <v>115</v>
      </c>
      <c r="AC7" s="219"/>
      <c r="AD7" s="1"/>
    </row>
    <row r="8" spans="1:33" ht="12.75" customHeight="1" x14ac:dyDescent="0.2">
      <c r="A8" s="15"/>
      <c r="B8" s="410" t="s">
        <v>99</v>
      </c>
      <c r="C8" s="291">
        <f t="shared" ref="C8:R8" si="1">SUM(C9:C36)</f>
        <v>1288.6600000000001</v>
      </c>
      <c r="D8" s="291">
        <f t="shared" si="1"/>
        <v>1302.5789999999997</v>
      </c>
      <c r="E8" s="291">
        <f t="shared" si="1"/>
        <v>1351.6780000000001</v>
      </c>
      <c r="F8" s="291">
        <f t="shared" si="1"/>
        <v>1414.2039999999997</v>
      </c>
      <c r="G8" s="291">
        <f t="shared" si="1"/>
        <v>1460.6219999999998</v>
      </c>
      <c r="H8" s="291">
        <f t="shared" si="1"/>
        <v>1509.4880000000001</v>
      </c>
      <c r="I8" s="291">
        <f t="shared" si="1"/>
        <v>1552.5170000000003</v>
      </c>
      <c r="J8" s="291">
        <f t="shared" si="1"/>
        <v>1602.835</v>
      </c>
      <c r="K8" s="291">
        <f t="shared" si="1"/>
        <v>1607.683</v>
      </c>
      <c r="L8" s="291">
        <f t="shared" si="1"/>
        <v>1750.92</v>
      </c>
      <c r="M8" s="291">
        <f t="shared" si="1"/>
        <v>1794.5950000000003</v>
      </c>
      <c r="N8" s="291">
        <f t="shared" si="1"/>
        <v>1857.7469999999998</v>
      </c>
      <c r="O8" s="291">
        <f t="shared" si="1"/>
        <v>1924.9579999999996</v>
      </c>
      <c r="P8" s="291">
        <f t="shared" si="1"/>
        <v>1891.1260000000002</v>
      </c>
      <c r="Q8" s="291">
        <f t="shared" si="1"/>
        <v>1699.7570000000003</v>
      </c>
      <c r="R8" s="291">
        <f t="shared" si="1"/>
        <v>1756.3639999999998</v>
      </c>
      <c r="S8" s="291">
        <f t="shared" ref="S8:Z8" si="2">SUM(S9:S36)</f>
        <v>1740.9</v>
      </c>
      <c r="T8" s="291">
        <f t="shared" si="2"/>
        <v>1687.3500000000001</v>
      </c>
      <c r="U8" s="291">
        <f t="shared" si="2"/>
        <v>1711.473</v>
      </c>
      <c r="V8" s="291">
        <f t="shared" si="2"/>
        <v>1720.1079999999999</v>
      </c>
      <c r="W8" s="291">
        <f t="shared" si="2"/>
        <v>1765.221</v>
      </c>
      <c r="X8" s="291">
        <f t="shared" si="2"/>
        <v>1834.2539999999997</v>
      </c>
      <c r="Y8" s="291">
        <f t="shared" si="2"/>
        <v>1919.5429999999999</v>
      </c>
      <c r="Z8" s="457">
        <f t="shared" si="2"/>
        <v>1924.5079999999998</v>
      </c>
      <c r="AA8" s="292">
        <f t="shared" ref="AA8:AA44" si="3">Z8/Y8*100-100</f>
        <v>0.25865531535369257</v>
      </c>
      <c r="AB8" s="289" t="s">
        <v>99</v>
      </c>
      <c r="AC8" s="371"/>
      <c r="AD8" s="1"/>
    </row>
    <row r="9" spans="1:33" ht="12.75" customHeight="1" x14ac:dyDescent="0.2">
      <c r="A9" s="15"/>
      <c r="B9" s="17" t="s">
        <v>22</v>
      </c>
      <c r="C9" s="151">
        <v>45.6</v>
      </c>
      <c r="D9" s="152">
        <v>41.8</v>
      </c>
      <c r="E9" s="152">
        <v>43.7</v>
      </c>
      <c r="F9" s="152">
        <v>41.1</v>
      </c>
      <c r="G9" s="58">
        <v>37.283999999999999</v>
      </c>
      <c r="H9" s="152">
        <v>51.046999999999997</v>
      </c>
      <c r="I9" s="152">
        <v>53.182000000000002</v>
      </c>
      <c r="J9" s="152">
        <v>52.889000000000003</v>
      </c>
      <c r="K9" s="152">
        <v>50.542000000000002</v>
      </c>
      <c r="L9" s="152">
        <v>47.878</v>
      </c>
      <c r="M9" s="152">
        <v>43.847000000000001</v>
      </c>
      <c r="N9" s="152">
        <v>43.017000000000003</v>
      </c>
      <c r="O9" s="152">
        <v>42.085000000000001</v>
      </c>
      <c r="P9" s="152">
        <v>38.356000000000002</v>
      </c>
      <c r="Q9" s="152">
        <v>36.173999999999999</v>
      </c>
      <c r="R9" s="152">
        <v>35.002000000000002</v>
      </c>
      <c r="S9" s="152">
        <v>33.106999999999999</v>
      </c>
      <c r="T9" s="152">
        <v>32.104999999999997</v>
      </c>
      <c r="U9" s="152">
        <v>32.795999999999999</v>
      </c>
      <c r="V9" s="152">
        <v>31.808</v>
      </c>
      <c r="W9" s="152">
        <v>36.078000000000003</v>
      </c>
      <c r="X9" s="152">
        <v>35.192</v>
      </c>
      <c r="Y9" s="152">
        <v>34.22</v>
      </c>
      <c r="Z9" s="188">
        <v>32.683999999999997</v>
      </c>
      <c r="AA9" s="174">
        <f t="shared" si="3"/>
        <v>-4.4886031560490949</v>
      </c>
      <c r="AB9" s="17" t="s">
        <v>22</v>
      </c>
      <c r="AC9" s="371"/>
      <c r="AD9" s="1"/>
    </row>
    <row r="10" spans="1:33" ht="12.75" customHeight="1" x14ac:dyDescent="0.2">
      <c r="A10" s="15"/>
      <c r="B10" s="89" t="s">
        <v>5</v>
      </c>
      <c r="C10" s="154">
        <v>5.2</v>
      </c>
      <c r="D10" s="155">
        <v>5.4</v>
      </c>
      <c r="E10" s="155">
        <v>5.6</v>
      </c>
      <c r="F10" s="155">
        <v>5.8</v>
      </c>
      <c r="G10" s="155">
        <v>6</v>
      </c>
      <c r="H10" s="155">
        <v>6.4039999999999999</v>
      </c>
      <c r="I10" s="155">
        <v>8.0470000000000006</v>
      </c>
      <c r="J10" s="155">
        <v>8.8040000000000003</v>
      </c>
      <c r="K10" s="155">
        <v>9.4969999999999999</v>
      </c>
      <c r="L10" s="155">
        <v>11.961</v>
      </c>
      <c r="M10" s="155">
        <v>14.371</v>
      </c>
      <c r="N10" s="155">
        <v>13.765000000000001</v>
      </c>
      <c r="O10" s="155">
        <v>14.624000000000001</v>
      </c>
      <c r="P10" s="155">
        <v>15.321999999999999</v>
      </c>
      <c r="Q10" s="155">
        <v>17.742000000000001</v>
      </c>
      <c r="R10" s="155">
        <v>19.433</v>
      </c>
      <c r="S10" s="155">
        <v>21.213999999999999</v>
      </c>
      <c r="T10" s="155">
        <v>24.372</v>
      </c>
      <c r="U10" s="155">
        <v>27.097000000000001</v>
      </c>
      <c r="V10" s="155">
        <v>27.853999999999999</v>
      </c>
      <c r="W10" s="155">
        <v>32.296999999999997</v>
      </c>
      <c r="X10" s="155">
        <v>35.408999999999999</v>
      </c>
      <c r="Y10" s="155">
        <v>35.15</v>
      </c>
      <c r="Z10" s="156">
        <v>26.95</v>
      </c>
      <c r="AA10" s="376">
        <f t="shared" si="3"/>
        <v>-23.328591749644374</v>
      </c>
      <c r="AB10" s="89" t="s">
        <v>5</v>
      </c>
      <c r="AC10" s="219"/>
      <c r="AD10" s="1"/>
    </row>
    <row r="11" spans="1:33" ht="12.75" customHeight="1" x14ac:dyDescent="0.2">
      <c r="A11" s="15"/>
      <c r="B11" s="17" t="s">
        <v>7</v>
      </c>
      <c r="C11" s="157">
        <v>31.3</v>
      </c>
      <c r="D11" s="158">
        <v>30.1</v>
      </c>
      <c r="E11" s="158">
        <v>30.64</v>
      </c>
      <c r="F11" s="158">
        <v>33.911000000000001</v>
      </c>
      <c r="G11" s="158">
        <v>36.963999999999999</v>
      </c>
      <c r="H11" s="158">
        <v>37.31</v>
      </c>
      <c r="I11" s="158">
        <v>39.067</v>
      </c>
      <c r="J11" s="158">
        <v>43.673999999999999</v>
      </c>
      <c r="K11" s="158">
        <v>46.534999999999997</v>
      </c>
      <c r="L11" s="158">
        <v>46.011000000000003</v>
      </c>
      <c r="M11" s="158">
        <v>43.447000000000003</v>
      </c>
      <c r="N11" s="158">
        <v>50.375999999999998</v>
      </c>
      <c r="O11" s="158">
        <v>48.140999999999998</v>
      </c>
      <c r="P11" s="158">
        <v>50.877000000000002</v>
      </c>
      <c r="Q11" s="158">
        <v>44.954999999999998</v>
      </c>
      <c r="R11" s="158">
        <v>51.832000000000001</v>
      </c>
      <c r="S11" s="158">
        <v>54.83</v>
      </c>
      <c r="T11" s="158">
        <v>51.228000000000002</v>
      </c>
      <c r="U11" s="158">
        <v>54.893000000000001</v>
      </c>
      <c r="V11" s="158">
        <v>54.091999999999999</v>
      </c>
      <c r="W11" s="158">
        <v>58.715000000000003</v>
      </c>
      <c r="X11" s="158">
        <v>50.314999999999998</v>
      </c>
      <c r="Y11" s="158">
        <v>44.274000000000001</v>
      </c>
      <c r="Z11" s="178">
        <v>41.073</v>
      </c>
      <c r="AA11" s="179">
        <f t="shared" si="3"/>
        <v>-7.229976961647921</v>
      </c>
      <c r="AB11" s="17" t="s">
        <v>7</v>
      </c>
      <c r="AC11" s="219"/>
      <c r="AD11" s="1"/>
    </row>
    <row r="12" spans="1:33" ht="12.75" customHeight="1" x14ac:dyDescent="0.2">
      <c r="A12" s="15"/>
      <c r="B12" s="89" t="s">
        <v>18</v>
      </c>
      <c r="C12" s="154">
        <v>22.4</v>
      </c>
      <c r="D12" s="155">
        <v>21.3</v>
      </c>
      <c r="E12" s="155">
        <v>21.5</v>
      </c>
      <c r="F12" s="155">
        <v>21.4</v>
      </c>
      <c r="G12" s="155">
        <v>23.236000000000001</v>
      </c>
      <c r="H12" s="155">
        <v>24.021000000000001</v>
      </c>
      <c r="I12" s="155">
        <v>22.155999999999999</v>
      </c>
      <c r="J12" s="155">
        <v>22.515999999999998</v>
      </c>
      <c r="K12" s="155">
        <v>23.009</v>
      </c>
      <c r="L12" s="155">
        <v>23.114000000000001</v>
      </c>
      <c r="M12" s="155">
        <v>23.298999999999999</v>
      </c>
      <c r="N12" s="155">
        <v>21.254000000000001</v>
      </c>
      <c r="O12" s="155">
        <v>20.96</v>
      </c>
      <c r="P12" s="155">
        <v>19.48</v>
      </c>
      <c r="Q12" s="155">
        <v>16.876000000000001</v>
      </c>
      <c r="R12" s="155">
        <v>15.018000000000001</v>
      </c>
      <c r="S12" s="155">
        <v>16.12</v>
      </c>
      <c r="T12" s="155">
        <v>16.678999999999998</v>
      </c>
      <c r="U12" s="155">
        <v>16.071999999999999</v>
      </c>
      <c r="V12" s="155">
        <v>16.184000000000001</v>
      </c>
      <c r="W12" s="155">
        <v>15.5</v>
      </c>
      <c r="X12" s="155">
        <v>16.094000000000001</v>
      </c>
      <c r="Y12" s="155">
        <v>15.502000000000001</v>
      </c>
      <c r="Z12" s="156">
        <v>14.997999999999999</v>
      </c>
      <c r="AA12" s="376">
        <f t="shared" si="3"/>
        <v>-3.2511933944007296</v>
      </c>
      <c r="AB12" s="89" t="s">
        <v>18</v>
      </c>
      <c r="AC12" s="219"/>
      <c r="AD12" s="1"/>
      <c r="AG12" s="1"/>
    </row>
    <row r="13" spans="1:33" ht="12.75" customHeight="1" x14ac:dyDescent="0.2">
      <c r="A13" s="15"/>
      <c r="B13" s="17" t="s">
        <v>23</v>
      </c>
      <c r="C13" s="157">
        <v>237.8</v>
      </c>
      <c r="D13" s="158">
        <v>236.6</v>
      </c>
      <c r="E13" s="158">
        <v>245.9</v>
      </c>
      <c r="F13" s="158">
        <v>257.39999999999998</v>
      </c>
      <c r="G13" s="158">
        <v>278.42700000000002</v>
      </c>
      <c r="H13" s="158">
        <v>280.70800000000003</v>
      </c>
      <c r="I13" s="158">
        <v>288.964</v>
      </c>
      <c r="J13" s="158">
        <v>285.214</v>
      </c>
      <c r="K13" s="158">
        <v>290.745</v>
      </c>
      <c r="L13" s="158">
        <v>303.75200000000001</v>
      </c>
      <c r="M13" s="158">
        <v>310.10300000000001</v>
      </c>
      <c r="N13" s="158">
        <v>330.01600000000002</v>
      </c>
      <c r="O13" s="158">
        <v>343.447</v>
      </c>
      <c r="P13" s="158">
        <v>341.53199999999998</v>
      </c>
      <c r="Q13" s="158">
        <v>307.54700000000003</v>
      </c>
      <c r="R13" s="158">
        <v>313.10399999999998</v>
      </c>
      <c r="S13" s="158">
        <v>323.83300000000003</v>
      </c>
      <c r="T13" s="158">
        <v>307.00900000000001</v>
      </c>
      <c r="U13" s="158">
        <v>305.74400000000003</v>
      </c>
      <c r="V13" s="158">
        <v>310.142</v>
      </c>
      <c r="W13" s="158">
        <v>314.81599999999997</v>
      </c>
      <c r="X13" s="158">
        <v>315.774</v>
      </c>
      <c r="Y13" s="158">
        <v>313.149</v>
      </c>
      <c r="Z13" s="178">
        <v>316.77199999999999</v>
      </c>
      <c r="AA13" s="179">
        <f t="shared" si="3"/>
        <v>1.1569572312221936</v>
      </c>
      <c r="AB13" s="17" t="s">
        <v>23</v>
      </c>
      <c r="AC13" s="219"/>
      <c r="AD13" s="1"/>
    </row>
    <row r="14" spans="1:33" ht="12.75" customHeight="1" x14ac:dyDescent="0.2">
      <c r="A14" s="15"/>
      <c r="B14" s="89" t="s">
        <v>8</v>
      </c>
      <c r="C14" s="159">
        <v>1.5489999999999999</v>
      </c>
      <c r="D14" s="160">
        <v>1.897</v>
      </c>
      <c r="E14" s="160">
        <v>2.7730000000000001</v>
      </c>
      <c r="F14" s="160">
        <v>3.7909999999999999</v>
      </c>
      <c r="G14" s="160">
        <v>3.9750000000000001</v>
      </c>
      <c r="H14" s="160">
        <v>3.9319999999999999</v>
      </c>
      <c r="I14" s="155">
        <v>4.6769999999999996</v>
      </c>
      <c r="J14" s="161">
        <v>4.3869999999999996</v>
      </c>
      <c r="K14" s="155">
        <v>3.9740000000000002</v>
      </c>
      <c r="L14" s="160">
        <v>5.0990000000000002</v>
      </c>
      <c r="M14" s="160">
        <v>5.8239999999999998</v>
      </c>
      <c r="N14" s="160">
        <v>5.548</v>
      </c>
      <c r="O14" s="160">
        <v>6.4169999999999998</v>
      </c>
      <c r="P14" s="160">
        <v>7.3540000000000001</v>
      </c>
      <c r="Q14" s="160">
        <v>5.34</v>
      </c>
      <c r="R14" s="160">
        <v>5.6139999999999999</v>
      </c>
      <c r="S14" s="160">
        <v>5.9119999999999999</v>
      </c>
      <c r="T14" s="160">
        <v>5.7910000000000004</v>
      </c>
      <c r="U14" s="160">
        <v>5.9859999999999998</v>
      </c>
      <c r="V14" s="160">
        <v>6.31</v>
      </c>
      <c r="W14" s="160">
        <v>6.2629999999999999</v>
      </c>
      <c r="X14" s="160">
        <v>6.7160000000000002</v>
      </c>
      <c r="Y14" s="160">
        <v>6.1890000000000001</v>
      </c>
      <c r="Z14" s="187">
        <v>5.7750000000000004</v>
      </c>
      <c r="AA14" s="376">
        <f t="shared" si="3"/>
        <v>-6.6892874454677553</v>
      </c>
      <c r="AB14" s="89" t="s">
        <v>8</v>
      </c>
      <c r="AC14" s="219"/>
      <c r="AD14" s="1"/>
    </row>
    <row r="15" spans="1:33" ht="12.75" customHeight="1" x14ac:dyDescent="0.2">
      <c r="A15" s="15"/>
      <c r="B15" s="17" t="s">
        <v>26</v>
      </c>
      <c r="C15" s="151">
        <v>5.5</v>
      </c>
      <c r="D15" s="152">
        <v>6.3</v>
      </c>
      <c r="E15" s="152">
        <v>7</v>
      </c>
      <c r="F15" s="152">
        <v>8.1999999999999993</v>
      </c>
      <c r="G15" s="152">
        <v>10.206</v>
      </c>
      <c r="H15" s="152">
        <v>12.275</v>
      </c>
      <c r="I15" s="152">
        <v>12.324999999999999</v>
      </c>
      <c r="J15" s="152">
        <v>14.275</v>
      </c>
      <c r="K15" s="152">
        <v>15.65</v>
      </c>
      <c r="L15" s="152">
        <v>17.143999999999998</v>
      </c>
      <c r="M15" s="152">
        <v>17.91</v>
      </c>
      <c r="N15" s="152">
        <v>17.454000000000001</v>
      </c>
      <c r="O15" s="152">
        <v>19.02</v>
      </c>
      <c r="P15" s="152">
        <v>17.402000000000001</v>
      </c>
      <c r="Q15" s="152">
        <v>11.686999999999999</v>
      </c>
      <c r="R15" s="152">
        <v>10.939</v>
      </c>
      <c r="S15" s="152">
        <v>10.108000000000001</v>
      </c>
      <c r="T15" s="152">
        <v>9.9760000000000009</v>
      </c>
      <c r="U15" s="152">
        <v>9.2149999999999999</v>
      </c>
      <c r="V15" s="152">
        <v>9.7509999999999994</v>
      </c>
      <c r="W15" s="152">
        <v>9.9</v>
      </c>
      <c r="X15" s="152">
        <v>11.616</v>
      </c>
      <c r="Y15" s="152">
        <v>11.836</v>
      </c>
      <c r="Z15" s="188">
        <v>11.6</v>
      </c>
      <c r="AA15" s="179">
        <f t="shared" si="3"/>
        <v>-1.9939168638053388</v>
      </c>
      <c r="AB15" s="17" t="s">
        <v>26</v>
      </c>
      <c r="AC15" s="219"/>
      <c r="AD15" s="1"/>
    </row>
    <row r="16" spans="1:33" ht="12.75" customHeight="1" x14ac:dyDescent="0.2">
      <c r="A16" s="15"/>
      <c r="B16" s="89" t="s">
        <v>19</v>
      </c>
      <c r="C16" s="162">
        <v>24</v>
      </c>
      <c r="D16" s="163">
        <v>25.05</v>
      </c>
      <c r="E16" s="163">
        <v>26.12</v>
      </c>
      <c r="F16" s="163">
        <v>27.2</v>
      </c>
      <c r="G16" s="163">
        <v>28.1</v>
      </c>
      <c r="H16" s="163">
        <v>29</v>
      </c>
      <c r="I16" s="163">
        <v>30</v>
      </c>
      <c r="J16" s="163">
        <v>31</v>
      </c>
      <c r="K16" s="203">
        <v>19.34</v>
      </c>
      <c r="L16" s="160">
        <v>36.773000000000003</v>
      </c>
      <c r="M16" s="160">
        <v>23.760999999999999</v>
      </c>
      <c r="N16" s="160">
        <v>34.002000000000002</v>
      </c>
      <c r="O16" s="155">
        <v>27.791</v>
      </c>
      <c r="P16" s="155">
        <v>28.85</v>
      </c>
      <c r="Q16" s="155">
        <v>28.585000000000001</v>
      </c>
      <c r="R16" s="155">
        <v>29.815000000000001</v>
      </c>
      <c r="S16" s="155">
        <v>20.597000000000001</v>
      </c>
      <c r="T16" s="155">
        <v>20.838999999999999</v>
      </c>
      <c r="U16" s="155">
        <v>16.582999999999998</v>
      </c>
      <c r="V16" s="155">
        <v>19.222999999999999</v>
      </c>
      <c r="W16" s="155">
        <v>19.763999999999999</v>
      </c>
      <c r="X16" s="203">
        <v>24.56</v>
      </c>
      <c r="Y16" s="155">
        <v>28.376999999999999</v>
      </c>
      <c r="Z16" s="156">
        <v>29.279</v>
      </c>
      <c r="AA16" s="376">
        <f t="shared" si="3"/>
        <v>3.1786305811044144</v>
      </c>
      <c r="AB16" s="89" t="s">
        <v>19</v>
      </c>
      <c r="AC16" s="219"/>
      <c r="AD16" s="1"/>
    </row>
    <row r="17" spans="1:30" ht="12.75" customHeight="1" x14ac:dyDescent="0.2">
      <c r="A17" s="15"/>
      <c r="B17" s="17" t="s">
        <v>24</v>
      </c>
      <c r="C17" s="164">
        <v>101.6</v>
      </c>
      <c r="D17" s="165">
        <v>102</v>
      </c>
      <c r="E17" s="165">
        <v>109.5</v>
      </c>
      <c r="F17" s="165">
        <v>125</v>
      </c>
      <c r="G17" s="165">
        <v>134.262</v>
      </c>
      <c r="H17" s="165">
        <v>148.71700000000001</v>
      </c>
      <c r="I17" s="165">
        <v>161.04499999999999</v>
      </c>
      <c r="J17" s="165">
        <v>184.54900000000001</v>
      </c>
      <c r="K17" s="165">
        <v>192.596</v>
      </c>
      <c r="L17" s="165">
        <v>220.822</v>
      </c>
      <c r="M17" s="165">
        <v>233.23</v>
      </c>
      <c r="N17" s="165">
        <v>241.78800000000001</v>
      </c>
      <c r="O17" s="165">
        <v>258.875</v>
      </c>
      <c r="P17" s="165">
        <v>242.983</v>
      </c>
      <c r="Q17" s="165">
        <v>211.89500000000001</v>
      </c>
      <c r="R17" s="165">
        <v>210.06800000000001</v>
      </c>
      <c r="S17" s="165">
        <v>206.84299999999999</v>
      </c>
      <c r="T17" s="165">
        <v>199.209</v>
      </c>
      <c r="U17" s="165">
        <v>192.59700000000001</v>
      </c>
      <c r="V17" s="165">
        <v>195.767</v>
      </c>
      <c r="W17" s="165">
        <v>209.39</v>
      </c>
      <c r="X17" s="165">
        <v>216.99700000000001</v>
      </c>
      <c r="Y17" s="165">
        <v>231.10900000000001</v>
      </c>
      <c r="Z17" s="166">
        <v>238.994</v>
      </c>
      <c r="AA17" s="179">
        <f t="shared" si="3"/>
        <v>3.411810011726061</v>
      </c>
      <c r="AB17" s="17" t="s">
        <v>24</v>
      </c>
      <c r="AC17" s="219"/>
      <c r="AD17" s="1"/>
    </row>
    <row r="18" spans="1:30" ht="12.75" customHeight="1" x14ac:dyDescent="0.2">
      <c r="A18" s="15"/>
      <c r="B18" s="89" t="s">
        <v>25</v>
      </c>
      <c r="C18" s="159">
        <v>178.2</v>
      </c>
      <c r="D18" s="160">
        <v>180</v>
      </c>
      <c r="E18" s="160">
        <v>181.4</v>
      </c>
      <c r="F18" s="160">
        <v>189.1</v>
      </c>
      <c r="G18" s="160">
        <v>204.71299999999999</v>
      </c>
      <c r="H18" s="160">
        <v>203.999</v>
      </c>
      <c r="I18" s="160">
        <v>206.87</v>
      </c>
      <c r="J18" s="160">
        <v>204.35900000000001</v>
      </c>
      <c r="K18" s="160">
        <v>203.608</v>
      </c>
      <c r="L18" s="160">
        <v>212.20099999999999</v>
      </c>
      <c r="M18" s="160">
        <v>205.28399999999999</v>
      </c>
      <c r="N18" s="160">
        <v>211.44499999999999</v>
      </c>
      <c r="O18" s="160">
        <v>219.21199999999999</v>
      </c>
      <c r="P18" s="160">
        <v>206.304</v>
      </c>
      <c r="Q18" s="160">
        <v>173.62100000000001</v>
      </c>
      <c r="R18" s="160">
        <v>182.19300000000001</v>
      </c>
      <c r="S18" s="160">
        <v>185.685</v>
      </c>
      <c r="T18" s="160">
        <v>172.44499999999999</v>
      </c>
      <c r="U18" s="160">
        <v>171.47200000000001</v>
      </c>
      <c r="V18" s="160">
        <v>165.22499999999999</v>
      </c>
      <c r="W18" s="160">
        <v>153.58000000000001</v>
      </c>
      <c r="X18" s="160">
        <v>155.84299999999999</v>
      </c>
      <c r="Y18" s="160">
        <v>167.691</v>
      </c>
      <c r="Z18" s="187">
        <v>173.34700000000001</v>
      </c>
      <c r="AA18" s="376">
        <f t="shared" si="3"/>
        <v>3.3728703388971439</v>
      </c>
      <c r="AB18" s="89" t="s">
        <v>25</v>
      </c>
      <c r="AC18" s="219"/>
      <c r="AD18" s="1"/>
    </row>
    <row r="19" spans="1:30" ht="12.75" customHeight="1" x14ac:dyDescent="0.2">
      <c r="A19" s="15"/>
      <c r="B19" s="17" t="s">
        <v>36</v>
      </c>
      <c r="C19" s="118"/>
      <c r="D19" s="58"/>
      <c r="E19" s="58"/>
      <c r="F19" s="145"/>
      <c r="G19" s="58">
        <v>2.4239999999999999</v>
      </c>
      <c r="H19" s="58">
        <v>2.8559999999999999</v>
      </c>
      <c r="I19" s="58">
        <v>6.7829999999999995</v>
      </c>
      <c r="J19" s="58">
        <v>7.4130000000000003</v>
      </c>
      <c r="K19" s="58">
        <v>8.2409999999999997</v>
      </c>
      <c r="L19" s="58">
        <v>8.8189999999999991</v>
      </c>
      <c r="M19" s="58">
        <v>9.3279999999999994</v>
      </c>
      <c r="N19" s="58">
        <v>10.175000000000001</v>
      </c>
      <c r="O19" s="58">
        <v>10.502000000000001</v>
      </c>
      <c r="P19" s="58">
        <v>11.042</v>
      </c>
      <c r="Q19" s="58">
        <v>9.4260000000000002</v>
      </c>
      <c r="R19" s="58">
        <v>8.7799999999999994</v>
      </c>
      <c r="S19" s="58">
        <v>8.9260000000000002</v>
      </c>
      <c r="T19" s="58">
        <v>8.6489999999999991</v>
      </c>
      <c r="U19" s="58">
        <v>9.1329999999999991</v>
      </c>
      <c r="V19" s="58">
        <v>9.3810000000000002</v>
      </c>
      <c r="W19" s="58">
        <v>10.439</v>
      </c>
      <c r="X19" s="58">
        <v>11.337</v>
      </c>
      <c r="Y19" s="58">
        <v>11.834</v>
      </c>
      <c r="Z19" s="167">
        <v>12.635</v>
      </c>
      <c r="AA19" s="179">
        <f t="shared" si="3"/>
        <v>6.7686327530843187</v>
      </c>
      <c r="AB19" s="17" t="s">
        <v>36</v>
      </c>
      <c r="AC19" s="219"/>
      <c r="AD19" s="1"/>
    </row>
    <row r="20" spans="1:30" ht="12.75" customHeight="1" x14ac:dyDescent="0.2">
      <c r="A20" s="15"/>
      <c r="B20" s="89" t="s">
        <v>27</v>
      </c>
      <c r="C20" s="162">
        <v>174.43100000000001</v>
      </c>
      <c r="D20" s="163">
        <v>175.45</v>
      </c>
      <c r="E20" s="163">
        <v>178.35300000000001</v>
      </c>
      <c r="F20" s="163">
        <v>180.482</v>
      </c>
      <c r="G20" s="163">
        <v>177.291</v>
      </c>
      <c r="H20" s="163">
        <v>184.67699999999999</v>
      </c>
      <c r="I20" s="163">
        <v>186.51300000000001</v>
      </c>
      <c r="J20" s="155">
        <v>192.68100000000001</v>
      </c>
      <c r="K20" s="155">
        <v>174.08799999999999</v>
      </c>
      <c r="L20" s="155">
        <v>196.98</v>
      </c>
      <c r="M20" s="155">
        <v>211.804</v>
      </c>
      <c r="N20" s="155">
        <v>187.065</v>
      </c>
      <c r="O20" s="155">
        <v>179.411</v>
      </c>
      <c r="P20" s="155">
        <v>180.46100000000001</v>
      </c>
      <c r="Q20" s="155">
        <v>167.62700000000001</v>
      </c>
      <c r="R20" s="155">
        <v>175.77500000000001</v>
      </c>
      <c r="S20" s="155">
        <v>142.84299999999999</v>
      </c>
      <c r="T20" s="155">
        <v>124.015</v>
      </c>
      <c r="U20" s="155">
        <v>127.241</v>
      </c>
      <c r="V20" s="155">
        <v>117.813</v>
      </c>
      <c r="W20" s="155">
        <v>116.82</v>
      </c>
      <c r="X20" s="155">
        <v>112.637</v>
      </c>
      <c r="Y20" s="155">
        <v>119.687</v>
      </c>
      <c r="Z20" s="156">
        <v>124.91500000000001</v>
      </c>
      <c r="AA20" s="376">
        <f t="shared" si="3"/>
        <v>4.368060023227244</v>
      </c>
      <c r="AB20" s="89" t="s">
        <v>27</v>
      </c>
      <c r="AC20" s="219"/>
      <c r="AD20" s="1"/>
    </row>
    <row r="21" spans="1:30" ht="12.75" customHeight="1" x14ac:dyDescent="0.2">
      <c r="A21" s="15"/>
      <c r="B21" s="17" t="s">
        <v>6</v>
      </c>
      <c r="C21" s="118">
        <v>1.2</v>
      </c>
      <c r="D21" s="58">
        <v>1.23</v>
      </c>
      <c r="E21" s="58">
        <v>1.25</v>
      </c>
      <c r="F21" s="58">
        <v>1.29</v>
      </c>
      <c r="G21" s="58">
        <v>1.3</v>
      </c>
      <c r="H21" s="58">
        <v>1.31</v>
      </c>
      <c r="I21" s="58">
        <v>1.32</v>
      </c>
      <c r="J21" s="58">
        <v>1.3220000000000001</v>
      </c>
      <c r="K21" s="58">
        <v>1.401</v>
      </c>
      <c r="L21" s="58">
        <v>1.119</v>
      </c>
      <c r="M21" s="58">
        <v>1.393</v>
      </c>
      <c r="N21" s="58">
        <v>1.165</v>
      </c>
      <c r="O21" s="58">
        <v>1.202</v>
      </c>
      <c r="P21" s="58">
        <v>1.3080000000000001</v>
      </c>
      <c r="Q21" s="58">
        <v>0.96299999999999997</v>
      </c>
      <c r="R21" s="58">
        <v>1.087</v>
      </c>
      <c r="S21" s="58">
        <v>0.94099999999999995</v>
      </c>
      <c r="T21" s="58">
        <v>0.89600000000000002</v>
      </c>
      <c r="U21" s="58">
        <v>0.63400000000000001</v>
      </c>
      <c r="V21" s="58">
        <v>0.53800000000000003</v>
      </c>
      <c r="W21" s="58">
        <v>0.56299999999999994</v>
      </c>
      <c r="X21" s="58">
        <v>0.70299999999999996</v>
      </c>
      <c r="Y21" s="58">
        <v>0.82599999999999996</v>
      </c>
      <c r="Z21" s="167">
        <v>0.89200000000000002</v>
      </c>
      <c r="AA21" s="179">
        <f t="shared" si="3"/>
        <v>7.9903147699758108</v>
      </c>
      <c r="AB21" s="17" t="s">
        <v>6</v>
      </c>
      <c r="AC21" s="219"/>
      <c r="AD21" s="1"/>
    </row>
    <row r="22" spans="1:30" ht="12.75" customHeight="1" x14ac:dyDescent="0.2">
      <c r="A22" s="15"/>
      <c r="B22" s="89" t="s">
        <v>10</v>
      </c>
      <c r="C22" s="154">
        <v>1.83</v>
      </c>
      <c r="D22" s="155">
        <v>2.2080000000000002</v>
      </c>
      <c r="E22" s="155">
        <v>3.3519999999999999</v>
      </c>
      <c r="F22" s="155">
        <v>4.1079999999999997</v>
      </c>
      <c r="G22" s="155">
        <v>4.1609999999999996</v>
      </c>
      <c r="H22" s="155">
        <v>4.7889999999999997</v>
      </c>
      <c r="I22" s="155">
        <v>5.36</v>
      </c>
      <c r="J22" s="155">
        <v>6.2</v>
      </c>
      <c r="K22" s="155">
        <v>6.8079999999999998</v>
      </c>
      <c r="L22" s="155">
        <v>7.3810000000000002</v>
      </c>
      <c r="M22" s="155">
        <v>8.3940000000000001</v>
      </c>
      <c r="N22" s="155">
        <v>10.753</v>
      </c>
      <c r="O22" s="155">
        <v>13.204000000000001</v>
      </c>
      <c r="P22" s="155">
        <v>12.343999999999999</v>
      </c>
      <c r="Q22" s="155">
        <v>8.1150000000000002</v>
      </c>
      <c r="R22" s="155">
        <v>10.59</v>
      </c>
      <c r="S22" s="155">
        <v>12.131</v>
      </c>
      <c r="T22" s="155">
        <v>12.178000000000001</v>
      </c>
      <c r="U22" s="155">
        <v>12.816000000000001</v>
      </c>
      <c r="V22" s="155">
        <v>13.67</v>
      </c>
      <c r="W22" s="155">
        <v>14.69</v>
      </c>
      <c r="X22" s="155">
        <v>14.227</v>
      </c>
      <c r="Y22" s="155">
        <v>14.972</v>
      </c>
      <c r="Z22" s="156">
        <v>14.997</v>
      </c>
      <c r="AA22" s="376">
        <f t="shared" si="3"/>
        <v>0.16697835960459884</v>
      </c>
      <c r="AB22" s="89" t="s">
        <v>10</v>
      </c>
      <c r="AC22" s="219"/>
      <c r="AD22" s="1"/>
    </row>
    <row r="23" spans="1:30" ht="12.75" customHeight="1" x14ac:dyDescent="0.2">
      <c r="A23" s="15"/>
      <c r="B23" s="17" t="s">
        <v>11</v>
      </c>
      <c r="C23" s="118">
        <v>5.2</v>
      </c>
      <c r="D23" s="58">
        <v>4.1909999999999998</v>
      </c>
      <c r="E23" s="58">
        <v>5.1459999999999999</v>
      </c>
      <c r="F23" s="58">
        <v>5.6109999999999998</v>
      </c>
      <c r="G23" s="58">
        <v>7.74</v>
      </c>
      <c r="H23" s="58">
        <v>7.7690000000000001</v>
      </c>
      <c r="I23" s="58">
        <v>8.2739999999999991</v>
      </c>
      <c r="J23" s="58">
        <v>10.709</v>
      </c>
      <c r="K23" s="58">
        <v>11.462</v>
      </c>
      <c r="L23" s="58">
        <v>12.279</v>
      </c>
      <c r="M23" s="58">
        <v>15.907999999999999</v>
      </c>
      <c r="N23" s="58">
        <v>18.134</v>
      </c>
      <c r="O23" s="58">
        <v>20.277999999999999</v>
      </c>
      <c r="P23" s="58">
        <v>20.419</v>
      </c>
      <c r="Q23" s="58">
        <v>17.757000000000001</v>
      </c>
      <c r="R23" s="58">
        <v>19.398</v>
      </c>
      <c r="S23" s="58">
        <v>21.512</v>
      </c>
      <c r="T23" s="58">
        <v>23.449000000000002</v>
      </c>
      <c r="U23" s="58">
        <v>26.338000000000001</v>
      </c>
      <c r="V23" s="58">
        <v>28.067</v>
      </c>
      <c r="W23" s="58">
        <v>26.484999999999999</v>
      </c>
      <c r="X23" s="58">
        <v>30.974</v>
      </c>
      <c r="Y23" s="58">
        <v>39.098999999999997</v>
      </c>
      <c r="Z23" s="167">
        <v>43.59</v>
      </c>
      <c r="AA23" s="179">
        <f t="shared" si="3"/>
        <v>11.486227269239649</v>
      </c>
      <c r="AB23" s="17" t="s">
        <v>11</v>
      </c>
      <c r="AC23" s="219"/>
      <c r="AD23" s="1"/>
    </row>
    <row r="24" spans="1:30" ht="12.75" customHeight="1" x14ac:dyDescent="0.2">
      <c r="A24" s="15"/>
      <c r="B24" s="89" t="s">
        <v>28</v>
      </c>
      <c r="C24" s="154">
        <v>5.5</v>
      </c>
      <c r="D24" s="155">
        <v>3.5</v>
      </c>
      <c r="E24" s="155">
        <v>4.4000000000000004</v>
      </c>
      <c r="F24" s="155">
        <v>5</v>
      </c>
      <c r="G24" s="155">
        <v>6.3129999999999997</v>
      </c>
      <c r="H24" s="155">
        <v>7.609</v>
      </c>
      <c r="I24" s="155">
        <v>8.6999999999999993</v>
      </c>
      <c r="J24" s="155">
        <v>9.1790000000000003</v>
      </c>
      <c r="K24" s="155">
        <v>9.6449999999999996</v>
      </c>
      <c r="L24" s="155">
        <v>9.5749999999999993</v>
      </c>
      <c r="M24" s="155">
        <v>8.8030000000000008</v>
      </c>
      <c r="N24" s="155">
        <v>8.8070000000000004</v>
      </c>
      <c r="O24" s="155">
        <v>9.5619999999999994</v>
      </c>
      <c r="P24" s="155">
        <v>8.9649999999999999</v>
      </c>
      <c r="Q24" s="155">
        <v>8.4</v>
      </c>
      <c r="R24" s="155">
        <v>8.6940000000000008</v>
      </c>
      <c r="S24" s="155">
        <v>8.8350000000000009</v>
      </c>
      <c r="T24" s="155">
        <v>7.95</v>
      </c>
      <c r="U24" s="155">
        <v>8.6059999999999999</v>
      </c>
      <c r="V24" s="155">
        <v>9.5990000000000002</v>
      </c>
      <c r="W24" s="155">
        <v>7.8490000000000002</v>
      </c>
      <c r="X24" s="155">
        <v>8.2970000000000006</v>
      </c>
      <c r="Y24" s="155">
        <v>8.0920000000000005</v>
      </c>
      <c r="Z24" s="156">
        <v>6.8</v>
      </c>
      <c r="AA24" s="376">
        <f t="shared" si="3"/>
        <v>-15.966386554621863</v>
      </c>
      <c r="AB24" s="89" t="s">
        <v>28</v>
      </c>
      <c r="AC24" s="219"/>
      <c r="AD24" s="1"/>
    </row>
    <row r="25" spans="1:30" ht="12.75" customHeight="1" x14ac:dyDescent="0.2">
      <c r="A25" s="15"/>
      <c r="B25" s="17" t="s">
        <v>9</v>
      </c>
      <c r="C25" s="157">
        <v>13.8</v>
      </c>
      <c r="D25" s="158">
        <v>14.3</v>
      </c>
      <c r="E25" s="158">
        <v>14.9</v>
      </c>
      <c r="F25" s="158">
        <v>18.673999999999999</v>
      </c>
      <c r="G25" s="158">
        <v>18.599</v>
      </c>
      <c r="H25" s="158">
        <v>19.123999999999999</v>
      </c>
      <c r="I25" s="158">
        <v>18.486000000000001</v>
      </c>
      <c r="J25" s="158">
        <v>17.913</v>
      </c>
      <c r="K25" s="158">
        <v>18.207999999999998</v>
      </c>
      <c r="L25" s="158">
        <v>20.608000000000001</v>
      </c>
      <c r="M25" s="158">
        <v>25.152000000000001</v>
      </c>
      <c r="N25" s="158">
        <v>30.478999999999999</v>
      </c>
      <c r="O25" s="158">
        <v>35.805</v>
      </c>
      <c r="P25" s="158">
        <v>35.759</v>
      </c>
      <c r="Q25" s="158">
        <v>35.372999999999998</v>
      </c>
      <c r="R25" s="158">
        <v>33.720999999999997</v>
      </c>
      <c r="S25" s="158">
        <v>34.529000000000003</v>
      </c>
      <c r="T25" s="158">
        <v>33.735999999999997</v>
      </c>
      <c r="U25" s="158">
        <v>35.817999999999998</v>
      </c>
      <c r="V25" s="158">
        <v>37.517000000000003</v>
      </c>
      <c r="W25" s="158">
        <v>38.353000000000002</v>
      </c>
      <c r="X25" s="158">
        <v>40.002000000000002</v>
      </c>
      <c r="Y25" s="158">
        <v>39.683999999999997</v>
      </c>
      <c r="Z25" s="178">
        <v>37.948</v>
      </c>
      <c r="AA25" s="179">
        <f t="shared" si="3"/>
        <v>-4.37455901622819</v>
      </c>
      <c r="AB25" s="17" t="s">
        <v>9</v>
      </c>
      <c r="AC25" s="219"/>
      <c r="AD25" s="1"/>
    </row>
    <row r="26" spans="1:30" ht="12.75" customHeight="1" x14ac:dyDescent="0.2">
      <c r="A26" s="15"/>
      <c r="B26" s="57" t="s">
        <v>12</v>
      </c>
      <c r="C26" s="162">
        <v>0.25</v>
      </c>
      <c r="D26" s="163">
        <v>0.25</v>
      </c>
      <c r="E26" s="163">
        <v>0.25</v>
      </c>
      <c r="F26" s="163">
        <v>0.25</v>
      </c>
      <c r="G26" s="163">
        <v>0.25</v>
      </c>
      <c r="H26" s="163">
        <v>0.25</v>
      </c>
      <c r="I26" s="163">
        <v>0.25</v>
      </c>
      <c r="J26" s="163">
        <v>0.25</v>
      </c>
      <c r="K26" s="163">
        <v>0.25</v>
      </c>
      <c r="L26" s="163">
        <v>0.25</v>
      </c>
      <c r="M26" s="163">
        <v>0.25</v>
      </c>
      <c r="N26" s="163">
        <v>0.25</v>
      </c>
      <c r="O26" s="163">
        <v>0.25</v>
      </c>
      <c r="P26" s="163">
        <v>0.25</v>
      </c>
      <c r="Q26" s="163">
        <v>0.25</v>
      </c>
      <c r="R26" s="163">
        <v>0.25</v>
      </c>
      <c r="S26" s="163">
        <v>0.25</v>
      </c>
      <c r="T26" s="163">
        <v>0.25</v>
      </c>
      <c r="U26" s="163">
        <v>0.25</v>
      </c>
      <c r="V26" s="163">
        <v>0.25</v>
      </c>
      <c r="W26" s="163">
        <v>0.25</v>
      </c>
      <c r="X26" s="163">
        <v>0.25</v>
      </c>
      <c r="Y26" s="163">
        <v>0.25</v>
      </c>
      <c r="Z26" s="183">
        <v>0.25</v>
      </c>
      <c r="AA26" s="376">
        <f t="shared" si="3"/>
        <v>0</v>
      </c>
      <c r="AB26" s="57" t="s">
        <v>12</v>
      </c>
      <c r="AC26" s="219"/>
      <c r="AD26" s="1"/>
    </row>
    <row r="27" spans="1:30" ht="12.75" customHeight="1" x14ac:dyDescent="0.2">
      <c r="A27" s="15"/>
      <c r="B27" s="17" t="s">
        <v>20</v>
      </c>
      <c r="C27" s="118">
        <v>67.099999999999994</v>
      </c>
      <c r="D27" s="58">
        <v>69.400000000000006</v>
      </c>
      <c r="E27" s="58">
        <v>70.599999999999994</v>
      </c>
      <c r="F27" s="58">
        <v>78.5</v>
      </c>
      <c r="G27" s="58">
        <v>83.563999999999993</v>
      </c>
      <c r="H27" s="58">
        <v>79.564999999999998</v>
      </c>
      <c r="I27" s="58">
        <v>78.492000000000004</v>
      </c>
      <c r="J27" s="58">
        <v>77.418000000000006</v>
      </c>
      <c r="K27" s="58">
        <v>79.765000000000001</v>
      </c>
      <c r="L27" s="58">
        <v>89.694999999999993</v>
      </c>
      <c r="M27" s="58">
        <v>84.162999999999997</v>
      </c>
      <c r="N27" s="58">
        <v>83.192999999999998</v>
      </c>
      <c r="O27" s="58">
        <v>77.921000000000006</v>
      </c>
      <c r="P27" s="58">
        <v>78.159000000000006</v>
      </c>
      <c r="Q27" s="58">
        <v>72.674999999999997</v>
      </c>
      <c r="R27" s="58">
        <v>76.835999999999999</v>
      </c>
      <c r="S27" s="58">
        <v>75.543000000000006</v>
      </c>
      <c r="T27" s="58">
        <v>70.084999999999994</v>
      </c>
      <c r="U27" s="58">
        <v>72.081000000000003</v>
      </c>
      <c r="V27" s="58">
        <v>72.337999999999994</v>
      </c>
      <c r="W27" s="58">
        <v>68.900000000000006</v>
      </c>
      <c r="X27" s="58">
        <v>67.963999999999999</v>
      </c>
      <c r="Y27" s="58">
        <v>67.533000000000001</v>
      </c>
      <c r="Z27" s="167">
        <v>68.876000000000005</v>
      </c>
      <c r="AA27" s="179">
        <f t="shared" si="3"/>
        <v>1.9886573971243706</v>
      </c>
      <c r="AB27" s="17" t="s">
        <v>20</v>
      </c>
      <c r="AC27" s="219"/>
    </row>
    <row r="28" spans="1:30" ht="12.75" customHeight="1" x14ac:dyDescent="0.2">
      <c r="A28" s="15"/>
      <c r="B28" s="89" t="s">
        <v>29</v>
      </c>
      <c r="C28" s="154">
        <v>26.5</v>
      </c>
      <c r="D28" s="155">
        <v>27.8</v>
      </c>
      <c r="E28" s="155">
        <v>28.6</v>
      </c>
      <c r="F28" s="155">
        <v>30.3</v>
      </c>
      <c r="G28" s="160">
        <v>33.981999999999999</v>
      </c>
      <c r="H28" s="160">
        <v>35.122</v>
      </c>
      <c r="I28" s="160">
        <v>37.531999999999996</v>
      </c>
      <c r="J28" s="160">
        <v>38.497999999999998</v>
      </c>
      <c r="K28" s="160">
        <v>39.557000000000002</v>
      </c>
      <c r="L28" s="160">
        <v>39.186</v>
      </c>
      <c r="M28" s="160">
        <v>37.043999999999997</v>
      </c>
      <c r="N28" s="160">
        <v>39.186999999999998</v>
      </c>
      <c r="O28" s="160">
        <v>37.402000000000001</v>
      </c>
      <c r="P28" s="160">
        <v>34.313000000000002</v>
      </c>
      <c r="Q28" s="160">
        <v>29.074999999999999</v>
      </c>
      <c r="R28" s="160">
        <v>28.658999999999999</v>
      </c>
      <c r="S28" s="160">
        <v>28.542000000000002</v>
      </c>
      <c r="T28" s="160">
        <v>26.088999999999999</v>
      </c>
      <c r="U28" s="160">
        <v>24.213000000000001</v>
      </c>
      <c r="V28" s="160">
        <v>25.26</v>
      </c>
      <c r="W28" s="160">
        <v>25.457999999999998</v>
      </c>
      <c r="X28" s="160">
        <v>26.138000000000002</v>
      </c>
      <c r="Y28" s="160">
        <v>25.978000000000002</v>
      </c>
      <c r="Z28" s="187">
        <v>25.763000000000002</v>
      </c>
      <c r="AA28" s="376">
        <f t="shared" si="3"/>
        <v>-0.82762337362383676</v>
      </c>
      <c r="AB28" s="89" t="s">
        <v>29</v>
      </c>
      <c r="AC28" s="219"/>
    </row>
    <row r="29" spans="1:30" ht="12.75" customHeight="1" x14ac:dyDescent="0.2">
      <c r="A29" s="15"/>
      <c r="B29" s="17" t="s">
        <v>13</v>
      </c>
      <c r="C29" s="149">
        <v>51.2</v>
      </c>
      <c r="D29" s="145">
        <v>56.513000000000005</v>
      </c>
      <c r="E29" s="145">
        <v>63.683999999999997</v>
      </c>
      <c r="F29" s="145">
        <v>69.542000000000002</v>
      </c>
      <c r="G29" s="145">
        <v>70.451999999999998</v>
      </c>
      <c r="H29" s="145">
        <v>75.022999999999996</v>
      </c>
      <c r="I29" s="145">
        <v>77.227999999999994</v>
      </c>
      <c r="J29" s="145">
        <v>80.317999999999998</v>
      </c>
      <c r="K29" s="145">
        <v>85.989000000000004</v>
      </c>
      <c r="L29" s="58">
        <v>102.807</v>
      </c>
      <c r="M29" s="58">
        <v>111.82599999999999</v>
      </c>
      <c r="N29" s="58">
        <v>128.315</v>
      </c>
      <c r="O29" s="58">
        <v>150.87899999999999</v>
      </c>
      <c r="P29" s="58">
        <v>164.93</v>
      </c>
      <c r="Q29" s="58">
        <v>180.74199999999999</v>
      </c>
      <c r="R29" s="58">
        <v>202.30799999999999</v>
      </c>
      <c r="S29" s="58">
        <v>207.65100000000001</v>
      </c>
      <c r="T29" s="58">
        <v>222.33199999999999</v>
      </c>
      <c r="U29" s="58">
        <v>247.59399999999999</v>
      </c>
      <c r="V29" s="58">
        <v>250.93100000000001</v>
      </c>
      <c r="W29" s="58">
        <v>260.71300000000002</v>
      </c>
      <c r="X29" s="58">
        <v>290.74900000000002</v>
      </c>
      <c r="Y29" s="58">
        <v>335.22</v>
      </c>
      <c r="Z29" s="167">
        <v>315.87400000000002</v>
      </c>
      <c r="AA29" s="179">
        <f t="shared" si="3"/>
        <v>-5.7711353737843893</v>
      </c>
      <c r="AB29" s="17" t="s">
        <v>13</v>
      </c>
      <c r="AC29" s="219"/>
    </row>
    <row r="30" spans="1:30" ht="12.75" customHeight="1" x14ac:dyDescent="0.2">
      <c r="A30" s="15"/>
      <c r="B30" s="89" t="s">
        <v>30</v>
      </c>
      <c r="C30" s="154">
        <v>32</v>
      </c>
      <c r="D30" s="155">
        <v>33.64</v>
      </c>
      <c r="E30" s="155">
        <v>35.96</v>
      </c>
      <c r="F30" s="155">
        <v>36.68</v>
      </c>
      <c r="G30" s="203">
        <v>26.087</v>
      </c>
      <c r="H30" s="155">
        <v>26.835999999999999</v>
      </c>
      <c r="I30" s="155">
        <v>29.966999999999999</v>
      </c>
      <c r="J30" s="155">
        <v>29.724</v>
      </c>
      <c r="K30" s="155">
        <v>27.425000000000001</v>
      </c>
      <c r="L30" s="203">
        <v>40.819000000000003</v>
      </c>
      <c r="M30" s="155">
        <v>42.606999999999999</v>
      </c>
      <c r="N30" s="155">
        <v>44.835000000000001</v>
      </c>
      <c r="O30" s="155">
        <v>46.203000000000003</v>
      </c>
      <c r="P30" s="155">
        <v>39.091000000000001</v>
      </c>
      <c r="Q30" s="155">
        <v>35.808</v>
      </c>
      <c r="R30" s="155">
        <v>35.368000000000002</v>
      </c>
      <c r="S30" s="155">
        <v>36.453000000000003</v>
      </c>
      <c r="T30" s="155">
        <v>32.935000000000002</v>
      </c>
      <c r="U30" s="155">
        <v>36.555</v>
      </c>
      <c r="V30" s="155">
        <v>34.863</v>
      </c>
      <c r="W30" s="155">
        <v>31.835000000000001</v>
      </c>
      <c r="X30" s="155">
        <v>34.877000000000002</v>
      </c>
      <c r="Y30" s="155">
        <v>34.186</v>
      </c>
      <c r="Z30" s="156">
        <v>32.963000000000001</v>
      </c>
      <c r="AA30" s="376">
        <f t="shared" si="3"/>
        <v>-3.5774878605276967</v>
      </c>
      <c r="AB30" s="89" t="s">
        <v>30</v>
      </c>
      <c r="AC30" s="219"/>
    </row>
    <row r="31" spans="1:30" ht="12.75" customHeight="1" x14ac:dyDescent="0.2">
      <c r="A31" s="15"/>
      <c r="B31" s="17" t="s">
        <v>14</v>
      </c>
      <c r="C31" s="164">
        <v>19.7</v>
      </c>
      <c r="D31" s="165">
        <v>19.8</v>
      </c>
      <c r="E31" s="165">
        <v>21.8</v>
      </c>
      <c r="F31" s="165">
        <v>15.785</v>
      </c>
      <c r="G31" s="165">
        <v>13.456</v>
      </c>
      <c r="H31" s="171">
        <v>14.288</v>
      </c>
      <c r="I31" s="165">
        <v>18.544</v>
      </c>
      <c r="J31" s="165">
        <v>25.35</v>
      </c>
      <c r="K31" s="165">
        <v>30.853000000000002</v>
      </c>
      <c r="L31" s="165">
        <v>37.22</v>
      </c>
      <c r="M31" s="165">
        <v>51.531999999999996</v>
      </c>
      <c r="N31" s="165">
        <v>57.287999999999997</v>
      </c>
      <c r="O31" s="165">
        <v>59.524000000000001</v>
      </c>
      <c r="P31" s="165">
        <v>56.386000000000003</v>
      </c>
      <c r="Q31" s="165">
        <v>34.268999999999998</v>
      </c>
      <c r="R31" s="165">
        <v>25.888999999999999</v>
      </c>
      <c r="S31" s="165">
        <v>26.349</v>
      </c>
      <c r="T31" s="165">
        <v>29.661999999999999</v>
      </c>
      <c r="U31" s="165">
        <v>34.026000000000003</v>
      </c>
      <c r="V31" s="165">
        <v>35.136000000000003</v>
      </c>
      <c r="W31" s="165">
        <v>39.023000000000003</v>
      </c>
      <c r="X31" s="165">
        <v>48.176000000000002</v>
      </c>
      <c r="Y31" s="165">
        <v>54.704000000000001</v>
      </c>
      <c r="Z31" s="166">
        <v>58.762</v>
      </c>
      <c r="AA31" s="179">
        <f t="shared" si="3"/>
        <v>7.4181047089792287</v>
      </c>
      <c r="AB31" s="17" t="s">
        <v>14</v>
      </c>
      <c r="AC31" s="219"/>
    </row>
    <row r="32" spans="1:30" ht="12.75" customHeight="1" x14ac:dyDescent="0.2">
      <c r="A32" s="15"/>
      <c r="B32" s="89" t="s">
        <v>16</v>
      </c>
      <c r="C32" s="154">
        <v>3.3</v>
      </c>
      <c r="D32" s="155">
        <v>3.5</v>
      </c>
      <c r="E32" s="155">
        <v>3.9</v>
      </c>
      <c r="F32" s="155">
        <v>3.8</v>
      </c>
      <c r="G32" s="155">
        <v>4.2</v>
      </c>
      <c r="H32" s="155">
        <v>5.3</v>
      </c>
      <c r="I32" s="155">
        <v>7.0350000000000001</v>
      </c>
      <c r="J32" s="155">
        <v>6.609</v>
      </c>
      <c r="K32" s="155">
        <v>7.04</v>
      </c>
      <c r="L32" s="155">
        <v>9.0069999999999997</v>
      </c>
      <c r="M32" s="155">
        <v>11.032</v>
      </c>
      <c r="N32" s="155">
        <v>12.112</v>
      </c>
      <c r="O32" s="155">
        <v>13.734</v>
      </c>
      <c r="P32" s="155">
        <v>16.260999999999999</v>
      </c>
      <c r="Q32" s="155">
        <v>14.762</v>
      </c>
      <c r="R32" s="155">
        <v>15.930999999999999</v>
      </c>
      <c r="S32" s="155">
        <v>16.439</v>
      </c>
      <c r="T32" s="155">
        <v>15.888</v>
      </c>
      <c r="U32" s="155">
        <v>15.904999999999999</v>
      </c>
      <c r="V32" s="155">
        <v>16.273</v>
      </c>
      <c r="W32" s="155">
        <v>17.908999999999999</v>
      </c>
      <c r="X32" s="155">
        <v>18.707000000000001</v>
      </c>
      <c r="Y32" s="155">
        <v>20.814</v>
      </c>
      <c r="Z32" s="156">
        <v>22.225000000000001</v>
      </c>
      <c r="AA32" s="376">
        <f t="shared" si="3"/>
        <v>6.7790909964447081</v>
      </c>
      <c r="AB32" s="89" t="s">
        <v>16</v>
      </c>
      <c r="AC32" s="219"/>
    </row>
    <row r="33" spans="1:29" ht="12.75" customHeight="1" x14ac:dyDescent="0.2">
      <c r="A33" s="15"/>
      <c r="B33" s="17" t="s">
        <v>15</v>
      </c>
      <c r="C33" s="164">
        <v>15.9</v>
      </c>
      <c r="D33" s="165">
        <v>15.85</v>
      </c>
      <c r="E33" s="165">
        <v>15.35</v>
      </c>
      <c r="F33" s="165">
        <v>17.88</v>
      </c>
      <c r="G33" s="165">
        <v>18.52</v>
      </c>
      <c r="H33" s="165">
        <v>14.34</v>
      </c>
      <c r="I33" s="165">
        <v>13.8</v>
      </c>
      <c r="J33" s="165">
        <v>14.93</v>
      </c>
      <c r="K33" s="165">
        <v>16.748000000000001</v>
      </c>
      <c r="L33" s="165">
        <v>18.527000000000001</v>
      </c>
      <c r="M33" s="165">
        <v>22.565999999999999</v>
      </c>
      <c r="N33" s="165">
        <v>22.212</v>
      </c>
      <c r="O33" s="165">
        <v>27.158999999999999</v>
      </c>
      <c r="P33" s="165">
        <v>29.276</v>
      </c>
      <c r="Q33" s="165">
        <v>27.704999999999998</v>
      </c>
      <c r="R33" s="165">
        <v>27.574999999999999</v>
      </c>
      <c r="S33" s="165">
        <v>29.178999999999998</v>
      </c>
      <c r="T33" s="165">
        <v>29.693000000000001</v>
      </c>
      <c r="U33" s="165">
        <v>30.146999999999998</v>
      </c>
      <c r="V33" s="165">
        <v>31.358000000000001</v>
      </c>
      <c r="W33" s="165">
        <v>33.54</v>
      </c>
      <c r="X33" s="165">
        <v>36.139000000000003</v>
      </c>
      <c r="Y33" s="165">
        <v>35.411000000000001</v>
      </c>
      <c r="Z33" s="166">
        <v>35.585999999999999</v>
      </c>
      <c r="AA33" s="179">
        <f t="shared" si="3"/>
        <v>0.49419671853378588</v>
      </c>
      <c r="AB33" s="17" t="s">
        <v>15</v>
      </c>
      <c r="AC33" s="219"/>
    </row>
    <row r="34" spans="1:29" ht="12.75" customHeight="1" x14ac:dyDescent="0.2">
      <c r="A34" s="15"/>
      <c r="B34" s="89" t="s">
        <v>31</v>
      </c>
      <c r="C34" s="154">
        <v>24.5</v>
      </c>
      <c r="D34" s="155">
        <v>25</v>
      </c>
      <c r="E34" s="155">
        <v>25.7</v>
      </c>
      <c r="F34" s="155">
        <v>28.1</v>
      </c>
      <c r="G34" s="155">
        <v>29.655999999999999</v>
      </c>
      <c r="H34" s="155">
        <v>31.975000000000001</v>
      </c>
      <c r="I34" s="155">
        <v>30.478000000000002</v>
      </c>
      <c r="J34" s="155">
        <v>31.966999999999999</v>
      </c>
      <c r="K34" s="155">
        <v>30.925999999999998</v>
      </c>
      <c r="L34" s="155">
        <v>32.29</v>
      </c>
      <c r="M34" s="155">
        <v>31.856999999999999</v>
      </c>
      <c r="N34" s="155">
        <v>29.715</v>
      </c>
      <c r="O34" s="155">
        <v>29.818999999999999</v>
      </c>
      <c r="P34" s="155">
        <v>31.036000000000001</v>
      </c>
      <c r="Q34" s="155">
        <v>27.805</v>
      </c>
      <c r="R34" s="155">
        <v>29.532</v>
      </c>
      <c r="S34" s="155">
        <v>26.863</v>
      </c>
      <c r="T34" s="155">
        <v>25.46</v>
      </c>
      <c r="U34" s="155">
        <v>24.428999999999998</v>
      </c>
      <c r="V34" s="155">
        <v>23.401</v>
      </c>
      <c r="W34" s="155">
        <v>24.488</v>
      </c>
      <c r="X34" s="155">
        <v>26.846</v>
      </c>
      <c r="Y34" s="155">
        <v>27.966000000000001</v>
      </c>
      <c r="Z34" s="156">
        <v>28.344999999999999</v>
      </c>
      <c r="AA34" s="376">
        <f t="shared" si="3"/>
        <v>1.3552170492741027</v>
      </c>
      <c r="AB34" s="89" t="s">
        <v>31</v>
      </c>
      <c r="AC34" s="219"/>
    </row>
    <row r="35" spans="1:29" ht="12.75" customHeight="1" x14ac:dyDescent="0.2">
      <c r="A35" s="15"/>
      <c r="B35" s="18" t="s">
        <v>32</v>
      </c>
      <c r="C35" s="420">
        <v>31.6</v>
      </c>
      <c r="D35" s="172">
        <v>33.299999999999997</v>
      </c>
      <c r="E35" s="172">
        <v>35.1</v>
      </c>
      <c r="F35" s="172">
        <v>33.299999999999997</v>
      </c>
      <c r="G35" s="172">
        <v>33.200000000000003</v>
      </c>
      <c r="H35" s="172">
        <v>35.621000000000002</v>
      </c>
      <c r="I35" s="172">
        <v>34.158000000000001</v>
      </c>
      <c r="J35" s="172">
        <v>36.652000000000001</v>
      </c>
      <c r="K35" s="172">
        <v>36.637999999999998</v>
      </c>
      <c r="L35" s="172">
        <v>36.948999999999998</v>
      </c>
      <c r="M35" s="172">
        <v>38.575000000000003</v>
      </c>
      <c r="N35" s="172">
        <v>39.917999999999999</v>
      </c>
      <c r="O35" s="172">
        <v>40.54</v>
      </c>
      <c r="P35" s="172">
        <v>42.37</v>
      </c>
      <c r="Q35" s="172">
        <v>35.046999999999997</v>
      </c>
      <c r="R35" s="172">
        <v>36.268000000000001</v>
      </c>
      <c r="S35" s="172">
        <v>36.932000000000002</v>
      </c>
      <c r="T35" s="172">
        <v>33.481000000000002</v>
      </c>
      <c r="U35" s="172">
        <v>33.529000000000003</v>
      </c>
      <c r="V35" s="454">
        <v>41.963999999999999</v>
      </c>
      <c r="W35" s="172">
        <v>41.502000000000002</v>
      </c>
      <c r="X35" s="172">
        <v>42.673000000000002</v>
      </c>
      <c r="Y35" s="172">
        <v>41.850999999999999</v>
      </c>
      <c r="Z35" s="455">
        <v>43.478000000000002</v>
      </c>
      <c r="AA35" s="386">
        <f t="shared" si="3"/>
        <v>3.8876012520608896</v>
      </c>
      <c r="AB35" s="18" t="s">
        <v>32</v>
      </c>
      <c r="AC35" s="219"/>
    </row>
    <row r="36" spans="1:29" ht="12.75" customHeight="1" x14ac:dyDescent="0.2">
      <c r="A36" s="15"/>
      <c r="B36" s="90" t="s">
        <v>21</v>
      </c>
      <c r="C36" s="168">
        <v>161.5</v>
      </c>
      <c r="D36" s="169">
        <v>166.2</v>
      </c>
      <c r="E36" s="169">
        <v>169.2</v>
      </c>
      <c r="F36" s="169">
        <v>172</v>
      </c>
      <c r="G36" s="169">
        <v>166.26</v>
      </c>
      <c r="H36" s="169">
        <v>165.62100000000001</v>
      </c>
      <c r="I36" s="169">
        <v>163.26400000000001</v>
      </c>
      <c r="J36" s="169">
        <v>164.035</v>
      </c>
      <c r="K36" s="169">
        <v>167.143</v>
      </c>
      <c r="L36" s="169">
        <v>162.654</v>
      </c>
      <c r="M36" s="169">
        <v>161.285</v>
      </c>
      <c r="N36" s="169">
        <v>165.47900000000001</v>
      </c>
      <c r="O36" s="169">
        <v>170.99100000000001</v>
      </c>
      <c r="P36" s="169">
        <v>160.29599999999999</v>
      </c>
      <c r="Q36" s="169">
        <v>139.536</v>
      </c>
      <c r="R36" s="169">
        <v>146.685</v>
      </c>
      <c r="S36" s="186">
        <v>148.733</v>
      </c>
      <c r="T36" s="186">
        <v>150.94900000000001</v>
      </c>
      <c r="U36" s="186">
        <v>139.703</v>
      </c>
      <c r="V36" s="186">
        <v>135.393</v>
      </c>
      <c r="W36" s="186">
        <v>150.101</v>
      </c>
      <c r="X36" s="186">
        <v>155.042</v>
      </c>
      <c r="Y36" s="186">
        <v>153.93899999999999</v>
      </c>
      <c r="Z36" s="181">
        <v>159.137</v>
      </c>
      <c r="AA36" s="378">
        <f t="shared" si="3"/>
        <v>3.3766621843717388</v>
      </c>
      <c r="AB36" s="90" t="s">
        <v>21</v>
      </c>
      <c r="AC36" s="219"/>
    </row>
    <row r="37" spans="1:29" ht="12.75" customHeight="1" x14ac:dyDescent="0.2">
      <c r="A37" s="15"/>
      <c r="B37" s="17" t="s">
        <v>96</v>
      </c>
      <c r="C37" s="118"/>
      <c r="D37" s="58"/>
      <c r="E37" s="58"/>
      <c r="F37" s="58"/>
      <c r="G37" s="58"/>
      <c r="H37" s="58"/>
      <c r="I37" s="58">
        <v>7.8E-2</v>
      </c>
      <c r="J37" s="58">
        <v>7.0999999999999994E-2</v>
      </c>
      <c r="K37" s="58">
        <v>7.0999999999999994E-2</v>
      </c>
      <c r="L37" s="58">
        <v>6.5000000000000002E-2</v>
      </c>
      <c r="M37" s="58">
        <v>6.0999999999999999E-2</v>
      </c>
      <c r="N37" s="58">
        <v>7.2999999999999995E-2</v>
      </c>
      <c r="O37" s="58">
        <v>9.1999999999999998E-2</v>
      </c>
      <c r="P37" s="58">
        <v>0.13700000000000001</v>
      </c>
      <c r="Q37" s="58">
        <v>0.17899999999999999</v>
      </c>
      <c r="R37" s="58">
        <v>0.16700000000000001</v>
      </c>
      <c r="S37" s="58">
        <v>0.10199999999999999</v>
      </c>
      <c r="T37" s="58">
        <v>7.5999999999999998E-2</v>
      </c>
      <c r="U37" s="58">
        <v>6.7000000000000004E-2</v>
      </c>
      <c r="V37" s="58">
        <v>0.122</v>
      </c>
      <c r="W37" s="521">
        <v>0.13971700000000001</v>
      </c>
      <c r="X37" s="521">
        <v>0.12058199999999999</v>
      </c>
      <c r="Y37" s="521">
        <v>0.1</v>
      </c>
      <c r="Z37" s="522">
        <v>7.8E-2</v>
      </c>
      <c r="AA37" s="179">
        <f t="shared" si="3"/>
        <v>-22.000000000000014</v>
      </c>
      <c r="AB37" s="17" t="s">
        <v>96</v>
      </c>
      <c r="AC37" s="379"/>
    </row>
    <row r="38" spans="1:29" ht="12.75" customHeight="1" x14ac:dyDescent="0.2">
      <c r="A38" s="15"/>
      <c r="B38" s="197" t="s">
        <v>2</v>
      </c>
      <c r="C38" s="209" t="s">
        <v>34</v>
      </c>
      <c r="D38" s="199" t="s">
        <v>34</v>
      </c>
      <c r="E38" s="199" t="s">
        <v>34</v>
      </c>
      <c r="F38" s="199" t="s">
        <v>34</v>
      </c>
      <c r="G38" s="199"/>
      <c r="H38" s="199"/>
      <c r="I38" s="199">
        <v>3.1309999999999998</v>
      </c>
      <c r="J38" s="199">
        <v>4</v>
      </c>
      <c r="K38" s="199">
        <v>5.4509999999999996</v>
      </c>
      <c r="L38" s="199">
        <v>5.3410000000000002</v>
      </c>
      <c r="M38" s="199">
        <v>5.577</v>
      </c>
      <c r="N38" s="199">
        <v>8.2989999999999995</v>
      </c>
      <c r="O38" s="199">
        <v>5.9379999999999997</v>
      </c>
      <c r="P38" s="199">
        <v>3.9780000000000002</v>
      </c>
      <c r="Q38" s="199">
        <v>4.0350000000000001</v>
      </c>
      <c r="R38" s="199">
        <v>4.2350000000000003</v>
      </c>
      <c r="S38" s="199">
        <v>5.3810000000000002</v>
      </c>
      <c r="T38" s="199">
        <v>5.8019999999999996</v>
      </c>
      <c r="U38" s="199">
        <v>5.1449999999999996</v>
      </c>
      <c r="V38" s="523">
        <v>10.621</v>
      </c>
      <c r="W38" s="199">
        <v>10.19</v>
      </c>
      <c r="X38" s="199">
        <v>10.589</v>
      </c>
      <c r="Y38" s="199">
        <v>10.851000000000001</v>
      </c>
      <c r="Z38" s="210">
        <v>10.637</v>
      </c>
      <c r="AA38" s="518">
        <f t="shared" si="3"/>
        <v>-1.9721684637360681</v>
      </c>
      <c r="AB38" s="197" t="s">
        <v>2</v>
      </c>
      <c r="AC38" s="379"/>
    </row>
    <row r="39" spans="1:29" ht="12.75" customHeight="1" x14ac:dyDescent="0.2">
      <c r="A39" s="15"/>
      <c r="B39" s="17" t="s">
        <v>100</v>
      </c>
      <c r="C39" s="157">
        <v>2.077</v>
      </c>
      <c r="D39" s="158">
        <v>2.2480000000000002</v>
      </c>
      <c r="E39" s="158">
        <v>1.34</v>
      </c>
      <c r="F39" s="158">
        <v>1.83</v>
      </c>
      <c r="G39" s="158">
        <v>2.0110000000000001</v>
      </c>
      <c r="H39" s="158">
        <v>2.1640000000000001</v>
      </c>
      <c r="I39" s="158">
        <v>2.2309999999999999</v>
      </c>
      <c r="J39" s="158">
        <v>2.3519999999999999</v>
      </c>
      <c r="K39" s="158">
        <v>2.5299999999999998</v>
      </c>
      <c r="L39" s="158">
        <v>2.798</v>
      </c>
      <c r="M39" s="158">
        <v>3.21</v>
      </c>
      <c r="N39" s="158">
        <v>3.306</v>
      </c>
      <c r="O39" s="158">
        <v>3.5840000000000001</v>
      </c>
      <c r="P39" s="158">
        <v>4.0979999999999999</v>
      </c>
      <c r="Q39" s="158">
        <v>4.4450000000000003</v>
      </c>
      <c r="R39" s="158">
        <v>4.6260000000000003</v>
      </c>
      <c r="S39" s="158">
        <v>3.8050000000000002</v>
      </c>
      <c r="T39" s="158">
        <v>3.2229999999999999</v>
      </c>
      <c r="U39" s="158">
        <v>3.4969999999999999</v>
      </c>
      <c r="V39" s="145">
        <f>AVERAGE(S39:U39)</f>
        <v>3.5083333333333333</v>
      </c>
      <c r="W39" s="145">
        <f>AVERAGE(T39:V39)</f>
        <v>3.4094444444444445</v>
      </c>
      <c r="X39" s="145">
        <f>AVERAGE(U39:W39)</f>
        <v>3.4715925925925926</v>
      </c>
      <c r="Y39" s="145">
        <f>AVERAGE(V39:X39)</f>
        <v>3.4631234567901235</v>
      </c>
      <c r="Z39" s="107">
        <f>AVERAGE(V39:X39)</f>
        <v>3.4631234567901235</v>
      </c>
      <c r="AA39" s="179">
        <f>Z39/Y39*100-100</f>
        <v>0</v>
      </c>
      <c r="AB39" s="17" t="s">
        <v>100</v>
      </c>
      <c r="AC39" s="371"/>
    </row>
    <row r="40" spans="1:29" ht="12.75" customHeight="1" x14ac:dyDescent="0.2">
      <c r="A40" s="15"/>
      <c r="B40" s="197" t="s">
        <v>97</v>
      </c>
      <c r="C40" s="209"/>
      <c r="D40" s="199"/>
      <c r="E40" s="199">
        <v>0.96799999999999997</v>
      </c>
      <c r="F40" s="199">
        <v>0.875</v>
      </c>
      <c r="G40" s="199">
        <v>0.55200000000000005</v>
      </c>
      <c r="H40" s="199">
        <v>0.58199999999999996</v>
      </c>
      <c r="I40" s="199">
        <v>0.47499999999999998</v>
      </c>
      <c r="J40" s="199">
        <v>0.45900000000000002</v>
      </c>
      <c r="K40" s="199">
        <v>0.45200000000000001</v>
      </c>
      <c r="L40" s="199">
        <v>0.27700000000000002</v>
      </c>
      <c r="M40" s="199">
        <v>0.68</v>
      </c>
      <c r="N40" s="199">
        <v>0.79800000000000004</v>
      </c>
      <c r="O40" s="199">
        <v>1.161</v>
      </c>
      <c r="P40" s="199">
        <v>1.1120000000000001</v>
      </c>
      <c r="Q40" s="199">
        <v>1.1850000000000001</v>
      </c>
      <c r="R40" s="199">
        <v>1.6890000000000001</v>
      </c>
      <c r="S40" s="199">
        <v>1.907</v>
      </c>
      <c r="T40" s="199">
        <v>2.4740000000000002</v>
      </c>
      <c r="U40" s="199">
        <v>2.8239999999999998</v>
      </c>
      <c r="V40" s="199">
        <v>2.9590000000000001</v>
      </c>
      <c r="W40" s="199">
        <v>2.9729999999999999</v>
      </c>
      <c r="X40" s="199">
        <v>4.2990000000000004</v>
      </c>
      <c r="Y40" s="199">
        <v>4.9800000000000004</v>
      </c>
      <c r="Z40" s="231">
        <f>AVERAGE(W40:Y40)</f>
        <v>4.0840000000000005</v>
      </c>
      <c r="AA40" s="376">
        <f t="shared" si="3"/>
        <v>-17.99196787148594</v>
      </c>
      <c r="AB40" s="197" t="s">
        <v>97</v>
      </c>
      <c r="AC40" s="379"/>
    </row>
    <row r="41" spans="1:29" ht="12.75" customHeight="1" x14ac:dyDescent="0.2">
      <c r="A41" s="15"/>
      <c r="B41" s="18" t="s">
        <v>66</v>
      </c>
      <c r="C41" s="119">
        <v>112.5</v>
      </c>
      <c r="D41" s="59">
        <v>135.80000000000001</v>
      </c>
      <c r="E41" s="59">
        <v>139.80000000000001</v>
      </c>
      <c r="F41" s="59">
        <v>152.21</v>
      </c>
      <c r="G41" s="59">
        <v>150.97399999999999</v>
      </c>
      <c r="H41" s="59">
        <v>161.55199999999999</v>
      </c>
      <c r="I41" s="59">
        <v>151.42099999999999</v>
      </c>
      <c r="J41" s="59">
        <v>150.91200000000001</v>
      </c>
      <c r="K41" s="59">
        <v>152.16300000000001</v>
      </c>
      <c r="L41" s="59">
        <v>156.85300000000001</v>
      </c>
      <c r="M41" s="59">
        <v>166.83099999999999</v>
      </c>
      <c r="N41" s="59">
        <v>177.399</v>
      </c>
      <c r="O41" s="59">
        <v>181.33</v>
      </c>
      <c r="P41" s="59">
        <v>181.935</v>
      </c>
      <c r="Q41" s="59">
        <v>176.45500000000001</v>
      </c>
      <c r="R41" s="59">
        <v>190.36500000000001</v>
      </c>
      <c r="S41" s="59">
        <v>203.072</v>
      </c>
      <c r="T41" s="59">
        <f>road_by_nat!T41</f>
        <v>216.12299999999999</v>
      </c>
      <c r="U41" s="59">
        <v>224.048</v>
      </c>
      <c r="V41" s="59">
        <v>234.49199999999999</v>
      </c>
      <c r="W41" s="59">
        <v>244.32900000000001</v>
      </c>
      <c r="X41" s="59">
        <v>253.13900000000001</v>
      </c>
      <c r="Y41" s="59">
        <v>262.8</v>
      </c>
      <c r="Z41" s="170">
        <v>266.50200000000001</v>
      </c>
      <c r="AA41" s="386">
        <f t="shared" si="3"/>
        <v>1.4086757990867653</v>
      </c>
      <c r="AB41" s="18" t="s">
        <v>66</v>
      </c>
      <c r="AC41" s="379"/>
    </row>
    <row r="42" spans="1:29" ht="12.75" customHeight="1" x14ac:dyDescent="0.2">
      <c r="A42" s="15"/>
      <c r="B42" s="211" t="s">
        <v>101</v>
      </c>
      <c r="C42" s="212">
        <v>0.5</v>
      </c>
      <c r="D42" s="213">
        <v>0.5</v>
      </c>
      <c r="E42" s="213">
        <v>0.5</v>
      </c>
      <c r="F42" s="213">
        <v>0.5</v>
      </c>
      <c r="G42" s="213">
        <v>0.6</v>
      </c>
      <c r="H42" s="213">
        <v>0.6</v>
      </c>
      <c r="I42" s="214">
        <v>0.64200000000000002</v>
      </c>
      <c r="J42" s="214">
        <v>0.66</v>
      </c>
      <c r="K42" s="214">
        <v>0.67900000000000005</v>
      </c>
      <c r="L42" s="214">
        <v>0.69899999999999995</v>
      </c>
      <c r="M42" s="214">
        <v>0.74099999999999999</v>
      </c>
      <c r="N42" s="214">
        <v>0.78600000000000003</v>
      </c>
      <c r="O42" s="214">
        <v>0.82499999999999996</v>
      </c>
      <c r="P42" s="214">
        <v>0.80500000000000005</v>
      </c>
      <c r="Q42" s="214">
        <v>0.81299999999999994</v>
      </c>
      <c r="R42" s="214">
        <v>0.80600000000000005</v>
      </c>
      <c r="S42" s="215">
        <v>0.77700000000000002</v>
      </c>
      <c r="T42" s="215">
        <v>0.78600000000000003</v>
      </c>
      <c r="U42" s="215">
        <v>0.80800000000000005</v>
      </c>
      <c r="V42" s="215">
        <v>0.85</v>
      </c>
      <c r="W42" s="215">
        <f>0.911</f>
        <v>0.91100000000000003</v>
      </c>
      <c r="X42" s="217">
        <f>AVERAGE(U42:W42)</f>
        <v>0.85633333333333328</v>
      </c>
      <c r="Y42" s="217">
        <v>1</v>
      </c>
      <c r="Z42" s="218">
        <v>1.2741696545190446</v>
      </c>
      <c r="AA42" s="376">
        <f t="shared" si="3"/>
        <v>27.41696545190446</v>
      </c>
      <c r="AB42" s="197" t="s">
        <v>101</v>
      </c>
      <c r="AC42" s="379"/>
    </row>
    <row r="43" spans="1:29" ht="12.75" customHeight="1" x14ac:dyDescent="0.2">
      <c r="A43" s="15"/>
      <c r="B43" s="17" t="s">
        <v>33</v>
      </c>
      <c r="C43" s="118">
        <v>9.6999999999999993</v>
      </c>
      <c r="D43" s="58">
        <v>12.5</v>
      </c>
      <c r="E43" s="58">
        <v>14.1</v>
      </c>
      <c r="F43" s="58">
        <v>14.8</v>
      </c>
      <c r="G43" s="58">
        <v>14.916</v>
      </c>
      <c r="H43" s="58">
        <v>15.132</v>
      </c>
      <c r="I43" s="58">
        <v>15.179</v>
      </c>
      <c r="J43" s="58">
        <v>15.426</v>
      </c>
      <c r="K43" s="58">
        <v>16.59</v>
      </c>
      <c r="L43" s="58">
        <v>17.46</v>
      </c>
      <c r="M43" s="58">
        <v>18.247</v>
      </c>
      <c r="N43" s="58">
        <v>19.387</v>
      </c>
      <c r="O43" s="58">
        <v>19.375</v>
      </c>
      <c r="P43" s="58">
        <v>20.594999999999999</v>
      </c>
      <c r="Q43" s="58">
        <v>18.446999999999999</v>
      </c>
      <c r="R43" s="58">
        <v>19.751000000000001</v>
      </c>
      <c r="S43" s="58">
        <v>19.187999999999999</v>
      </c>
      <c r="T43" s="58">
        <v>20.170999999999999</v>
      </c>
      <c r="U43" s="58">
        <v>21.317</v>
      </c>
      <c r="V43" s="58">
        <v>21.594000000000001</v>
      </c>
      <c r="W43" s="58">
        <v>23.135999999999999</v>
      </c>
      <c r="X43" s="58">
        <v>20.931999999999999</v>
      </c>
      <c r="Y43" s="58">
        <v>21.385000000000002</v>
      </c>
      <c r="Z43" s="167">
        <v>21.338000000000001</v>
      </c>
      <c r="AA43" s="179">
        <f t="shared" si="3"/>
        <v>-0.219780219780219</v>
      </c>
      <c r="AB43" s="17" t="s">
        <v>33</v>
      </c>
      <c r="AC43" s="23"/>
    </row>
    <row r="44" spans="1:29" ht="12.75" customHeight="1" x14ac:dyDescent="0.2">
      <c r="A44" s="15"/>
      <c r="B44" s="220" t="s">
        <v>65</v>
      </c>
      <c r="C44" s="229">
        <v>9.1106999999999996</v>
      </c>
      <c r="D44" s="202">
        <v>8.9961000000000002</v>
      </c>
      <c r="E44" s="202">
        <v>9.1339000000000006</v>
      </c>
      <c r="F44" s="202">
        <v>9.5456000000000003</v>
      </c>
      <c r="G44" s="202">
        <v>9.5649999999999995</v>
      </c>
      <c r="H44" s="202">
        <v>9.7912999999999997</v>
      </c>
      <c r="I44" s="202">
        <v>9.5617999999999999</v>
      </c>
      <c r="J44" s="202">
        <v>9.8147000000000002</v>
      </c>
      <c r="K44" s="202">
        <v>9.8916000000000004</v>
      </c>
      <c r="L44" s="202">
        <v>10.126178484062402</v>
      </c>
      <c r="M44" s="202">
        <v>10.198044499594255</v>
      </c>
      <c r="N44" s="202">
        <v>10.43279130775176</v>
      </c>
      <c r="O44" s="200">
        <v>10.794153844901221</v>
      </c>
      <c r="P44" s="202">
        <v>13.911</v>
      </c>
      <c r="Q44" s="202">
        <v>13.173999999999999</v>
      </c>
      <c r="R44" s="202">
        <v>13.237</v>
      </c>
      <c r="S44" s="202">
        <v>13.567</v>
      </c>
      <c r="T44" s="202">
        <v>12.965999999999999</v>
      </c>
      <c r="U44" s="202">
        <v>12.817</v>
      </c>
      <c r="V44" s="202">
        <v>13.067</v>
      </c>
      <c r="W44" s="202">
        <v>12.441000000000001</v>
      </c>
      <c r="X44" s="202">
        <v>12.134</v>
      </c>
      <c r="Y44" s="202">
        <v>11.946999999999999</v>
      </c>
      <c r="Z44" s="222">
        <v>12.5</v>
      </c>
      <c r="AA44" s="376">
        <f t="shared" si="3"/>
        <v>4.628777098853277</v>
      </c>
      <c r="AB44" s="220" t="s">
        <v>65</v>
      </c>
      <c r="AC44" s="23"/>
    </row>
    <row r="45" spans="1:29" ht="12.75" customHeight="1" x14ac:dyDescent="0.2">
      <c r="A45" s="15"/>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383"/>
      <c r="AB45" s="241"/>
      <c r="AC45" s="23"/>
    </row>
    <row r="46" spans="1:29" ht="12.75" customHeight="1" x14ac:dyDescent="0.2">
      <c r="A46" s="15"/>
      <c r="B46" s="295" t="s">
        <v>156</v>
      </c>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384"/>
      <c r="AB46" s="258"/>
      <c r="AC46" s="23"/>
    </row>
    <row r="47" spans="1:29" ht="15.75" customHeight="1" x14ac:dyDescent="0.2">
      <c r="B47" s="133" t="s">
        <v>153</v>
      </c>
      <c r="AC47" s="258"/>
    </row>
    <row r="48" spans="1:29" ht="12.75" customHeight="1" x14ac:dyDescent="0.2">
      <c r="B48" s="3" t="s">
        <v>70</v>
      </c>
    </row>
    <row r="49" spans="2:28" ht="12.75" customHeight="1" x14ac:dyDescent="0.2">
      <c r="B49" s="93" t="s">
        <v>72</v>
      </c>
    </row>
    <row r="50" spans="2:28" x14ac:dyDescent="0.2">
      <c r="B50" s="176" t="s">
        <v>128</v>
      </c>
      <c r="C50" s="92"/>
      <c r="D50" s="92"/>
      <c r="E50" s="92"/>
      <c r="F50" s="92"/>
      <c r="G50" s="92"/>
      <c r="H50" s="92"/>
      <c r="I50" s="92"/>
      <c r="J50" s="92"/>
      <c r="K50" s="92"/>
      <c r="L50" s="92"/>
      <c r="M50" s="92"/>
    </row>
    <row r="51" spans="2:28" ht="12.75" customHeight="1" x14ac:dyDescent="0.2">
      <c r="B51" s="299" t="s">
        <v>129</v>
      </c>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385"/>
      <c r="AB51" s="137"/>
    </row>
  </sheetData>
  <mergeCells count="2">
    <mergeCell ref="B2:AC2"/>
    <mergeCell ref="B3:AC3"/>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T50"/>
  <sheetViews>
    <sheetView topLeftCell="A13" workbookViewId="0">
      <selection activeCell="R37" sqref="R37:R41"/>
    </sheetView>
  </sheetViews>
  <sheetFormatPr defaultRowHeight="12.75" x14ac:dyDescent="0.2"/>
  <cols>
    <col min="1" max="1" width="3.7109375" customWidth="1"/>
    <col min="2" max="2" width="4.5703125" customWidth="1"/>
    <col min="3" max="3" width="7.7109375" customWidth="1"/>
    <col min="4" max="16" width="8.28515625" customWidth="1"/>
    <col min="17" max="17" width="6" customWidth="1"/>
    <col min="18" max="18" width="6.28515625" customWidth="1"/>
    <col min="19" max="19" width="5.85546875" customWidth="1"/>
  </cols>
  <sheetData>
    <row r="1" spans="1:19" ht="14.25" customHeight="1" x14ac:dyDescent="0.2">
      <c r="B1" s="40"/>
      <c r="S1" s="20"/>
    </row>
    <row r="2" spans="1:19" s="81" customFormat="1" ht="15" customHeight="1" x14ac:dyDescent="0.2">
      <c r="B2" s="546" t="s">
        <v>111</v>
      </c>
      <c r="C2" s="565"/>
      <c r="D2" s="565"/>
      <c r="E2" s="565"/>
      <c r="F2" s="565"/>
      <c r="G2" s="565"/>
      <c r="H2" s="565"/>
      <c r="I2" s="565"/>
      <c r="J2" s="565"/>
      <c r="K2" s="565"/>
      <c r="L2" s="565"/>
      <c r="M2" s="565"/>
      <c r="N2" s="565"/>
      <c r="O2" s="565"/>
      <c r="P2" s="565"/>
      <c r="Q2" s="565"/>
      <c r="R2" s="565"/>
      <c r="S2" s="62"/>
    </row>
    <row r="3" spans="1:19" ht="15" customHeight="1" x14ac:dyDescent="0.2">
      <c r="B3" s="566" t="s">
        <v>144</v>
      </c>
      <c r="C3" s="567"/>
      <c r="D3" s="567"/>
      <c r="E3" s="567"/>
      <c r="F3" s="567"/>
      <c r="G3" s="567"/>
      <c r="H3" s="567"/>
      <c r="I3" s="567"/>
      <c r="J3" s="567"/>
      <c r="K3" s="567"/>
      <c r="L3" s="567"/>
      <c r="M3" s="567"/>
      <c r="N3" s="567"/>
      <c r="O3" s="567"/>
      <c r="P3" s="567"/>
      <c r="Q3" s="567"/>
      <c r="R3" s="567"/>
      <c r="S3" s="49"/>
    </row>
    <row r="4" spans="1:19" ht="12" customHeight="1" x14ac:dyDescent="0.2">
      <c r="B4" s="4"/>
      <c r="H4" s="21"/>
      <c r="I4" s="21"/>
      <c r="J4" s="21"/>
      <c r="K4" s="21"/>
      <c r="L4" s="21"/>
      <c r="M4" s="21"/>
      <c r="O4" s="182"/>
      <c r="P4" s="182" t="s">
        <v>95</v>
      </c>
      <c r="Q4" s="21"/>
      <c r="R4" s="6"/>
    </row>
    <row r="5" spans="1:19" ht="20.100000000000001" customHeight="1" x14ac:dyDescent="0.2">
      <c r="B5" s="4"/>
      <c r="C5" s="85">
        <v>2005</v>
      </c>
      <c r="D5" s="86">
        <v>2006</v>
      </c>
      <c r="E5" s="86">
        <v>2007</v>
      </c>
      <c r="F5" s="86">
        <v>2008</v>
      </c>
      <c r="G5" s="86">
        <v>2009</v>
      </c>
      <c r="H5" s="86">
        <v>2010</v>
      </c>
      <c r="I5" s="86">
        <v>2011</v>
      </c>
      <c r="J5" s="86">
        <v>2012</v>
      </c>
      <c r="K5" s="86">
        <v>2013</v>
      </c>
      <c r="L5" s="86">
        <v>2014</v>
      </c>
      <c r="M5" s="86">
        <v>2015</v>
      </c>
      <c r="N5" s="86">
        <v>2016</v>
      </c>
      <c r="O5" s="86">
        <v>2017</v>
      </c>
      <c r="P5" s="86">
        <v>2018</v>
      </c>
      <c r="Q5" s="100" t="s">
        <v>116</v>
      </c>
      <c r="R5" s="63"/>
      <c r="S5" s="63"/>
    </row>
    <row r="6" spans="1:19" ht="9.9499999999999993" customHeight="1" x14ac:dyDescent="0.2">
      <c r="B6" s="4"/>
      <c r="C6" s="87"/>
      <c r="D6" s="84"/>
      <c r="E6" s="84"/>
      <c r="F6" s="84"/>
      <c r="G6" s="84"/>
      <c r="H6" s="84"/>
      <c r="I6" s="84"/>
      <c r="J6" s="84"/>
      <c r="K6" s="84"/>
      <c r="L6" s="84"/>
      <c r="M6" s="84"/>
      <c r="N6" s="84"/>
      <c r="O6" s="84"/>
      <c r="P6" s="84"/>
      <c r="Q6" s="70" t="s">
        <v>63</v>
      </c>
      <c r="R6" s="65"/>
      <c r="S6" s="63"/>
    </row>
    <row r="7" spans="1:19" ht="12.75" customHeight="1" x14ac:dyDescent="0.2">
      <c r="B7" s="289" t="s">
        <v>115</v>
      </c>
      <c r="C7" s="300">
        <f>C8-C36</f>
        <v>1588.1540655743293</v>
      </c>
      <c r="D7" s="300">
        <f t="shared" ref="D7:P7" si="0">D8-D36</f>
        <v>1638.7945822386714</v>
      </c>
      <c r="E7" s="300">
        <f t="shared" si="0"/>
        <v>1697.6440389755346</v>
      </c>
      <c r="F7" s="300">
        <f t="shared" si="0"/>
        <v>1676.4616408826396</v>
      </c>
      <c r="G7" s="300">
        <f t="shared" si="0"/>
        <v>1515.3165860635595</v>
      </c>
      <c r="H7" s="300">
        <f t="shared" si="0"/>
        <v>1558.2925344262567</v>
      </c>
      <c r="I7" s="300">
        <f t="shared" si="0"/>
        <v>1541.6311993737638</v>
      </c>
      <c r="J7" s="300">
        <f t="shared" si="0"/>
        <v>1481.6904120467425</v>
      </c>
      <c r="K7" s="300">
        <f t="shared" si="0"/>
        <v>1518.4204925816148</v>
      </c>
      <c r="L7" s="300">
        <f t="shared" si="0"/>
        <v>1527.4375903839079</v>
      </c>
      <c r="M7" s="300">
        <f t="shared" si="0"/>
        <v>1560.8886870320523</v>
      </c>
      <c r="N7" s="300">
        <f t="shared" si="0"/>
        <v>1620.5798557363767</v>
      </c>
      <c r="O7" s="300">
        <f t="shared" si="0"/>
        <v>1707.3076916016871</v>
      </c>
      <c r="P7" s="511">
        <f t="shared" si="0"/>
        <v>1708.9087123274903</v>
      </c>
      <c r="Q7" s="292">
        <f>P7/O7*100-100</f>
        <v>9.3774586366521362E-2</v>
      </c>
      <c r="R7" s="289" t="s">
        <v>115</v>
      </c>
      <c r="S7" s="219"/>
    </row>
    <row r="8" spans="1:19" ht="12.75" customHeight="1" x14ac:dyDescent="0.2">
      <c r="A8" s="15"/>
      <c r="B8" s="289" t="s">
        <v>99</v>
      </c>
      <c r="C8" s="300">
        <f t="shared" ref="C8:P8" si="1">SUM(C9:C36)</f>
        <v>1755.4521895434887</v>
      </c>
      <c r="D8" s="300">
        <f t="shared" si="1"/>
        <v>1810.2923511235158</v>
      </c>
      <c r="E8" s="300">
        <f t="shared" si="1"/>
        <v>1875.7786419145309</v>
      </c>
      <c r="F8" s="300">
        <f t="shared" si="1"/>
        <v>1844.1198571687864</v>
      </c>
      <c r="G8" s="300">
        <f t="shared" si="1"/>
        <v>1660.3209960354313</v>
      </c>
      <c r="H8" s="300">
        <f t="shared" si="1"/>
        <v>1709.8018032430837</v>
      </c>
      <c r="I8" s="300">
        <f t="shared" si="1"/>
        <v>1694.4002642440403</v>
      </c>
      <c r="J8" s="300">
        <f t="shared" si="1"/>
        <v>1637.6033168484698</v>
      </c>
      <c r="K8" s="300">
        <f t="shared" si="1"/>
        <v>1663.0531002505395</v>
      </c>
      <c r="L8" s="300">
        <f t="shared" si="1"/>
        <v>1669.1170400132119</v>
      </c>
      <c r="M8" s="300">
        <f t="shared" si="1"/>
        <v>1718.1022328662684</v>
      </c>
      <c r="N8" s="300">
        <f t="shared" si="1"/>
        <v>1784.5580216079004</v>
      </c>
      <c r="O8" s="300">
        <f t="shared" si="1"/>
        <v>1869.0324252625765</v>
      </c>
      <c r="P8" s="511">
        <f t="shared" si="1"/>
        <v>1874.2154727885027</v>
      </c>
      <c r="Q8" s="292">
        <f t="shared" ref="Q8:Q44" si="2">P8/O8*100-100</f>
        <v>0.27731180346954432</v>
      </c>
      <c r="R8" s="289" t="s">
        <v>99</v>
      </c>
      <c r="S8" s="219"/>
    </row>
    <row r="9" spans="1:19" ht="12.75" customHeight="1" x14ac:dyDescent="0.2">
      <c r="A9" s="15"/>
      <c r="B9" s="17" t="s">
        <v>22</v>
      </c>
      <c r="C9" s="152">
        <v>46.763014045659183</v>
      </c>
      <c r="D9" s="152">
        <v>47.963910197433698</v>
      </c>
      <c r="E9" s="152">
        <v>49.05179900580638</v>
      </c>
      <c r="F9" s="152">
        <v>47.058469513292096</v>
      </c>
      <c r="G9" s="152">
        <v>44.42591767204744</v>
      </c>
      <c r="H9" s="152">
        <v>45.630946980216287</v>
      </c>
      <c r="I9" s="152">
        <v>45.567818510325395</v>
      </c>
      <c r="J9" s="152">
        <v>45.849215594985679</v>
      </c>
      <c r="K9" s="152">
        <v>47.597470067830429</v>
      </c>
      <c r="L9" s="152">
        <v>47.951368608799811</v>
      </c>
      <c r="M9" s="152">
        <v>50.475109944329908</v>
      </c>
      <c r="N9" s="177">
        <v>52.334927832222299</v>
      </c>
      <c r="O9" s="152">
        <v>52.141982515231632</v>
      </c>
      <c r="P9" s="188">
        <v>50.797313880171139</v>
      </c>
      <c r="Q9" s="437">
        <f t="shared" si="2"/>
        <v>-2.5788598173605948</v>
      </c>
      <c r="R9" s="17" t="s">
        <v>22</v>
      </c>
      <c r="S9" s="219"/>
    </row>
    <row r="10" spans="1:19" ht="12.75" customHeight="1" x14ac:dyDescent="0.2">
      <c r="A10" s="15"/>
      <c r="B10" s="89" t="s">
        <v>5</v>
      </c>
      <c r="C10" s="155">
        <v>11.007035810527396</v>
      </c>
      <c r="D10" s="155">
        <v>10.972872576275181</v>
      </c>
      <c r="E10" s="155">
        <v>10.439787754898461</v>
      </c>
      <c r="F10" s="155">
        <v>9.768980578108053</v>
      </c>
      <c r="G10" s="155">
        <v>8.7465351270823106</v>
      </c>
      <c r="H10" s="155">
        <v>8.8941473866294007</v>
      </c>
      <c r="I10" s="155">
        <v>9.7291795574239703</v>
      </c>
      <c r="J10" s="155">
        <v>9.2672677197473412</v>
      </c>
      <c r="K10" s="155">
        <v>10.958718558574009</v>
      </c>
      <c r="L10" s="155">
        <v>10.342871010524702</v>
      </c>
      <c r="M10" s="155">
        <v>11.150062583021855</v>
      </c>
      <c r="N10" s="155">
        <v>11.202922797736472</v>
      </c>
      <c r="O10" s="155">
        <v>12.03464888948171</v>
      </c>
      <c r="P10" s="156">
        <v>11.143238698443838</v>
      </c>
      <c r="Q10" s="510">
        <f t="shared" si="2"/>
        <v>-7.4070311416975869</v>
      </c>
      <c r="R10" s="89" t="s">
        <v>5</v>
      </c>
      <c r="S10" s="219"/>
    </row>
    <row r="11" spans="1:19" ht="12.75" customHeight="1" x14ac:dyDescent="0.2">
      <c r="A11" s="15"/>
      <c r="B11" s="17" t="s">
        <v>7</v>
      </c>
      <c r="C11" s="158">
        <v>32.288744390890884</v>
      </c>
      <c r="D11" s="158">
        <v>33.697465023117374</v>
      </c>
      <c r="E11" s="158">
        <v>33.984590250888957</v>
      </c>
      <c r="F11" s="158">
        <v>32.558348109780937</v>
      </c>
      <c r="G11" s="158">
        <v>29.159244054916382</v>
      </c>
      <c r="H11" s="158">
        <v>31.979649503595233</v>
      </c>
      <c r="I11" s="158">
        <v>33.162197746669882</v>
      </c>
      <c r="J11" s="158">
        <v>32.462423124963493</v>
      </c>
      <c r="K11" s="158">
        <v>35.419321405589798</v>
      </c>
      <c r="L11" s="158">
        <v>37.006305835244468</v>
      </c>
      <c r="M11" s="158">
        <v>42.516713310928424</v>
      </c>
      <c r="N11" s="158">
        <v>43.41797931254073</v>
      </c>
      <c r="O11" s="158">
        <v>43.073655562281992</v>
      </c>
      <c r="P11" s="178">
        <v>43.451716994383425</v>
      </c>
      <c r="Q11" s="437">
        <f t="shared" si="2"/>
        <v>0.8777091871266407</v>
      </c>
      <c r="R11" s="17" t="s">
        <v>7</v>
      </c>
      <c r="S11" s="219"/>
    </row>
    <row r="12" spans="1:19" ht="12.75" customHeight="1" x14ac:dyDescent="0.2">
      <c r="A12" s="15"/>
      <c r="B12" s="89" t="s">
        <v>18</v>
      </c>
      <c r="C12" s="155">
        <v>16.786513223591253</v>
      </c>
      <c r="D12" s="155">
        <v>17.692258729141255</v>
      </c>
      <c r="E12" s="155">
        <v>18.387594020981314</v>
      </c>
      <c r="F12" s="155">
        <v>18.91441807897732</v>
      </c>
      <c r="G12" s="155">
        <v>16.915748243820389</v>
      </c>
      <c r="H12" s="155">
        <v>17.243749269546619</v>
      </c>
      <c r="I12" s="155">
        <v>18.438395166590464</v>
      </c>
      <c r="J12" s="155">
        <v>18.571037617626171</v>
      </c>
      <c r="K12" s="155">
        <v>19.296589792790574</v>
      </c>
      <c r="L12" s="155">
        <v>19.517208846199559</v>
      </c>
      <c r="M12" s="155">
        <v>19.128622625910943</v>
      </c>
      <c r="N12" s="155">
        <v>20.598863081338418</v>
      </c>
      <c r="O12" s="155">
        <v>20.352101420361723</v>
      </c>
      <c r="P12" s="156">
        <v>19.303846972782353</v>
      </c>
      <c r="Q12" s="510">
        <f t="shared" si="2"/>
        <v>-5.1505956359406753</v>
      </c>
      <c r="R12" s="89" t="s">
        <v>18</v>
      </c>
      <c r="S12" s="219"/>
    </row>
    <row r="13" spans="1:19" ht="12.75" customHeight="1" x14ac:dyDescent="0.2">
      <c r="A13" s="15"/>
      <c r="B13" s="17" t="s">
        <v>23</v>
      </c>
      <c r="C13" s="158">
        <v>370.79611532682497</v>
      </c>
      <c r="D13" s="158">
        <v>394.4637780630344</v>
      </c>
      <c r="E13" s="158">
        <v>413.15934772379165</v>
      </c>
      <c r="F13" s="158">
        <v>419.98022530633915</v>
      </c>
      <c r="G13" s="158">
        <v>385.29438178325245</v>
      </c>
      <c r="H13" s="158">
        <v>404.91844653132574</v>
      </c>
      <c r="I13" s="158">
        <v>417.56680148009582</v>
      </c>
      <c r="J13" s="158">
        <v>408.24934363709872</v>
      </c>
      <c r="K13" s="158">
        <v>416.58011557540999</v>
      </c>
      <c r="L13" s="158">
        <v>426.90867609510144</v>
      </c>
      <c r="M13" s="158">
        <v>433.09730988167325</v>
      </c>
      <c r="N13" s="158">
        <v>447.19334384124119</v>
      </c>
      <c r="O13" s="158">
        <v>463.02016952996769</v>
      </c>
      <c r="P13" s="178">
        <v>458.5487116091237</v>
      </c>
      <c r="Q13" s="437">
        <f t="shared" si="2"/>
        <v>-0.96571558111241984</v>
      </c>
      <c r="R13" s="17" t="s">
        <v>23</v>
      </c>
      <c r="S13" s="219"/>
    </row>
    <row r="14" spans="1:19" ht="12.75" customHeight="1" x14ac:dyDescent="0.2">
      <c r="A14" s="15"/>
      <c r="B14" s="89" t="s">
        <v>8</v>
      </c>
      <c r="C14" s="160">
        <v>2.670218256504957</v>
      </c>
      <c r="D14" s="160">
        <v>2.869056913484314</v>
      </c>
      <c r="E14" s="160">
        <v>2.9354882647712865</v>
      </c>
      <c r="F14" s="160">
        <v>2.7715629772013086</v>
      </c>
      <c r="G14" s="160">
        <v>2.0761908485298957</v>
      </c>
      <c r="H14" s="160">
        <v>2.1707540736261453</v>
      </c>
      <c r="I14" s="160">
        <v>2.4813760688613411</v>
      </c>
      <c r="J14" s="160">
        <v>2.5326302330762411</v>
      </c>
      <c r="K14" s="160">
        <v>2.68903099170912</v>
      </c>
      <c r="L14" s="160">
        <v>2.6421129128425931</v>
      </c>
      <c r="M14" s="160">
        <v>2.8355833769198266</v>
      </c>
      <c r="N14" s="160">
        <v>3.1149281194758776</v>
      </c>
      <c r="O14" s="160">
        <v>2.9125545623432343</v>
      </c>
      <c r="P14" s="187">
        <v>3.0140915337762952</v>
      </c>
      <c r="Q14" s="510">
        <f t="shared" si="2"/>
        <v>3.4861826365708168</v>
      </c>
      <c r="R14" s="89" t="s">
        <v>8</v>
      </c>
      <c r="S14" s="219"/>
    </row>
    <row r="15" spans="1:19" ht="12.75" customHeight="1" x14ac:dyDescent="0.2">
      <c r="A15" s="15"/>
      <c r="B15" s="17" t="s">
        <v>26</v>
      </c>
      <c r="C15" s="152">
        <v>15.612619075343829</v>
      </c>
      <c r="D15" s="152">
        <v>15.515330391542724</v>
      </c>
      <c r="E15" s="152">
        <v>16.246972097592554</v>
      </c>
      <c r="F15" s="152">
        <v>14.847004373113187</v>
      </c>
      <c r="G15" s="152">
        <v>9.814266919633539</v>
      </c>
      <c r="H15" s="152">
        <v>9.6558252938964202</v>
      </c>
      <c r="I15" s="152">
        <v>9.0306056411654509</v>
      </c>
      <c r="J15" s="152">
        <v>8.8170886771555406</v>
      </c>
      <c r="K15" s="152">
        <v>8.5665636398404388</v>
      </c>
      <c r="L15" s="152">
        <v>9.0188850130725466</v>
      </c>
      <c r="M15" s="152">
        <v>9.2287678391866148</v>
      </c>
      <c r="N15" s="152">
        <v>10.648548157301731</v>
      </c>
      <c r="O15" s="152">
        <v>10.611345910280388</v>
      </c>
      <c r="P15" s="188">
        <v>10.823391956436602</v>
      </c>
      <c r="Q15" s="437">
        <f t="shared" si="2"/>
        <v>1.9982954843718943</v>
      </c>
      <c r="R15" s="17" t="s">
        <v>26</v>
      </c>
      <c r="S15" s="219"/>
    </row>
    <row r="16" spans="1:19" ht="12.75" customHeight="1" x14ac:dyDescent="0.2">
      <c r="A16" s="15"/>
      <c r="B16" s="89" t="s">
        <v>19</v>
      </c>
      <c r="C16" s="160">
        <v>21.916598855311484</v>
      </c>
      <c r="D16" s="160">
        <v>28.970940114922165</v>
      </c>
      <c r="E16" s="155">
        <v>24.143190174937523</v>
      </c>
      <c r="F16" s="155">
        <v>26.445160535546503</v>
      </c>
      <c r="G16" s="155">
        <v>26.075647513472227</v>
      </c>
      <c r="H16" s="155">
        <v>27.645544661844863</v>
      </c>
      <c r="I16" s="155">
        <v>18.734846730275756</v>
      </c>
      <c r="J16" s="155">
        <v>18.62974648294</v>
      </c>
      <c r="K16" s="155">
        <v>17.11847594226845</v>
      </c>
      <c r="L16" s="155">
        <v>17.530279659674544</v>
      </c>
      <c r="M16" s="155">
        <v>17.645716563274053</v>
      </c>
      <c r="N16" s="155">
        <v>18.685337403053591</v>
      </c>
      <c r="O16" s="155">
        <v>19.716635537805676</v>
      </c>
      <c r="P16" s="156">
        <v>19.379187719604062</v>
      </c>
      <c r="Q16" s="510">
        <f t="shared" si="2"/>
        <v>-1.7114878324680376</v>
      </c>
      <c r="R16" s="89" t="s">
        <v>19</v>
      </c>
      <c r="S16" s="219"/>
    </row>
    <row r="17" spans="1:20" ht="12.75" customHeight="1" x14ac:dyDescent="0.2">
      <c r="A17" s="15"/>
      <c r="B17" s="17" t="s">
        <v>24</v>
      </c>
      <c r="C17" s="165">
        <v>210.72119561327622</v>
      </c>
      <c r="D17" s="165">
        <v>220.1293027852322</v>
      </c>
      <c r="E17" s="165">
        <v>237.26616542326778</v>
      </c>
      <c r="F17" s="165">
        <v>217.319783899161</v>
      </c>
      <c r="G17" s="165">
        <v>189.43479571602757</v>
      </c>
      <c r="H17" s="165">
        <v>184.4014915288827</v>
      </c>
      <c r="I17" s="165">
        <v>179.86855247564554</v>
      </c>
      <c r="J17" s="165">
        <v>169.76957151140692</v>
      </c>
      <c r="K17" s="165">
        <v>166.1146186456011</v>
      </c>
      <c r="L17" s="165">
        <v>167.10913535123652</v>
      </c>
      <c r="M17" s="165">
        <v>177.88140023015345</v>
      </c>
      <c r="N17" s="165">
        <v>186.71363581784192</v>
      </c>
      <c r="O17" s="165">
        <v>197.96647727754515</v>
      </c>
      <c r="P17" s="166">
        <v>203.63979190016872</v>
      </c>
      <c r="Q17" s="437">
        <f t="shared" si="2"/>
        <v>2.8657956138046927</v>
      </c>
      <c r="R17" s="17" t="s">
        <v>24</v>
      </c>
      <c r="S17" s="219"/>
    </row>
    <row r="18" spans="1:20" ht="12.75" customHeight="1" x14ac:dyDescent="0.2">
      <c r="A18" s="15"/>
      <c r="B18" s="89" t="s">
        <v>25</v>
      </c>
      <c r="C18" s="160">
        <v>294.53781071988692</v>
      </c>
      <c r="D18" s="160">
        <v>303.93056686590086</v>
      </c>
      <c r="E18" s="160">
        <v>315.32721576011994</v>
      </c>
      <c r="F18" s="160">
        <v>301.42667973424125</v>
      </c>
      <c r="G18" s="160">
        <v>261.74858388974764</v>
      </c>
      <c r="H18" s="160">
        <v>275.13000270342462</v>
      </c>
      <c r="I18" s="160">
        <v>273.3770401042355</v>
      </c>
      <c r="J18" s="160">
        <v>259.05725243365947</v>
      </c>
      <c r="K18" s="160">
        <v>263.7151444730045</v>
      </c>
      <c r="L18" s="160">
        <v>259.86095283024679</v>
      </c>
      <c r="M18" s="160">
        <v>251.18195955553662</v>
      </c>
      <c r="N18" s="160">
        <v>258.56341746541659</v>
      </c>
      <c r="O18" s="160">
        <v>277.83382609574682</v>
      </c>
      <c r="P18" s="187">
        <v>283.38876942729667</v>
      </c>
      <c r="Q18" s="510">
        <f t="shared" si="2"/>
        <v>1.9993761773397125</v>
      </c>
      <c r="R18" s="89" t="s">
        <v>25</v>
      </c>
      <c r="S18" s="219"/>
    </row>
    <row r="19" spans="1:20" ht="12.75" customHeight="1" x14ac:dyDescent="0.2">
      <c r="A19" s="15"/>
      <c r="B19" s="17" t="s">
        <v>36</v>
      </c>
      <c r="C19" s="58">
        <v>10.483056070627628</v>
      </c>
      <c r="D19" s="58">
        <v>10.909940770981342</v>
      </c>
      <c r="E19" s="58">
        <v>11.03297977974009</v>
      </c>
      <c r="F19" s="58">
        <v>10.375046058567255</v>
      </c>
      <c r="G19" s="58">
        <v>8.4965357312965324</v>
      </c>
      <c r="H19" s="58">
        <v>7.9261240979092866</v>
      </c>
      <c r="I19" s="58">
        <v>7.7327653363939088</v>
      </c>
      <c r="J19" s="58">
        <v>7.4133645033315698</v>
      </c>
      <c r="K19" s="58">
        <v>7.7443410002399009</v>
      </c>
      <c r="L19" s="58">
        <v>7.56610477682751</v>
      </c>
      <c r="M19" s="58">
        <v>8.1975153847012905</v>
      </c>
      <c r="N19" s="58">
        <v>8.7496351863295754</v>
      </c>
      <c r="O19" s="58">
        <v>9.4695787125038429</v>
      </c>
      <c r="P19" s="167">
        <v>9.5213809550758199</v>
      </c>
      <c r="Q19" s="437">
        <f t="shared" si="2"/>
        <v>0.54703851295492711</v>
      </c>
      <c r="R19" s="17" t="s">
        <v>36</v>
      </c>
      <c r="S19" s="219"/>
    </row>
    <row r="20" spans="1:20" ht="12.75" customHeight="1" x14ac:dyDescent="0.2">
      <c r="A20" s="15"/>
      <c r="B20" s="89" t="s">
        <v>27</v>
      </c>
      <c r="C20" s="155">
        <v>203.95294284383934</v>
      </c>
      <c r="D20" s="155">
        <v>190.0707919389948</v>
      </c>
      <c r="E20" s="155">
        <v>186.79745099660789</v>
      </c>
      <c r="F20" s="155">
        <v>187.5037110470505</v>
      </c>
      <c r="G20" s="155">
        <v>176.42696498971071</v>
      </c>
      <c r="H20" s="155">
        <v>183.60681268352803</v>
      </c>
      <c r="I20" s="155">
        <v>157.32085045794125</v>
      </c>
      <c r="J20" s="155">
        <v>139.46045552236427</v>
      </c>
      <c r="K20" s="155">
        <v>141.79304194107172</v>
      </c>
      <c r="L20" s="155">
        <v>133.02703381047397</v>
      </c>
      <c r="M20" s="155">
        <v>133.97003876677221</v>
      </c>
      <c r="N20" s="155">
        <v>131.69514287846371</v>
      </c>
      <c r="O20" s="155">
        <v>142.07681353460256</v>
      </c>
      <c r="P20" s="156">
        <v>146.07437287404869</v>
      </c>
      <c r="Q20" s="510">
        <f t="shared" si="2"/>
        <v>2.8136606107600528</v>
      </c>
      <c r="R20" s="89" t="s">
        <v>27</v>
      </c>
      <c r="S20" s="219"/>
    </row>
    <row r="21" spans="1:20" ht="12.75" customHeight="1" x14ac:dyDescent="0.2">
      <c r="A21" s="15"/>
      <c r="B21" s="17" t="s">
        <v>6</v>
      </c>
      <c r="C21" s="58">
        <v>1.3740000000000001</v>
      </c>
      <c r="D21" s="58">
        <v>1.145</v>
      </c>
      <c r="E21" s="58">
        <v>1.1839999999999999</v>
      </c>
      <c r="F21" s="58">
        <v>1.296</v>
      </c>
      <c r="G21" s="58">
        <v>0.94399999999999995</v>
      </c>
      <c r="H21" s="58">
        <v>1.0660000000000001</v>
      </c>
      <c r="I21" s="58">
        <v>0.92300000000000004</v>
      </c>
      <c r="J21" s="58">
        <v>0.88</v>
      </c>
      <c r="K21" s="58">
        <v>0.61799999999999999</v>
      </c>
      <c r="L21" s="58">
        <v>0.52600000000000002</v>
      </c>
      <c r="M21" s="58">
        <v>0.54800000000000004</v>
      </c>
      <c r="N21" s="58">
        <v>0.68400000000000005</v>
      </c>
      <c r="O21" s="58">
        <v>0.80200000000000005</v>
      </c>
      <c r="P21" s="167">
        <v>0.86499999999999999</v>
      </c>
      <c r="Q21" s="437">
        <f t="shared" si="2"/>
        <v>7.8553615960099705</v>
      </c>
      <c r="R21" s="17" t="s">
        <v>6</v>
      </c>
      <c r="S21" s="219"/>
    </row>
    <row r="22" spans="1:20" ht="12.75" customHeight="1" x14ac:dyDescent="0.2">
      <c r="A22" s="15"/>
      <c r="B22" s="89" t="s">
        <v>10</v>
      </c>
      <c r="C22" s="155">
        <v>3.7360190296953761</v>
      </c>
      <c r="D22" s="155">
        <v>3.9484290348493487</v>
      </c>
      <c r="E22" s="155">
        <v>4.4073087578065175</v>
      </c>
      <c r="F22" s="155">
        <v>3.8857887870287251</v>
      </c>
      <c r="G22" s="155">
        <v>3.2108269453857816</v>
      </c>
      <c r="H22" s="155">
        <v>3.7423899740928328</v>
      </c>
      <c r="I22" s="155">
        <v>4.007675239415379</v>
      </c>
      <c r="J22" s="155">
        <v>4.1224687058952076</v>
      </c>
      <c r="K22" s="155">
        <v>4.5353622028854623</v>
      </c>
      <c r="L22" s="155">
        <v>4.4959957777010056</v>
      </c>
      <c r="M22" s="155">
        <v>4.7964251366400878</v>
      </c>
      <c r="N22" s="155">
        <v>4.8547748570848217</v>
      </c>
      <c r="O22" s="155">
        <v>5.276711381171082</v>
      </c>
      <c r="P22" s="156">
        <v>5.6873255338054207</v>
      </c>
      <c r="Q22" s="510">
        <f t="shared" si="2"/>
        <v>7.7816299390475621</v>
      </c>
      <c r="R22" s="89" t="s">
        <v>10</v>
      </c>
      <c r="S22" s="219"/>
    </row>
    <row r="23" spans="1:20" ht="12.75" customHeight="1" x14ac:dyDescent="0.2">
      <c r="A23" s="15"/>
      <c r="B23" s="17" t="s">
        <v>11</v>
      </c>
      <c r="C23" s="58">
        <v>4.3513532077765911</v>
      </c>
      <c r="D23" s="58">
        <v>5.0789104620356111</v>
      </c>
      <c r="E23" s="58">
        <v>5.8571309853276174</v>
      </c>
      <c r="F23" s="58">
        <v>5.4529833045731886</v>
      </c>
      <c r="G23" s="58">
        <v>5.0029435929245141</v>
      </c>
      <c r="H23" s="58">
        <v>5.0228402420568683</v>
      </c>
      <c r="I23" s="58">
        <v>5.3923231920486563</v>
      </c>
      <c r="J23" s="58">
        <v>5.9841807369090105</v>
      </c>
      <c r="K23" s="58">
        <v>6.6910372615034595</v>
      </c>
      <c r="L23" s="58">
        <v>6.7137637308585525</v>
      </c>
      <c r="M23" s="58">
        <v>7.2758321219423303</v>
      </c>
      <c r="N23" s="58">
        <v>7.4317810785713974</v>
      </c>
      <c r="O23" s="58">
        <v>7.7005331692977199</v>
      </c>
      <c r="P23" s="167">
        <v>7.9777207779193029</v>
      </c>
      <c r="Q23" s="437">
        <f t="shared" si="2"/>
        <v>3.5995898274516804</v>
      </c>
      <c r="R23" s="17" t="s">
        <v>11</v>
      </c>
      <c r="S23" s="219"/>
      <c r="T23" s="1"/>
    </row>
    <row r="24" spans="1:20" ht="12.75" customHeight="1" x14ac:dyDescent="0.2">
      <c r="A24" s="15"/>
      <c r="B24" s="89" t="s">
        <v>28</v>
      </c>
      <c r="C24" s="155">
        <v>1.8788998995106998</v>
      </c>
      <c r="D24" s="155">
        <v>1.8961685926874257</v>
      </c>
      <c r="E24" s="155">
        <v>2.0006935580327831</v>
      </c>
      <c r="F24" s="155">
        <v>2.1804820101599613</v>
      </c>
      <c r="G24" s="155">
        <v>1.9610770952484999</v>
      </c>
      <c r="H24" s="155">
        <v>2.1045873313087924</v>
      </c>
      <c r="I24" s="155">
        <v>2.1570893408303609</v>
      </c>
      <c r="J24" s="155">
        <v>2.7314068623047962</v>
      </c>
      <c r="K24" s="155">
        <v>2.4594908349359192</v>
      </c>
      <c r="L24" s="155">
        <v>2.9091572417584697</v>
      </c>
      <c r="M24" s="155">
        <v>2.4915117464717325</v>
      </c>
      <c r="N24" s="155">
        <v>2.6771081775198144</v>
      </c>
      <c r="O24" s="155">
        <v>2.7280032062239346</v>
      </c>
      <c r="P24" s="156">
        <v>2.3040773359347715</v>
      </c>
      <c r="Q24" s="510">
        <f t="shared" si="2"/>
        <v>-15.539786365425698</v>
      </c>
      <c r="R24" s="89" t="s">
        <v>28</v>
      </c>
      <c r="S24" s="219"/>
    </row>
    <row r="25" spans="1:20" ht="12.75" customHeight="1" x14ac:dyDescent="0.2">
      <c r="A25" s="15"/>
      <c r="B25" s="17" t="s">
        <v>9</v>
      </c>
      <c r="C25" s="158">
        <v>22.208822375569891</v>
      </c>
      <c r="D25" s="158">
        <v>24.254655709452589</v>
      </c>
      <c r="E25" s="158">
        <v>26.157507043904019</v>
      </c>
      <c r="F25" s="158">
        <v>27.20579472873975</v>
      </c>
      <c r="G25" s="158">
        <v>22.343334546697704</v>
      </c>
      <c r="H25" s="158">
        <v>21.303895740560723</v>
      </c>
      <c r="I25" s="158">
        <v>21.073462215707782</v>
      </c>
      <c r="J25" s="158">
        <v>19.759008554103961</v>
      </c>
      <c r="K25" s="158">
        <v>20.063198467914958</v>
      </c>
      <c r="L25" s="158">
        <v>20.744606972084675</v>
      </c>
      <c r="M25" s="158">
        <v>22.084971644457763</v>
      </c>
      <c r="N25" s="158">
        <v>24.4821055914983</v>
      </c>
      <c r="O25" s="158">
        <v>25.814242465004785</v>
      </c>
      <c r="P25" s="178">
        <v>26.99562058574233</v>
      </c>
      <c r="Q25" s="437">
        <f t="shared" si="2"/>
        <v>4.5764586055123857</v>
      </c>
      <c r="R25" s="17" t="s">
        <v>9</v>
      </c>
      <c r="S25" s="219"/>
    </row>
    <row r="26" spans="1:20" ht="12.75" customHeight="1" x14ac:dyDescent="0.2">
      <c r="A26" s="15"/>
      <c r="B26" s="57" t="s">
        <v>12</v>
      </c>
      <c r="C26" s="264"/>
      <c r="D26" s="265"/>
      <c r="E26" s="265"/>
      <c r="F26" s="265"/>
      <c r="G26" s="265"/>
      <c r="H26" s="265"/>
      <c r="I26" s="265"/>
      <c r="J26" s="265"/>
      <c r="K26" s="265"/>
      <c r="L26" s="265"/>
      <c r="M26" s="265"/>
      <c r="N26" s="265"/>
      <c r="O26" s="265"/>
      <c r="P26" s="512"/>
      <c r="Q26" s="510"/>
      <c r="R26" s="57" t="s">
        <v>12</v>
      </c>
      <c r="S26" s="219"/>
    </row>
    <row r="27" spans="1:20" ht="12.75" customHeight="1" x14ac:dyDescent="0.2">
      <c r="A27" s="15"/>
      <c r="B27" s="17" t="s">
        <v>20</v>
      </c>
      <c r="C27" s="58">
        <v>49.746290616969461</v>
      </c>
      <c r="D27" s="58">
        <v>50.083234522714591</v>
      </c>
      <c r="E27" s="58">
        <v>49.985052920931601</v>
      </c>
      <c r="F27" s="58">
        <v>51.369646436130203</v>
      </c>
      <c r="G27" s="58">
        <v>48.981111527442742</v>
      </c>
      <c r="H27" s="58">
        <v>49.170720022948395</v>
      </c>
      <c r="I27" s="58">
        <v>49.140716806790834</v>
      </c>
      <c r="J27" s="58">
        <v>47.017593275768981</v>
      </c>
      <c r="K27" s="58">
        <v>51.000215100204684</v>
      </c>
      <c r="L27" s="58">
        <v>51.542722008564532</v>
      </c>
      <c r="M27" s="58">
        <v>51.708573289029772</v>
      </c>
      <c r="N27" s="58">
        <v>54.81124017816478</v>
      </c>
      <c r="O27" s="58">
        <v>54.251892052395981</v>
      </c>
      <c r="P27" s="167">
        <v>55.111549324447708</v>
      </c>
      <c r="Q27" s="437">
        <f t="shared" si="2"/>
        <v>1.5845664354368978</v>
      </c>
      <c r="R27" s="17" t="s">
        <v>20</v>
      </c>
      <c r="S27" s="219"/>
    </row>
    <row r="28" spans="1:20" ht="12.75" customHeight="1" x14ac:dyDescent="0.2">
      <c r="A28" s="15"/>
      <c r="B28" s="89" t="s">
        <v>29</v>
      </c>
      <c r="C28" s="160">
        <v>32.381380726022428</v>
      </c>
      <c r="D28" s="160">
        <v>35.440497776109034</v>
      </c>
      <c r="E28" s="160">
        <v>38.547623944633933</v>
      </c>
      <c r="F28" s="160">
        <v>41.111043866369045</v>
      </c>
      <c r="G28" s="160">
        <v>35.72898571925888</v>
      </c>
      <c r="H28" s="160">
        <v>37.861436321100896</v>
      </c>
      <c r="I28" s="160">
        <v>39.078174158318348</v>
      </c>
      <c r="J28" s="160">
        <v>38.019854220087701</v>
      </c>
      <c r="K28" s="160">
        <v>38.5968084352982</v>
      </c>
      <c r="L28" s="160">
        <v>39.680888027842201</v>
      </c>
      <c r="M28" s="160">
        <v>40.959929879925774</v>
      </c>
      <c r="N28" s="160">
        <v>43.408095333769566</v>
      </c>
      <c r="O28" s="160">
        <v>45.803106766458136</v>
      </c>
      <c r="P28" s="187">
        <v>46.266465088100084</v>
      </c>
      <c r="Q28" s="510">
        <f t="shared" si="2"/>
        <v>1.0116307699486953</v>
      </c>
      <c r="R28" s="89" t="s">
        <v>29</v>
      </c>
      <c r="S28" s="219"/>
    </row>
    <row r="29" spans="1:20" ht="12.75" customHeight="1" x14ac:dyDescent="0.2">
      <c r="A29" s="15"/>
      <c r="B29" s="17" t="s">
        <v>13</v>
      </c>
      <c r="C29" s="58">
        <v>86.811539828735874</v>
      </c>
      <c r="D29" s="58">
        <v>91.000122864066057</v>
      </c>
      <c r="E29" s="58">
        <v>95.3348474163421</v>
      </c>
      <c r="F29" s="58">
        <v>101.63664418474924</v>
      </c>
      <c r="G29" s="58">
        <v>107.35587481029782</v>
      </c>
      <c r="H29" s="58">
        <v>116.21699760290893</v>
      </c>
      <c r="I29" s="58">
        <v>125.60186987621069</v>
      </c>
      <c r="J29" s="58">
        <v>127.87654066091758</v>
      </c>
      <c r="K29" s="58">
        <v>141.54221678452041</v>
      </c>
      <c r="L29" s="58">
        <v>138.53798127100922</v>
      </c>
      <c r="M29" s="58">
        <v>147.27566562970713</v>
      </c>
      <c r="N29" s="58">
        <v>154.22534937728932</v>
      </c>
      <c r="O29" s="58">
        <v>173.99152448547707</v>
      </c>
      <c r="P29" s="167">
        <v>161.92186150629695</v>
      </c>
      <c r="Q29" s="437">
        <f t="shared" si="2"/>
        <v>-6.936925815709813</v>
      </c>
      <c r="R29" s="17" t="s">
        <v>13</v>
      </c>
      <c r="S29" s="219"/>
    </row>
    <row r="30" spans="1:20" ht="12.75" customHeight="1" x14ac:dyDescent="0.2">
      <c r="A30" s="15"/>
      <c r="B30" s="89" t="s">
        <v>30</v>
      </c>
      <c r="C30" s="155">
        <v>23.861106448547513</v>
      </c>
      <c r="D30" s="155">
        <v>24.434706019003297</v>
      </c>
      <c r="E30" s="155">
        <v>25.877326629317771</v>
      </c>
      <c r="F30" s="155">
        <v>23.675799061433665</v>
      </c>
      <c r="G30" s="155">
        <v>20.921435122121764</v>
      </c>
      <c r="H30" s="155">
        <v>18.94939533184484</v>
      </c>
      <c r="I30" s="155">
        <v>19.056490446758794</v>
      </c>
      <c r="J30" s="155">
        <v>16.459519422327858</v>
      </c>
      <c r="K30" s="155">
        <v>15.759646554312239</v>
      </c>
      <c r="L30" s="155">
        <v>16.649323171363303</v>
      </c>
      <c r="M30" s="155">
        <v>16.314269673228221</v>
      </c>
      <c r="N30" s="155">
        <v>16.384130697062826</v>
      </c>
      <c r="O30" s="155">
        <v>16.744601928253509</v>
      </c>
      <c r="P30" s="156">
        <v>16.665986478586408</v>
      </c>
      <c r="Q30" s="510">
        <f t="shared" si="2"/>
        <v>-0.46949727442878952</v>
      </c>
      <c r="R30" s="89" t="s">
        <v>30</v>
      </c>
      <c r="S30" s="219"/>
    </row>
    <row r="31" spans="1:20" ht="12.75" customHeight="1" x14ac:dyDescent="0.2">
      <c r="A31" s="15"/>
      <c r="B31" s="17" t="s">
        <v>14</v>
      </c>
      <c r="C31" s="165">
        <v>32.50925754118051</v>
      </c>
      <c r="D31" s="165">
        <v>32.572396729346828</v>
      </c>
      <c r="E31" s="165">
        <v>33.914632044073144</v>
      </c>
      <c r="F31" s="165">
        <v>30.958933923373845</v>
      </c>
      <c r="G31" s="165">
        <v>25.14834193788769</v>
      </c>
      <c r="H31" s="165">
        <v>15.615036670078807</v>
      </c>
      <c r="I31" s="165">
        <v>15.447449865840989</v>
      </c>
      <c r="J31" s="165">
        <v>16.868975603035491</v>
      </c>
      <c r="K31" s="165">
        <v>17.011525106354746</v>
      </c>
      <c r="L31" s="165">
        <v>16.545570284098812</v>
      </c>
      <c r="M31" s="165">
        <v>16.457169898861963</v>
      </c>
      <c r="N31" s="165">
        <v>18.02633878933722</v>
      </c>
      <c r="O31" s="165">
        <v>19.392642700051322</v>
      </c>
      <c r="P31" s="166">
        <v>19.948245709734273</v>
      </c>
      <c r="Q31" s="437">
        <f t="shared" si="2"/>
        <v>2.865019576117291</v>
      </c>
      <c r="R31" s="17" t="s">
        <v>14</v>
      </c>
      <c r="S31" s="219"/>
    </row>
    <row r="32" spans="1:20" ht="12.75" customHeight="1" x14ac:dyDescent="0.2">
      <c r="A32" s="15"/>
      <c r="B32" s="89" t="s">
        <v>16</v>
      </c>
      <c r="C32" s="155">
        <v>7.3073122476044743</v>
      </c>
      <c r="D32" s="155">
        <v>8.0428943982190795</v>
      </c>
      <c r="E32" s="155">
        <v>8.4568880112995366</v>
      </c>
      <c r="F32" s="155">
        <v>8.4354199391810649</v>
      </c>
      <c r="G32" s="155">
        <v>7.3127216380563187</v>
      </c>
      <c r="H32" s="155">
        <v>7.3215131671523483</v>
      </c>
      <c r="I32" s="155">
        <v>7.29226014649901</v>
      </c>
      <c r="J32" s="155">
        <v>7.1062669197662203</v>
      </c>
      <c r="K32" s="155">
        <v>7.1442333706974104</v>
      </c>
      <c r="L32" s="155">
        <v>7.3181821709033104</v>
      </c>
      <c r="M32" s="155">
        <v>7.7462380784442519</v>
      </c>
      <c r="N32" s="155">
        <v>8.7190577336101747</v>
      </c>
      <c r="O32" s="155">
        <v>9.334976060841047</v>
      </c>
      <c r="P32" s="156">
        <v>9.4602664531996261</v>
      </c>
      <c r="Q32" s="510">
        <f t="shared" si="2"/>
        <v>1.3421608319292346</v>
      </c>
      <c r="R32" s="89" t="s">
        <v>16</v>
      </c>
      <c r="S32" s="219"/>
    </row>
    <row r="33" spans="1:20" ht="12.75" customHeight="1" x14ac:dyDescent="0.2">
      <c r="A33" s="15"/>
      <c r="B33" s="17" t="s">
        <v>15</v>
      </c>
      <c r="C33" s="165">
        <v>10.527937660073155</v>
      </c>
      <c r="D33" s="165">
        <v>10.399220059945735</v>
      </c>
      <c r="E33" s="165">
        <v>12.16331567337247</v>
      </c>
      <c r="F33" s="165">
        <v>12.672540648940206</v>
      </c>
      <c r="G33" s="165">
        <v>11.607004611092629</v>
      </c>
      <c r="H33" s="165">
        <v>11.776453602577616</v>
      </c>
      <c r="I33" s="165">
        <v>11.951399957128286</v>
      </c>
      <c r="J33" s="165">
        <v>12.19854239892241</v>
      </c>
      <c r="K33" s="165">
        <v>12.296352303168609</v>
      </c>
      <c r="L33" s="165">
        <v>12.98100023272082</v>
      </c>
      <c r="M33" s="165">
        <v>13.850973258220749</v>
      </c>
      <c r="N33" s="165">
        <v>14.964860189972654</v>
      </c>
      <c r="O33" s="165">
        <v>16.361368068186255</v>
      </c>
      <c r="P33" s="166">
        <v>16.519610926292469</v>
      </c>
      <c r="Q33" s="437">
        <f t="shared" si="2"/>
        <v>0.96717375617205903</v>
      </c>
      <c r="R33" s="17" t="s">
        <v>15</v>
      </c>
      <c r="S33" s="219"/>
    </row>
    <row r="34" spans="1:20" ht="12.75" customHeight="1" x14ac:dyDescent="0.2">
      <c r="A34" s="15"/>
      <c r="B34" s="89" t="s">
        <v>31</v>
      </c>
      <c r="C34" s="155">
        <v>28.808963842747477</v>
      </c>
      <c r="D34" s="155">
        <v>26.52365723807053</v>
      </c>
      <c r="E34" s="155">
        <v>27.050020167292349</v>
      </c>
      <c r="F34" s="155">
        <v>28.714320893272802</v>
      </c>
      <c r="G34" s="155">
        <v>25.397070133212612</v>
      </c>
      <c r="H34" s="155">
        <v>26.488763955975031</v>
      </c>
      <c r="I34" s="155">
        <v>24.595234999554382</v>
      </c>
      <c r="J34" s="155">
        <v>22.994069037448622</v>
      </c>
      <c r="K34" s="155">
        <v>21.893278967541502</v>
      </c>
      <c r="L34" s="155">
        <v>21.48565577149369</v>
      </c>
      <c r="M34" s="155">
        <v>22.774610174713608</v>
      </c>
      <c r="N34" s="155">
        <v>25.713307223411277</v>
      </c>
      <c r="O34" s="155">
        <v>27.463181954266922</v>
      </c>
      <c r="P34" s="156">
        <v>27.256079920755958</v>
      </c>
      <c r="Q34" s="510">
        <f t="shared" si="2"/>
        <v>-0.75410793205186621</v>
      </c>
      <c r="R34" s="89" t="s">
        <v>31</v>
      </c>
      <c r="S34" s="219"/>
    </row>
    <row r="35" spans="1:20" ht="12.75" customHeight="1" x14ac:dyDescent="0.2">
      <c r="A35" s="15"/>
      <c r="B35" s="17" t="s">
        <v>32</v>
      </c>
      <c r="C35" s="165">
        <v>45.115317917611733</v>
      </c>
      <c r="D35" s="165">
        <v>46.788474462111537</v>
      </c>
      <c r="E35" s="165">
        <v>47.93511056979689</v>
      </c>
      <c r="F35" s="165">
        <v>48.896852887309201</v>
      </c>
      <c r="G35" s="165">
        <v>40.78704589439581</v>
      </c>
      <c r="H35" s="165">
        <v>42.44900974922502</v>
      </c>
      <c r="I35" s="165">
        <v>42.903623853035562</v>
      </c>
      <c r="J35" s="165">
        <v>39.592588590899169</v>
      </c>
      <c r="K35" s="165">
        <v>41.215695158347089</v>
      </c>
      <c r="L35" s="165">
        <v>48.825808973264984</v>
      </c>
      <c r="M35" s="165">
        <v>49.295716438000227</v>
      </c>
      <c r="N35" s="165">
        <v>51.279024616122342</v>
      </c>
      <c r="O35" s="165">
        <v>50.433117815907302</v>
      </c>
      <c r="P35" s="166">
        <v>52.843088165364023</v>
      </c>
      <c r="Q35" s="437">
        <f t="shared" si="2"/>
        <v>4.7785472202088926</v>
      </c>
      <c r="R35" s="17" t="s">
        <v>32</v>
      </c>
      <c r="S35" s="219"/>
      <c r="T35" s="1"/>
    </row>
    <row r="36" spans="1:20" ht="12.75" customHeight="1" x14ac:dyDescent="0.2">
      <c r="A36" s="15"/>
      <c r="B36" s="90" t="s">
        <v>21</v>
      </c>
      <c r="C36" s="169">
        <v>167.29812396915941</v>
      </c>
      <c r="D36" s="169">
        <v>171.49776888484439</v>
      </c>
      <c r="E36" s="169">
        <v>178.13460293899621</v>
      </c>
      <c r="F36" s="169">
        <v>167.65821628614697</v>
      </c>
      <c r="G36" s="169">
        <v>145.00440997187189</v>
      </c>
      <c r="H36" s="169">
        <v>151.50926881682688</v>
      </c>
      <c r="I36" s="186">
        <v>152.76906487027637</v>
      </c>
      <c r="J36" s="186">
        <v>155.91290480172725</v>
      </c>
      <c r="K36" s="186">
        <v>144.63260766892483</v>
      </c>
      <c r="L36" s="186">
        <v>141.67944962930397</v>
      </c>
      <c r="M36" s="186">
        <v>157.21354583421615</v>
      </c>
      <c r="N36" s="186">
        <v>163.9781658715238</v>
      </c>
      <c r="O36" s="186">
        <v>161.72473366088923</v>
      </c>
      <c r="P36" s="181">
        <v>165.30676046101223</v>
      </c>
      <c r="Q36" s="240">
        <f t="shared" si="2"/>
        <v>2.2148911419040758</v>
      </c>
      <c r="R36" s="90" t="s">
        <v>21</v>
      </c>
      <c r="S36" s="514"/>
    </row>
    <row r="37" spans="1:20" ht="12.75" customHeight="1" x14ac:dyDescent="0.2">
      <c r="A37" s="15"/>
      <c r="B37" s="17" t="s">
        <v>96</v>
      </c>
      <c r="C37" s="158"/>
      <c r="D37" s="158"/>
      <c r="E37" s="158"/>
      <c r="F37" s="158"/>
      <c r="G37" s="158"/>
      <c r="H37" s="158"/>
      <c r="I37" s="158"/>
      <c r="J37" s="158"/>
      <c r="K37" s="158"/>
      <c r="L37" s="158"/>
      <c r="M37" s="158"/>
      <c r="N37" s="158"/>
      <c r="O37" s="158"/>
      <c r="P37" s="436"/>
      <c r="Q37" s="437"/>
      <c r="R37" s="17" t="s">
        <v>96</v>
      </c>
      <c r="S37" s="219"/>
    </row>
    <row r="38" spans="1:20" ht="12.75" customHeight="1" x14ac:dyDescent="0.2">
      <c r="A38" s="15"/>
      <c r="B38" s="197" t="s">
        <v>2</v>
      </c>
      <c r="C38" s="199"/>
      <c r="D38" s="199"/>
      <c r="E38" s="199"/>
      <c r="F38" s="199"/>
      <c r="G38" s="199"/>
      <c r="H38" s="199"/>
      <c r="I38" s="199"/>
      <c r="J38" s="199"/>
      <c r="K38" s="199"/>
      <c r="L38" s="199"/>
      <c r="M38" s="199"/>
      <c r="N38" s="199"/>
      <c r="O38" s="199"/>
      <c r="P38" s="210"/>
      <c r="Q38" s="510"/>
      <c r="R38" s="197" t="s">
        <v>2</v>
      </c>
      <c r="S38" s="23"/>
    </row>
    <row r="39" spans="1:20" ht="12.75" customHeight="1" x14ac:dyDescent="0.2">
      <c r="A39" s="15"/>
      <c r="B39" s="17" t="s">
        <v>100</v>
      </c>
      <c r="C39" s="58"/>
      <c r="D39" s="58"/>
      <c r="E39" s="58"/>
      <c r="F39" s="58"/>
      <c r="G39" s="58"/>
      <c r="H39" s="58"/>
      <c r="I39" s="58"/>
      <c r="J39" s="58"/>
      <c r="K39" s="58"/>
      <c r="L39" s="58"/>
      <c r="M39" s="58"/>
      <c r="N39" s="58"/>
      <c r="O39" s="58"/>
      <c r="P39" s="167"/>
      <c r="Q39" s="437"/>
      <c r="R39" s="17" t="s">
        <v>100</v>
      </c>
      <c r="S39" s="23"/>
    </row>
    <row r="40" spans="1:20" ht="12.75" customHeight="1" x14ac:dyDescent="0.2">
      <c r="A40" s="15"/>
      <c r="B40" s="197" t="s">
        <v>97</v>
      </c>
      <c r="C40" s="199"/>
      <c r="D40" s="199"/>
      <c r="E40" s="199"/>
      <c r="F40" s="199"/>
      <c r="G40" s="199"/>
      <c r="H40" s="199"/>
      <c r="I40" s="199"/>
      <c r="J40" s="199"/>
      <c r="K40" s="199"/>
      <c r="L40" s="199"/>
      <c r="M40" s="199"/>
      <c r="N40" s="199"/>
      <c r="O40" s="199"/>
      <c r="P40" s="210"/>
      <c r="Q40" s="510"/>
      <c r="R40" s="197" t="s">
        <v>97</v>
      </c>
      <c r="S40" s="23"/>
    </row>
    <row r="41" spans="1:20" ht="12.75" customHeight="1" x14ac:dyDescent="0.2">
      <c r="A41" s="15"/>
      <c r="B41" s="18" t="s">
        <v>17</v>
      </c>
      <c r="C41" s="59"/>
      <c r="D41" s="59"/>
      <c r="E41" s="59"/>
      <c r="F41" s="59"/>
      <c r="G41" s="59"/>
      <c r="H41" s="59"/>
      <c r="I41" s="59"/>
      <c r="J41" s="59"/>
      <c r="K41" s="59"/>
      <c r="L41" s="59"/>
      <c r="M41" s="59"/>
      <c r="N41" s="59"/>
      <c r="O41" s="59"/>
      <c r="P41" s="170"/>
      <c r="Q41" s="406"/>
      <c r="R41" s="18" t="s">
        <v>17</v>
      </c>
      <c r="S41" s="23"/>
    </row>
    <row r="42" spans="1:20" ht="12.75" customHeight="1" x14ac:dyDescent="0.2">
      <c r="A42" s="15"/>
      <c r="B42" s="211" t="s">
        <v>3</v>
      </c>
      <c r="C42" s="214"/>
      <c r="D42" s="214"/>
      <c r="E42" s="214"/>
      <c r="F42" s="214"/>
      <c r="G42" s="214"/>
      <c r="H42" s="214"/>
      <c r="I42" s="215"/>
      <c r="J42" s="215"/>
      <c r="K42" s="215"/>
      <c r="L42" s="215"/>
      <c r="M42" s="215"/>
      <c r="N42" s="215"/>
      <c r="O42" s="215"/>
      <c r="P42" s="513"/>
      <c r="Q42" s="510"/>
      <c r="R42" s="211" t="s">
        <v>3</v>
      </c>
      <c r="S42" s="23"/>
    </row>
    <row r="43" spans="1:20" ht="12.75" customHeight="1" x14ac:dyDescent="0.2">
      <c r="A43" s="15"/>
      <c r="B43" s="17" t="s">
        <v>33</v>
      </c>
      <c r="C43" s="58">
        <v>17.146508685921173</v>
      </c>
      <c r="D43" s="58">
        <v>17.822798132876812</v>
      </c>
      <c r="E43" s="58">
        <v>17.911175138471659</v>
      </c>
      <c r="F43" s="58">
        <v>19.587450219743701</v>
      </c>
      <c r="G43" s="58">
        <v>17.868884368585746</v>
      </c>
      <c r="H43" s="58">
        <v>19.14077040984116</v>
      </c>
      <c r="I43" s="58">
        <v>19.110573286643771</v>
      </c>
      <c r="J43" s="58">
        <v>20.03683130473766</v>
      </c>
      <c r="K43" s="58">
        <v>22.02071044532175</v>
      </c>
      <c r="L43" s="58">
        <v>22.226176453058674</v>
      </c>
      <c r="M43" s="58">
        <v>23.704846203244088</v>
      </c>
      <c r="N43" s="58">
        <v>22.207108104762266</v>
      </c>
      <c r="O43" s="58">
        <v>22.594634233774766</v>
      </c>
      <c r="P43" s="167">
        <v>22.493751897110126</v>
      </c>
      <c r="Q43" s="437">
        <f t="shared" si="2"/>
        <v>-0.44648802729383874</v>
      </c>
      <c r="R43" s="17" t="s">
        <v>33</v>
      </c>
      <c r="S43" s="23"/>
    </row>
    <row r="44" spans="1:20" ht="12.75" customHeight="1" x14ac:dyDescent="0.2">
      <c r="A44" s="15"/>
      <c r="B44" s="220" t="s">
        <v>4</v>
      </c>
      <c r="C44" s="202">
        <v>23.007696856879679</v>
      </c>
      <c r="D44" s="202">
        <v>23.258567549690142</v>
      </c>
      <c r="E44" s="202">
        <v>22.048322357583544</v>
      </c>
      <c r="F44" s="202">
        <v>22.285776574414683</v>
      </c>
      <c r="G44" s="202">
        <v>20.886453776546631</v>
      </c>
      <c r="H44" s="202">
        <v>21.60194082713814</v>
      </c>
      <c r="I44" s="202">
        <v>21.171207494683856</v>
      </c>
      <c r="J44" s="202">
        <v>20.849872959497766</v>
      </c>
      <c r="K44" s="202">
        <v>20.827749283283858</v>
      </c>
      <c r="L44" s="202">
        <v>21.688390603630552</v>
      </c>
      <c r="M44" s="202">
        <v>20.820411101023264</v>
      </c>
      <c r="N44" s="202">
        <v>20.76417288942179</v>
      </c>
      <c r="O44" s="202">
        <v>21.875010098478988</v>
      </c>
      <c r="P44" s="222">
        <v>22.091059661936551</v>
      </c>
      <c r="Q44" s="510">
        <f t="shared" si="2"/>
        <v>0.98765469128896655</v>
      </c>
      <c r="R44" s="220" t="s">
        <v>4</v>
      </c>
      <c r="S44" s="23"/>
    </row>
    <row r="45" spans="1:20" ht="12.75" customHeight="1" x14ac:dyDescent="0.2">
      <c r="A45" s="15"/>
      <c r="B45" s="241"/>
      <c r="C45" s="241"/>
      <c r="D45" s="241"/>
      <c r="E45" s="241"/>
      <c r="F45" s="241"/>
      <c r="G45" s="241"/>
      <c r="H45" s="241"/>
      <c r="I45" s="241"/>
      <c r="J45" s="241"/>
      <c r="K45" s="241"/>
      <c r="L45" s="241"/>
      <c r="M45" s="241"/>
      <c r="N45" s="241"/>
      <c r="O45" s="241"/>
      <c r="P45" s="241"/>
      <c r="Q45" s="241"/>
      <c r="R45" s="241"/>
      <c r="S45" s="23"/>
    </row>
    <row r="46" spans="1:20" ht="12.75" customHeight="1" x14ac:dyDescent="0.2">
      <c r="A46" s="15"/>
      <c r="B46" s="301" t="s">
        <v>105</v>
      </c>
      <c r="C46" s="258"/>
      <c r="D46" s="258"/>
      <c r="E46" s="258"/>
      <c r="F46" s="258"/>
      <c r="G46" s="258"/>
      <c r="H46" s="258"/>
      <c r="I46" s="258"/>
      <c r="J46" s="258"/>
      <c r="K46" s="258"/>
      <c r="L46" s="258"/>
      <c r="M46" s="258"/>
      <c r="N46" s="258"/>
      <c r="O46" s="258"/>
      <c r="P46" s="258"/>
      <c r="Q46" s="258"/>
      <c r="R46" s="258"/>
      <c r="S46" s="23"/>
    </row>
    <row r="47" spans="1:20" x14ac:dyDescent="0.2">
      <c r="B47" s="133" t="s">
        <v>153</v>
      </c>
      <c r="S47" s="258"/>
    </row>
    <row r="48" spans="1:20" ht="12.75" customHeight="1" x14ac:dyDescent="0.2">
      <c r="B48" s="3" t="s">
        <v>70</v>
      </c>
    </row>
    <row r="49" spans="2:18" ht="12.75" customHeight="1" x14ac:dyDescent="0.2">
      <c r="B49" s="93" t="s">
        <v>72</v>
      </c>
    </row>
    <row r="50" spans="2:18" ht="29.25" customHeight="1" x14ac:dyDescent="0.2">
      <c r="B50" s="545" t="s">
        <v>106</v>
      </c>
      <c r="C50" s="545"/>
      <c r="D50" s="545"/>
      <c r="E50" s="545"/>
      <c r="F50" s="545"/>
      <c r="G50" s="545"/>
      <c r="H50" s="545"/>
      <c r="I50" s="545"/>
      <c r="J50" s="545"/>
      <c r="K50" s="545"/>
      <c r="L50" s="545"/>
      <c r="M50" s="545"/>
      <c r="N50" s="545"/>
      <c r="O50" s="545"/>
      <c r="P50" s="545"/>
      <c r="Q50" s="545"/>
      <c r="R50" s="545"/>
    </row>
  </sheetData>
  <mergeCells count="3">
    <mergeCell ref="B2:R2"/>
    <mergeCell ref="B3:R3"/>
    <mergeCell ref="B50:R50"/>
  </mergeCells>
  <printOptions horizontalCentered="1"/>
  <pageMargins left="0.6692913385826772" right="0.27559055118110237"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M49"/>
  <sheetViews>
    <sheetView topLeftCell="A16" zoomScaleNormal="100" workbookViewId="0">
      <selection activeCell="B38" sqref="B38:AI38"/>
    </sheetView>
  </sheetViews>
  <sheetFormatPr defaultRowHeight="12.75" x14ac:dyDescent="0.2"/>
  <cols>
    <col min="1" max="1" width="3.5703125" customWidth="1"/>
    <col min="2" max="2" width="7.28515625" style="3" customWidth="1"/>
    <col min="3" max="20" width="6.7109375" style="3" customWidth="1"/>
    <col min="21" max="33" width="7.28515625" style="3" customWidth="1"/>
    <col min="34" max="34" width="6.28515625" style="351" customWidth="1"/>
    <col min="35" max="35" width="5.5703125" style="3" customWidth="1"/>
    <col min="36" max="16384" width="9.140625" style="3"/>
  </cols>
  <sheetData>
    <row r="1" spans="1:36" ht="14.25" customHeight="1" x14ac:dyDescent="0.2"/>
    <row r="2" spans="1:36" s="48" customFormat="1" ht="30" customHeight="1" x14ac:dyDescent="0.2">
      <c r="A2"/>
      <c r="B2" s="42"/>
      <c r="C2" s="43"/>
      <c r="D2" s="43"/>
      <c r="E2" s="38"/>
      <c r="F2" s="38"/>
      <c r="G2" s="38"/>
      <c r="H2" s="38"/>
      <c r="I2" s="38"/>
      <c r="J2" s="38"/>
      <c r="K2" s="38"/>
      <c r="L2" s="38"/>
      <c r="M2" s="38"/>
      <c r="N2" s="38"/>
      <c r="O2" s="38"/>
      <c r="P2" s="38"/>
      <c r="Q2" s="38"/>
      <c r="R2" s="3"/>
      <c r="S2" s="3"/>
      <c r="T2" s="3"/>
      <c r="U2" s="39"/>
      <c r="V2" s="39"/>
      <c r="W2" s="39"/>
      <c r="X2" s="39"/>
      <c r="Y2" s="39"/>
      <c r="Z2" s="39"/>
      <c r="AA2" s="39"/>
      <c r="AB2" s="464"/>
      <c r="AC2" s="39"/>
      <c r="AD2" s="39"/>
      <c r="AE2" s="39"/>
      <c r="AF2" s="39"/>
      <c r="AG2" s="39"/>
      <c r="AH2" s="351"/>
      <c r="AI2" s="39" t="s">
        <v>81</v>
      </c>
    </row>
    <row r="3" spans="1:36" ht="15.75" x14ac:dyDescent="0.2">
      <c r="A3" s="81"/>
      <c r="B3" s="579" t="s">
        <v>38</v>
      </c>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row>
    <row r="4" spans="1:36" ht="20.100000000000001" customHeight="1" x14ac:dyDescent="0.2">
      <c r="B4" s="4"/>
      <c r="C4" s="4"/>
      <c r="E4" s="28"/>
      <c r="F4" s="28"/>
      <c r="G4" s="28"/>
      <c r="H4" s="28"/>
      <c r="I4" s="28"/>
      <c r="K4" s="30"/>
      <c r="L4" s="30"/>
      <c r="M4" s="30"/>
      <c r="N4" s="30"/>
      <c r="O4" s="30"/>
      <c r="Q4" s="44"/>
      <c r="R4" s="44"/>
      <c r="X4" s="182"/>
      <c r="Y4" s="21"/>
      <c r="Z4" s="21"/>
      <c r="AA4" s="21"/>
      <c r="AB4" s="21"/>
      <c r="AC4" s="21"/>
      <c r="AD4" s="21"/>
      <c r="AE4" s="182"/>
      <c r="AF4" s="182"/>
      <c r="AG4" s="182" t="s">
        <v>95</v>
      </c>
      <c r="AH4" s="352"/>
      <c r="AI4" s="46"/>
    </row>
    <row r="5" spans="1:36" ht="9.9499999999999993" customHeight="1" x14ac:dyDescent="0.2">
      <c r="B5" s="32"/>
      <c r="C5" s="462">
        <v>1970</v>
      </c>
      <c r="D5" s="462">
        <v>1980</v>
      </c>
      <c r="E5" s="463">
        <v>1990</v>
      </c>
      <c r="F5" s="463">
        <v>1991</v>
      </c>
      <c r="G5" s="463">
        <v>1992</v>
      </c>
      <c r="H5" s="463">
        <v>1993</v>
      </c>
      <c r="I5" s="463">
        <v>1994</v>
      </c>
      <c r="J5" s="463">
        <v>1995</v>
      </c>
      <c r="K5" s="463">
        <v>1996</v>
      </c>
      <c r="L5" s="463">
        <v>1997</v>
      </c>
      <c r="M5" s="463">
        <v>1998</v>
      </c>
      <c r="N5" s="463">
        <v>1999</v>
      </c>
      <c r="O5" s="463">
        <v>2000</v>
      </c>
      <c r="P5" s="463">
        <v>2001</v>
      </c>
      <c r="Q5" s="463">
        <v>2002</v>
      </c>
      <c r="R5" s="463">
        <v>2003</v>
      </c>
      <c r="S5" s="463">
        <v>2004</v>
      </c>
      <c r="T5" s="463">
        <v>2005</v>
      </c>
      <c r="U5" s="463">
        <v>2006</v>
      </c>
      <c r="V5" s="463">
        <v>2007</v>
      </c>
      <c r="W5" s="463">
        <v>2008</v>
      </c>
      <c r="X5" s="463">
        <v>2009</v>
      </c>
      <c r="Y5" s="463">
        <v>2010</v>
      </c>
      <c r="Z5" s="463">
        <v>2011</v>
      </c>
      <c r="AA5" s="463">
        <v>2012</v>
      </c>
      <c r="AB5" s="463">
        <v>2013</v>
      </c>
      <c r="AC5" s="463">
        <v>2014</v>
      </c>
      <c r="AD5" s="463">
        <v>2015</v>
      </c>
      <c r="AE5" s="463">
        <v>2016</v>
      </c>
      <c r="AF5" s="463">
        <v>2017</v>
      </c>
      <c r="AG5" s="463">
        <v>2018</v>
      </c>
      <c r="AH5" s="583" t="s">
        <v>116</v>
      </c>
      <c r="AI5" s="476"/>
      <c r="AJ5" s="2"/>
    </row>
    <row r="6" spans="1:36" ht="12.75" customHeight="1" x14ac:dyDescent="0.2">
      <c r="B6" s="136"/>
      <c r="C6" s="104"/>
      <c r="D6" s="10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144"/>
      <c r="AH6" s="584"/>
      <c r="AI6" s="91"/>
    </row>
    <row r="7" spans="1:36" ht="12.75" customHeight="1" x14ac:dyDescent="0.2">
      <c r="B7" s="88" t="s">
        <v>115</v>
      </c>
      <c r="C7" s="297">
        <f>C8-C36</f>
        <v>526.51900000000001</v>
      </c>
      <c r="D7" s="298">
        <f t="shared" ref="D7:AG7" si="0">D8-D36</f>
        <v>623.61599999999999</v>
      </c>
      <c r="E7" s="298">
        <f t="shared" si="0"/>
        <v>510.34299999999996</v>
      </c>
      <c r="F7" s="298">
        <f t="shared" si="0"/>
        <v>428.62901099999999</v>
      </c>
      <c r="G7" s="298">
        <f t="shared" si="0"/>
        <v>378.96459099999998</v>
      </c>
      <c r="H7" s="298">
        <f t="shared" si="0"/>
        <v>357.89550899999995</v>
      </c>
      <c r="I7" s="298">
        <f t="shared" si="0"/>
        <v>367.15225799999996</v>
      </c>
      <c r="J7" s="298">
        <f t="shared" si="0"/>
        <v>374.81806800000004</v>
      </c>
      <c r="K7" s="298">
        <f t="shared" si="0"/>
        <v>378.76300000000009</v>
      </c>
      <c r="L7" s="298">
        <f t="shared" si="0"/>
        <v>394.35199999999992</v>
      </c>
      <c r="M7" s="298">
        <f t="shared" si="0"/>
        <v>377.03752500000002</v>
      </c>
      <c r="N7" s="298">
        <f t="shared" si="0"/>
        <v>367.11001500293986</v>
      </c>
      <c r="O7" s="298">
        <f t="shared" si="0"/>
        <v>387.9207546422241</v>
      </c>
      <c r="P7" s="298">
        <f t="shared" si="0"/>
        <v>369.25330225225701</v>
      </c>
      <c r="Q7" s="298">
        <f t="shared" si="0"/>
        <v>368.16119255303101</v>
      </c>
      <c r="R7" s="298">
        <f t="shared" si="0"/>
        <v>376.30926875462399</v>
      </c>
      <c r="S7" s="298">
        <f t="shared" si="0"/>
        <v>390.03499999999997</v>
      </c>
      <c r="T7" s="298">
        <f t="shared" si="0"/>
        <v>394.59700000000004</v>
      </c>
      <c r="U7" s="298">
        <f t="shared" si="0"/>
        <v>416.24600000000004</v>
      </c>
      <c r="V7" s="298">
        <f t="shared" si="0"/>
        <v>430.72400000000005</v>
      </c>
      <c r="W7" s="298">
        <f t="shared" si="0"/>
        <v>421.68599999999992</v>
      </c>
      <c r="X7" s="298">
        <f t="shared" si="0"/>
        <v>344.36900000000003</v>
      </c>
      <c r="Y7" s="298">
        <f t="shared" si="0"/>
        <v>374.95499999999998</v>
      </c>
      <c r="Z7" s="298">
        <f t="shared" si="0"/>
        <v>401.12199999999984</v>
      </c>
      <c r="AA7" s="298">
        <f t="shared" si="0"/>
        <v>385.18899999999996</v>
      </c>
      <c r="AB7" s="298">
        <f t="shared" si="0"/>
        <v>384.31900000000007</v>
      </c>
      <c r="AC7" s="298">
        <f t="shared" si="0"/>
        <v>388.67999999999995</v>
      </c>
      <c r="AD7" s="298">
        <f t="shared" si="0"/>
        <v>395.89300000000014</v>
      </c>
      <c r="AE7" s="298">
        <f t="shared" si="0"/>
        <v>411.05700000000007</v>
      </c>
      <c r="AF7" s="298">
        <f t="shared" si="0"/>
        <v>414.81500000000005</v>
      </c>
      <c r="AG7" s="350">
        <f t="shared" si="0"/>
        <v>423.32500000000005</v>
      </c>
      <c r="AH7" s="353">
        <f>AG7/AF7*100-100</f>
        <v>2.051516941287062</v>
      </c>
      <c r="AI7" s="88" t="s">
        <v>115</v>
      </c>
    </row>
    <row r="8" spans="1:36" ht="12.75" customHeight="1" x14ac:dyDescent="0.2">
      <c r="B8" s="289" t="s">
        <v>99</v>
      </c>
      <c r="C8" s="349">
        <f>SUM(C9:C36)+55.9</f>
        <v>551.06899999999996</v>
      </c>
      <c r="D8" s="345">
        <f>SUM(D9:D36)+66.2</f>
        <v>641.43200000000002</v>
      </c>
      <c r="E8" s="346">
        <f>SUM(E9:E36)+59.4</f>
        <v>526.34299999999996</v>
      </c>
      <c r="F8" s="346">
        <f>SUM(F9:F36)+45.8</f>
        <v>443.929011</v>
      </c>
      <c r="G8" s="346">
        <f>SUM(G9:G36)+44</f>
        <v>394.46459099999998</v>
      </c>
      <c r="H8" s="346">
        <f t="shared" ref="H8:AG8" si="1">SUM(H9:H36)</f>
        <v>371.69550899999996</v>
      </c>
      <c r="I8" s="346">
        <f t="shared" si="1"/>
        <v>380.15225799999996</v>
      </c>
      <c r="J8" s="346">
        <f t="shared" si="1"/>
        <v>388.11806800000005</v>
      </c>
      <c r="K8" s="346">
        <f t="shared" si="1"/>
        <v>393.86300000000011</v>
      </c>
      <c r="L8" s="346">
        <f t="shared" si="1"/>
        <v>411.2519999999999</v>
      </c>
      <c r="M8" s="346">
        <f t="shared" si="1"/>
        <v>394.33752500000003</v>
      </c>
      <c r="N8" s="346">
        <f t="shared" si="1"/>
        <v>385.31001500293985</v>
      </c>
      <c r="O8" s="346">
        <f t="shared" si="1"/>
        <v>406.02075464222412</v>
      </c>
      <c r="P8" s="346">
        <f t="shared" si="1"/>
        <v>388.65330225225699</v>
      </c>
      <c r="Q8" s="346">
        <f t="shared" si="1"/>
        <v>386.66119255303101</v>
      </c>
      <c r="R8" s="346">
        <f t="shared" si="1"/>
        <v>395.04326875462397</v>
      </c>
      <c r="S8" s="347">
        <f t="shared" si="1"/>
        <v>412.58699999999999</v>
      </c>
      <c r="T8" s="347">
        <f t="shared" si="1"/>
        <v>416.02400000000006</v>
      </c>
      <c r="U8" s="347">
        <f t="shared" si="1"/>
        <v>438.16500000000002</v>
      </c>
      <c r="V8" s="347">
        <f t="shared" si="1"/>
        <v>451.98900000000003</v>
      </c>
      <c r="W8" s="348">
        <f t="shared" si="1"/>
        <v>442.76299999999992</v>
      </c>
      <c r="X8" s="348">
        <f t="shared" si="1"/>
        <v>363.54</v>
      </c>
      <c r="Y8" s="348">
        <f t="shared" si="1"/>
        <v>393.53100000000001</v>
      </c>
      <c r="Z8" s="348">
        <f t="shared" si="1"/>
        <v>422.09599999999983</v>
      </c>
      <c r="AA8" s="346">
        <f t="shared" si="1"/>
        <v>406.63299999999998</v>
      </c>
      <c r="AB8" s="346">
        <f t="shared" si="1"/>
        <v>406.72000000000008</v>
      </c>
      <c r="AC8" s="346">
        <f t="shared" si="1"/>
        <v>410.82299999999998</v>
      </c>
      <c r="AD8" s="346">
        <f t="shared" si="1"/>
        <v>415.23500000000013</v>
      </c>
      <c r="AE8" s="346">
        <f t="shared" si="1"/>
        <v>428.11000000000007</v>
      </c>
      <c r="AF8" s="346">
        <f t="shared" si="1"/>
        <v>431.98200000000008</v>
      </c>
      <c r="AG8" s="349">
        <f t="shared" si="1"/>
        <v>440.53100000000006</v>
      </c>
      <c r="AH8" s="353">
        <f t="shared" ref="AH8:AH44" si="2">AG8/AF8*100-100</f>
        <v>1.9790176442537017</v>
      </c>
      <c r="AI8" s="289" t="s">
        <v>99</v>
      </c>
    </row>
    <row r="9" spans="1:36" ht="12.75" customHeight="1" x14ac:dyDescent="0.2">
      <c r="A9" s="15"/>
      <c r="B9" s="16" t="s">
        <v>22</v>
      </c>
      <c r="C9" s="302">
        <v>7.8760000000000003</v>
      </c>
      <c r="D9" s="302">
        <v>8.0370000000000008</v>
      </c>
      <c r="E9" s="302">
        <v>8.3699999999999992</v>
      </c>
      <c r="F9" s="177">
        <v>8.2029999999999994</v>
      </c>
      <c r="G9" s="177">
        <v>8.3610000000000007</v>
      </c>
      <c r="H9" s="177">
        <v>7.5960000000000001</v>
      </c>
      <c r="I9" s="177">
        <v>8.0969999999999995</v>
      </c>
      <c r="J9" s="177">
        <v>7.3040000000000003</v>
      </c>
      <c r="K9" s="177">
        <v>7.2439999999999998</v>
      </c>
      <c r="L9" s="177">
        <v>7.4649999999999999</v>
      </c>
      <c r="M9" s="177">
        <v>7.6</v>
      </c>
      <c r="N9" s="303">
        <v>7.3920000000000003</v>
      </c>
      <c r="O9" s="177">
        <v>7.6740000000000004</v>
      </c>
      <c r="P9" s="177">
        <v>7.0810000000000004</v>
      </c>
      <c r="Q9" s="177">
        <v>7.2969999999999997</v>
      </c>
      <c r="R9" s="177">
        <v>7.2930000000000001</v>
      </c>
      <c r="S9" s="177">
        <v>7.6909999999999998</v>
      </c>
      <c r="T9" s="177">
        <v>8.1300000000000008</v>
      </c>
      <c r="U9" s="177">
        <v>8.5719999999999992</v>
      </c>
      <c r="V9" s="177">
        <v>9.2579999999999991</v>
      </c>
      <c r="W9" s="177">
        <v>8.9269999999999996</v>
      </c>
      <c r="X9" s="177">
        <v>6.3739999999999997</v>
      </c>
      <c r="Y9" s="177">
        <v>7.476</v>
      </c>
      <c r="Z9" s="206">
        <v>7.593</v>
      </c>
      <c r="AA9" s="206">
        <f>(1700+1700+1600+1500)/1000+0.78</f>
        <v>7.28</v>
      </c>
      <c r="AB9" s="206">
        <v>7.28</v>
      </c>
      <c r="AC9" s="206">
        <v>7.28</v>
      </c>
      <c r="AD9" s="206">
        <v>7.28</v>
      </c>
      <c r="AE9" s="206">
        <v>7.28</v>
      </c>
      <c r="AF9" s="206">
        <v>7.28</v>
      </c>
      <c r="AG9" s="323">
        <v>7.28</v>
      </c>
      <c r="AH9" s="479">
        <f t="shared" si="2"/>
        <v>0</v>
      </c>
      <c r="AI9" s="17" t="s">
        <v>22</v>
      </c>
    </row>
    <row r="10" spans="1:36" ht="12.75" customHeight="1" x14ac:dyDescent="0.2">
      <c r="A10" s="15"/>
      <c r="B10" s="89" t="s">
        <v>5</v>
      </c>
      <c r="C10" s="154">
        <v>13.7</v>
      </c>
      <c r="D10" s="154">
        <v>17.68</v>
      </c>
      <c r="E10" s="154">
        <v>14.13</v>
      </c>
      <c r="F10" s="155">
        <v>8.6999999999999993</v>
      </c>
      <c r="G10" s="155">
        <v>7.76</v>
      </c>
      <c r="H10" s="155">
        <v>7.7</v>
      </c>
      <c r="I10" s="155">
        <v>7.77</v>
      </c>
      <c r="J10" s="155">
        <v>8.6</v>
      </c>
      <c r="K10" s="155">
        <v>7.5170000000000003</v>
      </c>
      <c r="L10" s="155">
        <v>7.4050000000000002</v>
      </c>
      <c r="M10" s="155">
        <v>6.1520000000000001</v>
      </c>
      <c r="N10" s="155">
        <v>5.2</v>
      </c>
      <c r="O10" s="155">
        <v>5.5380000000000003</v>
      </c>
      <c r="P10" s="155">
        <v>4.9000000000000004</v>
      </c>
      <c r="Q10" s="155">
        <v>4.6269999999999998</v>
      </c>
      <c r="R10" s="155">
        <v>5.274</v>
      </c>
      <c r="S10" s="155">
        <v>5.2110000000000003</v>
      </c>
      <c r="T10" s="155">
        <v>5.1630000000000003</v>
      </c>
      <c r="U10" s="155">
        <v>5.3959999999999999</v>
      </c>
      <c r="V10" s="155">
        <v>5.2409999999999997</v>
      </c>
      <c r="W10" s="155">
        <v>4.6929999999999996</v>
      </c>
      <c r="X10" s="155">
        <v>3.145</v>
      </c>
      <c r="Y10" s="155">
        <v>3.0640000000000001</v>
      </c>
      <c r="Z10" s="155">
        <v>3.2909999999999999</v>
      </c>
      <c r="AA10" s="155">
        <v>2.907</v>
      </c>
      <c r="AB10" s="155">
        <v>3.246</v>
      </c>
      <c r="AC10" s="155">
        <v>3.4390000000000001</v>
      </c>
      <c r="AD10" s="155">
        <v>3.65</v>
      </c>
      <c r="AE10" s="155">
        <v>3.4340000000000002</v>
      </c>
      <c r="AF10" s="155">
        <v>3.931</v>
      </c>
      <c r="AG10" s="156">
        <v>3.8239999999999998</v>
      </c>
      <c r="AH10" s="355">
        <f t="shared" si="2"/>
        <v>-2.7219537013482693</v>
      </c>
      <c r="AI10" s="89" t="s">
        <v>5</v>
      </c>
      <c r="AJ10" s="480"/>
    </row>
    <row r="11" spans="1:36" ht="12.75" customHeight="1" x14ac:dyDescent="0.2">
      <c r="A11" s="15"/>
      <c r="B11" s="17" t="s">
        <v>7</v>
      </c>
      <c r="C11" s="157"/>
      <c r="D11" s="157"/>
      <c r="E11" s="157"/>
      <c r="F11" s="158"/>
      <c r="G11" s="158"/>
      <c r="H11" s="158">
        <v>25.2</v>
      </c>
      <c r="I11" s="158">
        <v>22.8</v>
      </c>
      <c r="J11" s="158">
        <v>22.623000000000001</v>
      </c>
      <c r="K11" s="158">
        <v>22.338999999999999</v>
      </c>
      <c r="L11" s="158">
        <v>21.01</v>
      </c>
      <c r="M11" s="158">
        <v>18.709</v>
      </c>
      <c r="N11" s="158">
        <v>16.713000000000001</v>
      </c>
      <c r="O11" s="158">
        <v>17.495999999999999</v>
      </c>
      <c r="P11" s="158">
        <v>16.899999999999999</v>
      </c>
      <c r="Q11" s="158">
        <v>15.81</v>
      </c>
      <c r="R11" s="158">
        <v>15.862</v>
      </c>
      <c r="S11" s="158">
        <v>15.092000000000001</v>
      </c>
      <c r="T11" s="158">
        <v>14.866</v>
      </c>
      <c r="U11" s="158">
        <v>15.779</v>
      </c>
      <c r="V11" s="158">
        <v>16.303999999999998</v>
      </c>
      <c r="W11" s="158">
        <v>15.436999999999999</v>
      </c>
      <c r="X11" s="158">
        <v>12.791</v>
      </c>
      <c r="Y11" s="158">
        <v>13.77</v>
      </c>
      <c r="Z11" s="158">
        <v>14.316000000000001</v>
      </c>
      <c r="AA11" s="158">
        <v>14.266999999999999</v>
      </c>
      <c r="AB11" s="158">
        <v>13.965</v>
      </c>
      <c r="AC11" s="158">
        <v>14.574999999999999</v>
      </c>
      <c r="AD11" s="158">
        <v>15.260999999999999</v>
      </c>
      <c r="AE11" s="158">
        <v>15.619</v>
      </c>
      <c r="AF11" s="158">
        <v>15.843</v>
      </c>
      <c r="AG11" s="178">
        <v>16.564</v>
      </c>
      <c r="AH11" s="354">
        <f t="shared" si="2"/>
        <v>4.5509057627974414</v>
      </c>
      <c r="AI11" s="17" t="s">
        <v>7</v>
      </c>
    </row>
    <row r="12" spans="1:36" ht="12.75" customHeight="1" x14ac:dyDescent="0.2">
      <c r="A12" s="15"/>
      <c r="B12" s="89" t="s">
        <v>18</v>
      </c>
      <c r="C12" s="154">
        <v>1.7010000000000001</v>
      </c>
      <c r="D12" s="154">
        <v>1.619</v>
      </c>
      <c r="E12" s="154">
        <v>1.73</v>
      </c>
      <c r="F12" s="155">
        <v>1.8580000000000001</v>
      </c>
      <c r="G12" s="155">
        <v>1.87</v>
      </c>
      <c r="H12" s="155">
        <v>1.796</v>
      </c>
      <c r="I12" s="155">
        <v>2.008</v>
      </c>
      <c r="J12" s="155">
        <v>1.9850000000000001</v>
      </c>
      <c r="K12" s="155">
        <v>1.7569999999999999</v>
      </c>
      <c r="L12" s="155">
        <v>1.9830000000000001</v>
      </c>
      <c r="M12" s="155">
        <v>2.0579999999999998</v>
      </c>
      <c r="N12" s="155">
        <v>1.9379999999999999</v>
      </c>
      <c r="O12" s="155">
        <v>2.0249999999999999</v>
      </c>
      <c r="P12" s="155">
        <v>2.0910000000000002</v>
      </c>
      <c r="Q12" s="155">
        <v>1.877</v>
      </c>
      <c r="R12" s="155">
        <v>1.9850000000000001</v>
      </c>
      <c r="S12" s="155">
        <v>2.3210000000000002</v>
      </c>
      <c r="T12" s="155">
        <v>1.976</v>
      </c>
      <c r="U12" s="155">
        <v>1.8919999999999999</v>
      </c>
      <c r="V12" s="155">
        <v>1.7789999999999999</v>
      </c>
      <c r="W12" s="155">
        <v>1.8660000000000001</v>
      </c>
      <c r="X12" s="155">
        <v>1.7</v>
      </c>
      <c r="Y12" s="155">
        <v>2.2389999999999999</v>
      </c>
      <c r="Z12" s="155">
        <v>2.6139999999999999</v>
      </c>
      <c r="AA12" s="155">
        <v>2.278</v>
      </c>
      <c r="AB12" s="155">
        <v>2.4489999999999998</v>
      </c>
      <c r="AC12" s="155">
        <v>2.4529999999999998</v>
      </c>
      <c r="AD12" s="155">
        <v>2.6030000000000002</v>
      </c>
      <c r="AE12" s="155">
        <v>2.6160000000000001</v>
      </c>
      <c r="AF12" s="155">
        <v>2.653</v>
      </c>
      <c r="AG12" s="156">
        <v>2.5939999999999999</v>
      </c>
      <c r="AH12" s="355">
        <f t="shared" si="2"/>
        <v>-2.2238974745571056</v>
      </c>
      <c r="AI12" s="89" t="s">
        <v>18</v>
      </c>
    </row>
    <row r="13" spans="1:36" ht="12.75" customHeight="1" x14ac:dyDescent="0.2">
      <c r="A13" s="15"/>
      <c r="B13" s="17" t="s">
        <v>23</v>
      </c>
      <c r="C13" s="157">
        <v>113</v>
      </c>
      <c r="D13" s="157">
        <v>121.3</v>
      </c>
      <c r="E13" s="157">
        <v>101.7</v>
      </c>
      <c r="F13" s="158">
        <v>82.2</v>
      </c>
      <c r="G13" s="158">
        <v>72.8</v>
      </c>
      <c r="H13" s="158">
        <v>65.599999999999994</v>
      </c>
      <c r="I13" s="158">
        <v>70.7</v>
      </c>
      <c r="J13" s="158">
        <v>70.5</v>
      </c>
      <c r="K13" s="158">
        <v>70</v>
      </c>
      <c r="L13" s="158">
        <v>73.900000000000006</v>
      </c>
      <c r="M13" s="158">
        <v>74.2</v>
      </c>
      <c r="N13" s="158">
        <v>76.822000000000003</v>
      </c>
      <c r="O13" s="158">
        <v>82.674999999999997</v>
      </c>
      <c r="P13" s="158">
        <v>81.042000000000002</v>
      </c>
      <c r="Q13" s="158">
        <v>81.058999999999997</v>
      </c>
      <c r="R13" s="158">
        <v>85.128</v>
      </c>
      <c r="S13" s="158">
        <v>86.409000000000006</v>
      </c>
      <c r="T13" s="158">
        <v>95.42</v>
      </c>
      <c r="U13" s="158">
        <v>107.00700000000001</v>
      </c>
      <c r="V13" s="158">
        <v>114.61499999999999</v>
      </c>
      <c r="W13" s="158">
        <v>115.652</v>
      </c>
      <c r="X13" s="158">
        <v>95.834000000000003</v>
      </c>
      <c r="Y13" s="158">
        <v>107.31699999999999</v>
      </c>
      <c r="Z13" s="158">
        <v>113.31699999999999</v>
      </c>
      <c r="AA13" s="158">
        <v>110.065</v>
      </c>
      <c r="AB13" s="158">
        <v>112.613</v>
      </c>
      <c r="AC13" s="158">
        <v>112.629</v>
      </c>
      <c r="AD13" s="158">
        <v>116.63200000000001</v>
      </c>
      <c r="AE13" s="158">
        <v>132.477</v>
      </c>
      <c r="AF13" s="158">
        <v>123.55200000000001</v>
      </c>
      <c r="AG13" s="178">
        <v>124.62</v>
      </c>
      <c r="AH13" s="354">
        <f t="shared" si="2"/>
        <v>0.86441336441336603</v>
      </c>
      <c r="AI13" s="17" t="s">
        <v>23</v>
      </c>
    </row>
    <row r="14" spans="1:36" ht="12.75" customHeight="1" x14ac:dyDescent="0.2">
      <c r="A14" s="15"/>
      <c r="B14" s="89" t="s">
        <v>8</v>
      </c>
      <c r="C14" s="159">
        <v>5.7</v>
      </c>
      <c r="D14" s="159">
        <v>6.5</v>
      </c>
      <c r="E14" s="159">
        <v>6.98</v>
      </c>
      <c r="F14" s="160">
        <v>6.5</v>
      </c>
      <c r="G14" s="160">
        <v>3.4</v>
      </c>
      <c r="H14" s="160">
        <v>4.2</v>
      </c>
      <c r="I14" s="160">
        <v>3.6</v>
      </c>
      <c r="J14" s="160">
        <v>3.8450000000000002</v>
      </c>
      <c r="K14" s="160">
        <v>4.1980000000000004</v>
      </c>
      <c r="L14" s="160">
        <v>5.1020000000000003</v>
      </c>
      <c r="M14" s="160">
        <v>6.0789999999999997</v>
      </c>
      <c r="N14" s="160">
        <v>7.2949999999999999</v>
      </c>
      <c r="O14" s="160">
        <v>8.1020000000000003</v>
      </c>
      <c r="P14" s="155">
        <v>8.5570000000000004</v>
      </c>
      <c r="Q14" s="161">
        <v>9.6969999999999992</v>
      </c>
      <c r="R14" s="155">
        <v>9.67</v>
      </c>
      <c r="S14" s="160">
        <v>10.488</v>
      </c>
      <c r="T14" s="160">
        <v>10.638999999999999</v>
      </c>
      <c r="U14" s="160">
        <v>10.417999999999999</v>
      </c>
      <c r="V14" s="160">
        <v>8.43</v>
      </c>
      <c r="W14" s="160">
        <v>5.9429999999999996</v>
      </c>
      <c r="X14" s="160">
        <v>5.9470000000000001</v>
      </c>
      <c r="Y14" s="160">
        <v>6.6379999999999999</v>
      </c>
      <c r="Z14" s="160">
        <v>6.2709999999999999</v>
      </c>
      <c r="AA14" s="160">
        <v>5.1289999999999996</v>
      </c>
      <c r="AB14" s="160">
        <v>4.7220000000000004</v>
      </c>
      <c r="AC14" s="160">
        <v>3.2559999999999998</v>
      </c>
      <c r="AD14" s="160">
        <v>3.117</v>
      </c>
      <c r="AE14" s="160">
        <v>2.34</v>
      </c>
      <c r="AF14" s="160">
        <v>2.3250000000000002</v>
      </c>
      <c r="AG14" s="187">
        <v>2.5880000000000001</v>
      </c>
      <c r="AH14" s="355">
        <f t="shared" si="2"/>
        <v>11.311827956989234</v>
      </c>
      <c r="AI14" s="89" t="s">
        <v>8</v>
      </c>
    </row>
    <row r="15" spans="1:36" ht="12.75" customHeight="1" x14ac:dyDescent="0.2">
      <c r="A15" s="15"/>
      <c r="B15" s="17" t="s">
        <v>26</v>
      </c>
      <c r="C15" s="151">
        <v>0.54500000000000004</v>
      </c>
      <c r="D15" s="151">
        <v>0.63700000000000001</v>
      </c>
      <c r="E15" s="151">
        <v>0.58899999999999997</v>
      </c>
      <c r="F15" s="152">
        <v>0.60299999999999998</v>
      </c>
      <c r="G15" s="152">
        <v>0.63300000000000001</v>
      </c>
      <c r="H15" s="152">
        <v>0.57499999999999996</v>
      </c>
      <c r="I15" s="152">
        <v>0.56899999999999995</v>
      </c>
      <c r="J15" s="152">
        <v>0.60199999999999998</v>
      </c>
      <c r="K15" s="152">
        <v>0.56999999999999995</v>
      </c>
      <c r="L15" s="152">
        <v>0.52200000000000002</v>
      </c>
      <c r="M15" s="152">
        <v>0.46600000000000003</v>
      </c>
      <c r="N15" s="152">
        <v>0.52600000000000002</v>
      </c>
      <c r="O15" s="152">
        <v>0.49099999999999999</v>
      </c>
      <c r="P15" s="152">
        <v>0.51600000000000001</v>
      </c>
      <c r="Q15" s="152">
        <v>0.42599999999999999</v>
      </c>
      <c r="R15" s="152">
        <v>0.39800000000000002</v>
      </c>
      <c r="S15" s="152">
        <v>0.39900000000000002</v>
      </c>
      <c r="T15" s="152">
        <v>0.30299999999999999</v>
      </c>
      <c r="U15" s="152">
        <v>0.20499999999999999</v>
      </c>
      <c r="V15" s="152">
        <v>0.129</v>
      </c>
      <c r="W15" s="152">
        <v>0.10299999999999999</v>
      </c>
      <c r="X15" s="152">
        <v>7.9000000000000001E-2</v>
      </c>
      <c r="Y15" s="152">
        <v>9.1999999999999998E-2</v>
      </c>
      <c r="Z15" s="152">
        <v>0.105</v>
      </c>
      <c r="AA15" s="152">
        <v>9.0999999999999998E-2</v>
      </c>
      <c r="AB15" s="152">
        <v>9.9000000000000005E-2</v>
      </c>
      <c r="AC15" s="152">
        <v>0.1</v>
      </c>
      <c r="AD15" s="152">
        <v>9.6000000000000002E-2</v>
      </c>
      <c r="AE15" s="152">
        <v>0.10100000000000001</v>
      </c>
      <c r="AF15" s="152">
        <v>0.1</v>
      </c>
      <c r="AG15" s="188">
        <v>8.8999999999999996E-2</v>
      </c>
      <c r="AH15" s="354">
        <f t="shared" si="2"/>
        <v>-11.000000000000014</v>
      </c>
      <c r="AI15" s="17" t="s">
        <v>26</v>
      </c>
    </row>
    <row r="16" spans="1:36" ht="12.75" customHeight="1" x14ac:dyDescent="0.2">
      <c r="A16" s="15"/>
      <c r="B16" s="89" t="s">
        <v>19</v>
      </c>
      <c r="C16" s="162">
        <v>0.68799999999999994</v>
      </c>
      <c r="D16" s="162">
        <v>0.81399999999999995</v>
      </c>
      <c r="E16" s="162">
        <v>0.60899999999999999</v>
      </c>
      <c r="F16" s="163">
        <v>0.56100000000000005</v>
      </c>
      <c r="G16" s="163">
        <v>0.52700000000000002</v>
      </c>
      <c r="H16" s="163">
        <v>0.503</v>
      </c>
      <c r="I16" s="163">
        <v>0.31</v>
      </c>
      <c r="J16" s="163">
        <v>0.29199999999999998</v>
      </c>
      <c r="K16" s="163">
        <v>0.33700000000000002</v>
      </c>
      <c r="L16" s="163">
        <v>0.317</v>
      </c>
      <c r="M16" s="163">
        <v>0.32600000000000001</v>
      </c>
      <c r="N16" s="163">
        <v>0.32600000000000001</v>
      </c>
      <c r="O16" s="163">
        <v>0.42699999999999999</v>
      </c>
      <c r="P16" s="163">
        <v>0.38</v>
      </c>
      <c r="Q16" s="163">
        <v>0.32700000000000001</v>
      </c>
      <c r="R16" s="155">
        <v>0.45600000000000002</v>
      </c>
      <c r="S16" s="160">
        <v>0.59199999999999997</v>
      </c>
      <c r="T16" s="160">
        <v>0.61299999999999999</v>
      </c>
      <c r="U16" s="160">
        <v>0.66200000000000003</v>
      </c>
      <c r="V16" s="155">
        <v>0.83499999999999996</v>
      </c>
      <c r="W16" s="155">
        <v>0.78600000000000003</v>
      </c>
      <c r="X16" s="155">
        <v>0.55200000000000005</v>
      </c>
      <c r="Y16" s="155">
        <v>0.61399999999999999</v>
      </c>
      <c r="Z16" s="155">
        <v>0.35199999999999998</v>
      </c>
      <c r="AA16" s="155">
        <v>0.28299999999999997</v>
      </c>
      <c r="AB16" s="155">
        <v>0.23699999999999999</v>
      </c>
      <c r="AC16" s="155">
        <v>0.311</v>
      </c>
      <c r="AD16" s="155">
        <v>0.29399999999999998</v>
      </c>
      <c r="AE16" s="155">
        <v>0.254</v>
      </c>
      <c r="AF16" s="155">
        <v>0.35799999999999998</v>
      </c>
      <c r="AG16" s="156">
        <v>0.40799999999999997</v>
      </c>
      <c r="AH16" s="355">
        <f t="shared" si="2"/>
        <v>13.966480446927363</v>
      </c>
      <c r="AI16" s="89" t="s">
        <v>19</v>
      </c>
    </row>
    <row r="17" spans="1:39" ht="12.75" customHeight="1" x14ac:dyDescent="0.2">
      <c r="A17" s="15"/>
      <c r="B17" s="17" t="s">
        <v>24</v>
      </c>
      <c r="C17" s="164">
        <v>9.7409999999999997</v>
      </c>
      <c r="D17" s="164">
        <v>11.281000000000001</v>
      </c>
      <c r="E17" s="164">
        <v>11.153</v>
      </c>
      <c r="F17" s="165">
        <v>10.462</v>
      </c>
      <c r="G17" s="165">
        <v>9.2050000000000001</v>
      </c>
      <c r="H17" s="165">
        <v>7.8360000000000003</v>
      </c>
      <c r="I17" s="165">
        <v>9.0890000000000004</v>
      </c>
      <c r="J17" s="165">
        <v>10.955</v>
      </c>
      <c r="K17" s="165">
        <v>11.125</v>
      </c>
      <c r="L17" s="165">
        <v>12.510999999999999</v>
      </c>
      <c r="M17" s="165">
        <v>11.321999999999999</v>
      </c>
      <c r="N17" s="165">
        <v>11.487</v>
      </c>
      <c r="O17" s="277">
        <v>12.170999999999999</v>
      </c>
      <c r="P17" s="165">
        <v>12.321999999999999</v>
      </c>
      <c r="Q17" s="165">
        <v>12.247</v>
      </c>
      <c r="R17" s="165">
        <v>12.411</v>
      </c>
      <c r="S17" s="165">
        <v>12.436</v>
      </c>
      <c r="T17" s="165">
        <v>11.585000000000001</v>
      </c>
      <c r="U17" s="165">
        <v>11.541</v>
      </c>
      <c r="V17" s="165">
        <v>11.237</v>
      </c>
      <c r="W17" s="165">
        <v>10.971</v>
      </c>
      <c r="X17" s="165">
        <v>7.806</v>
      </c>
      <c r="Y17" s="165">
        <v>8.9130000000000003</v>
      </c>
      <c r="Z17" s="165">
        <v>9.4510000000000005</v>
      </c>
      <c r="AA17" s="165">
        <v>9.4580000000000002</v>
      </c>
      <c r="AB17" s="165">
        <v>9.3379999999999992</v>
      </c>
      <c r="AC17" s="165">
        <v>10.385</v>
      </c>
      <c r="AD17" s="165">
        <v>11.028</v>
      </c>
      <c r="AE17" s="165">
        <v>10.55</v>
      </c>
      <c r="AF17" s="165">
        <v>10.548999999999999</v>
      </c>
      <c r="AG17" s="166">
        <v>10.65</v>
      </c>
      <c r="AH17" s="354">
        <f t="shared" si="2"/>
        <v>0.95743672386008427</v>
      </c>
      <c r="AI17" s="17" t="s">
        <v>24</v>
      </c>
    </row>
    <row r="18" spans="1:39" ht="12.75" customHeight="1" x14ac:dyDescent="0.2">
      <c r="A18" s="15"/>
      <c r="B18" s="89" t="s">
        <v>25</v>
      </c>
      <c r="C18" s="159">
        <v>67.585999999999999</v>
      </c>
      <c r="D18" s="159">
        <v>68.814999999999998</v>
      </c>
      <c r="E18" s="159">
        <v>52.24</v>
      </c>
      <c r="F18" s="160">
        <v>52.430011</v>
      </c>
      <c r="G18" s="160">
        <v>51.180591</v>
      </c>
      <c r="H18" s="160">
        <v>45.582509000000002</v>
      </c>
      <c r="I18" s="160">
        <v>48.871257999999997</v>
      </c>
      <c r="J18" s="160">
        <v>48.266067999999997</v>
      </c>
      <c r="K18" s="160">
        <v>50.113</v>
      </c>
      <c r="L18" s="160">
        <v>54.246000000000002</v>
      </c>
      <c r="M18" s="160">
        <v>54.099525000000007</v>
      </c>
      <c r="N18" s="160">
        <v>54.53801500294</v>
      </c>
      <c r="O18" s="160">
        <v>57.72575464222399</v>
      </c>
      <c r="P18" s="160">
        <v>51.718302252257004</v>
      </c>
      <c r="Q18" s="160">
        <v>51.288192553031003</v>
      </c>
      <c r="R18" s="160">
        <v>48.057268754624005</v>
      </c>
      <c r="S18" s="160">
        <v>45.121000000000002</v>
      </c>
      <c r="T18" s="160">
        <v>40.701000000000001</v>
      </c>
      <c r="U18" s="160">
        <v>41.179000000000002</v>
      </c>
      <c r="V18" s="160">
        <v>42.612000000000002</v>
      </c>
      <c r="W18" s="160">
        <v>40.436</v>
      </c>
      <c r="X18" s="160">
        <v>32.128999999999998</v>
      </c>
      <c r="Y18" s="160">
        <v>29.965</v>
      </c>
      <c r="Z18" s="160">
        <v>34.201999999999998</v>
      </c>
      <c r="AA18" s="160">
        <v>32.539000000000001</v>
      </c>
      <c r="AB18" s="160">
        <v>32.229999999999997</v>
      </c>
      <c r="AC18" s="160">
        <v>32.595999999999997</v>
      </c>
      <c r="AD18" s="160">
        <v>34.252000000000002</v>
      </c>
      <c r="AE18" s="160">
        <v>32.569000000000003</v>
      </c>
      <c r="AF18" s="160">
        <v>33.442</v>
      </c>
      <c r="AG18" s="187">
        <v>32.039000000000001</v>
      </c>
      <c r="AH18" s="355">
        <f t="shared" si="2"/>
        <v>-4.1953232462173276</v>
      </c>
      <c r="AI18" s="89" t="s">
        <v>25</v>
      </c>
    </row>
    <row r="19" spans="1:39" ht="12.75" customHeight="1" x14ac:dyDescent="0.2">
      <c r="A19" s="15"/>
      <c r="B19" s="17" t="s">
        <v>36</v>
      </c>
      <c r="C19" s="118"/>
      <c r="D19" s="118"/>
      <c r="E19" s="118" t="s">
        <v>34</v>
      </c>
      <c r="F19" s="58"/>
      <c r="G19" s="58"/>
      <c r="H19" s="58"/>
      <c r="I19" s="58"/>
      <c r="J19" s="58">
        <v>1.974</v>
      </c>
      <c r="K19" s="58">
        <v>1.7170000000000001</v>
      </c>
      <c r="L19" s="58">
        <v>1.7150000000000001</v>
      </c>
      <c r="M19" s="145">
        <v>1.831</v>
      </c>
      <c r="N19" s="58">
        <v>1.6850000000000001</v>
      </c>
      <c r="O19" s="58">
        <v>1.788</v>
      </c>
      <c r="P19" s="58">
        <v>2.0739999999999998</v>
      </c>
      <c r="Q19" s="58">
        <v>2.206</v>
      </c>
      <c r="R19" s="58">
        <v>2.4870000000000001</v>
      </c>
      <c r="S19" s="58">
        <v>2.4929999999999999</v>
      </c>
      <c r="T19" s="58">
        <v>2.835</v>
      </c>
      <c r="U19" s="58">
        <v>3.3050000000000002</v>
      </c>
      <c r="V19" s="58">
        <v>3.5739999999999998</v>
      </c>
      <c r="W19" s="58">
        <v>3.3119999999999998</v>
      </c>
      <c r="X19" s="58">
        <v>2.641</v>
      </c>
      <c r="Y19" s="58">
        <v>2.6179999999999999</v>
      </c>
      <c r="Z19" s="58">
        <v>2.4380000000000002</v>
      </c>
      <c r="AA19" s="58">
        <v>2.3319999999999999</v>
      </c>
      <c r="AB19" s="58">
        <v>2.0859999999999999</v>
      </c>
      <c r="AC19" s="58">
        <v>2.1190000000000002</v>
      </c>
      <c r="AD19" s="58">
        <v>2.1840000000000002</v>
      </c>
      <c r="AE19" s="58">
        <v>2.16</v>
      </c>
      <c r="AF19" s="58">
        <v>2.5920000000000001</v>
      </c>
      <c r="AG19" s="167">
        <v>2.7429999999999999</v>
      </c>
      <c r="AH19" s="354">
        <f t="shared" si="2"/>
        <v>5.8256172839506064</v>
      </c>
      <c r="AI19" s="17" t="s">
        <v>36</v>
      </c>
    </row>
    <row r="20" spans="1:39" ht="12.75" customHeight="1" x14ac:dyDescent="0.2">
      <c r="A20" s="15"/>
      <c r="B20" s="89" t="s">
        <v>27</v>
      </c>
      <c r="C20" s="162">
        <v>18.068999999999999</v>
      </c>
      <c r="D20" s="162">
        <v>18.384</v>
      </c>
      <c r="E20" s="162">
        <v>19.361000000000001</v>
      </c>
      <c r="F20" s="163">
        <v>19.963000000000001</v>
      </c>
      <c r="G20" s="163">
        <v>19.266999999999999</v>
      </c>
      <c r="H20" s="163">
        <v>18.12</v>
      </c>
      <c r="I20" s="163">
        <v>20.425000000000001</v>
      </c>
      <c r="J20" s="163">
        <v>21.69</v>
      </c>
      <c r="K20" s="163">
        <v>21.033999999999999</v>
      </c>
      <c r="L20" s="163">
        <v>22.902999999999999</v>
      </c>
      <c r="M20" s="163">
        <v>22.454000000000001</v>
      </c>
      <c r="N20" s="163">
        <v>21.548999999999999</v>
      </c>
      <c r="O20" s="163">
        <v>22.817</v>
      </c>
      <c r="P20" s="163">
        <v>21.762</v>
      </c>
      <c r="Q20" s="155">
        <v>20.678999999999998</v>
      </c>
      <c r="R20" s="155">
        <v>20.298999999999999</v>
      </c>
      <c r="S20" s="155">
        <v>22.183</v>
      </c>
      <c r="T20" s="155">
        <v>22.760999999999999</v>
      </c>
      <c r="U20" s="155">
        <v>24.151</v>
      </c>
      <c r="V20" s="155">
        <v>25.285</v>
      </c>
      <c r="W20" s="155">
        <v>23.831</v>
      </c>
      <c r="X20" s="155">
        <v>17.791</v>
      </c>
      <c r="Y20" s="155">
        <v>18.616</v>
      </c>
      <c r="Z20" s="155">
        <v>19.786999999999999</v>
      </c>
      <c r="AA20" s="155">
        <v>20.244</v>
      </c>
      <c r="AB20" s="155">
        <v>19.036999999999999</v>
      </c>
      <c r="AC20" s="155">
        <v>20.157</v>
      </c>
      <c r="AD20" s="155">
        <v>20.780999999999999</v>
      </c>
      <c r="AE20" s="155">
        <v>22.712</v>
      </c>
      <c r="AF20" s="155">
        <v>22.335000000000001</v>
      </c>
      <c r="AG20" s="156">
        <v>22.07</v>
      </c>
      <c r="AH20" s="355">
        <f t="shared" si="2"/>
        <v>-1.1864786209984288</v>
      </c>
      <c r="AI20" s="89" t="s">
        <v>27</v>
      </c>
    </row>
    <row r="21" spans="1:39" ht="12.75" customHeight="1" x14ac:dyDescent="0.2">
      <c r="A21" s="15"/>
      <c r="B21" s="17" t="s">
        <v>6</v>
      </c>
      <c r="C21" s="118" t="s">
        <v>35</v>
      </c>
      <c r="D21" s="118" t="s">
        <v>35</v>
      </c>
      <c r="E21" s="118" t="s">
        <v>35</v>
      </c>
      <c r="F21" s="58" t="s">
        <v>35</v>
      </c>
      <c r="G21" s="58" t="s">
        <v>35</v>
      </c>
      <c r="H21" s="58" t="s">
        <v>35</v>
      </c>
      <c r="I21" s="58" t="s">
        <v>35</v>
      </c>
      <c r="J21" s="58" t="s">
        <v>35</v>
      </c>
      <c r="K21" s="58" t="s">
        <v>35</v>
      </c>
      <c r="L21" s="58" t="s">
        <v>35</v>
      </c>
      <c r="M21" s="58" t="s">
        <v>35</v>
      </c>
      <c r="N21" s="58" t="s">
        <v>35</v>
      </c>
      <c r="O21" s="58" t="s">
        <v>35</v>
      </c>
      <c r="P21" s="58" t="s">
        <v>35</v>
      </c>
      <c r="Q21" s="58" t="s">
        <v>35</v>
      </c>
      <c r="R21" s="58" t="s">
        <v>35</v>
      </c>
      <c r="S21" s="58" t="s">
        <v>35</v>
      </c>
      <c r="T21" s="58" t="s">
        <v>35</v>
      </c>
      <c r="U21" s="58" t="s">
        <v>35</v>
      </c>
      <c r="V21" s="58" t="s">
        <v>35</v>
      </c>
      <c r="W21" s="58" t="s">
        <v>35</v>
      </c>
      <c r="X21" s="58" t="s">
        <v>35</v>
      </c>
      <c r="Y21" s="58" t="s">
        <v>35</v>
      </c>
      <c r="Z21" s="58" t="s">
        <v>35</v>
      </c>
      <c r="AA21" s="58" t="s">
        <v>35</v>
      </c>
      <c r="AB21" s="158" t="s">
        <v>35</v>
      </c>
      <c r="AC21" s="158" t="s">
        <v>35</v>
      </c>
      <c r="AD21" s="158" t="s">
        <v>35</v>
      </c>
      <c r="AE21" s="158" t="s">
        <v>35</v>
      </c>
      <c r="AF21" s="158" t="s">
        <v>35</v>
      </c>
      <c r="AG21" s="178" t="s">
        <v>35</v>
      </c>
      <c r="AH21" s="178" t="s">
        <v>35</v>
      </c>
      <c r="AI21" s="17" t="s">
        <v>6</v>
      </c>
    </row>
    <row r="22" spans="1:39" ht="12.75" customHeight="1" x14ac:dyDescent="0.2">
      <c r="A22" s="15"/>
      <c r="B22" s="89" t="s">
        <v>10</v>
      </c>
      <c r="C22" s="154">
        <v>15.52</v>
      </c>
      <c r="D22" s="154">
        <v>17.59</v>
      </c>
      <c r="E22" s="154">
        <v>18.54</v>
      </c>
      <c r="F22" s="155">
        <v>16.7</v>
      </c>
      <c r="G22" s="155">
        <v>10.119999999999999</v>
      </c>
      <c r="H22" s="155">
        <v>9.85</v>
      </c>
      <c r="I22" s="155">
        <v>9.52</v>
      </c>
      <c r="J22" s="155">
        <v>9.76</v>
      </c>
      <c r="K22" s="155">
        <v>12.413</v>
      </c>
      <c r="L22" s="155">
        <v>13.97</v>
      </c>
      <c r="M22" s="155">
        <v>12.996</v>
      </c>
      <c r="N22" s="155">
        <v>12.21</v>
      </c>
      <c r="O22" s="155">
        <v>13.31</v>
      </c>
      <c r="P22" s="155">
        <v>14.18</v>
      </c>
      <c r="Q22" s="155">
        <v>15.02</v>
      </c>
      <c r="R22" s="155">
        <v>17.954999999999998</v>
      </c>
      <c r="S22" s="155">
        <v>18.617999999999999</v>
      </c>
      <c r="T22" s="155">
        <v>19.779</v>
      </c>
      <c r="U22" s="155">
        <v>16.831</v>
      </c>
      <c r="V22" s="155">
        <v>18.312999999999999</v>
      </c>
      <c r="W22" s="155">
        <v>19.581</v>
      </c>
      <c r="X22" s="155">
        <v>18.725000000000001</v>
      </c>
      <c r="Y22" s="155">
        <v>17.178999999999998</v>
      </c>
      <c r="Z22" s="155">
        <v>21.41</v>
      </c>
      <c r="AA22" s="155">
        <v>21.867000000000001</v>
      </c>
      <c r="AB22" s="155">
        <v>19.532</v>
      </c>
      <c r="AC22" s="155">
        <v>19.440999999999999</v>
      </c>
      <c r="AD22" s="155">
        <v>18.905999999999999</v>
      </c>
      <c r="AE22" s="155">
        <v>15.872999999999999</v>
      </c>
      <c r="AF22" s="155">
        <v>15.013999999999999</v>
      </c>
      <c r="AG22" s="156">
        <v>17.859000000000002</v>
      </c>
      <c r="AH22" s="355">
        <f t="shared" si="2"/>
        <v>18.948980951112304</v>
      </c>
      <c r="AI22" s="89" t="s">
        <v>10</v>
      </c>
      <c r="AM22" s="515"/>
    </row>
    <row r="23" spans="1:39" ht="12.75" customHeight="1" x14ac:dyDescent="0.2">
      <c r="A23" s="15"/>
      <c r="B23" s="17" t="s">
        <v>11</v>
      </c>
      <c r="C23" s="118">
        <v>13.57</v>
      </c>
      <c r="D23" s="118">
        <v>18.239999999999998</v>
      </c>
      <c r="E23" s="118">
        <v>19.260000000000002</v>
      </c>
      <c r="F23" s="58">
        <v>17.7</v>
      </c>
      <c r="G23" s="58">
        <v>11.34</v>
      </c>
      <c r="H23" s="58">
        <v>9.9</v>
      </c>
      <c r="I23" s="58">
        <v>8</v>
      </c>
      <c r="J23" s="58">
        <v>7.2</v>
      </c>
      <c r="K23" s="58">
        <v>8.1029999999999998</v>
      </c>
      <c r="L23" s="58">
        <v>8.6219999999999999</v>
      </c>
      <c r="M23" s="58">
        <v>8.2650000000000006</v>
      </c>
      <c r="N23" s="58">
        <v>7.8490000000000002</v>
      </c>
      <c r="O23" s="58">
        <v>8.9179999999999993</v>
      </c>
      <c r="P23" s="58">
        <v>7.7409999999999997</v>
      </c>
      <c r="Q23" s="58">
        <v>9.7669999999999995</v>
      </c>
      <c r="R23" s="58">
        <v>11.457000000000001</v>
      </c>
      <c r="S23" s="58">
        <v>11.637</v>
      </c>
      <c r="T23" s="58">
        <v>12.457000000000001</v>
      </c>
      <c r="U23" s="58">
        <v>12.896000000000001</v>
      </c>
      <c r="V23" s="58">
        <v>14.372999999999999</v>
      </c>
      <c r="W23" s="58">
        <v>14.747999999999999</v>
      </c>
      <c r="X23" s="58">
        <v>11.888</v>
      </c>
      <c r="Y23" s="58">
        <v>13.430999999999999</v>
      </c>
      <c r="Z23" s="58">
        <v>15.087999999999999</v>
      </c>
      <c r="AA23" s="58">
        <v>14.172000000000001</v>
      </c>
      <c r="AB23" s="58">
        <v>13.343999999999999</v>
      </c>
      <c r="AC23" s="58">
        <v>14.307</v>
      </c>
      <c r="AD23" s="58">
        <v>14.036</v>
      </c>
      <c r="AE23" s="58">
        <v>13.79</v>
      </c>
      <c r="AF23" s="58">
        <v>15.414</v>
      </c>
      <c r="AG23" s="167">
        <v>16.885000000000002</v>
      </c>
      <c r="AH23" s="354">
        <f t="shared" si="2"/>
        <v>9.5432723498118719</v>
      </c>
      <c r="AI23" s="17" t="s">
        <v>11</v>
      </c>
    </row>
    <row r="24" spans="1:39" ht="12.75" customHeight="1" x14ac:dyDescent="0.2">
      <c r="A24" s="15"/>
      <c r="B24" s="89" t="s">
        <v>28</v>
      </c>
      <c r="C24" s="154">
        <v>0.76300000000000001</v>
      </c>
      <c r="D24" s="154">
        <v>0.66500000000000004</v>
      </c>
      <c r="E24" s="154">
        <v>0.61499999999999999</v>
      </c>
      <c r="F24" s="155">
        <v>0.622</v>
      </c>
      <c r="G24" s="155">
        <v>0.59699999999999998</v>
      </c>
      <c r="H24" s="155">
        <v>0.60699999999999998</v>
      </c>
      <c r="I24" s="155">
        <v>0.64500000000000002</v>
      </c>
      <c r="J24" s="155">
        <v>0.52900000000000003</v>
      </c>
      <c r="K24" s="155">
        <v>0.53</v>
      </c>
      <c r="L24" s="155">
        <v>0.56599999999999995</v>
      </c>
      <c r="M24" s="155">
        <v>0.57399999999999995</v>
      </c>
      <c r="N24" s="155">
        <v>0.60799999999999998</v>
      </c>
      <c r="O24" s="155">
        <v>0.63200000000000001</v>
      </c>
      <c r="P24" s="155">
        <v>0.58499999999999996</v>
      </c>
      <c r="Q24" s="155">
        <v>0.55000000000000004</v>
      </c>
      <c r="R24" s="155">
        <v>0.52500000000000002</v>
      </c>
      <c r="S24" s="155">
        <v>0.55900000000000005</v>
      </c>
      <c r="T24" s="155">
        <v>0.39200000000000002</v>
      </c>
      <c r="U24" s="155">
        <v>0.441</v>
      </c>
      <c r="V24" s="155">
        <v>0.57399999999999995</v>
      </c>
      <c r="W24" s="155">
        <v>0.27900000000000003</v>
      </c>
      <c r="X24" s="155">
        <v>0.2</v>
      </c>
      <c r="Y24" s="155">
        <v>0.32300000000000001</v>
      </c>
      <c r="Z24" s="155">
        <v>0.28799999999999998</v>
      </c>
      <c r="AA24" s="160">
        <v>0.23100000000000001</v>
      </c>
      <c r="AB24" s="160">
        <v>0.218</v>
      </c>
      <c r="AC24" s="160">
        <v>0.20799999999999999</v>
      </c>
      <c r="AD24" s="160">
        <v>0.20699999999999999</v>
      </c>
      <c r="AE24" s="160">
        <v>0.20100000000000001</v>
      </c>
      <c r="AF24" s="160">
        <v>0.21299999999999999</v>
      </c>
      <c r="AG24" s="187">
        <v>0.223</v>
      </c>
      <c r="AH24" s="355">
        <f t="shared" si="2"/>
        <v>4.6948356807511686</v>
      </c>
      <c r="AI24" s="89" t="s">
        <v>28</v>
      </c>
    </row>
    <row r="25" spans="1:39" ht="12.75" customHeight="1" x14ac:dyDescent="0.2">
      <c r="A25" s="15"/>
      <c r="B25" s="17" t="s">
        <v>9</v>
      </c>
      <c r="C25" s="157">
        <v>19.82</v>
      </c>
      <c r="D25" s="157">
        <v>24.4</v>
      </c>
      <c r="E25" s="157">
        <v>16.8</v>
      </c>
      <c r="F25" s="158">
        <v>11.9</v>
      </c>
      <c r="G25" s="158">
        <v>10</v>
      </c>
      <c r="H25" s="158">
        <v>7.7</v>
      </c>
      <c r="I25" s="158">
        <v>7.7</v>
      </c>
      <c r="J25" s="158">
        <v>8.4</v>
      </c>
      <c r="K25" s="158">
        <v>7.6</v>
      </c>
      <c r="L25" s="158">
        <v>8.1470000000000002</v>
      </c>
      <c r="M25" s="158">
        <v>8.15</v>
      </c>
      <c r="N25" s="158">
        <v>8.5</v>
      </c>
      <c r="O25" s="158">
        <v>8.8000000000000007</v>
      </c>
      <c r="P25" s="158">
        <v>7.7</v>
      </c>
      <c r="Q25" s="158">
        <v>7.8</v>
      </c>
      <c r="R25" s="158">
        <v>7.6139999999999999</v>
      </c>
      <c r="S25" s="158">
        <v>8.7490000000000006</v>
      </c>
      <c r="T25" s="158">
        <v>9.09</v>
      </c>
      <c r="U25" s="158">
        <v>10.167</v>
      </c>
      <c r="V25" s="158">
        <v>10.048</v>
      </c>
      <c r="W25" s="158">
        <v>9.8740000000000006</v>
      </c>
      <c r="X25" s="158">
        <v>7.673</v>
      </c>
      <c r="Y25" s="158">
        <v>8.8089999999999993</v>
      </c>
      <c r="Z25" s="158">
        <v>9.1180000000000003</v>
      </c>
      <c r="AA25" s="158">
        <v>9.23</v>
      </c>
      <c r="AB25" s="158">
        <v>9.7219999999999995</v>
      </c>
      <c r="AC25" s="158">
        <v>10.157999999999999</v>
      </c>
      <c r="AD25" s="158">
        <v>10.01</v>
      </c>
      <c r="AE25" s="158">
        <v>10.528</v>
      </c>
      <c r="AF25" s="158">
        <v>13.356</v>
      </c>
      <c r="AG25" s="178">
        <v>10.584</v>
      </c>
      <c r="AH25" s="354">
        <f t="shared" si="2"/>
        <v>-20.754716981132077</v>
      </c>
      <c r="AI25" s="17" t="s">
        <v>9</v>
      </c>
    </row>
    <row r="26" spans="1:39" ht="12.75" customHeight="1" x14ac:dyDescent="0.2">
      <c r="A26" s="15"/>
      <c r="B26" s="57" t="s">
        <v>12</v>
      </c>
      <c r="C26" s="162" t="s">
        <v>35</v>
      </c>
      <c r="D26" s="162" t="s">
        <v>35</v>
      </c>
      <c r="E26" s="162" t="s">
        <v>35</v>
      </c>
      <c r="F26" s="163" t="s">
        <v>35</v>
      </c>
      <c r="G26" s="163" t="s">
        <v>35</v>
      </c>
      <c r="H26" s="163" t="s">
        <v>35</v>
      </c>
      <c r="I26" s="163" t="s">
        <v>35</v>
      </c>
      <c r="J26" s="163" t="s">
        <v>35</v>
      </c>
      <c r="K26" s="163" t="s">
        <v>35</v>
      </c>
      <c r="L26" s="163" t="s">
        <v>35</v>
      </c>
      <c r="M26" s="163" t="s">
        <v>35</v>
      </c>
      <c r="N26" s="163" t="s">
        <v>35</v>
      </c>
      <c r="O26" s="163" t="s">
        <v>35</v>
      </c>
      <c r="P26" s="163" t="s">
        <v>35</v>
      </c>
      <c r="Q26" s="163" t="s">
        <v>35</v>
      </c>
      <c r="R26" s="163" t="s">
        <v>35</v>
      </c>
      <c r="S26" s="163" t="s">
        <v>35</v>
      </c>
      <c r="T26" s="163" t="s">
        <v>35</v>
      </c>
      <c r="U26" s="163" t="s">
        <v>35</v>
      </c>
      <c r="V26" s="163" t="s">
        <v>35</v>
      </c>
      <c r="W26" s="163" t="s">
        <v>35</v>
      </c>
      <c r="X26" s="163" t="s">
        <v>35</v>
      </c>
      <c r="Y26" s="163" t="s">
        <v>35</v>
      </c>
      <c r="Z26" s="163" t="s">
        <v>35</v>
      </c>
      <c r="AA26" s="163" t="s">
        <v>35</v>
      </c>
      <c r="AB26" s="163" t="s">
        <v>35</v>
      </c>
      <c r="AC26" s="163" t="s">
        <v>35</v>
      </c>
      <c r="AD26" s="163" t="s">
        <v>35</v>
      </c>
      <c r="AE26" s="163" t="s">
        <v>35</v>
      </c>
      <c r="AF26" s="163" t="s">
        <v>35</v>
      </c>
      <c r="AG26" s="183" t="s">
        <v>35</v>
      </c>
      <c r="AH26" s="163" t="s">
        <v>35</v>
      </c>
      <c r="AI26" s="57" t="s">
        <v>12</v>
      </c>
    </row>
    <row r="27" spans="1:39" ht="12.75" customHeight="1" x14ac:dyDescent="0.2">
      <c r="A27" s="15"/>
      <c r="B27" s="17" t="s">
        <v>20</v>
      </c>
      <c r="C27" s="118">
        <v>3.7149999999999999</v>
      </c>
      <c r="D27" s="118">
        <v>3.468</v>
      </c>
      <c r="E27" s="118">
        <v>3.07</v>
      </c>
      <c r="F27" s="58">
        <v>3.0379999999999998</v>
      </c>
      <c r="G27" s="58">
        <v>2.76</v>
      </c>
      <c r="H27" s="58">
        <v>2.68</v>
      </c>
      <c r="I27" s="58">
        <v>2.83</v>
      </c>
      <c r="J27" s="58">
        <v>3.1</v>
      </c>
      <c r="K27" s="58">
        <v>3.1230000000000002</v>
      </c>
      <c r="L27" s="58">
        <v>3.4060000000000001</v>
      </c>
      <c r="M27" s="58">
        <v>3.778</v>
      </c>
      <c r="N27" s="58">
        <v>3.988</v>
      </c>
      <c r="O27" s="58">
        <v>4.5220000000000002</v>
      </c>
      <c r="P27" s="58">
        <v>4.2930000000000001</v>
      </c>
      <c r="Q27" s="58">
        <v>4.024</v>
      </c>
      <c r="R27" s="58">
        <v>4.7050000000000001</v>
      </c>
      <c r="S27" s="58">
        <v>5.8310000000000004</v>
      </c>
      <c r="T27" s="58">
        <v>5.8650000000000002</v>
      </c>
      <c r="U27" s="58">
        <v>6.2889999999999997</v>
      </c>
      <c r="V27" s="58">
        <v>7.2160000000000002</v>
      </c>
      <c r="W27" s="58">
        <v>6.984</v>
      </c>
      <c r="X27" s="58">
        <v>5.5780000000000003</v>
      </c>
      <c r="Y27" s="58">
        <v>5.9249999999999998</v>
      </c>
      <c r="Z27" s="58">
        <v>6.3780000000000001</v>
      </c>
      <c r="AA27" s="158">
        <v>6.1420000000000003</v>
      </c>
      <c r="AB27" s="158">
        <v>6.0780000000000003</v>
      </c>
      <c r="AC27" s="158">
        <v>6.1689999999999996</v>
      </c>
      <c r="AD27" s="158">
        <v>6.5449999999999999</v>
      </c>
      <c r="AE27" s="158">
        <v>6.641</v>
      </c>
      <c r="AF27" s="158">
        <v>6.4669999999999996</v>
      </c>
      <c r="AG27" s="178">
        <v>7.0229999999999997</v>
      </c>
      <c r="AH27" s="354">
        <f t="shared" si="2"/>
        <v>8.5974949744858549</v>
      </c>
      <c r="AI27" s="17" t="s">
        <v>20</v>
      </c>
    </row>
    <row r="28" spans="1:39" ht="12.75" customHeight="1" x14ac:dyDescent="0.2">
      <c r="A28" s="15"/>
      <c r="B28" s="89" t="s">
        <v>29</v>
      </c>
      <c r="C28" s="154">
        <v>9.8680000000000003</v>
      </c>
      <c r="D28" s="154">
        <v>11.002000000000001</v>
      </c>
      <c r="E28" s="154">
        <v>12.157999999999999</v>
      </c>
      <c r="F28" s="155">
        <v>12.321999999999999</v>
      </c>
      <c r="G28" s="155">
        <v>11.57</v>
      </c>
      <c r="H28" s="155">
        <v>11.24</v>
      </c>
      <c r="I28" s="155">
        <v>12.42</v>
      </c>
      <c r="J28" s="155">
        <v>13.2</v>
      </c>
      <c r="K28" s="155">
        <v>13.33</v>
      </c>
      <c r="L28" s="155">
        <v>14.199</v>
      </c>
      <c r="M28" s="155">
        <v>14.71</v>
      </c>
      <c r="N28" s="155">
        <v>15.04</v>
      </c>
      <c r="O28" s="163">
        <v>16.600000000000001</v>
      </c>
      <c r="P28" s="163">
        <v>16.893000000000001</v>
      </c>
      <c r="Q28" s="163">
        <v>17.13</v>
      </c>
      <c r="R28" s="163">
        <v>16.866</v>
      </c>
      <c r="S28" s="155">
        <v>18.757000000000001</v>
      </c>
      <c r="T28" s="155">
        <v>18.957000000000001</v>
      </c>
      <c r="U28" s="155">
        <v>20.98</v>
      </c>
      <c r="V28" s="155">
        <v>21.370999999999999</v>
      </c>
      <c r="W28" s="155">
        <v>21.914999999999999</v>
      </c>
      <c r="X28" s="155">
        <v>17.766999999999999</v>
      </c>
      <c r="Y28" s="155">
        <v>19.832999999999998</v>
      </c>
      <c r="Z28" s="155">
        <v>20.344999999999999</v>
      </c>
      <c r="AA28" s="160">
        <v>19.498999999999999</v>
      </c>
      <c r="AB28" s="160">
        <v>19.277999999999999</v>
      </c>
      <c r="AC28" s="160">
        <v>20.494</v>
      </c>
      <c r="AD28" s="160">
        <v>20.265999999999998</v>
      </c>
      <c r="AE28" s="160">
        <v>21.361000000000001</v>
      </c>
      <c r="AF28" s="160">
        <v>22.256</v>
      </c>
      <c r="AG28" s="187">
        <v>21.995999999999999</v>
      </c>
      <c r="AH28" s="355">
        <f t="shared" si="2"/>
        <v>-1.1682242990654288</v>
      </c>
      <c r="AI28" s="89" t="s">
        <v>29</v>
      </c>
    </row>
    <row r="29" spans="1:39" ht="12.75" customHeight="1" x14ac:dyDescent="0.2">
      <c r="A29" s="15"/>
      <c r="B29" s="17" t="s">
        <v>13</v>
      </c>
      <c r="C29" s="149">
        <v>98</v>
      </c>
      <c r="D29" s="149">
        <v>132.4</v>
      </c>
      <c r="E29" s="149">
        <v>81.599999999999994</v>
      </c>
      <c r="F29" s="145">
        <v>65.2</v>
      </c>
      <c r="G29" s="145">
        <v>57.8</v>
      </c>
      <c r="H29" s="145">
        <v>63.2</v>
      </c>
      <c r="I29" s="145">
        <v>64.7</v>
      </c>
      <c r="J29" s="145">
        <v>68.2</v>
      </c>
      <c r="K29" s="145">
        <v>67.400000000000006</v>
      </c>
      <c r="L29" s="145">
        <v>67.7</v>
      </c>
      <c r="M29" s="145">
        <v>60.9</v>
      </c>
      <c r="N29" s="145">
        <v>55.1</v>
      </c>
      <c r="O29" s="145">
        <v>54</v>
      </c>
      <c r="P29" s="145">
        <v>47.7</v>
      </c>
      <c r="Q29" s="145">
        <v>46.6</v>
      </c>
      <c r="R29" s="145">
        <v>47.406999999999996</v>
      </c>
      <c r="S29" s="58">
        <v>52.332000000000001</v>
      </c>
      <c r="T29" s="58">
        <v>49.972000000000001</v>
      </c>
      <c r="U29" s="58">
        <v>53.622</v>
      </c>
      <c r="V29" s="58">
        <v>54.253</v>
      </c>
      <c r="W29" s="58">
        <v>52.042999999999999</v>
      </c>
      <c r="X29" s="58">
        <v>43.445</v>
      </c>
      <c r="Y29" s="58">
        <v>48.704999999999998</v>
      </c>
      <c r="Z29" s="58">
        <v>53.746000000000002</v>
      </c>
      <c r="AA29" s="158">
        <v>48.902999999999999</v>
      </c>
      <c r="AB29" s="158">
        <v>50.881</v>
      </c>
      <c r="AC29" s="158">
        <v>50.073</v>
      </c>
      <c r="AD29" s="158">
        <v>50.603000000000002</v>
      </c>
      <c r="AE29" s="158">
        <v>50.65</v>
      </c>
      <c r="AF29" s="158">
        <v>54.796999999999997</v>
      </c>
      <c r="AG29" s="178">
        <v>59.387999999999998</v>
      </c>
      <c r="AH29" s="354">
        <f t="shared" si="2"/>
        <v>8.378195886636135</v>
      </c>
      <c r="AI29" s="17" t="s">
        <v>13</v>
      </c>
    </row>
    <row r="30" spans="1:39" ht="12.75" customHeight="1" x14ac:dyDescent="0.2">
      <c r="A30" s="15"/>
      <c r="B30" s="89" t="s">
        <v>30</v>
      </c>
      <c r="C30" s="154">
        <v>0.77600000000000002</v>
      </c>
      <c r="D30" s="154">
        <v>1.0009999999999999</v>
      </c>
      <c r="E30" s="154">
        <v>1.4590000000000001</v>
      </c>
      <c r="F30" s="155">
        <v>1.66</v>
      </c>
      <c r="G30" s="155">
        <v>1.7669999999999999</v>
      </c>
      <c r="H30" s="155">
        <v>1.6659999999999999</v>
      </c>
      <c r="I30" s="155">
        <v>1.635</v>
      </c>
      <c r="J30" s="155">
        <v>2.0190000000000001</v>
      </c>
      <c r="K30" s="155">
        <v>1.857</v>
      </c>
      <c r="L30" s="155">
        <v>2.2469999999999999</v>
      </c>
      <c r="M30" s="155">
        <v>2.048</v>
      </c>
      <c r="N30" s="155">
        <v>2.1789999999999998</v>
      </c>
      <c r="O30" s="155">
        <v>2.1829999999999998</v>
      </c>
      <c r="P30" s="155">
        <v>2.1379999999999999</v>
      </c>
      <c r="Q30" s="155">
        <v>2.1930000000000001</v>
      </c>
      <c r="R30" s="155">
        <v>2.073</v>
      </c>
      <c r="S30" s="155">
        <v>2.282</v>
      </c>
      <c r="T30" s="155">
        <v>2.4220000000000002</v>
      </c>
      <c r="U30" s="155">
        <v>2.4300000000000002</v>
      </c>
      <c r="V30" s="155">
        <v>2.5859999999999999</v>
      </c>
      <c r="W30" s="155">
        <v>2.5489999999999999</v>
      </c>
      <c r="X30" s="155">
        <v>2.1739999999999999</v>
      </c>
      <c r="Y30" s="155">
        <v>2.3130000000000002</v>
      </c>
      <c r="Z30" s="155">
        <v>2.3220000000000001</v>
      </c>
      <c r="AA30" s="160">
        <v>2.4209999999999998</v>
      </c>
      <c r="AB30" s="160">
        <v>2.29</v>
      </c>
      <c r="AC30" s="160">
        <v>2.4340000000000002</v>
      </c>
      <c r="AD30" s="160">
        <v>2.6880000000000002</v>
      </c>
      <c r="AE30" s="160">
        <v>2.774</v>
      </c>
      <c r="AF30" s="160">
        <v>2.7509999999999999</v>
      </c>
      <c r="AG30" s="187">
        <v>2.7650000000000001</v>
      </c>
      <c r="AH30" s="355">
        <f t="shared" si="2"/>
        <v>0.50890585241731401</v>
      </c>
      <c r="AI30" s="89" t="s">
        <v>30</v>
      </c>
    </row>
    <row r="31" spans="1:39" ht="12.75" customHeight="1" x14ac:dyDescent="0.2">
      <c r="A31" s="15"/>
      <c r="B31" s="17" t="s">
        <v>14</v>
      </c>
      <c r="C31" s="164">
        <v>43.1</v>
      </c>
      <c r="D31" s="164">
        <v>64.8</v>
      </c>
      <c r="E31" s="164">
        <v>48.911999999999999</v>
      </c>
      <c r="F31" s="165">
        <v>32.561</v>
      </c>
      <c r="G31" s="165">
        <v>24.387</v>
      </c>
      <c r="H31" s="165">
        <v>22.045999999999999</v>
      </c>
      <c r="I31" s="165">
        <v>21.745999999999999</v>
      </c>
      <c r="J31" s="165">
        <v>17.907</v>
      </c>
      <c r="K31" s="165">
        <v>24.254000000000001</v>
      </c>
      <c r="L31" s="165">
        <v>22.111000000000001</v>
      </c>
      <c r="M31" s="165">
        <v>16.619</v>
      </c>
      <c r="N31" s="165">
        <v>14.679</v>
      </c>
      <c r="O31" s="171">
        <v>16.353999999999999</v>
      </c>
      <c r="P31" s="165">
        <v>16.102</v>
      </c>
      <c r="Q31" s="165">
        <v>15.218</v>
      </c>
      <c r="R31" s="165">
        <v>15.039</v>
      </c>
      <c r="S31" s="165">
        <v>17.021999999999998</v>
      </c>
      <c r="T31" s="165">
        <v>16.582000000000001</v>
      </c>
      <c r="U31" s="165">
        <v>15.791</v>
      </c>
      <c r="V31" s="165">
        <v>15.757</v>
      </c>
      <c r="W31" s="165">
        <v>15.236000000000001</v>
      </c>
      <c r="X31" s="165">
        <v>11.087999999999999</v>
      </c>
      <c r="Y31" s="165">
        <v>12.375</v>
      </c>
      <c r="Z31" s="165">
        <v>14.718999999999999</v>
      </c>
      <c r="AA31" s="152">
        <v>13.472</v>
      </c>
      <c r="AB31" s="152">
        <v>12.941000000000001</v>
      </c>
      <c r="AC31" s="152">
        <v>12.263999999999999</v>
      </c>
      <c r="AD31" s="152">
        <v>13.673</v>
      </c>
      <c r="AE31" s="152">
        <v>13.535</v>
      </c>
      <c r="AF31" s="152">
        <v>13.782</v>
      </c>
      <c r="AG31" s="188">
        <v>13.076000000000001</v>
      </c>
      <c r="AH31" s="354">
        <f t="shared" si="2"/>
        <v>-5.1226237120882274</v>
      </c>
      <c r="AI31" s="17" t="s">
        <v>14</v>
      </c>
    </row>
    <row r="32" spans="1:39" ht="12.75" customHeight="1" x14ac:dyDescent="0.2">
      <c r="A32" s="15"/>
      <c r="B32" s="89" t="s">
        <v>16</v>
      </c>
      <c r="C32" s="154">
        <v>3.3</v>
      </c>
      <c r="D32" s="154">
        <v>3.8</v>
      </c>
      <c r="E32" s="154">
        <v>4.21</v>
      </c>
      <c r="F32" s="155">
        <v>3.2</v>
      </c>
      <c r="G32" s="155">
        <v>2.57</v>
      </c>
      <c r="H32" s="155">
        <v>2.2599999999999998</v>
      </c>
      <c r="I32" s="155">
        <v>2.5</v>
      </c>
      <c r="J32" s="155">
        <v>3.0760000000000001</v>
      </c>
      <c r="K32" s="155">
        <v>2.5499999999999998</v>
      </c>
      <c r="L32" s="155">
        <v>2.9</v>
      </c>
      <c r="M32" s="155">
        <v>2.9</v>
      </c>
      <c r="N32" s="155">
        <v>2.7839999999999998</v>
      </c>
      <c r="O32" s="155">
        <v>2.8570000000000002</v>
      </c>
      <c r="P32" s="155">
        <v>2.8370000000000002</v>
      </c>
      <c r="Q32" s="155">
        <v>3.0779999999999998</v>
      </c>
      <c r="R32" s="155">
        <v>3.0179999999999998</v>
      </c>
      <c r="S32" s="155">
        <v>3.149</v>
      </c>
      <c r="T32" s="155">
        <v>3.2450000000000001</v>
      </c>
      <c r="U32" s="155">
        <v>3.3730000000000002</v>
      </c>
      <c r="V32" s="155">
        <v>3.6030000000000002</v>
      </c>
      <c r="W32" s="155">
        <v>3.52</v>
      </c>
      <c r="X32" s="155">
        <v>2.8170000000000002</v>
      </c>
      <c r="Y32" s="155">
        <v>3.4209999999999998</v>
      </c>
      <c r="Z32" s="155">
        <v>3.7519999999999998</v>
      </c>
      <c r="AA32" s="160">
        <v>3.47</v>
      </c>
      <c r="AB32" s="160">
        <v>3.7989999999999999</v>
      </c>
      <c r="AC32" s="160">
        <v>4.1100000000000003</v>
      </c>
      <c r="AD32" s="160">
        <v>4.1749999999999998</v>
      </c>
      <c r="AE32" s="160">
        <v>4.3600000000000003</v>
      </c>
      <c r="AF32" s="160">
        <v>5.1280000000000001</v>
      </c>
      <c r="AG32" s="187">
        <v>5.1509999999999998</v>
      </c>
      <c r="AH32" s="355">
        <f t="shared" si="2"/>
        <v>0.44851794071763607</v>
      </c>
      <c r="AI32" s="89" t="s">
        <v>16</v>
      </c>
    </row>
    <row r="33" spans="1:35" ht="12.75" customHeight="1" x14ac:dyDescent="0.2">
      <c r="A33" s="15"/>
      <c r="B33" s="17" t="s">
        <v>15</v>
      </c>
      <c r="C33" s="164"/>
      <c r="D33" s="164"/>
      <c r="E33" s="164"/>
      <c r="F33" s="165"/>
      <c r="G33" s="165"/>
      <c r="H33" s="165">
        <v>14.2</v>
      </c>
      <c r="I33" s="165">
        <v>12.2</v>
      </c>
      <c r="J33" s="165">
        <v>13.8</v>
      </c>
      <c r="K33" s="165">
        <v>12</v>
      </c>
      <c r="L33" s="165">
        <v>12.368</v>
      </c>
      <c r="M33" s="165">
        <v>11.753</v>
      </c>
      <c r="N33" s="165">
        <v>9.859</v>
      </c>
      <c r="O33" s="165">
        <v>11.233000000000001</v>
      </c>
      <c r="P33" s="165">
        <v>10.93</v>
      </c>
      <c r="Q33" s="165">
        <v>10.38</v>
      </c>
      <c r="R33" s="165">
        <v>10.113</v>
      </c>
      <c r="S33" s="165">
        <v>9.702</v>
      </c>
      <c r="T33" s="165">
        <v>9.4629999999999992</v>
      </c>
      <c r="U33" s="165">
        <v>9.9879999999999995</v>
      </c>
      <c r="V33" s="165">
        <v>9.6470000000000002</v>
      </c>
      <c r="W33" s="165">
        <v>9.2989999999999995</v>
      </c>
      <c r="X33" s="165">
        <v>6.9640000000000004</v>
      </c>
      <c r="Y33" s="165">
        <v>8.1050000000000004</v>
      </c>
      <c r="Z33" s="165">
        <v>7.96</v>
      </c>
      <c r="AA33" s="152">
        <v>7.5910000000000002</v>
      </c>
      <c r="AB33" s="152">
        <v>8.4939999999999998</v>
      </c>
      <c r="AC33" s="152">
        <v>8.8290000000000006</v>
      </c>
      <c r="AD33" s="152">
        <v>8.4390000000000001</v>
      </c>
      <c r="AE33" s="152">
        <v>8.3699999999999992</v>
      </c>
      <c r="AF33" s="152">
        <v>8.4770000000000003</v>
      </c>
      <c r="AG33" s="188">
        <v>8.3729999999999993</v>
      </c>
      <c r="AH33" s="354">
        <f t="shared" si="2"/>
        <v>-1.2268491211513606</v>
      </c>
      <c r="AI33" s="17" t="s">
        <v>15</v>
      </c>
    </row>
    <row r="34" spans="1:35" ht="12.75" customHeight="1" x14ac:dyDescent="0.2">
      <c r="A34" s="15"/>
      <c r="B34" s="89" t="s">
        <v>31</v>
      </c>
      <c r="C34" s="154">
        <v>6.27</v>
      </c>
      <c r="D34" s="154">
        <v>8.3350000000000009</v>
      </c>
      <c r="E34" s="154">
        <v>8.3569999999999993</v>
      </c>
      <c r="F34" s="155">
        <v>7.63</v>
      </c>
      <c r="G34" s="155">
        <v>7.8479999999999999</v>
      </c>
      <c r="H34" s="155">
        <v>9.26</v>
      </c>
      <c r="I34" s="155">
        <v>9.9480000000000004</v>
      </c>
      <c r="J34" s="155">
        <v>9.6</v>
      </c>
      <c r="K34" s="155">
        <v>8.8059999999999992</v>
      </c>
      <c r="L34" s="155">
        <v>9.8559999999999999</v>
      </c>
      <c r="M34" s="155">
        <v>9.8849999999999998</v>
      </c>
      <c r="N34" s="155">
        <v>9.7530000000000001</v>
      </c>
      <c r="O34" s="155">
        <v>10.106999999999999</v>
      </c>
      <c r="P34" s="155">
        <v>9.8569999999999993</v>
      </c>
      <c r="Q34" s="155">
        <v>9.6639999999999997</v>
      </c>
      <c r="R34" s="155">
        <v>10.047000000000001</v>
      </c>
      <c r="S34" s="155">
        <v>10.105</v>
      </c>
      <c r="T34" s="155">
        <v>9.7059999999999995</v>
      </c>
      <c r="U34" s="155">
        <v>11.06</v>
      </c>
      <c r="V34" s="155">
        <v>10.433999999999999</v>
      </c>
      <c r="W34" s="155">
        <v>10.776999999999999</v>
      </c>
      <c r="X34" s="155">
        <v>8.8719999999999999</v>
      </c>
      <c r="Y34" s="155">
        <v>9.75</v>
      </c>
      <c r="Z34" s="155">
        <v>9.3949999999999996</v>
      </c>
      <c r="AA34" s="160">
        <v>9.2750000000000004</v>
      </c>
      <c r="AB34" s="160">
        <v>9.4700000000000006</v>
      </c>
      <c r="AC34" s="160">
        <v>9.5969999999999995</v>
      </c>
      <c r="AD34" s="160">
        <v>8.468</v>
      </c>
      <c r="AE34" s="160">
        <v>9.4559999999999995</v>
      </c>
      <c r="AF34" s="160">
        <v>10.362</v>
      </c>
      <c r="AG34" s="187">
        <v>11.175000000000001</v>
      </c>
      <c r="AH34" s="355">
        <f t="shared" si="2"/>
        <v>7.8459756803706</v>
      </c>
      <c r="AI34" s="89" t="s">
        <v>31</v>
      </c>
    </row>
    <row r="35" spans="1:35" ht="12.75" customHeight="1" x14ac:dyDescent="0.2">
      <c r="A35" s="15"/>
      <c r="B35" s="17" t="s">
        <v>32</v>
      </c>
      <c r="C35" s="164">
        <v>17.311</v>
      </c>
      <c r="D35" s="164">
        <v>16.648</v>
      </c>
      <c r="E35" s="164">
        <v>19.100000000000001</v>
      </c>
      <c r="F35" s="165">
        <v>18.815999999999999</v>
      </c>
      <c r="G35" s="165">
        <v>19.202000000000002</v>
      </c>
      <c r="H35" s="165">
        <v>18.577999999999999</v>
      </c>
      <c r="I35" s="165">
        <v>19.068999999999999</v>
      </c>
      <c r="J35" s="165">
        <v>19.390999999999998</v>
      </c>
      <c r="K35" s="165">
        <v>18.846</v>
      </c>
      <c r="L35" s="165">
        <v>19.181000000000001</v>
      </c>
      <c r="M35" s="165">
        <v>19.163</v>
      </c>
      <c r="N35" s="165">
        <v>19.09</v>
      </c>
      <c r="O35" s="165">
        <v>19.475000000000001</v>
      </c>
      <c r="P35" s="165">
        <v>18.954000000000001</v>
      </c>
      <c r="Q35" s="165">
        <v>19.196999999999999</v>
      </c>
      <c r="R35" s="165">
        <v>20.170000000000002</v>
      </c>
      <c r="S35" s="165">
        <v>20.856000000000002</v>
      </c>
      <c r="T35" s="165">
        <v>21.675000000000001</v>
      </c>
      <c r="U35" s="165">
        <v>22.271000000000001</v>
      </c>
      <c r="V35" s="165">
        <v>23.25</v>
      </c>
      <c r="W35" s="165">
        <v>22.923999999999999</v>
      </c>
      <c r="X35" s="165">
        <v>20.388999999999999</v>
      </c>
      <c r="Y35" s="165">
        <v>23.463999999999999</v>
      </c>
      <c r="Z35" s="165">
        <v>22.864000000000001</v>
      </c>
      <c r="AA35" s="152">
        <v>22.042999999999999</v>
      </c>
      <c r="AB35" s="152">
        <v>20.97</v>
      </c>
      <c r="AC35" s="152">
        <v>21.295999999999999</v>
      </c>
      <c r="AD35" s="152">
        <v>20.699000000000002</v>
      </c>
      <c r="AE35" s="152">
        <v>21.405999999999999</v>
      </c>
      <c r="AF35" s="152">
        <v>21.838000000000001</v>
      </c>
      <c r="AG35" s="188">
        <v>23.358000000000001</v>
      </c>
      <c r="AH35" s="354">
        <f t="shared" si="2"/>
        <v>6.9603443538785541</v>
      </c>
      <c r="AI35" s="17" t="s">
        <v>32</v>
      </c>
    </row>
    <row r="36" spans="1:35" ht="12.75" customHeight="1" x14ac:dyDescent="0.2">
      <c r="A36" s="15"/>
      <c r="B36" s="289" t="s">
        <v>21</v>
      </c>
      <c r="C36" s="372">
        <v>24.55</v>
      </c>
      <c r="D36" s="372">
        <v>17.815999999999999</v>
      </c>
      <c r="E36" s="372">
        <v>16</v>
      </c>
      <c r="F36" s="373">
        <v>15.3</v>
      </c>
      <c r="G36" s="373">
        <v>15.5</v>
      </c>
      <c r="H36" s="373">
        <v>13.8</v>
      </c>
      <c r="I36" s="373">
        <v>13</v>
      </c>
      <c r="J36" s="373">
        <v>13.3</v>
      </c>
      <c r="K36" s="373">
        <v>15.1</v>
      </c>
      <c r="L36" s="373">
        <v>16.899999999999999</v>
      </c>
      <c r="M36" s="373">
        <v>17.3</v>
      </c>
      <c r="N36" s="373">
        <v>18.2</v>
      </c>
      <c r="O36" s="373">
        <v>18.100000000000001</v>
      </c>
      <c r="P36" s="373">
        <v>19.399999999999999</v>
      </c>
      <c r="Q36" s="373">
        <v>18.5</v>
      </c>
      <c r="R36" s="373">
        <v>18.734000000000002</v>
      </c>
      <c r="S36" s="373">
        <v>22.552</v>
      </c>
      <c r="T36" s="373">
        <v>21.427</v>
      </c>
      <c r="U36" s="373">
        <v>21.919</v>
      </c>
      <c r="V36" s="373">
        <v>21.265000000000001</v>
      </c>
      <c r="W36" s="373">
        <v>21.077000000000002</v>
      </c>
      <c r="X36" s="373">
        <v>19.170999999999999</v>
      </c>
      <c r="Y36" s="373">
        <v>18.576000000000001</v>
      </c>
      <c r="Z36" s="374">
        <v>20.974</v>
      </c>
      <c r="AA36" s="374">
        <v>21.443999999999999</v>
      </c>
      <c r="AB36" s="374">
        <v>22.401</v>
      </c>
      <c r="AC36" s="374">
        <v>22.143000000000001</v>
      </c>
      <c r="AD36" s="374">
        <v>19.341999999999999</v>
      </c>
      <c r="AE36" s="374">
        <v>17.053000000000001</v>
      </c>
      <c r="AF36" s="374">
        <v>17.167000000000002</v>
      </c>
      <c r="AG36" s="439">
        <v>17.206</v>
      </c>
      <c r="AH36" s="353">
        <f t="shared" si="2"/>
        <v>0.22718005475621794</v>
      </c>
      <c r="AI36" s="289" t="s">
        <v>21</v>
      </c>
    </row>
    <row r="37" spans="1:35" ht="12.75" customHeight="1" x14ac:dyDescent="0.2">
      <c r="A37" s="15"/>
      <c r="B37" s="17" t="s">
        <v>96</v>
      </c>
      <c r="C37" s="96"/>
      <c r="D37" s="96"/>
      <c r="E37" s="58"/>
      <c r="F37" s="58"/>
      <c r="G37" s="58"/>
      <c r="H37" s="58"/>
      <c r="I37" s="58"/>
      <c r="J37" s="58"/>
      <c r="K37" s="58"/>
      <c r="L37" s="58"/>
      <c r="M37" s="58"/>
      <c r="N37" s="58"/>
      <c r="O37" s="58"/>
      <c r="P37" s="58"/>
      <c r="Q37" s="58"/>
      <c r="R37" s="58"/>
      <c r="S37" s="58"/>
      <c r="T37" s="58"/>
      <c r="U37" s="58"/>
      <c r="V37" s="58">
        <v>0.185</v>
      </c>
      <c r="W37" s="58">
        <v>0.183</v>
      </c>
      <c r="X37" s="58">
        <v>0.1</v>
      </c>
      <c r="Y37" s="58">
        <v>0.15</v>
      </c>
      <c r="Z37" s="58">
        <v>0.13600000000000001</v>
      </c>
      <c r="AA37" s="58">
        <v>7.2999999999999995E-2</v>
      </c>
      <c r="AB37" s="58">
        <v>0.105</v>
      </c>
      <c r="AC37" s="58">
        <v>9.4E-2</v>
      </c>
      <c r="AD37" s="58">
        <v>0.112</v>
      </c>
      <c r="AE37" s="58">
        <v>0.11249000000000001</v>
      </c>
      <c r="AF37" s="58">
        <v>0.16900000000000001</v>
      </c>
      <c r="AG37" s="167">
        <v>0.113</v>
      </c>
      <c r="AH37" s="524">
        <f t="shared" si="2"/>
        <v>-33.136094674556219</v>
      </c>
      <c r="AI37" s="17" t="s">
        <v>96</v>
      </c>
    </row>
    <row r="38" spans="1:35" ht="12.75" customHeight="1" x14ac:dyDescent="0.2">
      <c r="A38" s="15"/>
      <c r="B38" s="197" t="s">
        <v>2</v>
      </c>
      <c r="C38" s="198" t="s">
        <v>34</v>
      </c>
      <c r="D38" s="198" t="s">
        <v>34</v>
      </c>
      <c r="E38" s="199" t="s">
        <v>34</v>
      </c>
      <c r="F38" s="199"/>
      <c r="G38" s="199"/>
      <c r="H38" s="199"/>
      <c r="I38" s="199"/>
      <c r="J38" s="199"/>
      <c r="K38" s="199"/>
      <c r="L38" s="199"/>
      <c r="M38" s="199"/>
      <c r="N38" s="199"/>
      <c r="O38" s="199">
        <v>0.5</v>
      </c>
      <c r="P38" s="199">
        <v>0.46200000000000002</v>
      </c>
      <c r="Q38" s="199">
        <v>0.33400000000000002</v>
      </c>
      <c r="R38" s="199">
        <v>0.373</v>
      </c>
      <c r="S38" s="199">
        <v>0.42599999999999999</v>
      </c>
      <c r="T38" s="199">
        <v>0.53100000000000003</v>
      </c>
      <c r="U38" s="199">
        <v>0.61399999999999999</v>
      </c>
      <c r="V38" s="199">
        <v>0.77800000000000002</v>
      </c>
      <c r="W38" s="199">
        <v>0.74299999999999999</v>
      </c>
      <c r="X38" s="199">
        <v>0.497</v>
      </c>
      <c r="Y38" s="199">
        <v>0.52500000000000002</v>
      </c>
      <c r="Z38" s="199">
        <v>0.47899999999999998</v>
      </c>
      <c r="AA38" s="199">
        <v>0.42299999999999999</v>
      </c>
      <c r="AB38" s="199">
        <v>0.42099999999999999</v>
      </c>
      <c r="AC38" s="199">
        <v>0.41099999999999998</v>
      </c>
      <c r="AD38" s="199">
        <v>0.27800000000000002</v>
      </c>
      <c r="AE38" s="199">
        <v>0.222</v>
      </c>
      <c r="AF38" s="199">
        <v>0.27700000000000002</v>
      </c>
      <c r="AG38" s="210">
        <v>0.307</v>
      </c>
      <c r="AH38" s="525">
        <f t="shared" si="2"/>
        <v>10.83032490974729</v>
      </c>
      <c r="AI38" s="197" t="s">
        <v>2</v>
      </c>
    </row>
    <row r="39" spans="1:35" ht="12.75" customHeight="1" x14ac:dyDescent="0.2">
      <c r="A39" s="15"/>
      <c r="B39" s="17" t="s">
        <v>100</v>
      </c>
      <c r="C39" s="118">
        <v>0.16</v>
      </c>
      <c r="D39" s="118">
        <v>0.47699999999999998</v>
      </c>
      <c r="E39" s="118">
        <v>0.58399999999999996</v>
      </c>
      <c r="F39" s="58">
        <v>0.27800000000000002</v>
      </c>
      <c r="G39" s="204">
        <v>0.06</v>
      </c>
      <c r="H39" s="58">
        <v>5.3999999999999999E-2</v>
      </c>
      <c r="I39" s="58">
        <v>5.2999999999999999E-2</v>
      </c>
      <c r="J39" s="58">
        <v>5.2999999999999999E-2</v>
      </c>
      <c r="K39" s="58">
        <v>4.2000000000000003E-2</v>
      </c>
      <c r="L39" s="58">
        <v>2.3E-2</v>
      </c>
      <c r="M39" s="58">
        <v>2.5000000000000001E-2</v>
      </c>
      <c r="N39" s="58">
        <v>2.5999999999999999E-2</v>
      </c>
      <c r="O39" s="58">
        <v>2.8000000000000001E-2</v>
      </c>
      <c r="P39" s="58">
        <v>1.9E-2</v>
      </c>
      <c r="Q39" s="58">
        <v>2.1000000000000001E-2</v>
      </c>
      <c r="R39" s="58">
        <v>3.2000000000000001E-2</v>
      </c>
      <c r="S39" s="58">
        <v>3.2000000000000001E-2</v>
      </c>
      <c r="T39" s="58">
        <v>2.5999999999999999E-2</v>
      </c>
      <c r="U39" s="58">
        <v>3.5999999999999997E-2</v>
      </c>
      <c r="V39" s="58">
        <v>5.2999999999999999E-2</v>
      </c>
      <c r="W39" s="58">
        <v>5.1999999999999998E-2</v>
      </c>
      <c r="X39" s="58">
        <v>4.5999999999999999E-2</v>
      </c>
      <c r="Y39" s="58">
        <v>6.6177E-2</v>
      </c>
      <c r="Z39" s="158">
        <v>5.0122E-2</v>
      </c>
      <c r="AA39" s="158">
        <v>2.5307E-2</v>
      </c>
      <c r="AB39" s="158">
        <v>2.2974999999999999E-2</v>
      </c>
      <c r="AC39" s="158">
        <v>3.9889000000000001E-2</v>
      </c>
      <c r="AD39" s="158">
        <v>2.3E-2</v>
      </c>
      <c r="AE39" s="158">
        <v>8.9999999999999993E-3</v>
      </c>
      <c r="AF39" s="158">
        <v>2.5000000000000001E-2</v>
      </c>
      <c r="AG39" s="178">
        <v>0.02</v>
      </c>
      <c r="AH39" s="354">
        <f>AG39/AF39*100-100</f>
        <v>-20</v>
      </c>
      <c r="AI39" s="17" t="s">
        <v>100</v>
      </c>
    </row>
    <row r="40" spans="1:35" ht="12.75" customHeight="1" x14ac:dyDescent="0.2">
      <c r="A40" s="15"/>
      <c r="B40" s="197" t="s">
        <v>97</v>
      </c>
      <c r="C40" s="198"/>
      <c r="D40" s="198"/>
      <c r="E40" s="199"/>
      <c r="F40" s="199"/>
      <c r="G40" s="199"/>
      <c r="H40" s="199"/>
      <c r="I40" s="199"/>
      <c r="J40" s="199"/>
      <c r="K40" s="199"/>
      <c r="L40" s="199"/>
      <c r="M40" s="199"/>
      <c r="N40" s="199"/>
      <c r="O40" s="199"/>
      <c r="P40" s="199"/>
      <c r="Q40" s="199"/>
      <c r="R40" s="199"/>
      <c r="S40" s="199"/>
      <c r="T40" s="199"/>
      <c r="U40" s="199"/>
      <c r="V40" s="199"/>
      <c r="W40" s="199">
        <v>4.3390000000000004</v>
      </c>
      <c r="X40" s="199">
        <v>2.9670000000000001</v>
      </c>
      <c r="Y40" s="199">
        <v>3.5219999999999998</v>
      </c>
      <c r="Z40" s="199">
        <v>3.6110000000000002</v>
      </c>
      <c r="AA40" s="199">
        <v>2.7690000000000001</v>
      </c>
      <c r="AB40" s="199">
        <v>3.0219999999999998</v>
      </c>
      <c r="AC40" s="199">
        <v>2.988</v>
      </c>
      <c r="AD40" s="199">
        <v>3.2480000000000002</v>
      </c>
      <c r="AE40" s="199">
        <v>3.0870000000000002</v>
      </c>
      <c r="AF40" s="199">
        <v>3.2879999999999998</v>
      </c>
      <c r="AG40" s="231">
        <f>AVERAGE(AD40:AF40)</f>
        <v>3.2076666666666669</v>
      </c>
      <c r="AH40" s="355">
        <f t="shared" si="2"/>
        <v>-2.4432278994322587</v>
      </c>
      <c r="AI40" s="197" t="s">
        <v>97</v>
      </c>
    </row>
    <row r="41" spans="1:35" ht="12.75" customHeight="1" x14ac:dyDescent="0.2">
      <c r="A41" s="15"/>
      <c r="B41" s="18" t="s">
        <v>17</v>
      </c>
      <c r="C41" s="98">
        <v>5.5</v>
      </c>
      <c r="D41" s="98">
        <v>5</v>
      </c>
      <c r="E41" s="59">
        <v>7.8940000000000001</v>
      </c>
      <c r="F41" s="59">
        <v>7.9770000000000003</v>
      </c>
      <c r="G41" s="59">
        <v>8.2309999999999999</v>
      </c>
      <c r="H41" s="59">
        <v>8.3960000000000008</v>
      </c>
      <c r="I41" s="59">
        <v>8.2029999999999994</v>
      </c>
      <c r="J41" s="59">
        <v>8.5060000000000002</v>
      </c>
      <c r="K41" s="59">
        <v>8.9039999999999999</v>
      </c>
      <c r="L41" s="59">
        <v>9.6059999999999999</v>
      </c>
      <c r="M41" s="59">
        <v>8.3689999999999998</v>
      </c>
      <c r="N41" s="59">
        <v>8.23</v>
      </c>
      <c r="O41" s="59">
        <v>9.7569999999999997</v>
      </c>
      <c r="P41" s="59">
        <v>7.4829999999999997</v>
      </c>
      <c r="Q41" s="59">
        <v>7.1760000000000002</v>
      </c>
      <c r="R41" s="59">
        <v>8.6120000000000001</v>
      </c>
      <c r="S41" s="59">
        <v>9.3320000000000007</v>
      </c>
      <c r="T41" s="59">
        <v>9.077</v>
      </c>
      <c r="U41" s="59">
        <v>9.5440000000000005</v>
      </c>
      <c r="V41" s="59">
        <v>9.7550000000000008</v>
      </c>
      <c r="W41" s="59">
        <v>10.552</v>
      </c>
      <c r="X41" s="59">
        <v>10.163</v>
      </c>
      <c r="Y41" s="59">
        <v>11.3</v>
      </c>
      <c r="Z41" s="59">
        <v>11.303000000000001</v>
      </c>
      <c r="AA41" s="59">
        <v>11.223000000000001</v>
      </c>
      <c r="AB41" s="59">
        <v>10.75</v>
      </c>
      <c r="AC41" s="59">
        <v>11.601000000000001</v>
      </c>
      <c r="AD41" s="59">
        <v>10.178000000000001</v>
      </c>
      <c r="AE41" s="59">
        <v>11.423999999999999</v>
      </c>
      <c r="AF41" s="59">
        <v>12.676</v>
      </c>
      <c r="AG41" s="170">
        <v>12.637</v>
      </c>
      <c r="AH41" s="354">
        <f t="shared" si="2"/>
        <v>-0.30766803408013743</v>
      </c>
      <c r="AI41" s="18" t="s">
        <v>17</v>
      </c>
    </row>
    <row r="42" spans="1:35" ht="12.75" customHeight="1" x14ac:dyDescent="0.2">
      <c r="A42" s="15"/>
      <c r="B42" s="197" t="s">
        <v>3</v>
      </c>
      <c r="C42" s="198" t="s">
        <v>35</v>
      </c>
      <c r="D42" s="198" t="s">
        <v>35</v>
      </c>
      <c r="E42" s="213" t="s">
        <v>35</v>
      </c>
      <c r="F42" s="213" t="s">
        <v>35</v>
      </c>
      <c r="G42" s="213" t="s">
        <v>35</v>
      </c>
      <c r="H42" s="213" t="s">
        <v>35</v>
      </c>
      <c r="I42" s="213" t="s">
        <v>35</v>
      </c>
      <c r="J42" s="213" t="s">
        <v>35</v>
      </c>
      <c r="K42" s="213" t="s">
        <v>35</v>
      </c>
      <c r="L42" s="213" t="s">
        <v>35</v>
      </c>
      <c r="M42" s="213" t="s">
        <v>35</v>
      </c>
      <c r="N42" s="213" t="s">
        <v>35</v>
      </c>
      <c r="O42" s="213" t="s">
        <v>35</v>
      </c>
      <c r="P42" s="214" t="s">
        <v>35</v>
      </c>
      <c r="Q42" s="214" t="s">
        <v>35</v>
      </c>
      <c r="R42" s="214" t="s">
        <v>35</v>
      </c>
      <c r="S42" s="214" t="s">
        <v>35</v>
      </c>
      <c r="T42" s="214" t="s">
        <v>35</v>
      </c>
      <c r="U42" s="214" t="s">
        <v>35</v>
      </c>
      <c r="V42" s="214" t="s">
        <v>35</v>
      </c>
      <c r="W42" s="214" t="s">
        <v>35</v>
      </c>
      <c r="X42" s="214" t="s">
        <v>35</v>
      </c>
      <c r="Y42" s="214" t="s">
        <v>35</v>
      </c>
      <c r="Z42" s="217" t="s">
        <v>35</v>
      </c>
      <c r="AA42" s="217" t="s">
        <v>35</v>
      </c>
      <c r="AB42" s="217" t="s">
        <v>35</v>
      </c>
      <c r="AC42" s="217" t="s">
        <v>35</v>
      </c>
      <c r="AD42" s="217" t="s">
        <v>35</v>
      </c>
      <c r="AE42" s="217" t="s">
        <v>35</v>
      </c>
      <c r="AF42" s="217" t="s">
        <v>35</v>
      </c>
      <c r="AG42" s="218" t="s">
        <v>35</v>
      </c>
      <c r="AH42" s="217" t="s">
        <v>35</v>
      </c>
      <c r="AI42" s="211" t="s">
        <v>3</v>
      </c>
    </row>
    <row r="43" spans="1:35" ht="12.75" customHeight="1" x14ac:dyDescent="0.2">
      <c r="A43" s="15"/>
      <c r="B43" s="17" t="s">
        <v>33</v>
      </c>
      <c r="C43" s="96">
        <v>2.6</v>
      </c>
      <c r="D43" s="96">
        <v>3</v>
      </c>
      <c r="E43" s="58">
        <v>2.6</v>
      </c>
      <c r="F43" s="58">
        <v>2.7</v>
      </c>
      <c r="G43" s="58">
        <v>2.7</v>
      </c>
      <c r="H43" s="58">
        <v>2.9</v>
      </c>
      <c r="I43" s="58">
        <v>2.7</v>
      </c>
      <c r="J43" s="58">
        <v>2.7</v>
      </c>
      <c r="K43" s="58">
        <v>2.8</v>
      </c>
      <c r="L43" s="58">
        <v>3</v>
      </c>
      <c r="M43" s="58">
        <v>2.9</v>
      </c>
      <c r="N43" s="58">
        <v>2.9</v>
      </c>
      <c r="O43" s="58">
        <v>3</v>
      </c>
      <c r="P43" s="58">
        <v>2.9</v>
      </c>
      <c r="Q43" s="58">
        <v>2.7</v>
      </c>
      <c r="R43" s="58">
        <v>2.6269999999999998</v>
      </c>
      <c r="S43" s="58">
        <v>2.8450000000000002</v>
      </c>
      <c r="T43" s="58">
        <v>3.1819999999999999</v>
      </c>
      <c r="U43" s="58">
        <v>3.351</v>
      </c>
      <c r="V43" s="58">
        <v>3.5019999999999998</v>
      </c>
      <c r="W43" s="58">
        <v>3.621</v>
      </c>
      <c r="X43" s="58">
        <v>3.5059999999999998</v>
      </c>
      <c r="Y43" s="58">
        <v>3.496</v>
      </c>
      <c r="Z43" s="58">
        <v>3.5739999999999998</v>
      </c>
      <c r="AA43" s="58">
        <v>3.4889999999999999</v>
      </c>
      <c r="AB43" s="58">
        <v>3.383</v>
      </c>
      <c r="AC43" s="58">
        <v>3.5390000000000001</v>
      </c>
      <c r="AD43" s="58">
        <v>3.4980000000000002</v>
      </c>
      <c r="AE43" s="58">
        <v>3.3119999999999998</v>
      </c>
      <c r="AF43" s="58">
        <v>4.04</v>
      </c>
      <c r="AG43" s="167">
        <v>3.97</v>
      </c>
      <c r="AH43" s="354">
        <f t="shared" si="2"/>
        <v>-1.7326732673267315</v>
      </c>
      <c r="AI43" s="17" t="s">
        <v>33</v>
      </c>
    </row>
    <row r="44" spans="1:35" ht="12.75" customHeight="1" x14ac:dyDescent="0.2">
      <c r="A44" s="15"/>
      <c r="B44" s="220" t="s">
        <v>4</v>
      </c>
      <c r="C44" s="221">
        <v>6.9</v>
      </c>
      <c r="D44" s="221">
        <v>7.8</v>
      </c>
      <c r="E44" s="202">
        <v>9.0449999999999999</v>
      </c>
      <c r="F44" s="202">
        <v>8.9169999999999998</v>
      </c>
      <c r="G44" s="202">
        <v>8.4580000000000002</v>
      </c>
      <c r="H44" s="202">
        <v>8.0510000000000002</v>
      </c>
      <c r="I44" s="202">
        <v>8.8190000000000008</v>
      </c>
      <c r="J44" s="202">
        <v>8.8559999999999999</v>
      </c>
      <c r="K44" s="202">
        <v>8.0310000000000006</v>
      </c>
      <c r="L44" s="202">
        <v>8.8360000000000003</v>
      </c>
      <c r="M44" s="202">
        <v>9.4109999999999996</v>
      </c>
      <c r="N44" s="202">
        <v>9.8309999999999995</v>
      </c>
      <c r="O44" s="202">
        <v>11.08</v>
      </c>
      <c r="P44" s="202">
        <v>11.172000000000001</v>
      </c>
      <c r="Q44" s="202">
        <v>10.746</v>
      </c>
      <c r="R44" s="202">
        <v>10.598000000000001</v>
      </c>
      <c r="S44" s="202">
        <v>11.489000000000001</v>
      </c>
      <c r="T44" s="202">
        <v>11.677</v>
      </c>
      <c r="U44" s="202">
        <v>12.465999999999999</v>
      </c>
      <c r="V44" s="200">
        <v>11.952</v>
      </c>
      <c r="W44" s="202">
        <v>12.265000000000001</v>
      </c>
      <c r="X44" s="202">
        <v>10.565</v>
      </c>
      <c r="Y44" s="202">
        <v>11.074</v>
      </c>
      <c r="Z44" s="202">
        <v>11.526</v>
      </c>
      <c r="AA44" s="202">
        <v>11.061</v>
      </c>
      <c r="AB44" s="202">
        <v>11.811999999999999</v>
      </c>
      <c r="AC44" s="202">
        <v>12.313000000000001</v>
      </c>
      <c r="AD44" s="202">
        <v>12.430999999999999</v>
      </c>
      <c r="AE44" s="202">
        <v>12.446999999999999</v>
      </c>
      <c r="AF44" s="202">
        <v>11.664999999999999</v>
      </c>
      <c r="AG44" s="222">
        <v>11.776</v>
      </c>
      <c r="AH44" s="355">
        <f t="shared" si="2"/>
        <v>0.95156450921561486</v>
      </c>
      <c r="AI44" s="220" t="s">
        <v>4</v>
      </c>
    </row>
    <row r="45" spans="1:35" ht="17.25" customHeight="1" x14ac:dyDescent="0.2">
      <c r="A45" s="15"/>
      <c r="B45" s="580" t="s">
        <v>148</v>
      </c>
      <c r="C45" s="581"/>
      <c r="D45" s="581"/>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81"/>
      <c r="AG45" s="581"/>
      <c r="AH45" s="581"/>
      <c r="AI45" s="581"/>
    </row>
    <row r="46" spans="1:35" ht="27" customHeight="1" x14ac:dyDescent="0.2">
      <c r="A46" s="15"/>
      <c r="B46" s="189" t="s">
        <v>154</v>
      </c>
      <c r="C46" s="485"/>
      <c r="D46" s="485"/>
      <c r="E46" s="485"/>
      <c r="F46" s="485"/>
      <c r="G46" s="485"/>
      <c r="H46" s="485"/>
      <c r="I46" s="485"/>
      <c r="J46" s="485"/>
      <c r="K46" s="485"/>
      <c r="L46" s="485"/>
      <c r="M46" s="485"/>
      <c r="N46" s="485"/>
      <c r="O46" s="485"/>
      <c r="P46" s="485"/>
      <c r="Q46" s="485"/>
      <c r="R46" s="485"/>
      <c r="S46" s="128"/>
      <c r="T46" s="128"/>
      <c r="U46" s="128"/>
      <c r="V46" s="128"/>
      <c r="W46" s="128"/>
      <c r="X46" s="128"/>
      <c r="Y46" s="128"/>
      <c r="Z46" s="128"/>
      <c r="AA46" s="128"/>
      <c r="AB46" s="128"/>
      <c r="AC46" s="128"/>
      <c r="AD46" s="477"/>
      <c r="AE46" s="477"/>
      <c r="AF46" s="128"/>
      <c r="AG46" s="128"/>
    </row>
    <row r="47" spans="1:35" ht="44.25" customHeight="1" x14ac:dyDescent="0.2">
      <c r="A47" s="3"/>
      <c r="L47" s="2"/>
      <c r="R47" s="2"/>
      <c r="AH47" s="478"/>
    </row>
    <row r="48" spans="1:35" x14ac:dyDescent="0.2">
      <c r="U48"/>
      <c r="V48"/>
      <c r="W48"/>
      <c r="X48"/>
      <c r="AE48" s="582"/>
      <c r="AF48" s="582"/>
      <c r="AG48" s="582"/>
      <c r="AH48" s="582"/>
      <c r="AI48" s="582"/>
    </row>
    <row r="49" spans="31:35" x14ac:dyDescent="0.2">
      <c r="AE49" s="582"/>
      <c r="AF49" s="582"/>
      <c r="AG49" s="582"/>
      <c r="AH49" s="582"/>
      <c r="AI49" s="582"/>
    </row>
  </sheetData>
  <mergeCells count="5">
    <mergeCell ref="B3:AI3"/>
    <mergeCell ref="B45:AI45"/>
    <mergeCell ref="AE48:AI48"/>
    <mergeCell ref="AE49:AI49"/>
    <mergeCell ref="AH5:AH6"/>
  </mergeCells>
  <phoneticPr fontId="4" type="noConversion"/>
  <hyperlinks>
    <hyperlink ref="Z49" r:id="rId1" display="http://stats.oecd.org/OECDStat_Metadata/ShowMetadata.ashx?Dataset=ITF_GOODS_TRANSPORT&amp;ShowOnWeb=true&amp;Lang=en"/>
    <hyperlink ref="AB50" r:id="rId2" display="http://stats.oecd.org/OECDStat_Metadata/ShowMetadata.ashx?Dataset=ITF_GOODS_TRANSPORT&amp;Coords=[VARIABLE].[T-GOODS-TOT-INLD]&amp;ShowOnWeb=true&amp;Lang=en"/>
    <hyperlink ref="AA54" r:id="rId3" display="http://stats.oecd.org/OECDStat_Metadata/ShowMetadata.ashx?Dataset=ITF_GOODS_TRANSPORT&amp;Coords=[%5bVARIABLE%5d.%5bT-GOODS-TOT-INLD%5d%2c%5bCOUNTRY%5d.%5bBGR%5d]&amp;ShowOnWeb=true&amp;Lang=en"/>
    <hyperlink ref="AA55" r:id="rId4" tooltip="Click once to display linked information. Click and hold to select this cell." display="http://stats.oecd.org/"/>
    <hyperlink ref="AA56" r:id="rId5" display="http://stats.oecd.org/OECDStat_Metadata/ShowMetadata.ashx?Dataset=ITF_GOODS_TRANSPORT&amp;Coords=[%5bVARIABLE%5d.%5bT-GOODS-TOT-INLD%5d%2c%5bCOUNTRY%5d.%5bMKD%5d]&amp;ShowOnWeb=true&amp;Lang=en"/>
    <hyperlink ref="AA57" r:id="rId6" display="http://stats.oecd.org/OECDStat_Metadata/ShowMetadata.ashx?Dataset=ITF_GOODS_TRANSPORT&amp;Coords=[%5bVARIABLE%5d.%5bT-GOODS-TOT-INLD%5d%2c%5bCOUNTRY%5d.%5bMNE%5d]&amp;ShowOnWeb=true&amp;Lang=en"/>
    <hyperlink ref="AA58" r:id="rId7" display="http://stats.oecd.org/OECDStat_Metadata/ShowMetadata.ashx?Dataset=ITF_GOODS_TRANSPORT&amp;Coords=[%5bVARIABLE%5d.%5bT-GOODS-TOT-INLD%5d%2c%5bCOUNTRY%5d.%5bNOR%5d]&amp;ShowOnWeb=true&amp;Lang=en"/>
    <hyperlink ref="AA59" r:id="rId8" tooltip="Click once to display linked information. Click and hold to select this cell." display="http://stats.oecd.org/"/>
    <hyperlink ref="AA60" r:id="rId9" display="http://stats.oecd.org/OECDStat_Metadata/ShowMetadata.ashx?Dataset=ITF_GOODS_TRANSPORT&amp;Coords=[%5bVARIABLE%5d.%5bT-GOODS-TOT-INLD%5d%2c%5bCOUNTRY%5d.%5bCHE%5d]&amp;ShowOnWeb=true&amp;Lang=en"/>
    <hyperlink ref="AA61" r:id="rId10" display="http://stats.oecd.org/OECDStat_Metadata/ShowMetadata.ashx?Dataset=ITF_GOODS_TRANSPORT&amp;Coords=[%5bVARIABLE%5d.%5bT-GOODS-TOT-INLD%5d%2c%5bCOUNTRY%5d.%5bTUR%5d]&amp;ShowOnWeb=true&amp;Lang=en"/>
    <hyperlink ref="Z62" r:id="rId11" display="https://stats-2.oecd.org/index.aspx?DatasetCode=ITF_GOODS_TRANSPORT"/>
    <hyperlink ref="AA53" r:id="rId12" tooltip="Click once to display linked information. Click and hold to select this cell." display="http://stats.oecd.org/OECDStat_Metadata/ShowMetadata.ashx?Dataset=ITF_GOODS_TRANSPORT&amp;ShowOnWeb=true&amp;Lang=en"/>
    <hyperlink ref="AA49" r:id="rId13" tooltip="Click once to display linked information. Click and hold to select this cell." display="http://stats.oecd.org/OECDStat_Metadata/ShowMetadata.ashx?Dataset=ITF_GOODS_TRANSPORT&amp;ShowOnWeb=true&amp;Lang=en"/>
  </hyperlinks>
  <printOptions horizontalCentered="1"/>
  <pageMargins left="0.6692913385826772" right="0.27559055118110237" top="0.51181102362204722" bottom="0.27559055118110237" header="0" footer="0"/>
  <pageSetup paperSize="9" orientation="portrait" r:id="rId1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T2.2</vt:lpstr>
      <vt:lpstr>freight_graph</vt:lpstr>
      <vt:lpstr>perf_mode_tkm</vt:lpstr>
      <vt:lpstr>perf_land _tkm</vt:lpstr>
      <vt:lpstr>road_by_nat</vt:lpstr>
      <vt:lpstr>road_by_int</vt:lpstr>
      <vt:lpstr>road_by_tot</vt:lpstr>
      <vt:lpstr>road_ter</vt:lpstr>
      <vt:lpstr>rail_tkm</vt:lpstr>
      <vt:lpstr>iww</vt:lpstr>
      <vt:lpstr>pipeline</vt:lpstr>
      <vt:lpstr>usa_goods</vt:lpstr>
      <vt:lpstr>T2.2!A</vt:lpstr>
      <vt:lpstr>iww!Print_Area</vt:lpstr>
      <vt:lpstr>perf_mode_tkm!Print_Area</vt:lpstr>
      <vt:lpstr>pipeline!Print_Area</vt:lpstr>
      <vt:lpstr>rail_tkm!Print_Area</vt:lpstr>
      <vt:lpstr>road_by_int!Print_Area</vt:lpstr>
      <vt:lpstr>road_by_nat!Print_Area</vt:lpstr>
      <vt:lpstr>road_by_tot!Print_Area</vt:lpstr>
      <vt:lpstr>road_ter!Print_Area</vt:lpstr>
      <vt:lpstr>T2.2!Print_Area</vt:lpstr>
      <vt:lpstr>usa_goods!Print_Area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LUPU Iuliana (MOVE)</cp:lastModifiedBy>
  <cp:lastPrinted>2019-05-14T08:11:29Z</cp:lastPrinted>
  <dcterms:created xsi:type="dcterms:W3CDTF">2003-09-05T14:33:05Z</dcterms:created>
  <dcterms:modified xsi:type="dcterms:W3CDTF">2020-10-02T16:00:12Z</dcterms:modified>
</cp:coreProperties>
</file>